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codeName="ThisWorkbook" defaultThemeVersion="124226"/>
  <mc:AlternateContent xmlns:mc="http://schemas.openxmlformats.org/markup-compatibility/2006">
    <mc:Choice Requires="x15">
      <x15ac:absPath xmlns:x15ac="http://schemas.microsoft.com/office/spreadsheetml/2010/11/ac" url="C:\Users\Jon\Desktop\Google Drive\00000 EXCEL Sheets\! Valve sizing 4 Col\4Col Sizing for Web\0 Current version for WEB 3.5\"/>
    </mc:Choice>
  </mc:AlternateContent>
  <xr:revisionPtr revIDLastSave="0" documentId="12_ncr:500000_{4772B236-A5A1-4622-8727-63B93996389B}" xr6:coauthVersionLast="31" xr6:coauthVersionMax="31" xr10:uidLastSave="{00000000-0000-0000-0000-000000000000}"/>
  <bookViews>
    <workbookView xWindow="-450" yWindow="-30" windowWidth="20730" windowHeight="8070" xr2:uid="{00000000-000D-0000-FFFF-FFFF00000000}"/>
  </bookViews>
  <sheets>
    <sheet name="Valve Sizing" sheetId="1" r:id="rId1"/>
    <sheet name="Installed Flow" sheetId="2" r:id="rId2"/>
    <sheet name="Installed Gain" sheetId="3" r:id="rId3"/>
    <sheet name="Typical FL" sheetId="6" r:id="rId4"/>
    <sheet name="Mass to Volumetric Flow" sheetId="7" r:id="rId5"/>
    <sheet name="Sheet2" sheetId="5" state="hidden" r:id="rId6"/>
  </sheets>
  <definedNames>
    <definedName name="Applicable_C_NonCh_or_Ch">'Valve Sizing'!$S$9</definedName>
    <definedName name="C_">'Valve Sizing'!$D$15</definedName>
    <definedName name="C_100_Pct">'Installed Flow'!$D$14</definedName>
    <definedName name="C_Ch" localSheetId="1">'Installed Flow'!$R$40</definedName>
    <definedName name="C_Ch">'Valve Sizing'!$S$8</definedName>
    <definedName name="C_Ch_W_Reducers">'Valve Sizing'!$S$27</definedName>
    <definedName name="C_d">'Valve Sizing'!$S$628</definedName>
    <definedName name="C_h">'Installed Flow'!$R$23</definedName>
    <definedName name="C_i" localSheetId="1">'Installed Flow'!$R$41</definedName>
    <definedName name="C_i">'Valve Sizing'!$S$22</definedName>
    <definedName name="C_I_L">'Valve Sizing'!$S$561</definedName>
    <definedName name="C_i_NT">'Valve Sizing'!$S$662</definedName>
    <definedName name="C_LIM">'Valve Sizing'!$S$564</definedName>
    <definedName name="C_maxQ">'Installed Flow'!$R$24</definedName>
    <definedName name="C_N_Ch">'Installed Flow'!$R$39</definedName>
    <definedName name="C_NonCh">'Valve Sizing'!$S$7</definedName>
    <definedName name="C_NonCh_W_Reducers">'Valve Sizing'!$S$26</definedName>
    <definedName name="Calc_Flow_100_From_C_100">'Installed Flow'!#REF!</definedName>
    <definedName name="Calc_Flow_From_Final__Calc_C">'Valve Sizing'!$S$621</definedName>
    <definedName name="CV_OVER_D">'Valve Sizing'!$S$563</definedName>
    <definedName name="Cv_over_d_Sq_NT">'Typical FL'!$O$15</definedName>
    <definedName name="Cv_over_d_Sq_T">'Typical FL'!$O$8</definedName>
    <definedName name="CvGiven">'Valve Sizing'!$Y$372</definedName>
    <definedName name="CvR">'Valve Sizing'!$V$662</definedName>
    <definedName name="d">'Valve Sizing'!$D$12</definedName>
    <definedName name="D_1">'Valve Sizing'!$D$10</definedName>
    <definedName name="D_2">'Valve Sizing'!$D$11</definedName>
    <definedName name="d_in">'Valve Sizing'!$S$627</definedName>
    <definedName name="Data_Input">'Installed Flow'!$D$51</definedName>
    <definedName name="DELTA_P">'Valve Sizing'!$D$5</definedName>
    <definedName name="DELTA_P_0">'Installed Flow'!#REF!</definedName>
    <definedName name="Delta_P_Ch">'Valve Sizing'!$S$6</definedName>
    <definedName name="DELTA_P_CH_W_Reducers" localSheetId="1">'Installed Flow'!$R$38</definedName>
    <definedName name="Delta_P_Ch_W_Reducers">'Valve Sizing'!$S$28</definedName>
    <definedName name="DELTA_P_f">'Installed Flow'!#REF!</definedName>
    <definedName name="DELTA_P_maxQ">'Installed Flow'!$R$11</definedName>
    <definedName name="DELTA_P_minQ">'Installed Flow'!$R$10</definedName>
    <definedName name="DELTA_P_Qi">'Installed Flow'!$R$37</definedName>
    <definedName name="DeltaLf">'Valve Sizing'!$S$653</definedName>
    <definedName name="DeltaLf_0">'Valve Sizing'!$S$647</definedName>
    <definedName name="DeltaLf_1">'Valve Sizing'!$S$648</definedName>
    <definedName name="DeltaLf_2">'Valve Sizing'!$S$649</definedName>
    <definedName name="DeltaLf_3">'Valve Sizing'!$S$650</definedName>
    <definedName name="DeltaLf_4">'Valve Sizing'!$S$651</definedName>
    <definedName name="DeltaLf_5">'Valve Sizing'!$S$652</definedName>
    <definedName name="DeltaLp">'Valve Sizing'!$D$14</definedName>
    <definedName name="dp_dn">'Installed Flow'!$R$16</definedName>
    <definedName name="DP_f">'Installed Flow'!$R$26</definedName>
    <definedName name="DP_m">'Installed Flow'!$R$25</definedName>
    <definedName name="dp_up">'Installed Flow'!$R$14</definedName>
    <definedName name="dpdn_minQ">'Installed Flow'!$R$19</definedName>
    <definedName name="dpup_minQ">'Installed Flow'!$R$18</definedName>
    <definedName name="ETA">'Valve Sizing'!$S$666</definedName>
    <definedName name="ETA_B">'Valve Sizing'!$V$665</definedName>
    <definedName name="ETA_HIGH_C">'Valve Sizing'!$S$664</definedName>
    <definedName name="ETA_LOW_C">'Valve Sizing'!$S$665</definedName>
    <definedName name="F_D">'Valve Sizing'!$D$23</definedName>
    <definedName name="F_F">'Valve Sizing'!$S$4</definedName>
    <definedName name="F_L">'Valve Sizing'!$D$9</definedName>
    <definedName name="F_L_100">'Installed Flow'!$J$16</definedName>
    <definedName name="F_LP">'Valve Sizing'!$S$25</definedName>
    <definedName name="F_LP_h">'Installed Flow'!$R$29</definedName>
    <definedName name="F_P">'Valve Sizing'!$S$23</definedName>
    <definedName name="F_P_h">'Installed Flow'!$R$27</definedName>
    <definedName name="F_R">'Valve Sizing'!$S$670</definedName>
    <definedName name="F_R_Laminar">'Valve Sizing'!$S$668</definedName>
    <definedName name="F_R_Trans">'Valve Sizing'!$S$669</definedName>
    <definedName name="F_RE">'Valve Sizing'!$S$568</definedName>
    <definedName name="F_RE_L">'Valve Sizing'!$S$567</definedName>
    <definedName name="F_RE_T">'Valve Sizing'!$S$566</definedName>
    <definedName name="Final_Calculated_C">'Valve Sizing'!$S$614</definedName>
    <definedName name="Final_Delta_P_Ch_W_Reducers">'Valve Sizing'!$S$620</definedName>
    <definedName name="Final_F_LP">'Valve Sizing'!$S$617</definedName>
    <definedName name="Final_F_P">'Valve Sizing'!$S$615</definedName>
    <definedName name="Final_Flow_Ch_W_Reducers">'Valve Sizing'!$S$619</definedName>
    <definedName name="Final_Flow_NonCh_W_Reducers">'Valve Sizing'!$S$618</definedName>
    <definedName name="FLAG_1">'Valve Sizing'!$B$61</definedName>
    <definedName name="FLAG_3">'Valve Sizing'!$B$62</definedName>
    <definedName name="FRL">'Valve Sizing'!$V$664</definedName>
    <definedName name="FRT">'Valve Sizing'!$V$665</definedName>
    <definedName name="FRTr">'Valve Sizing'!$V$666</definedName>
    <definedName name="G">'Valve Sizing'!$D$6</definedName>
    <definedName name="kg_h">'Mass to Volumetric Flow'!$E$14</definedName>
    <definedName name="lb_h">'Mass to Volumetric Flow'!$E$7</definedName>
    <definedName name="LO_FLO">'Valve Sizing'!$D$28</definedName>
    <definedName name="N">'Valve Sizing'!$S$565</definedName>
    <definedName name="N_1">'Valve Sizing'!$B$53</definedName>
    <definedName name="N_18">'Valve Sizing'!$B$56</definedName>
    <definedName name="N_2">'Valve Sizing'!$B$54</definedName>
    <definedName name="N_32">'Valve Sizing'!$B$57</definedName>
    <definedName name="N_4">'Valve Sizing'!$B$55</definedName>
    <definedName name="N_41">'Valve Sizing'!$B$58</definedName>
    <definedName name="N_TURB1">'Valve Sizing'!$B$46</definedName>
    <definedName name="N_TURB2">'Valve Sizing'!$C$46</definedName>
    <definedName name="N_TURB3">'Valve Sizing'!$D$46</definedName>
    <definedName name="N_TURB4">'Valve Sizing'!$E$46</definedName>
    <definedName name="nu">'Valve Sizing'!$D$22</definedName>
    <definedName name="P_1">'Valve Sizing'!$D$4</definedName>
    <definedName name="P_1_maxQ">'Installed Flow'!$R$9</definedName>
    <definedName name="P_1_minQ">'Installed Flow'!$R$8</definedName>
    <definedName name="P_2_maxQ">'Installed Flow'!$R$13</definedName>
    <definedName name="P_2_minQ">'Installed Flow'!$R$12</definedName>
    <definedName name="P_C">'Valve Sizing'!$D$8</definedName>
    <definedName name="P_V">'Valve Sizing'!$D$7</definedName>
    <definedName name="P1_Qi">'Installed Flow'!$R$35</definedName>
    <definedName name="P2_Qi">'Installed Flow'!$R$36</definedName>
    <definedName name="PHI_m">'Installed Flow'!#REF!</definedName>
    <definedName name="_xlnm.Print_Area" localSheetId="1">'Installed Flow'!$A$8:$K$32</definedName>
    <definedName name="_xlnm.Print_Area" localSheetId="2">'Installed Gain'!$A$4:$K$32</definedName>
    <definedName name="_xlnm.Print_Area" localSheetId="0">'Valve Sizing'!$A$2:$H$29</definedName>
    <definedName name="Q">'Valve Sizing'!$D$3</definedName>
    <definedName name="Q_CALC">'Valve Sizing'!$S$569</definedName>
    <definedName name="Q_i">'Installed Flow'!$R$33</definedName>
    <definedName name="Q_max">'Installed Flow'!$R$7</definedName>
    <definedName name="Q_min">'Installed Flow'!$R$6</definedName>
    <definedName name="Qf">'Installed Flow'!$I$16</definedName>
    <definedName name="R_dn">'Installed Flow'!$R$17</definedName>
    <definedName name="R_S">'Installed Flow'!$R$34</definedName>
    <definedName name="R_up">'Installed Flow'!$R$15</definedName>
    <definedName name="Re_V">'Valve Sizing'!$S$663</definedName>
    <definedName name="RE_VLV">'Valve Sizing'!$S$562</definedName>
    <definedName name="Re7105_">'Valve Sizing'!$Y$373</definedName>
    <definedName name="RED_TRM">'Valve Sizing'!$D$24</definedName>
    <definedName name="ReV">'Valve Sizing'!$V$663</definedName>
    <definedName name="RHO_kg">'Mass to Volumetric Flow'!$L$8</definedName>
    <definedName name="RHO_lb">'Mass to Volumetric Flow'!$L$7</definedName>
    <definedName name="SIGMA_ZETA">'Valve Sizing'!$S$18</definedName>
    <definedName name="SIGMA_ZETA_1">'Valve Sizing'!$S$19</definedName>
    <definedName name="SPL_C">'Valve Sizing'!$S$655</definedName>
    <definedName name="SPL_G">'Valve Sizing'!$S$657</definedName>
    <definedName name="SPL_L">'Valve Sizing'!$S$656</definedName>
    <definedName name="SPL_SELECTED">'Valve Sizing'!$S$658</definedName>
    <definedName name="Trm_Sz">'Valve Sizing'!#REF!</definedName>
    <definedName name="TURB1">'Valve Sizing'!$B$44</definedName>
    <definedName name="TURB2">'Valve Sizing'!$C$44</definedName>
    <definedName name="TURB3">'Valve Sizing'!$D$44</definedName>
    <definedName name="TURB4">'Valve Sizing'!$E$44</definedName>
    <definedName name="Valve_cap._In_Cv">'Valve Sizing'!$O$8</definedName>
    <definedName name="Valve_size_in_Inch">'Valve Sizing'!$O$9</definedName>
    <definedName name="VSC">'Valve Sizing'!$D$13</definedName>
    <definedName name="x_F">'Valve Sizing'!$S$642</definedName>
    <definedName name="x_R">'Valve Sizing'!$S$643</definedName>
    <definedName name="z">'Valve Sizing'!$S$640</definedName>
    <definedName name="z_0">'Valve Sizing'!$S$634</definedName>
    <definedName name="z_1">'Valve Sizing'!$S$635</definedName>
    <definedName name="z_2">'Valve Sizing'!$S$636</definedName>
    <definedName name="z_3">'Valve Sizing'!$S$637</definedName>
    <definedName name="z_4">'Valve Sizing'!$S$638</definedName>
    <definedName name="z_5">'Valve Sizing'!$S$639</definedName>
    <definedName name="ZETA_1">'Valve Sizing'!$S$14</definedName>
    <definedName name="ZETA_2">'Valve Sizing'!$S$16</definedName>
    <definedName name="ZETA_B1">'Valve Sizing'!$S$15</definedName>
    <definedName name="ZETA_B2">'Valve Sizing'!$S$17</definedName>
  </definedNames>
  <calcPr calcId="162913" iterate="1" iterateCount="1" calcOnSave="0"/>
  <fileRecoveryPr autoRecover="0"/>
</workbook>
</file>

<file path=xl/calcChain.xml><?xml version="1.0" encoding="utf-8"?>
<calcChain xmlns="http://schemas.openxmlformats.org/spreadsheetml/2006/main">
  <c r="O7" i="7" l="1"/>
  <c r="H8" i="7" s="1"/>
  <c r="N7" i="7"/>
  <c r="G8" i="7" s="1"/>
  <c r="O8" i="7"/>
  <c r="H15" i="7" s="1"/>
  <c r="N8" i="7"/>
  <c r="G15" i="7" s="1"/>
  <c r="M7" i="7"/>
  <c r="F8" i="7" s="1"/>
  <c r="M8" i="7"/>
  <c r="F15" i="7" s="1"/>
  <c r="L7" i="7"/>
  <c r="E8" i="7" s="1"/>
  <c r="L8" i="7"/>
  <c r="E15" i="7" s="1"/>
  <c r="F27" i="6" l="1"/>
  <c r="E27" i="6"/>
  <c r="D27" i="6"/>
  <c r="C27" i="6"/>
  <c r="F7" i="6"/>
  <c r="E7" i="6"/>
  <c r="D7" i="6"/>
  <c r="C7" i="6"/>
  <c r="B17" i="1" l="1"/>
  <c r="B8" i="1"/>
  <c r="B7" i="1"/>
  <c r="B5" i="1"/>
  <c r="B4" i="1"/>
  <c r="B26" i="1" l="1"/>
  <c r="B58" i="1"/>
  <c r="B57" i="1"/>
  <c r="B56" i="1"/>
  <c r="B55" i="1"/>
  <c r="B54" i="1"/>
  <c r="B53" i="1"/>
  <c r="B15" i="1"/>
  <c r="B62" i="1" l="1"/>
  <c r="B61" i="1"/>
  <c r="B27" i="1" l="1"/>
  <c r="B22" i="1"/>
  <c r="B19" i="1" l="1"/>
  <c r="B16" i="1"/>
  <c r="B12" i="1"/>
  <c r="B11" i="1"/>
  <c r="B10" i="1"/>
  <c r="B3" i="1"/>
  <c r="V652" i="1" l="1"/>
  <c r="U652" i="1"/>
  <c r="T652" i="1"/>
  <c r="S652" i="1"/>
  <c r="I24" i="1" l="1"/>
  <c r="J29" i="3"/>
  <c r="R7" i="2" l="1"/>
  <c r="J21" i="2" s="1"/>
  <c r="H13" i="3"/>
  <c r="H13" i="2"/>
  <c r="J29" i="2"/>
  <c r="H12" i="3"/>
  <c r="H11" i="3"/>
  <c r="H12" i="2"/>
  <c r="H11" i="2"/>
  <c r="J21" i="3" l="1"/>
  <c r="AS23" i="2"/>
  <c r="AP23" i="2"/>
  <c r="AM23" i="2"/>
  <c r="AJ23" i="2"/>
  <c r="AG23" i="2"/>
  <c r="AD23" i="2"/>
  <c r="AA23" i="2"/>
  <c r="X23" i="2"/>
  <c r="U23" i="2"/>
  <c r="R23" i="2" l="1"/>
  <c r="R13" i="2" l="1"/>
  <c r="R11" i="2"/>
  <c r="R10" i="2"/>
  <c r="R9" i="2"/>
  <c r="R8" i="2"/>
  <c r="M18" i="2" l="1"/>
  <c r="R12" i="2"/>
  <c r="R14" i="2"/>
  <c r="R6" i="2"/>
  <c r="R33" i="2" s="1"/>
  <c r="E44" i="1"/>
  <c r="D44" i="1"/>
  <c r="C44" i="1"/>
  <c r="M19" i="2" l="1"/>
  <c r="M17" i="2"/>
  <c r="J25" i="3"/>
  <c r="J26" i="2"/>
  <c r="T42" i="2"/>
  <c r="R16" i="2"/>
  <c r="R17" i="2" s="1"/>
  <c r="R15" i="2"/>
  <c r="B44" i="1"/>
  <c r="D20" i="1" l="1"/>
  <c r="R44" i="2"/>
  <c r="R19" i="2"/>
  <c r="R36" i="2" s="1"/>
  <c r="R18" i="2"/>
  <c r="R35" i="2" s="1"/>
  <c r="E46" i="1"/>
  <c r="E19" i="1"/>
  <c r="R37" i="2" l="1"/>
  <c r="T53" i="2"/>
  <c r="R55" i="2"/>
  <c r="R46" i="2"/>
  <c r="R47" i="2"/>
  <c r="G19" i="1"/>
  <c r="F19" i="1"/>
  <c r="D46" i="1"/>
  <c r="D19" i="1"/>
  <c r="C46" i="1"/>
  <c r="B46" i="1"/>
  <c r="S16" i="1"/>
  <c r="R66" i="2" l="1"/>
  <c r="R57" i="2"/>
  <c r="R58" i="2"/>
  <c r="R48" i="2"/>
  <c r="T64" i="2"/>
  <c r="S4" i="1"/>
  <c r="S6" i="1" s="1"/>
  <c r="S8" i="1" s="1"/>
  <c r="T4" i="1"/>
  <c r="U4" i="1"/>
  <c r="U6" i="1" s="1"/>
  <c r="U8" i="1" s="1"/>
  <c r="V4" i="1"/>
  <c r="S7" i="1"/>
  <c r="S662" i="1" s="1"/>
  <c r="T7" i="1"/>
  <c r="T662" i="1" s="1"/>
  <c r="U7" i="1"/>
  <c r="U662" i="1" s="1"/>
  <c r="V7" i="1"/>
  <c r="V662" i="1" s="1"/>
  <c r="S14" i="1"/>
  <c r="S15" i="1"/>
  <c r="S17" i="1"/>
  <c r="S627" i="1"/>
  <c r="T627" i="1"/>
  <c r="U627" i="1"/>
  <c r="V627" i="1"/>
  <c r="S642" i="1"/>
  <c r="T642" i="1"/>
  <c r="U642" i="1"/>
  <c r="V642" i="1"/>
  <c r="R59" i="2" l="1"/>
  <c r="R77" i="2"/>
  <c r="R68" i="2"/>
  <c r="R69" i="2"/>
  <c r="T75" i="2"/>
  <c r="S9" i="1"/>
  <c r="U9" i="1"/>
  <c r="S18" i="1"/>
  <c r="T6" i="1"/>
  <c r="V6" i="1"/>
  <c r="S19" i="1"/>
  <c r="T9" i="1" l="1"/>
  <c r="T663" i="1" s="1"/>
  <c r="T8" i="1"/>
  <c r="V9" i="1"/>
  <c r="V8" i="1"/>
  <c r="AA27" i="2"/>
  <c r="AS27" i="2"/>
  <c r="R27" i="2"/>
  <c r="R39" i="2" s="1"/>
  <c r="AD27" i="2"/>
  <c r="AP27" i="2"/>
  <c r="AM27" i="2"/>
  <c r="X27" i="2"/>
  <c r="AJ27" i="2"/>
  <c r="U27" i="2"/>
  <c r="AG27" i="2"/>
  <c r="AD29" i="2"/>
  <c r="AM29" i="2"/>
  <c r="X29" i="2"/>
  <c r="AJ29" i="2"/>
  <c r="U29" i="2"/>
  <c r="AG29" i="2"/>
  <c r="AS29" i="2"/>
  <c r="R29" i="2"/>
  <c r="AP29" i="2"/>
  <c r="AA29" i="2"/>
  <c r="R70" i="2"/>
  <c r="R88" i="2"/>
  <c r="R79" i="2"/>
  <c r="R80" i="2"/>
  <c r="T86" i="2"/>
  <c r="V22" i="1"/>
  <c r="U22" i="1"/>
  <c r="T22" i="1"/>
  <c r="T23" i="1" s="1"/>
  <c r="S22" i="1"/>
  <c r="S25" i="1" s="1"/>
  <c r="U23" i="1" l="1"/>
  <c r="V25" i="1"/>
  <c r="V23" i="1"/>
  <c r="T26" i="1"/>
  <c r="R38" i="2"/>
  <c r="R40" i="2" s="1"/>
  <c r="R81" i="2"/>
  <c r="R99" i="2"/>
  <c r="R90" i="2"/>
  <c r="R91" i="2"/>
  <c r="R60" i="2"/>
  <c r="R62" i="2" s="1"/>
  <c r="R71" i="2"/>
  <c r="R82" i="2"/>
  <c r="R84" i="2" s="1"/>
  <c r="R61" i="2"/>
  <c r="R83" i="2"/>
  <c r="R72" i="2"/>
  <c r="R49" i="2"/>
  <c r="R51" i="2" s="1"/>
  <c r="R50" i="2"/>
  <c r="T97" i="2"/>
  <c r="S663" i="1"/>
  <c r="S665" i="1"/>
  <c r="S664" i="1"/>
  <c r="S666" i="1" s="1"/>
  <c r="T25" i="1"/>
  <c r="V26" i="1"/>
  <c r="V665" i="1"/>
  <c r="V663" i="1"/>
  <c r="V664" i="1"/>
  <c r="V666" i="1" s="1"/>
  <c r="U25" i="1"/>
  <c r="U663" i="1"/>
  <c r="U665" i="1"/>
  <c r="U664" i="1"/>
  <c r="U666" i="1" s="1"/>
  <c r="T664" i="1"/>
  <c r="T666" i="1" s="1"/>
  <c r="T665" i="1"/>
  <c r="S23" i="1"/>
  <c r="V28" i="1" l="1"/>
  <c r="V27" i="1"/>
  <c r="U28" i="1"/>
  <c r="U27" i="1" s="1"/>
  <c r="U26" i="1"/>
  <c r="S26" i="1"/>
  <c r="R41" i="2"/>
  <c r="R92" i="2"/>
  <c r="R94" i="2" s="1"/>
  <c r="R110" i="2"/>
  <c r="R101" i="2"/>
  <c r="R102" i="2"/>
  <c r="R93" i="2"/>
  <c r="R95" i="2" s="1"/>
  <c r="R85" i="2"/>
  <c r="S86" i="2" s="1"/>
  <c r="R73" i="2"/>
  <c r="R74" i="2" s="1"/>
  <c r="S75" i="2" s="1"/>
  <c r="R63" i="2"/>
  <c r="S64" i="2" s="1"/>
  <c r="R52" i="2"/>
  <c r="S53" i="2" s="1"/>
  <c r="T108" i="2"/>
  <c r="S668" i="1"/>
  <c r="T28" i="1"/>
  <c r="T669" i="1"/>
  <c r="U669" i="1"/>
  <c r="V29" i="1"/>
  <c r="V30" i="1" s="1"/>
  <c r="U29" i="1"/>
  <c r="U30" i="1" s="1"/>
  <c r="S28" i="1"/>
  <c r="V32" i="1" l="1"/>
  <c r="U32" i="1"/>
  <c r="S29" i="1"/>
  <c r="S32" i="1" s="1"/>
  <c r="S35" i="1" s="1"/>
  <c r="T29" i="1"/>
  <c r="T32" i="1" s="1"/>
  <c r="T33" i="1" s="1"/>
  <c r="T27" i="1"/>
  <c r="S27" i="1"/>
  <c r="R96" i="2"/>
  <c r="S97" i="2" s="1"/>
  <c r="R112" i="2"/>
  <c r="R121" i="2"/>
  <c r="R113" i="2"/>
  <c r="R103" i="2"/>
  <c r="R104" i="2"/>
  <c r="R106" i="2" s="1"/>
  <c r="T119" i="2"/>
  <c r="S42" i="2"/>
  <c r="S669" i="1"/>
  <c r="S670" i="1" s="1"/>
  <c r="U668" i="1"/>
  <c r="U670" i="1" s="1"/>
  <c r="U671" i="1" s="1"/>
  <c r="U674" i="1" s="1"/>
  <c r="U675" i="1" s="1"/>
  <c r="T668" i="1"/>
  <c r="T670" i="1" s="1"/>
  <c r="T671" i="1" s="1"/>
  <c r="T674" i="1" s="1"/>
  <c r="V668" i="1"/>
  <c r="V669" i="1"/>
  <c r="U35" i="1" l="1"/>
  <c r="U33" i="1"/>
  <c r="V35" i="1"/>
  <c r="V33" i="1"/>
  <c r="T30" i="1"/>
  <c r="T35" i="1"/>
  <c r="T38" i="1" s="1"/>
  <c r="S30" i="1"/>
  <c r="S33" i="1"/>
  <c r="S38" i="1" s="1"/>
  <c r="T36" i="1"/>
  <c r="V670" i="1"/>
  <c r="V671" i="1" s="1"/>
  <c r="V674" i="1" s="1"/>
  <c r="V675" i="1" s="1"/>
  <c r="R105" i="2"/>
  <c r="R107" i="2" s="1"/>
  <c r="S108" i="2" s="1"/>
  <c r="R114" i="2"/>
  <c r="R115" i="2"/>
  <c r="R117" i="2" s="1"/>
  <c r="R123" i="2"/>
  <c r="R132" i="2"/>
  <c r="R124" i="2"/>
  <c r="T130" i="2"/>
  <c r="T675" i="1"/>
  <c r="S671" i="1"/>
  <c r="S674" i="1" s="1"/>
  <c r="U676" i="1"/>
  <c r="U677" i="1"/>
  <c r="V36" i="1" l="1"/>
  <c r="V38" i="1"/>
  <c r="U38" i="1"/>
  <c r="U37" i="1" s="1"/>
  <c r="U36" i="1"/>
  <c r="U39" i="1" s="1"/>
  <c r="T39" i="1"/>
  <c r="T42" i="1" s="1"/>
  <c r="S36" i="1"/>
  <c r="S39" i="1" s="1"/>
  <c r="T37" i="1"/>
  <c r="S37" i="1"/>
  <c r="R125" i="2"/>
  <c r="R126" i="2"/>
  <c r="R128" i="2" s="1"/>
  <c r="R143" i="2"/>
  <c r="R134" i="2"/>
  <c r="R135" i="2"/>
  <c r="R116" i="2"/>
  <c r="R118" i="2" s="1"/>
  <c r="S119" i="2" s="1"/>
  <c r="T141" i="2"/>
  <c r="U678" i="1"/>
  <c r="U681" i="1" s="1"/>
  <c r="U682" i="1" s="1"/>
  <c r="U683" i="1" s="1"/>
  <c r="S675" i="1"/>
  <c r="T676" i="1"/>
  <c r="T677" i="1"/>
  <c r="V676" i="1"/>
  <c r="V677" i="1"/>
  <c r="S40" i="1" l="1"/>
  <c r="S42" i="1"/>
  <c r="T45" i="1"/>
  <c r="T43" i="1"/>
  <c r="V39" i="1"/>
  <c r="U40" i="1"/>
  <c r="U42" i="1"/>
  <c r="V37" i="1"/>
  <c r="T40" i="1"/>
  <c r="R127" i="2"/>
  <c r="R129" i="2" s="1"/>
  <c r="S130" i="2" s="1"/>
  <c r="R154" i="2"/>
  <c r="R145" i="2"/>
  <c r="R146" i="2"/>
  <c r="R136" i="2"/>
  <c r="R137" i="2"/>
  <c r="R139" i="2" s="1"/>
  <c r="T152" i="2"/>
  <c r="V678" i="1"/>
  <c r="V681" i="1" s="1"/>
  <c r="T678" i="1"/>
  <c r="T681" i="1" s="1"/>
  <c r="T682" i="1" s="1"/>
  <c r="T683" i="1" s="1"/>
  <c r="U684" i="1"/>
  <c r="U686" i="1" s="1"/>
  <c r="U689" i="1" s="1"/>
  <c r="U680" i="1"/>
  <c r="T48" i="1" l="1"/>
  <c r="T47" i="1"/>
  <c r="T46" i="1"/>
  <c r="T49" i="1" s="1"/>
  <c r="S45" i="1"/>
  <c r="S43" i="1"/>
  <c r="U45" i="1"/>
  <c r="U43" i="1"/>
  <c r="V40" i="1"/>
  <c r="V42" i="1"/>
  <c r="R138" i="2"/>
  <c r="R140" i="2" s="1"/>
  <c r="S141" i="2" s="1"/>
  <c r="R156" i="2"/>
  <c r="R165" i="2"/>
  <c r="R157" i="2"/>
  <c r="R147" i="2"/>
  <c r="R148" i="2"/>
  <c r="R150" i="2" s="1"/>
  <c r="T163" i="2"/>
  <c r="U687" i="1"/>
  <c r="U688" i="1"/>
  <c r="U690" i="1" s="1"/>
  <c r="T680" i="1"/>
  <c r="T684" i="1"/>
  <c r="T686" i="1" s="1"/>
  <c r="T689" i="1" s="1"/>
  <c r="V680" i="1"/>
  <c r="V682" i="1" s="1"/>
  <c r="V683" i="1" s="1"/>
  <c r="V684" i="1" s="1"/>
  <c r="V686" i="1" s="1"/>
  <c r="V687" i="1" s="1"/>
  <c r="S46" i="1" l="1"/>
  <c r="S48" i="1"/>
  <c r="S49" i="1" s="1"/>
  <c r="T50" i="1"/>
  <c r="T52" i="1"/>
  <c r="U48" i="1"/>
  <c r="U47" i="1" s="1"/>
  <c r="V45" i="1"/>
  <c r="V43" i="1"/>
  <c r="U46" i="1"/>
  <c r="U49" i="1" s="1"/>
  <c r="R149" i="2"/>
  <c r="R151" i="2" s="1"/>
  <c r="S152" i="2" s="1"/>
  <c r="R158" i="2"/>
  <c r="R159" i="2"/>
  <c r="R161" i="2" s="1"/>
  <c r="R176" i="2"/>
  <c r="R167" i="2"/>
  <c r="R168" i="2"/>
  <c r="T174" i="2"/>
  <c r="U693" i="1"/>
  <c r="U694" i="1" s="1"/>
  <c r="U695" i="1" s="1"/>
  <c r="U696" i="1" s="1"/>
  <c r="U698" i="1" s="1"/>
  <c r="V688" i="1"/>
  <c r="V690" i="1" s="1"/>
  <c r="V693" i="1" s="1"/>
  <c r="V689" i="1"/>
  <c r="T688" i="1"/>
  <c r="T690" i="1" s="1"/>
  <c r="T687" i="1"/>
  <c r="U692" i="1"/>
  <c r="T55" i="1" l="1"/>
  <c r="T53" i="1"/>
  <c r="S50" i="1"/>
  <c r="S52" i="1"/>
  <c r="S47" i="1"/>
  <c r="V48" i="1"/>
  <c r="V47" i="1" s="1"/>
  <c r="U50" i="1"/>
  <c r="U52" i="1"/>
  <c r="V46" i="1"/>
  <c r="R187" i="2"/>
  <c r="R178" i="2"/>
  <c r="R179" i="2"/>
  <c r="R160" i="2"/>
  <c r="R162" i="2" s="1"/>
  <c r="S163" i="2" s="1"/>
  <c r="R169" i="2"/>
  <c r="R170" i="2"/>
  <c r="R172" i="2" s="1"/>
  <c r="T185" i="2"/>
  <c r="T692" i="1"/>
  <c r="V692" i="1"/>
  <c r="V694" i="1" s="1"/>
  <c r="V695" i="1" s="1"/>
  <c r="V696" i="1" s="1"/>
  <c r="V698" i="1" s="1"/>
  <c r="T693" i="1"/>
  <c r="T694" i="1" s="1"/>
  <c r="T695" i="1" s="1"/>
  <c r="T696" i="1" s="1"/>
  <c r="T698" i="1" s="1"/>
  <c r="U699" i="1"/>
  <c r="U701" i="1"/>
  <c r="U700" i="1"/>
  <c r="V49" i="1" l="1"/>
  <c r="T58" i="1"/>
  <c r="S55" i="1"/>
  <c r="S53" i="1"/>
  <c r="T56" i="1"/>
  <c r="T57" i="1"/>
  <c r="T59" i="1"/>
  <c r="V50" i="1"/>
  <c r="V52" i="1"/>
  <c r="U55" i="1"/>
  <c r="U53" i="1"/>
  <c r="R189" i="2"/>
  <c r="R198" i="2"/>
  <c r="R190" i="2"/>
  <c r="R180" i="2"/>
  <c r="R181" i="2"/>
  <c r="R183" i="2" s="1"/>
  <c r="R171" i="2"/>
  <c r="R173" i="2" s="1"/>
  <c r="S174" i="2" s="1"/>
  <c r="T196" i="2"/>
  <c r="T700" i="1"/>
  <c r="U702" i="1"/>
  <c r="U704" i="1" s="1"/>
  <c r="V701" i="1"/>
  <c r="V700" i="1"/>
  <c r="V699" i="1"/>
  <c r="T60" i="1" l="1"/>
  <c r="T62" i="1"/>
  <c r="S56" i="1"/>
  <c r="S58" i="1"/>
  <c r="S59" i="1" s="1"/>
  <c r="U56" i="1"/>
  <c r="V55" i="1"/>
  <c r="V53" i="1"/>
  <c r="U58" i="1"/>
  <c r="U57" i="1" s="1"/>
  <c r="R191" i="2"/>
  <c r="R192" i="2"/>
  <c r="R194" i="2" s="1"/>
  <c r="R182" i="2"/>
  <c r="R184" i="2" s="1"/>
  <c r="S185" i="2" s="1"/>
  <c r="R200" i="2"/>
  <c r="R209" i="2"/>
  <c r="R201" i="2"/>
  <c r="T207" i="2"/>
  <c r="T701" i="1"/>
  <c r="T702" i="1" s="1"/>
  <c r="T699" i="1"/>
  <c r="U705" i="1"/>
  <c r="U706" i="1" s="1"/>
  <c r="U707" i="1" s="1"/>
  <c r="V702" i="1"/>
  <c r="V704" i="1" s="1"/>
  <c r="S57" i="1" l="1"/>
  <c r="S60" i="1"/>
  <c r="S62" i="1"/>
  <c r="T65" i="1"/>
  <c r="T63" i="1"/>
  <c r="V56" i="1"/>
  <c r="V58" i="1"/>
  <c r="V59" i="1" s="1"/>
  <c r="U59" i="1"/>
  <c r="R202" i="2"/>
  <c r="R204" i="2" s="1"/>
  <c r="R203" i="2"/>
  <c r="R205" i="2" s="1"/>
  <c r="R193" i="2"/>
  <c r="R195" i="2" s="1"/>
  <c r="S196" i="2" s="1"/>
  <c r="R220" i="2"/>
  <c r="R211" i="2"/>
  <c r="R212" i="2"/>
  <c r="T218" i="2"/>
  <c r="U708" i="1"/>
  <c r="U710" i="1" s="1"/>
  <c r="U711" i="1" s="1"/>
  <c r="T704" i="1"/>
  <c r="T705" i="1"/>
  <c r="T706" i="1" s="1"/>
  <c r="T707" i="1" s="1"/>
  <c r="T708" i="1" s="1"/>
  <c r="T710" i="1" s="1"/>
  <c r="V705" i="1"/>
  <c r="V706" i="1" s="1"/>
  <c r="V707" i="1" s="1"/>
  <c r="V708" i="1" s="1"/>
  <c r="V710" i="1" s="1"/>
  <c r="T66" i="1" l="1"/>
  <c r="T68" i="1"/>
  <c r="T69" i="1" s="1"/>
  <c r="S65" i="1"/>
  <c r="S68" i="1" s="1"/>
  <c r="S63" i="1"/>
  <c r="U60" i="1"/>
  <c r="U62" i="1"/>
  <c r="V57" i="1"/>
  <c r="V60" i="1"/>
  <c r="V62" i="1"/>
  <c r="R222" i="2"/>
  <c r="R231" i="2"/>
  <c r="R223" i="2"/>
  <c r="R206" i="2"/>
  <c r="S207" i="2" s="1"/>
  <c r="R213" i="2"/>
  <c r="R214" i="2"/>
  <c r="R216" i="2" s="1"/>
  <c r="T229" i="2"/>
  <c r="U713" i="1"/>
  <c r="U712" i="1"/>
  <c r="U714" i="1" s="1"/>
  <c r="U716" i="1" s="1"/>
  <c r="V713" i="1"/>
  <c r="T712" i="1"/>
  <c r="T70" i="1" l="1"/>
  <c r="T72" i="1"/>
  <c r="S66" i="1"/>
  <c r="S69" i="1" s="1"/>
  <c r="S67" i="1"/>
  <c r="T67" i="1"/>
  <c r="V65" i="1"/>
  <c r="V63" i="1"/>
  <c r="U63" i="1"/>
  <c r="U65" i="1"/>
  <c r="R224" i="2"/>
  <c r="R225" i="2"/>
  <c r="R227" i="2" s="1"/>
  <c r="R242" i="2"/>
  <c r="R233" i="2"/>
  <c r="R234" i="2"/>
  <c r="R215" i="2"/>
  <c r="R217" i="2" s="1"/>
  <c r="S218" i="2" s="1"/>
  <c r="T240" i="2"/>
  <c r="T711" i="1"/>
  <c r="V711" i="1"/>
  <c r="T713" i="1"/>
  <c r="T714" i="1" s="1"/>
  <c r="V712" i="1"/>
  <c r="V714" i="1" s="1"/>
  <c r="U717" i="1"/>
  <c r="U718" i="1" s="1"/>
  <c r="U719" i="1" s="1"/>
  <c r="U720" i="1" s="1"/>
  <c r="U722" i="1" s="1"/>
  <c r="U68" i="1" l="1"/>
  <c r="U67" i="1" s="1"/>
  <c r="S70" i="1"/>
  <c r="S72" i="1"/>
  <c r="T75" i="1"/>
  <c r="T73" i="1"/>
  <c r="U66" i="1"/>
  <c r="V66" i="1"/>
  <c r="V68" i="1"/>
  <c r="R226" i="2"/>
  <c r="R228" i="2" s="1"/>
  <c r="S229" i="2" s="1"/>
  <c r="R253" i="2"/>
  <c r="R244" i="2"/>
  <c r="R245" i="2"/>
  <c r="R235" i="2"/>
  <c r="R236" i="2"/>
  <c r="R238" i="2" s="1"/>
  <c r="T251" i="2"/>
  <c r="V716" i="1"/>
  <c r="T717" i="1"/>
  <c r="T718" i="1" s="1"/>
  <c r="T719" i="1" s="1"/>
  <c r="V717" i="1"/>
  <c r="T716" i="1"/>
  <c r="U725" i="1"/>
  <c r="U69" i="1" l="1"/>
  <c r="V69" i="1"/>
  <c r="T78" i="1"/>
  <c r="S75" i="1"/>
  <c r="S73" i="1"/>
  <c r="T76" i="1"/>
  <c r="T77" i="1"/>
  <c r="V67" i="1"/>
  <c r="V70" i="1"/>
  <c r="V72" i="1"/>
  <c r="U70" i="1"/>
  <c r="U72" i="1"/>
  <c r="V718" i="1"/>
  <c r="V719" i="1" s="1"/>
  <c r="V720" i="1" s="1"/>
  <c r="V722" i="1" s="1"/>
  <c r="V723" i="1" s="1"/>
  <c r="R255" i="2"/>
  <c r="R264" i="2"/>
  <c r="R256" i="2"/>
  <c r="R237" i="2"/>
  <c r="R239" i="2" s="1"/>
  <c r="S240" i="2" s="1"/>
  <c r="R246" i="2"/>
  <c r="R247" i="2"/>
  <c r="R249" i="2" s="1"/>
  <c r="T262" i="2"/>
  <c r="T720" i="1"/>
  <c r="T722" i="1" s="1"/>
  <c r="T724" i="1" s="1"/>
  <c r="U724" i="1"/>
  <c r="U726" i="1" s="1"/>
  <c r="U723" i="1"/>
  <c r="S76" i="1" l="1"/>
  <c r="S78" i="1"/>
  <c r="S79" i="1" s="1"/>
  <c r="T79" i="1"/>
  <c r="U75" i="1"/>
  <c r="U73" i="1"/>
  <c r="V75" i="1"/>
  <c r="V73" i="1"/>
  <c r="R257" i="2"/>
  <c r="R258" i="2"/>
  <c r="R260" i="2" s="1"/>
  <c r="R266" i="2"/>
  <c r="R275" i="2"/>
  <c r="R267" i="2"/>
  <c r="R248" i="2"/>
  <c r="R250" i="2" s="1"/>
  <c r="S251" i="2" s="1"/>
  <c r="T273" i="2"/>
  <c r="T723" i="1"/>
  <c r="T725" i="1"/>
  <c r="V724" i="1"/>
  <c r="V725" i="1"/>
  <c r="U729" i="1"/>
  <c r="U730" i="1" s="1"/>
  <c r="U731" i="1" s="1"/>
  <c r="U728" i="1"/>
  <c r="T726" i="1"/>
  <c r="T80" i="1" l="1"/>
  <c r="T82" i="1"/>
  <c r="S80" i="1"/>
  <c r="S82" i="1"/>
  <c r="S77" i="1"/>
  <c r="V76" i="1"/>
  <c r="V78" i="1"/>
  <c r="V79" i="1" s="1"/>
  <c r="U76" i="1"/>
  <c r="U78" i="1"/>
  <c r="R259" i="2"/>
  <c r="R261" i="2" s="1"/>
  <c r="S262" i="2" s="1"/>
  <c r="R268" i="2"/>
  <c r="R269" i="2"/>
  <c r="R271" i="2" s="1"/>
  <c r="R277" i="2"/>
  <c r="R286" i="2"/>
  <c r="R278" i="2"/>
  <c r="T284" i="2"/>
  <c r="T728" i="1"/>
  <c r="V726" i="1"/>
  <c r="V728" i="1" s="1"/>
  <c r="U732" i="1"/>
  <c r="U734" i="1" s="1"/>
  <c r="U735" i="1" s="1"/>
  <c r="T729" i="1"/>
  <c r="T730" i="1" s="1"/>
  <c r="T731" i="1" s="1"/>
  <c r="S83" i="1" l="1"/>
  <c r="S85" i="1"/>
  <c r="S88" i="1" s="1"/>
  <c r="T83" i="1"/>
  <c r="T85" i="1"/>
  <c r="T88" i="1" s="1"/>
  <c r="U79" i="1"/>
  <c r="U80" i="1"/>
  <c r="U82" i="1"/>
  <c r="U77" i="1"/>
  <c r="V77" i="1"/>
  <c r="V80" i="1"/>
  <c r="V82" i="1"/>
  <c r="R279" i="2"/>
  <c r="R280" i="2"/>
  <c r="R282" i="2" s="1"/>
  <c r="R270" i="2"/>
  <c r="R272" i="2" s="1"/>
  <c r="S273" i="2" s="1"/>
  <c r="R288" i="2"/>
  <c r="R297" i="2"/>
  <c r="R289" i="2"/>
  <c r="T295" i="2"/>
  <c r="U737" i="1"/>
  <c r="U736" i="1"/>
  <c r="U738" i="1" s="1"/>
  <c r="U740" i="1" s="1"/>
  <c r="V729" i="1"/>
  <c r="V730" i="1" s="1"/>
  <c r="V731" i="1" s="1"/>
  <c r="V732" i="1" s="1"/>
  <c r="V734" i="1" s="1"/>
  <c r="T732" i="1"/>
  <c r="T734" i="1" s="1"/>
  <c r="T736" i="1" s="1"/>
  <c r="T86" i="1" l="1"/>
  <c r="T89" i="1" s="1"/>
  <c r="T87" i="1"/>
  <c r="S87" i="1"/>
  <c r="S86" i="1"/>
  <c r="S89" i="1" s="1"/>
  <c r="V85" i="1"/>
  <c r="V83" i="1"/>
  <c r="U85" i="1"/>
  <c r="U83" i="1"/>
  <c r="R290" i="2"/>
  <c r="R291" i="2"/>
  <c r="R293" i="2" s="1"/>
  <c r="R281" i="2"/>
  <c r="R283" i="2" s="1"/>
  <c r="S284" i="2" s="1"/>
  <c r="R308" i="2"/>
  <c r="R299" i="2"/>
  <c r="R300" i="2"/>
  <c r="T306" i="2"/>
  <c r="T737" i="1"/>
  <c r="T735" i="1"/>
  <c r="V737" i="1"/>
  <c r="U741" i="1"/>
  <c r="U742" i="1" s="1"/>
  <c r="U743" i="1" s="1"/>
  <c r="T738" i="1"/>
  <c r="S90" i="1" l="1"/>
  <c r="S92" i="1"/>
  <c r="T90" i="1"/>
  <c r="T92" i="1"/>
  <c r="U88" i="1"/>
  <c r="U87" i="1" s="1"/>
  <c r="V86" i="1"/>
  <c r="U86" i="1"/>
  <c r="V88" i="1"/>
  <c r="V87" i="1" s="1"/>
  <c r="R319" i="2"/>
  <c r="R310" i="2"/>
  <c r="R311" i="2"/>
  <c r="R292" i="2"/>
  <c r="R294" i="2" s="1"/>
  <c r="S295" i="2" s="1"/>
  <c r="R301" i="2"/>
  <c r="R303" i="2" s="1"/>
  <c r="R302" i="2"/>
  <c r="R304" i="2" s="1"/>
  <c r="T317" i="2"/>
  <c r="T740" i="1"/>
  <c r="V736" i="1"/>
  <c r="V738" i="1" s="1"/>
  <c r="V735" i="1"/>
  <c r="U744" i="1"/>
  <c r="U746" i="1" s="1"/>
  <c r="U748" i="1" s="1"/>
  <c r="T741" i="1"/>
  <c r="T742" i="1" s="1"/>
  <c r="T743" i="1" s="1"/>
  <c r="S95" i="1" l="1"/>
  <c r="S93" i="1"/>
  <c r="T95" i="1"/>
  <c r="T93" i="1"/>
  <c r="U89" i="1"/>
  <c r="U90" i="1" s="1"/>
  <c r="V89" i="1"/>
  <c r="R321" i="2"/>
  <c r="R330" i="2"/>
  <c r="R322" i="2"/>
  <c r="R312" i="2"/>
  <c r="R313" i="2"/>
  <c r="R315" i="2" s="1"/>
  <c r="R305" i="2"/>
  <c r="S306" i="2" s="1"/>
  <c r="T328" i="2"/>
  <c r="U747" i="1"/>
  <c r="U749" i="1"/>
  <c r="V740" i="1"/>
  <c r="V741" i="1"/>
  <c r="T744" i="1"/>
  <c r="T746" i="1" s="1"/>
  <c r="T749" i="1" s="1"/>
  <c r="U750" i="1"/>
  <c r="T96" i="1" l="1"/>
  <c r="T98" i="1"/>
  <c r="T99" i="1" s="1"/>
  <c r="S98" i="1"/>
  <c r="S96" i="1"/>
  <c r="S99" i="1" s="1"/>
  <c r="S97" i="1"/>
  <c r="U92" i="1"/>
  <c r="U95" i="1" s="1"/>
  <c r="U93" i="1"/>
  <c r="U96" i="1" s="1"/>
  <c r="V90" i="1"/>
  <c r="V92" i="1"/>
  <c r="V742" i="1"/>
  <c r="V743" i="1" s="1"/>
  <c r="V744" i="1" s="1"/>
  <c r="V746" i="1" s="1"/>
  <c r="V749" i="1" s="1"/>
  <c r="R323" i="2"/>
  <c r="R324" i="2"/>
  <c r="R326" i="2" s="1"/>
  <c r="R314" i="2"/>
  <c r="R316" i="2" s="1"/>
  <c r="S317" i="2" s="1"/>
  <c r="R341" i="2"/>
  <c r="R332" i="2"/>
  <c r="R333" i="2"/>
  <c r="T339" i="2"/>
  <c r="U753" i="1"/>
  <c r="U754" i="1" s="1"/>
  <c r="U755" i="1" s="1"/>
  <c r="U756" i="1" s="1"/>
  <c r="U758" i="1" s="1"/>
  <c r="T747" i="1"/>
  <c r="T748" i="1"/>
  <c r="T750" i="1" s="1"/>
  <c r="U752" i="1"/>
  <c r="S100" i="1" l="1"/>
  <c r="S102" i="1"/>
  <c r="T100" i="1"/>
  <c r="T102" i="1"/>
  <c r="T97" i="1"/>
  <c r="V95" i="1"/>
  <c r="V93" i="1"/>
  <c r="U98" i="1"/>
  <c r="R343" i="2"/>
  <c r="R352" i="2"/>
  <c r="R344" i="2"/>
  <c r="R325" i="2"/>
  <c r="R327" i="2" s="1"/>
  <c r="S328" i="2" s="1"/>
  <c r="R334" i="2"/>
  <c r="R335" i="2"/>
  <c r="R337" i="2" s="1"/>
  <c r="T350" i="2"/>
  <c r="T752" i="1"/>
  <c r="V748" i="1"/>
  <c r="V750" i="1" s="1"/>
  <c r="V747" i="1"/>
  <c r="T753" i="1"/>
  <c r="T754" i="1" s="1"/>
  <c r="T755" i="1" s="1"/>
  <c r="U759" i="1"/>
  <c r="U761" i="1"/>
  <c r="U760" i="1"/>
  <c r="S105" i="1" l="1"/>
  <c r="S103" i="1"/>
  <c r="T105" i="1"/>
  <c r="T103" i="1"/>
  <c r="V98" i="1"/>
  <c r="V97" i="1" s="1"/>
  <c r="U97" i="1"/>
  <c r="U99" i="1"/>
  <c r="V96" i="1"/>
  <c r="V99" i="1" s="1"/>
  <c r="R345" i="2"/>
  <c r="R346" i="2"/>
  <c r="R348" i="2" s="1"/>
  <c r="R354" i="2"/>
  <c r="R363" i="2"/>
  <c r="R355" i="2"/>
  <c r="R336" i="2"/>
  <c r="R338" i="2" s="1"/>
  <c r="S339" i="2" s="1"/>
  <c r="T361" i="2"/>
  <c r="V752" i="1"/>
  <c r="V753" i="1"/>
  <c r="T756" i="1"/>
  <c r="T758" i="1" s="1"/>
  <c r="T760" i="1" s="1"/>
  <c r="U762" i="1"/>
  <c r="U764" i="1" s="1"/>
  <c r="T106" i="1" l="1"/>
  <c r="T108" i="1"/>
  <c r="T109" i="1" s="1"/>
  <c r="S108" i="1"/>
  <c r="S106" i="1"/>
  <c r="S109" i="1" s="1"/>
  <c r="S107" i="1"/>
  <c r="U100" i="1"/>
  <c r="U102" i="1"/>
  <c r="V100" i="1"/>
  <c r="V102" i="1"/>
  <c r="V754" i="1"/>
  <c r="V755" i="1" s="1"/>
  <c r="V756" i="1" s="1"/>
  <c r="V758" i="1" s="1"/>
  <c r="V761" i="1" s="1"/>
  <c r="R347" i="2"/>
  <c r="R349" i="2" s="1"/>
  <c r="S350" i="2" s="1"/>
  <c r="R356" i="2"/>
  <c r="R357" i="2"/>
  <c r="R359" i="2" s="1"/>
  <c r="R374" i="2"/>
  <c r="R365" i="2"/>
  <c r="R366" i="2"/>
  <c r="T372" i="2"/>
  <c r="T759" i="1"/>
  <c r="T761" i="1"/>
  <c r="T762" i="1"/>
  <c r="U765" i="1"/>
  <c r="U766" i="1" s="1"/>
  <c r="U767" i="1" s="1"/>
  <c r="S110" i="1" l="1"/>
  <c r="S112" i="1"/>
  <c r="T110" i="1"/>
  <c r="T112" i="1"/>
  <c r="T107" i="1"/>
  <c r="V105" i="1"/>
  <c r="V103" i="1"/>
  <c r="U105" i="1"/>
  <c r="U103" i="1"/>
  <c r="R385" i="2"/>
  <c r="R376" i="2"/>
  <c r="R377" i="2"/>
  <c r="R358" i="2"/>
  <c r="R360" i="2" s="1"/>
  <c r="S361" i="2" s="1"/>
  <c r="R367" i="2"/>
  <c r="R368" i="2"/>
  <c r="R370" i="2" s="1"/>
  <c r="T383" i="2"/>
  <c r="V759" i="1"/>
  <c r="V760" i="1"/>
  <c r="V762" i="1" s="1"/>
  <c r="T765" i="1"/>
  <c r="T766" i="1" s="1"/>
  <c r="T767" i="1" s="1"/>
  <c r="T768" i="1" s="1"/>
  <c r="T770" i="1" s="1"/>
  <c r="T764" i="1"/>
  <c r="U768" i="1"/>
  <c r="U770" i="1" s="1"/>
  <c r="U772" i="1" s="1"/>
  <c r="T115" i="1" l="1"/>
  <c r="T113" i="1"/>
  <c r="S115" i="1"/>
  <c r="S113" i="1"/>
  <c r="V108" i="1"/>
  <c r="V107" i="1" s="1"/>
  <c r="U106" i="1"/>
  <c r="U108" i="1"/>
  <c r="V106" i="1"/>
  <c r="V109" i="1" s="1"/>
  <c r="V112" i="1" s="1"/>
  <c r="R387" i="2"/>
  <c r="R396" i="2"/>
  <c r="R388" i="2"/>
  <c r="R378" i="2"/>
  <c r="R379" i="2"/>
  <c r="R381" i="2" s="1"/>
  <c r="R369" i="2"/>
  <c r="R371" i="2" s="1"/>
  <c r="S372" i="2" s="1"/>
  <c r="T394" i="2"/>
  <c r="V765" i="1"/>
  <c r="V764" i="1"/>
  <c r="U771" i="1"/>
  <c r="U773" i="1"/>
  <c r="U774" i="1"/>
  <c r="T773" i="1"/>
  <c r="T772" i="1"/>
  <c r="T771" i="1"/>
  <c r="S118" i="1" l="1"/>
  <c r="S117" i="1"/>
  <c r="S116" i="1"/>
  <c r="S119" i="1" s="1"/>
  <c r="T116" i="1"/>
  <c r="V115" i="1"/>
  <c r="V113" i="1"/>
  <c r="T118" i="1"/>
  <c r="T117" i="1" s="1"/>
  <c r="V110" i="1"/>
  <c r="U109" i="1"/>
  <c r="U112" i="1" s="1"/>
  <c r="U107" i="1"/>
  <c r="V766" i="1"/>
  <c r="V767" i="1" s="1"/>
  <c r="V768" i="1" s="1"/>
  <c r="V770" i="1" s="1"/>
  <c r="V773" i="1" s="1"/>
  <c r="R389" i="2"/>
  <c r="R390" i="2"/>
  <c r="R392" i="2" s="1"/>
  <c r="R407" i="2"/>
  <c r="R398" i="2"/>
  <c r="R399" i="2"/>
  <c r="R380" i="2"/>
  <c r="R382" i="2" s="1"/>
  <c r="S383" i="2" s="1"/>
  <c r="T405" i="2"/>
  <c r="U777" i="1"/>
  <c r="U778" i="1" s="1"/>
  <c r="U779" i="1" s="1"/>
  <c r="U780" i="1" s="1"/>
  <c r="U782" i="1" s="1"/>
  <c r="U776" i="1"/>
  <c r="T774" i="1"/>
  <c r="T776" i="1" s="1"/>
  <c r="V118" i="1" l="1"/>
  <c r="T119" i="1"/>
  <c r="S120" i="1"/>
  <c r="S122" i="1"/>
  <c r="V117" i="1"/>
  <c r="V116" i="1"/>
  <c r="V119" i="1" s="1"/>
  <c r="U115" i="1"/>
  <c r="U118" i="1" s="1"/>
  <c r="U113" i="1"/>
  <c r="U110" i="1"/>
  <c r="V771" i="1"/>
  <c r="V772" i="1"/>
  <c r="V774" i="1" s="1"/>
  <c r="R391" i="2"/>
  <c r="R393" i="2" s="1"/>
  <c r="S394" i="2" s="1"/>
  <c r="R418" i="2"/>
  <c r="R409" i="2"/>
  <c r="R410" i="2"/>
  <c r="R400" i="2"/>
  <c r="R401" i="2"/>
  <c r="R403" i="2" s="1"/>
  <c r="T416" i="2"/>
  <c r="T777" i="1"/>
  <c r="T778" i="1" s="1"/>
  <c r="T779" i="1" s="1"/>
  <c r="T780" i="1" s="1"/>
  <c r="T782" i="1" s="1"/>
  <c r="U785" i="1"/>
  <c r="U784" i="1"/>
  <c r="U783" i="1"/>
  <c r="V120" i="1" l="1"/>
  <c r="V122" i="1"/>
  <c r="U116" i="1"/>
  <c r="U119" i="1" s="1"/>
  <c r="U117" i="1"/>
  <c r="S123" i="1"/>
  <c r="S125" i="1"/>
  <c r="S128" i="1" s="1"/>
  <c r="T120" i="1"/>
  <c r="T122" i="1"/>
  <c r="V776" i="1"/>
  <c r="V777" i="1"/>
  <c r="R402" i="2"/>
  <c r="R404" i="2" s="1"/>
  <c r="S405" i="2" s="1"/>
  <c r="R429" i="2"/>
  <c r="R420" i="2"/>
  <c r="R421" i="2"/>
  <c r="R411" i="2"/>
  <c r="R412" i="2"/>
  <c r="R414" i="2" s="1"/>
  <c r="T427" i="2"/>
  <c r="T785" i="1"/>
  <c r="U786" i="1"/>
  <c r="U788" i="1" s="1"/>
  <c r="T123" i="1" l="1"/>
  <c r="T125" i="1"/>
  <c r="T128" i="1" s="1"/>
  <c r="S127" i="1"/>
  <c r="S126" i="1"/>
  <c r="S129" i="1" s="1"/>
  <c r="V125" i="1"/>
  <c r="V123" i="1"/>
  <c r="U120" i="1"/>
  <c r="U122" i="1"/>
  <c r="V778" i="1"/>
  <c r="V779" i="1" s="1"/>
  <c r="V780" i="1" s="1"/>
  <c r="V782" i="1" s="1"/>
  <c r="V785" i="1" s="1"/>
  <c r="R440" i="2"/>
  <c r="R431" i="2"/>
  <c r="R432" i="2"/>
  <c r="R413" i="2"/>
  <c r="R415" i="2" s="1"/>
  <c r="S416" i="2" s="1"/>
  <c r="R422" i="2"/>
  <c r="R423" i="2"/>
  <c r="R425" i="2" s="1"/>
  <c r="T438" i="2"/>
  <c r="T784" i="1"/>
  <c r="T786" i="1" s="1"/>
  <c r="T783" i="1"/>
  <c r="U789" i="1"/>
  <c r="U790" i="1" s="1"/>
  <c r="U791" i="1" s="1"/>
  <c r="U792" i="1" s="1"/>
  <c r="U794" i="1" s="1"/>
  <c r="S130" i="1" l="1"/>
  <c r="S132" i="1"/>
  <c r="V126" i="1"/>
  <c r="U125" i="1"/>
  <c r="U123" i="1"/>
  <c r="V128" i="1"/>
  <c r="V127" i="1" s="1"/>
  <c r="T129" i="1"/>
  <c r="T127" i="1"/>
  <c r="T126" i="1"/>
  <c r="V783" i="1"/>
  <c r="V784" i="1"/>
  <c r="V786" i="1" s="1"/>
  <c r="R451" i="2"/>
  <c r="R442" i="2"/>
  <c r="R443" i="2"/>
  <c r="R433" i="2"/>
  <c r="R434" i="2"/>
  <c r="R436" i="2" s="1"/>
  <c r="R424" i="2"/>
  <c r="R426" i="2" s="1"/>
  <c r="S427" i="2" s="1"/>
  <c r="T449" i="2"/>
  <c r="T788" i="1"/>
  <c r="T789" i="1"/>
  <c r="T790" i="1" s="1"/>
  <c r="T791" i="1" s="1"/>
  <c r="T130" i="1" l="1"/>
  <c r="T132" i="1"/>
  <c r="V129" i="1"/>
  <c r="U126" i="1"/>
  <c r="U128" i="1"/>
  <c r="U127" i="1" s="1"/>
  <c r="S135" i="1"/>
  <c r="S133" i="1"/>
  <c r="V789" i="1"/>
  <c r="V788" i="1"/>
  <c r="R435" i="2"/>
  <c r="R437" i="2" s="1"/>
  <c r="S438" i="2" s="1"/>
  <c r="R453" i="2"/>
  <c r="R462" i="2"/>
  <c r="R454" i="2"/>
  <c r="R444" i="2"/>
  <c r="R445" i="2"/>
  <c r="R447" i="2" s="1"/>
  <c r="T460" i="2"/>
  <c r="U797" i="1"/>
  <c r="U795" i="1"/>
  <c r="F25" i="1" s="1"/>
  <c r="F26" i="1" s="1"/>
  <c r="Q15" i="6" s="1"/>
  <c r="U796" i="1"/>
  <c r="U798" i="1" s="1"/>
  <c r="T792" i="1"/>
  <c r="T794" i="1" s="1"/>
  <c r="T796" i="1" s="1"/>
  <c r="S136" i="1" l="1"/>
  <c r="S138" i="1"/>
  <c r="S139" i="1" s="1"/>
  <c r="U129" i="1"/>
  <c r="V130" i="1"/>
  <c r="V132" i="1"/>
  <c r="T135" i="1"/>
  <c r="T133" i="1"/>
  <c r="E30" i="6"/>
  <c r="E32" i="6"/>
  <c r="E40" i="6"/>
  <c r="E34" i="6"/>
  <c r="E36" i="6"/>
  <c r="E38" i="6"/>
  <c r="V790" i="1"/>
  <c r="V791" i="1" s="1"/>
  <c r="V792" i="1" s="1"/>
  <c r="V794" i="1" s="1"/>
  <c r="V797" i="1" s="1"/>
  <c r="R455" i="2"/>
  <c r="R456" i="2"/>
  <c r="R458" i="2" s="1"/>
  <c r="R446" i="2"/>
  <c r="R448" i="2" s="1"/>
  <c r="S449" i="2" s="1"/>
  <c r="R473" i="2"/>
  <c r="R464" i="2"/>
  <c r="R465" i="2"/>
  <c r="T471" i="2"/>
  <c r="T795" i="1"/>
  <c r="E25" i="1" s="1"/>
  <c r="E26" i="1" s="1"/>
  <c r="P15" i="6" s="1"/>
  <c r="T797" i="1"/>
  <c r="U800" i="1"/>
  <c r="U801" i="1"/>
  <c r="U802" i="1" s="1"/>
  <c r="U803" i="1" s="1"/>
  <c r="U804" i="1" s="1"/>
  <c r="T798" i="1"/>
  <c r="T136" i="1" l="1"/>
  <c r="T138" i="1"/>
  <c r="T137" i="1" s="1"/>
  <c r="V135" i="1"/>
  <c r="V133" i="1"/>
  <c r="U130" i="1"/>
  <c r="U132" i="1"/>
  <c r="S142" i="1"/>
  <c r="S140" i="1"/>
  <c r="S137" i="1"/>
  <c r="D32" i="6"/>
  <c r="D30" i="6"/>
  <c r="D40" i="6"/>
  <c r="D34" i="6"/>
  <c r="D36" i="6"/>
  <c r="D38" i="6"/>
  <c r="V795" i="1"/>
  <c r="V807" i="1" s="1"/>
  <c r="G25" i="1" s="1"/>
  <c r="G26" i="1" s="1"/>
  <c r="R15" i="6" s="1"/>
  <c r="V796" i="1"/>
  <c r="V798" i="1" s="1"/>
  <c r="R484" i="2"/>
  <c r="R475" i="2"/>
  <c r="R476" i="2"/>
  <c r="R457" i="2"/>
  <c r="R459" i="2" s="1"/>
  <c r="S460" i="2" s="1"/>
  <c r="R466" i="2"/>
  <c r="R468" i="2" s="1"/>
  <c r="R467" i="2"/>
  <c r="R469" i="2" s="1"/>
  <c r="T482" i="2"/>
  <c r="F27" i="1"/>
  <c r="T800" i="1"/>
  <c r="T801" i="1"/>
  <c r="T802" i="1" s="1"/>
  <c r="T803" i="1" s="1"/>
  <c r="T804" i="1" s="1"/>
  <c r="V136" i="1" l="1"/>
  <c r="V138" i="1"/>
  <c r="V139" i="1" s="1"/>
  <c r="U135" i="1"/>
  <c r="U133" i="1"/>
  <c r="S143" i="1"/>
  <c r="S145" i="1"/>
  <c r="S148" i="1" s="1"/>
  <c r="T139" i="1"/>
  <c r="F32" i="6"/>
  <c r="F30" i="6"/>
  <c r="F40" i="6"/>
  <c r="F34" i="6"/>
  <c r="F38" i="6"/>
  <c r="F36" i="6"/>
  <c r="V800" i="1"/>
  <c r="V801" i="1"/>
  <c r="V802" i="1" s="1"/>
  <c r="V803" i="1" s="1"/>
  <c r="G27" i="1" s="1"/>
  <c r="R470" i="2"/>
  <c r="S471" i="2" s="1"/>
  <c r="R495" i="2"/>
  <c r="R486" i="2"/>
  <c r="R487" i="2"/>
  <c r="R477" i="2"/>
  <c r="R478" i="2"/>
  <c r="R480" i="2" s="1"/>
  <c r="T493" i="2"/>
  <c r="E27" i="1"/>
  <c r="U136" i="1" l="1"/>
  <c r="S146" i="1"/>
  <c r="S149" i="1" s="1"/>
  <c r="S147" i="1"/>
  <c r="U138" i="1"/>
  <c r="V142" i="1"/>
  <c r="V140" i="1"/>
  <c r="V137" i="1"/>
  <c r="T142" i="1"/>
  <c r="T140" i="1"/>
  <c r="V804" i="1"/>
  <c r="R506" i="2"/>
  <c r="R497" i="2"/>
  <c r="R498" i="2"/>
  <c r="R479" i="2"/>
  <c r="R481" i="2" s="1"/>
  <c r="S482" i="2" s="1"/>
  <c r="R488" i="2"/>
  <c r="R489" i="2"/>
  <c r="R491" i="2" s="1"/>
  <c r="T504" i="2"/>
  <c r="U139" i="1" l="1"/>
  <c r="U142" i="1" s="1"/>
  <c r="V143" i="1"/>
  <c r="V145" i="1"/>
  <c r="V148" i="1" s="1"/>
  <c r="S152" i="1"/>
  <c r="S150" i="1"/>
  <c r="U137" i="1"/>
  <c r="T143" i="1"/>
  <c r="T145" i="1"/>
  <c r="R517" i="2"/>
  <c r="R508" i="2"/>
  <c r="R509" i="2"/>
  <c r="R499" i="2"/>
  <c r="R500" i="2"/>
  <c r="R502" i="2" s="1"/>
  <c r="R490" i="2"/>
  <c r="R492" i="2" s="1"/>
  <c r="S493" i="2" s="1"/>
  <c r="T515" i="2"/>
  <c r="U140" i="1" l="1"/>
  <c r="T148" i="1"/>
  <c r="S155" i="1"/>
  <c r="S153" i="1"/>
  <c r="U143" i="1"/>
  <c r="U145" i="1"/>
  <c r="U148" i="1" s="1"/>
  <c r="T147" i="1"/>
  <c r="T146" i="1"/>
  <c r="T149" i="1" s="1"/>
  <c r="V146" i="1"/>
  <c r="V149" i="1" s="1"/>
  <c r="V147" i="1"/>
  <c r="R501" i="2"/>
  <c r="R503" i="2" s="1"/>
  <c r="S504" i="2" s="1"/>
  <c r="R519" i="2"/>
  <c r="R528" i="2"/>
  <c r="R520" i="2"/>
  <c r="R510" i="2"/>
  <c r="R511" i="2"/>
  <c r="R513" i="2" s="1"/>
  <c r="T526" i="2"/>
  <c r="U147" i="1" l="1"/>
  <c r="U146" i="1"/>
  <c r="U149" i="1" s="1"/>
  <c r="S157" i="1"/>
  <c r="S156" i="1"/>
  <c r="S159" i="1" s="1"/>
  <c r="T152" i="1"/>
  <c r="T150" i="1"/>
  <c r="V152" i="1"/>
  <c r="V150" i="1"/>
  <c r="S158" i="1"/>
  <c r="R521" i="2"/>
  <c r="R522" i="2"/>
  <c r="R524" i="2" s="1"/>
  <c r="R512" i="2"/>
  <c r="R514" i="2" s="1"/>
  <c r="S515" i="2" s="1"/>
  <c r="R539" i="2"/>
  <c r="R530" i="2"/>
  <c r="R531" i="2"/>
  <c r="T537" i="2"/>
  <c r="U152" i="1" l="1"/>
  <c r="U150" i="1"/>
  <c r="V153" i="1"/>
  <c r="V155" i="1"/>
  <c r="V158" i="1" s="1"/>
  <c r="S162" i="1"/>
  <c r="S160" i="1"/>
  <c r="T155" i="1"/>
  <c r="T158" i="1" s="1"/>
  <c r="T153" i="1"/>
  <c r="R541" i="2"/>
  <c r="R550" i="2"/>
  <c r="R542" i="2"/>
  <c r="R523" i="2"/>
  <c r="R525" i="2" s="1"/>
  <c r="S526" i="2" s="1"/>
  <c r="R532" i="2"/>
  <c r="R533" i="2"/>
  <c r="R535" i="2" s="1"/>
  <c r="T548" i="2"/>
  <c r="S163" i="1" l="1"/>
  <c r="S165" i="1"/>
  <c r="S168" i="1" s="1"/>
  <c r="V156" i="1"/>
  <c r="V159" i="1" s="1"/>
  <c r="V157" i="1"/>
  <c r="T157" i="1"/>
  <c r="T156" i="1"/>
  <c r="T159" i="1" s="1"/>
  <c r="U155" i="1"/>
  <c r="U153" i="1"/>
  <c r="R543" i="2"/>
  <c r="R544" i="2"/>
  <c r="R546" i="2" s="1"/>
  <c r="R552" i="2"/>
  <c r="R561" i="2"/>
  <c r="R553" i="2"/>
  <c r="R534" i="2"/>
  <c r="R536" i="2" s="1"/>
  <c r="S537" i="2" s="1"/>
  <c r="T559" i="2"/>
  <c r="U158" i="1" l="1"/>
  <c r="V162" i="1"/>
  <c r="V160" i="1"/>
  <c r="T162" i="1"/>
  <c r="T160" i="1"/>
  <c r="U156" i="1"/>
  <c r="U159" i="1" s="1"/>
  <c r="U157" i="1"/>
  <c r="S166" i="1"/>
  <c r="S169" i="1" s="1"/>
  <c r="S167" i="1"/>
  <c r="R545" i="2"/>
  <c r="R547" i="2" s="1"/>
  <c r="S548" i="2" s="1"/>
  <c r="R554" i="2"/>
  <c r="R556" i="2" s="1"/>
  <c r="R555" i="2"/>
  <c r="R557" i="2" s="1"/>
  <c r="R572" i="2"/>
  <c r="R563" i="2"/>
  <c r="R564" i="2"/>
  <c r="T570" i="2"/>
  <c r="U162" i="1" l="1"/>
  <c r="U160" i="1"/>
  <c r="T163" i="1"/>
  <c r="T165" i="1"/>
  <c r="T168" i="1" s="1"/>
  <c r="S172" i="1"/>
  <c r="S170" i="1"/>
  <c r="V163" i="1"/>
  <c r="V165" i="1"/>
  <c r="R558" i="2"/>
  <c r="S559" i="2" s="1"/>
  <c r="R583" i="2"/>
  <c r="R574" i="2"/>
  <c r="R575" i="2"/>
  <c r="R565" i="2"/>
  <c r="R566" i="2"/>
  <c r="R568" i="2" s="1"/>
  <c r="T581" i="2"/>
  <c r="T166" i="1" l="1"/>
  <c r="T169" i="1" s="1"/>
  <c r="T167" i="1"/>
  <c r="V166" i="1"/>
  <c r="S173" i="1"/>
  <c r="S175" i="1"/>
  <c r="S178" i="1" s="1"/>
  <c r="V168" i="1"/>
  <c r="V169" i="1" s="1"/>
  <c r="U163" i="1"/>
  <c r="U165" i="1"/>
  <c r="U168" i="1" s="1"/>
  <c r="R567" i="2"/>
  <c r="R569" i="2" s="1"/>
  <c r="S570" i="2" s="1"/>
  <c r="R585" i="2"/>
  <c r="R594" i="2"/>
  <c r="R586" i="2"/>
  <c r="R576" i="2"/>
  <c r="R577" i="2"/>
  <c r="R579" i="2" s="1"/>
  <c r="T592" i="2"/>
  <c r="S176" i="1" l="1"/>
  <c r="S179" i="1" s="1"/>
  <c r="S177" i="1"/>
  <c r="V167" i="1"/>
  <c r="V172" i="1"/>
  <c r="V170" i="1"/>
  <c r="U166" i="1"/>
  <c r="U169" i="1" s="1"/>
  <c r="U167" i="1"/>
  <c r="T172" i="1"/>
  <c r="T170" i="1"/>
  <c r="R587" i="2"/>
  <c r="R588" i="2"/>
  <c r="R590" i="2" s="1"/>
  <c r="R578" i="2"/>
  <c r="R580" i="2" s="1"/>
  <c r="S581" i="2" s="1"/>
  <c r="R605" i="2"/>
  <c r="R596" i="2"/>
  <c r="R597" i="2"/>
  <c r="T603" i="2"/>
  <c r="U172" i="1" l="1"/>
  <c r="U170" i="1"/>
  <c r="T173" i="1"/>
  <c r="T175" i="1"/>
  <c r="T178" i="1" s="1"/>
  <c r="V173" i="1"/>
  <c r="V175" i="1"/>
  <c r="V178" i="1" s="1"/>
  <c r="S182" i="1"/>
  <c r="S180" i="1"/>
  <c r="R616" i="2"/>
  <c r="R607" i="2"/>
  <c r="R608" i="2"/>
  <c r="R589" i="2"/>
  <c r="R591" i="2" s="1"/>
  <c r="S592" i="2" s="1"/>
  <c r="R598" i="2"/>
  <c r="R599" i="2"/>
  <c r="R601" i="2" s="1"/>
  <c r="T614" i="2"/>
  <c r="V177" i="1" l="1"/>
  <c r="V176" i="1"/>
  <c r="V179" i="1" s="1"/>
  <c r="T177" i="1"/>
  <c r="T176" i="1"/>
  <c r="T179" i="1" s="1"/>
  <c r="S183" i="1"/>
  <c r="S185" i="1"/>
  <c r="S188" i="1" s="1"/>
  <c r="U175" i="1"/>
  <c r="U173" i="1"/>
  <c r="R618" i="2"/>
  <c r="R627" i="2"/>
  <c r="R619" i="2"/>
  <c r="R609" i="2"/>
  <c r="R611" i="2" s="1"/>
  <c r="R610" i="2"/>
  <c r="R612" i="2" s="1"/>
  <c r="R600" i="2"/>
  <c r="R602" i="2" s="1"/>
  <c r="S603" i="2" s="1"/>
  <c r="T625" i="2"/>
  <c r="U178" i="1" l="1"/>
  <c r="S187" i="1"/>
  <c r="S186" i="1"/>
  <c r="S189" i="1" s="1"/>
  <c r="T182" i="1"/>
  <c r="T180" i="1"/>
  <c r="V182" i="1"/>
  <c r="V180" i="1"/>
  <c r="U176" i="1"/>
  <c r="U179" i="1" s="1"/>
  <c r="U177" i="1"/>
  <c r="R613" i="2"/>
  <c r="S614" i="2" s="1"/>
  <c r="R620" i="2"/>
  <c r="R621" i="2"/>
  <c r="R623" i="2" s="1"/>
  <c r="R638" i="2"/>
  <c r="R629" i="2"/>
  <c r="R630" i="2"/>
  <c r="T636" i="2"/>
  <c r="U182" i="1" l="1"/>
  <c r="U180" i="1"/>
  <c r="S192" i="1"/>
  <c r="S190" i="1"/>
  <c r="V183" i="1"/>
  <c r="V185" i="1"/>
  <c r="V188" i="1" s="1"/>
  <c r="T183" i="1"/>
  <c r="T185" i="1"/>
  <c r="R649" i="2"/>
  <c r="R640" i="2"/>
  <c r="R641" i="2"/>
  <c r="R622" i="2"/>
  <c r="R624" i="2" s="1"/>
  <c r="S625" i="2" s="1"/>
  <c r="R631" i="2"/>
  <c r="R632" i="2"/>
  <c r="R634" i="2" s="1"/>
  <c r="T647" i="2"/>
  <c r="T186" i="1" l="1"/>
  <c r="V187" i="1"/>
  <c r="V186" i="1"/>
  <c r="V189" i="1" s="1"/>
  <c r="S193" i="1"/>
  <c r="S195" i="1"/>
  <c r="S198" i="1" s="1"/>
  <c r="T188" i="1"/>
  <c r="T189" i="1" s="1"/>
  <c r="U183" i="1"/>
  <c r="U185" i="1"/>
  <c r="U188" i="1" s="1"/>
  <c r="R642" i="2"/>
  <c r="R644" i="2" s="1"/>
  <c r="R643" i="2"/>
  <c r="R645" i="2" s="1"/>
  <c r="R633" i="2"/>
  <c r="R635" i="2" s="1"/>
  <c r="S636" i="2" s="1"/>
  <c r="R660" i="2"/>
  <c r="R651" i="2"/>
  <c r="R652" i="2"/>
  <c r="T658" i="2"/>
  <c r="T192" i="1" l="1"/>
  <c r="T190" i="1"/>
  <c r="S197" i="1"/>
  <c r="S196" i="1"/>
  <c r="S199" i="1" s="1"/>
  <c r="V192" i="1"/>
  <c r="V190" i="1"/>
  <c r="U189" i="1"/>
  <c r="T187" i="1"/>
  <c r="U186" i="1"/>
  <c r="U187" i="1"/>
  <c r="R646" i="2"/>
  <c r="S647" i="2" s="1"/>
  <c r="R662" i="2"/>
  <c r="R671" i="2"/>
  <c r="R663" i="2"/>
  <c r="R653" i="2"/>
  <c r="R654" i="2"/>
  <c r="R656" i="2" s="1"/>
  <c r="T669" i="2"/>
  <c r="U192" i="1" l="1"/>
  <c r="U190" i="1"/>
  <c r="S202" i="1"/>
  <c r="S200" i="1"/>
  <c r="V193" i="1"/>
  <c r="V195" i="1"/>
  <c r="V198" i="1" s="1"/>
  <c r="T195" i="1"/>
  <c r="T193" i="1"/>
  <c r="R655" i="2"/>
  <c r="R657" i="2" s="1"/>
  <c r="S658" i="2" s="1"/>
  <c r="R664" i="2"/>
  <c r="R666" i="2" s="1"/>
  <c r="R665" i="2"/>
  <c r="R667" i="2" s="1"/>
  <c r="R673" i="2"/>
  <c r="R682" i="2"/>
  <c r="R674" i="2"/>
  <c r="T680" i="2"/>
  <c r="T198" i="1" l="1"/>
  <c r="V196" i="1"/>
  <c r="V199" i="1" s="1"/>
  <c r="V197" i="1"/>
  <c r="S203" i="1"/>
  <c r="S205" i="1"/>
  <c r="S208" i="1" s="1"/>
  <c r="T197" i="1"/>
  <c r="T196" i="1"/>
  <c r="T199" i="1" s="1"/>
  <c r="U195" i="1"/>
  <c r="U193" i="1"/>
  <c r="R668" i="2"/>
  <c r="S669" i="2" s="1"/>
  <c r="R675" i="2"/>
  <c r="R676" i="2"/>
  <c r="R678" i="2" s="1"/>
  <c r="R693" i="2"/>
  <c r="R684" i="2"/>
  <c r="R685" i="2"/>
  <c r="T691" i="2"/>
  <c r="T202" i="1" l="1"/>
  <c r="T200" i="1"/>
  <c r="S206" i="1"/>
  <c r="S209" i="1" s="1"/>
  <c r="S207" i="1"/>
  <c r="U197" i="1"/>
  <c r="U196" i="1"/>
  <c r="U199" i="1" s="1"/>
  <c r="V202" i="1"/>
  <c r="V200" i="1"/>
  <c r="U198" i="1"/>
  <c r="R704" i="2"/>
  <c r="R695" i="2"/>
  <c r="R696" i="2"/>
  <c r="R677" i="2"/>
  <c r="R679" i="2" s="1"/>
  <c r="S680" i="2" s="1"/>
  <c r="R686" i="2"/>
  <c r="R687" i="2"/>
  <c r="R689" i="2" s="1"/>
  <c r="T702" i="2"/>
  <c r="U202" i="1" l="1"/>
  <c r="U200" i="1"/>
  <c r="V203" i="1"/>
  <c r="V205" i="1"/>
  <c r="V208" i="1" s="1"/>
  <c r="S212" i="1"/>
  <c r="S210" i="1"/>
  <c r="T203" i="1"/>
  <c r="T205" i="1"/>
  <c r="R697" i="2"/>
  <c r="R699" i="2" s="1"/>
  <c r="R698" i="2"/>
  <c r="R700" i="2" s="1"/>
  <c r="R715" i="2"/>
  <c r="R706" i="2"/>
  <c r="R707" i="2"/>
  <c r="R688" i="2"/>
  <c r="R690" i="2" s="1"/>
  <c r="S691" i="2" s="1"/>
  <c r="T713" i="2"/>
  <c r="T206" i="1" l="1"/>
  <c r="S215" i="1"/>
  <c r="S218" i="1" s="1"/>
  <c r="S213" i="1"/>
  <c r="V206" i="1"/>
  <c r="V209" i="1" s="1"/>
  <c r="V207" i="1"/>
  <c r="T208" i="1"/>
  <c r="T209" i="1" s="1"/>
  <c r="U205" i="1"/>
  <c r="U203" i="1"/>
  <c r="R701" i="2"/>
  <c r="S702" i="2" s="1"/>
  <c r="R717" i="2"/>
  <c r="R726" i="2"/>
  <c r="R718" i="2"/>
  <c r="R708" i="2"/>
  <c r="R709" i="2"/>
  <c r="R711" i="2" s="1"/>
  <c r="T724" i="2"/>
  <c r="T212" i="1" l="1"/>
  <c r="T210" i="1"/>
  <c r="V212" i="1"/>
  <c r="V210" i="1"/>
  <c r="S216" i="1"/>
  <c r="S219" i="1" s="1"/>
  <c r="S217" i="1"/>
  <c r="U206" i="1"/>
  <c r="U209" i="1" s="1"/>
  <c r="T207" i="1"/>
  <c r="U208" i="1"/>
  <c r="U207" i="1" s="1"/>
  <c r="R710" i="2"/>
  <c r="R712" i="2" s="1"/>
  <c r="S713" i="2" s="1"/>
  <c r="R719" i="2"/>
  <c r="R720" i="2"/>
  <c r="R722" i="2" s="1"/>
  <c r="R728" i="2"/>
  <c r="R737" i="2"/>
  <c r="R729" i="2"/>
  <c r="T735" i="2"/>
  <c r="S222" i="1" l="1"/>
  <c r="S220" i="1"/>
  <c r="V213" i="1"/>
  <c r="V215" i="1"/>
  <c r="V218" i="1" s="1"/>
  <c r="U212" i="1"/>
  <c r="U210" i="1"/>
  <c r="T215" i="1"/>
  <c r="T213" i="1"/>
  <c r="R730" i="2"/>
  <c r="R731" i="2"/>
  <c r="R733" i="2" s="1"/>
  <c r="R721" i="2"/>
  <c r="R723" i="2" s="1"/>
  <c r="S724" i="2" s="1"/>
  <c r="R739" i="2"/>
  <c r="R748" i="2"/>
  <c r="R740" i="2"/>
  <c r="T746" i="2"/>
  <c r="T218" i="1" l="1"/>
  <c r="U213" i="1"/>
  <c r="U215" i="1"/>
  <c r="U218" i="1" s="1"/>
  <c r="V216" i="1"/>
  <c r="V219" i="1" s="1"/>
  <c r="V217" i="1"/>
  <c r="T217" i="1"/>
  <c r="T216" i="1"/>
  <c r="T219" i="1" s="1"/>
  <c r="S223" i="1"/>
  <c r="S225" i="1"/>
  <c r="R741" i="2"/>
  <c r="R743" i="2" s="1"/>
  <c r="R742" i="2"/>
  <c r="R744" i="2" s="1"/>
  <c r="R732" i="2"/>
  <c r="R734" i="2" s="1"/>
  <c r="S735" i="2" s="1"/>
  <c r="R750" i="2"/>
  <c r="R759" i="2"/>
  <c r="R751" i="2"/>
  <c r="T757" i="2"/>
  <c r="V222" i="1" l="1"/>
  <c r="V220" i="1"/>
  <c r="T222" i="1"/>
  <c r="T220" i="1"/>
  <c r="S226" i="1"/>
  <c r="S228" i="1"/>
  <c r="S229" i="1" s="1"/>
  <c r="U217" i="1"/>
  <c r="U216" i="1"/>
  <c r="U219" i="1" s="1"/>
  <c r="R745" i="2"/>
  <c r="S746" i="2" s="1"/>
  <c r="R752" i="2"/>
  <c r="R753" i="2"/>
  <c r="R755" i="2" s="1"/>
  <c r="R770" i="2"/>
  <c r="R761" i="2"/>
  <c r="R762" i="2"/>
  <c r="T768" i="2"/>
  <c r="S230" i="1" l="1"/>
  <c r="S232" i="1"/>
  <c r="S227" i="1"/>
  <c r="T225" i="1"/>
  <c r="T223" i="1"/>
  <c r="U222" i="1"/>
  <c r="U220" i="1"/>
  <c r="V223" i="1"/>
  <c r="V225" i="1"/>
  <c r="R763" i="2"/>
  <c r="R765" i="2" s="1"/>
  <c r="R764" i="2"/>
  <c r="R766" i="2" s="1"/>
  <c r="R754" i="2"/>
  <c r="R756" i="2" s="1"/>
  <c r="S757" i="2" s="1"/>
  <c r="R781" i="2"/>
  <c r="R772" i="2"/>
  <c r="R773" i="2"/>
  <c r="T779" i="2"/>
  <c r="T228" i="1" l="1"/>
  <c r="U225" i="1"/>
  <c r="U223" i="1"/>
  <c r="T226" i="1"/>
  <c r="T229" i="1" s="1"/>
  <c r="T227" i="1"/>
  <c r="V226" i="1"/>
  <c r="V227" i="1"/>
  <c r="S235" i="1"/>
  <c r="S238" i="1" s="1"/>
  <c r="S233" i="1"/>
  <c r="V228" i="1"/>
  <c r="R774" i="2"/>
  <c r="R776" i="2" s="1"/>
  <c r="R775" i="2"/>
  <c r="R777" i="2" s="1"/>
  <c r="R783" i="2"/>
  <c r="R792" i="2"/>
  <c r="R784" i="2"/>
  <c r="R767" i="2"/>
  <c r="S768" i="2" s="1"/>
  <c r="T790" i="2"/>
  <c r="S236" i="1" l="1"/>
  <c r="S239" i="1" s="1"/>
  <c r="S237" i="1"/>
  <c r="V229" i="1"/>
  <c r="U226" i="1"/>
  <c r="T230" i="1"/>
  <c r="T232" i="1"/>
  <c r="U228" i="1"/>
  <c r="U227" i="1" s="1"/>
  <c r="R778" i="2"/>
  <c r="S779" i="2" s="1"/>
  <c r="R785" i="2"/>
  <c r="R787" i="2" s="1"/>
  <c r="R786" i="2"/>
  <c r="R788" i="2" s="1"/>
  <c r="R794" i="2"/>
  <c r="R803" i="2"/>
  <c r="R795" i="2"/>
  <c r="T801" i="2"/>
  <c r="S242" i="1" l="1"/>
  <c r="S240" i="1"/>
  <c r="V230" i="1"/>
  <c r="V232" i="1"/>
  <c r="T233" i="1"/>
  <c r="T235" i="1"/>
  <c r="T238" i="1" s="1"/>
  <c r="U229" i="1"/>
  <c r="R789" i="2"/>
  <c r="S790" i="2" s="1"/>
  <c r="R796" i="2"/>
  <c r="R797" i="2"/>
  <c r="R799" i="2" s="1"/>
  <c r="R805" i="2"/>
  <c r="R814" i="2"/>
  <c r="R806" i="2"/>
  <c r="T812" i="2"/>
  <c r="T236" i="1" l="1"/>
  <c r="T239" i="1" s="1"/>
  <c r="T237" i="1"/>
  <c r="V235" i="1"/>
  <c r="V233" i="1"/>
  <c r="U230" i="1"/>
  <c r="U232" i="1"/>
  <c r="S243" i="1"/>
  <c r="S245" i="1"/>
  <c r="R798" i="2"/>
  <c r="R800" i="2" s="1"/>
  <c r="S801" i="2" s="1"/>
  <c r="R807" i="2"/>
  <c r="R808" i="2"/>
  <c r="R810" i="2" s="1"/>
  <c r="R816" i="2"/>
  <c r="R825" i="2"/>
  <c r="R817" i="2"/>
  <c r="T823" i="2"/>
  <c r="V238" i="1" l="1"/>
  <c r="U235" i="1"/>
  <c r="U233" i="1"/>
  <c r="S246" i="1"/>
  <c r="S249" i="1" s="1"/>
  <c r="S247" i="1"/>
  <c r="V236" i="1"/>
  <c r="V239" i="1" s="1"/>
  <c r="V237" i="1"/>
  <c r="S248" i="1"/>
  <c r="T242" i="1"/>
  <c r="T240" i="1"/>
  <c r="R809" i="2"/>
  <c r="R811" i="2" s="1"/>
  <c r="S812" i="2" s="1"/>
  <c r="R818" i="2"/>
  <c r="R819" i="2"/>
  <c r="R821" i="2" s="1"/>
  <c r="R827" i="2"/>
  <c r="R836" i="2"/>
  <c r="R828" i="2"/>
  <c r="T834" i="2"/>
  <c r="V242" i="1" l="1"/>
  <c r="V240" i="1"/>
  <c r="S252" i="1"/>
  <c r="S250" i="1"/>
  <c r="U236" i="1"/>
  <c r="U237" i="1"/>
  <c r="T243" i="1"/>
  <c r="T245" i="1"/>
  <c r="T248" i="1" s="1"/>
  <c r="U238" i="1"/>
  <c r="R820" i="2"/>
  <c r="R822" i="2" s="1"/>
  <c r="S823" i="2" s="1"/>
  <c r="R829" i="2"/>
  <c r="R830" i="2"/>
  <c r="R832" i="2" s="1"/>
  <c r="R838" i="2"/>
  <c r="R847" i="2"/>
  <c r="R839" i="2"/>
  <c r="T845" i="2"/>
  <c r="S253" i="1" l="1"/>
  <c r="S255" i="1"/>
  <c r="S258" i="1" s="1"/>
  <c r="T247" i="1"/>
  <c r="T246" i="1"/>
  <c r="T249" i="1" s="1"/>
  <c r="U239" i="1"/>
  <c r="V243" i="1"/>
  <c r="V245" i="1"/>
  <c r="V248" i="1" s="1"/>
  <c r="R840" i="2"/>
  <c r="R841" i="2"/>
  <c r="R843" i="2" s="1"/>
  <c r="R849" i="2"/>
  <c r="R858" i="2"/>
  <c r="R850" i="2"/>
  <c r="R831" i="2"/>
  <c r="R833" i="2" s="1"/>
  <c r="S834" i="2" s="1"/>
  <c r="T856" i="2"/>
  <c r="V246" i="1" l="1"/>
  <c r="V249" i="1" s="1"/>
  <c r="V247" i="1"/>
  <c r="U242" i="1"/>
  <c r="U240" i="1"/>
  <c r="T252" i="1"/>
  <c r="T250" i="1"/>
  <c r="S256" i="1"/>
  <c r="S259" i="1" s="1"/>
  <c r="S257" i="1"/>
  <c r="R842" i="2"/>
  <c r="R844" i="2" s="1"/>
  <c r="S845" i="2" s="1"/>
  <c r="R851" i="2"/>
  <c r="R852" i="2"/>
  <c r="R854" i="2" s="1"/>
  <c r="R860" i="2"/>
  <c r="R869" i="2"/>
  <c r="R861" i="2"/>
  <c r="T867" i="2"/>
  <c r="T253" i="1" l="1"/>
  <c r="T255" i="1"/>
  <c r="T258" i="1" s="1"/>
  <c r="U245" i="1"/>
  <c r="U243" i="1"/>
  <c r="S262" i="1"/>
  <c r="S260" i="1"/>
  <c r="V252" i="1"/>
  <c r="V250" i="1"/>
  <c r="R871" i="2"/>
  <c r="R880" i="2"/>
  <c r="R872" i="2"/>
  <c r="R862" i="2"/>
  <c r="R864" i="2" s="1"/>
  <c r="R863" i="2"/>
  <c r="R865" i="2" s="1"/>
  <c r="R853" i="2"/>
  <c r="R855" i="2" s="1"/>
  <c r="S856" i="2" s="1"/>
  <c r="T878" i="2"/>
  <c r="S263" i="1" l="1"/>
  <c r="S265" i="1"/>
  <c r="S268" i="1" s="1"/>
  <c r="U246" i="1"/>
  <c r="U248" i="1"/>
  <c r="U247" i="1" s="1"/>
  <c r="V253" i="1"/>
  <c r="V255" i="1"/>
  <c r="T257" i="1"/>
  <c r="T256" i="1"/>
  <c r="T259" i="1" s="1"/>
  <c r="R866" i="2"/>
  <c r="S867" i="2" s="1"/>
  <c r="R882" i="2"/>
  <c r="R891" i="2"/>
  <c r="R883" i="2"/>
  <c r="R873" i="2"/>
  <c r="R874" i="2"/>
  <c r="R876" i="2" s="1"/>
  <c r="T889" i="2"/>
  <c r="T262" i="1" l="1"/>
  <c r="T260" i="1"/>
  <c r="V256" i="1"/>
  <c r="S267" i="1"/>
  <c r="S266" i="1"/>
  <c r="S269" i="1" s="1"/>
  <c r="U249" i="1"/>
  <c r="V258" i="1"/>
  <c r="V257" i="1" s="1"/>
  <c r="R884" i="2"/>
  <c r="R885" i="2"/>
  <c r="R887" i="2" s="1"/>
  <c r="R875" i="2"/>
  <c r="R877" i="2" s="1"/>
  <c r="S878" i="2" s="1"/>
  <c r="R893" i="2"/>
  <c r="R902" i="2"/>
  <c r="R894" i="2"/>
  <c r="T900" i="2"/>
  <c r="S272" i="1" l="1"/>
  <c r="S270" i="1"/>
  <c r="U252" i="1"/>
  <c r="U250" i="1"/>
  <c r="V259" i="1"/>
  <c r="T265" i="1"/>
  <c r="T263" i="1"/>
  <c r="R895" i="2"/>
  <c r="R896" i="2"/>
  <c r="R898" i="2" s="1"/>
  <c r="R886" i="2"/>
  <c r="R888" i="2" s="1"/>
  <c r="S889" i="2" s="1"/>
  <c r="R904" i="2"/>
  <c r="R913" i="2"/>
  <c r="R905" i="2"/>
  <c r="T911" i="2"/>
  <c r="T266" i="1" l="1"/>
  <c r="T268" i="1"/>
  <c r="T267" i="1" s="1"/>
  <c r="V262" i="1"/>
  <c r="V260" i="1"/>
  <c r="U255" i="1"/>
  <c r="U253" i="1"/>
  <c r="S275" i="1"/>
  <c r="S273" i="1"/>
  <c r="R915" i="2"/>
  <c r="R924" i="2"/>
  <c r="R916" i="2"/>
  <c r="R906" i="2"/>
  <c r="R907" i="2"/>
  <c r="R909" i="2" s="1"/>
  <c r="R897" i="2"/>
  <c r="R899" i="2" s="1"/>
  <c r="S900" i="2" s="1"/>
  <c r="T922" i="2"/>
  <c r="U256" i="1" l="1"/>
  <c r="U258" i="1"/>
  <c r="U259" i="1" s="1"/>
  <c r="V263" i="1"/>
  <c r="V265" i="1"/>
  <c r="V268" i="1" s="1"/>
  <c r="S276" i="1"/>
  <c r="S277" i="1"/>
  <c r="S278" i="1"/>
  <c r="T269" i="1"/>
  <c r="R917" i="2"/>
  <c r="R919" i="2" s="1"/>
  <c r="R918" i="2"/>
  <c r="R920" i="2" s="1"/>
  <c r="R926" i="2"/>
  <c r="R935" i="2"/>
  <c r="R927" i="2"/>
  <c r="R908" i="2"/>
  <c r="R910" i="2" s="1"/>
  <c r="S911" i="2" s="1"/>
  <c r="T933" i="2"/>
  <c r="U262" i="1" l="1"/>
  <c r="U260" i="1"/>
  <c r="T272" i="1"/>
  <c r="T270" i="1"/>
  <c r="V266" i="1"/>
  <c r="V269" i="1" s="1"/>
  <c r="V267" i="1"/>
  <c r="S279" i="1"/>
  <c r="U257" i="1"/>
  <c r="R921" i="2"/>
  <c r="S922" i="2" s="1"/>
  <c r="R928" i="2"/>
  <c r="R929" i="2"/>
  <c r="R931" i="2" s="1"/>
  <c r="R937" i="2"/>
  <c r="R946" i="2"/>
  <c r="R938" i="2"/>
  <c r="T944" i="2"/>
  <c r="V272" i="1" l="1"/>
  <c r="V270" i="1"/>
  <c r="S282" i="1"/>
  <c r="S280" i="1"/>
  <c r="T273" i="1"/>
  <c r="T275" i="1"/>
  <c r="T278" i="1" s="1"/>
  <c r="U265" i="1"/>
  <c r="U268" i="1" s="1"/>
  <c r="U263" i="1"/>
  <c r="R948" i="2"/>
  <c r="R957" i="2"/>
  <c r="R949" i="2"/>
  <c r="R930" i="2"/>
  <c r="R932" i="2" s="1"/>
  <c r="S933" i="2" s="1"/>
  <c r="R939" i="2"/>
  <c r="R941" i="2" s="1"/>
  <c r="R940" i="2"/>
  <c r="R942" i="2" s="1"/>
  <c r="T955" i="2"/>
  <c r="T277" i="1" l="1"/>
  <c r="T276" i="1"/>
  <c r="T279" i="1" s="1"/>
  <c r="S283" i="1"/>
  <c r="S285" i="1"/>
  <c r="S288" i="1" s="1"/>
  <c r="U267" i="1"/>
  <c r="U266" i="1"/>
  <c r="U269" i="1" s="1"/>
  <c r="V273" i="1"/>
  <c r="V275" i="1"/>
  <c r="V278" i="1" s="1"/>
  <c r="R950" i="2"/>
  <c r="R952" i="2" s="1"/>
  <c r="R951" i="2"/>
  <c r="R953" i="2" s="1"/>
  <c r="R959" i="2"/>
  <c r="R968" i="2"/>
  <c r="R960" i="2"/>
  <c r="R943" i="2"/>
  <c r="S944" i="2" s="1"/>
  <c r="T966" i="2"/>
  <c r="U272" i="1" l="1"/>
  <c r="U270" i="1"/>
  <c r="S286" i="1"/>
  <c r="S289" i="1" s="1"/>
  <c r="S287" i="1"/>
  <c r="T282" i="1"/>
  <c r="T280" i="1"/>
  <c r="V276" i="1"/>
  <c r="V279" i="1" s="1"/>
  <c r="V277" i="1"/>
  <c r="R954" i="2"/>
  <c r="S955" i="2" s="1"/>
  <c r="R961" i="2"/>
  <c r="R962" i="2"/>
  <c r="R964" i="2" s="1"/>
  <c r="R970" i="2"/>
  <c r="R979" i="2"/>
  <c r="R971" i="2"/>
  <c r="T977" i="2"/>
  <c r="V282" i="1" l="1"/>
  <c r="V280" i="1"/>
  <c r="T283" i="1"/>
  <c r="T285" i="1"/>
  <c r="T288" i="1" s="1"/>
  <c r="S292" i="1"/>
  <c r="S290" i="1"/>
  <c r="U273" i="1"/>
  <c r="U275" i="1"/>
  <c r="R963" i="2"/>
  <c r="R965" i="2" s="1"/>
  <c r="S966" i="2" s="1"/>
  <c r="R972" i="2"/>
  <c r="R973" i="2"/>
  <c r="R975" i="2" s="1"/>
  <c r="R981" i="2"/>
  <c r="R990" i="2"/>
  <c r="R982" i="2"/>
  <c r="T988" i="2"/>
  <c r="U276" i="1" l="1"/>
  <c r="S293" i="1"/>
  <c r="S295" i="1"/>
  <c r="S298" i="1" s="1"/>
  <c r="T287" i="1"/>
  <c r="T286" i="1"/>
  <c r="T289" i="1" s="1"/>
  <c r="U278" i="1"/>
  <c r="U277" i="1" s="1"/>
  <c r="V283" i="1"/>
  <c r="V285" i="1"/>
  <c r="V288" i="1" s="1"/>
  <c r="R983" i="2"/>
  <c r="R984" i="2"/>
  <c r="R986" i="2" s="1"/>
  <c r="R992" i="2"/>
  <c r="R1001" i="2"/>
  <c r="R993" i="2"/>
  <c r="R974" i="2"/>
  <c r="R976" i="2" s="1"/>
  <c r="S977" i="2" s="1"/>
  <c r="T999" i="2"/>
  <c r="T292" i="1" l="1"/>
  <c r="T290" i="1"/>
  <c r="S296" i="1"/>
  <c r="S299" i="1" s="1"/>
  <c r="S297" i="1"/>
  <c r="U279" i="1"/>
  <c r="V286" i="1"/>
  <c r="V289" i="1" s="1"/>
  <c r="V287" i="1"/>
  <c r="R985" i="2"/>
  <c r="R987" i="2" s="1"/>
  <c r="S988" i="2" s="1"/>
  <c r="R994" i="2"/>
  <c r="R996" i="2" s="1"/>
  <c r="R995" i="2"/>
  <c r="R997" i="2" s="1"/>
  <c r="R1003" i="2"/>
  <c r="R1012" i="2"/>
  <c r="R1004" i="2"/>
  <c r="T1010" i="2"/>
  <c r="V292" i="1" l="1"/>
  <c r="V290" i="1"/>
  <c r="S302" i="1"/>
  <c r="S300" i="1"/>
  <c r="U282" i="1"/>
  <c r="U280" i="1"/>
  <c r="T295" i="1"/>
  <c r="T293" i="1"/>
  <c r="R998" i="2"/>
  <c r="S999" i="2" s="1"/>
  <c r="R1014" i="2"/>
  <c r="R1023" i="2"/>
  <c r="R1015" i="2"/>
  <c r="R1005" i="2"/>
  <c r="R1006" i="2"/>
  <c r="R1008" i="2" s="1"/>
  <c r="T1021" i="2"/>
  <c r="T296" i="1" l="1"/>
  <c r="U283" i="1"/>
  <c r="U285" i="1"/>
  <c r="U288" i="1" s="1"/>
  <c r="T298" i="1"/>
  <c r="T299" i="1" s="1"/>
  <c r="S303" i="1"/>
  <c r="S305" i="1"/>
  <c r="S308" i="1" s="1"/>
  <c r="V293" i="1"/>
  <c r="V295" i="1"/>
  <c r="V298" i="1" s="1"/>
  <c r="R1016" i="2"/>
  <c r="R1017" i="2"/>
  <c r="R1019" i="2" s="1"/>
  <c r="R1007" i="2"/>
  <c r="R1009" i="2" s="1"/>
  <c r="S1010" i="2" s="1"/>
  <c r="R1034" i="2"/>
  <c r="R1025" i="2"/>
  <c r="R1026" i="2"/>
  <c r="T1032" i="2"/>
  <c r="S306" i="1" l="1"/>
  <c r="S309" i="1" s="1"/>
  <c r="S307" i="1"/>
  <c r="T302" i="1"/>
  <c r="T300" i="1"/>
  <c r="U286" i="1"/>
  <c r="U289" i="1" s="1"/>
  <c r="U287" i="1"/>
  <c r="V297" i="1"/>
  <c r="V296" i="1"/>
  <c r="V299" i="1" s="1"/>
  <c r="T297" i="1"/>
  <c r="R1036" i="2"/>
  <c r="R1045" i="2"/>
  <c r="R1037" i="2"/>
  <c r="R1018" i="2"/>
  <c r="R1020" i="2" s="1"/>
  <c r="S1021" i="2" s="1"/>
  <c r="R1027" i="2"/>
  <c r="R1029" i="2" s="1"/>
  <c r="R1028" i="2"/>
  <c r="R1030" i="2" s="1"/>
  <c r="T1043" i="2"/>
  <c r="U292" i="1" l="1"/>
  <c r="U290" i="1"/>
  <c r="T303" i="1"/>
  <c r="T305" i="1"/>
  <c r="T308" i="1" s="1"/>
  <c r="V302" i="1"/>
  <c r="V300" i="1"/>
  <c r="S312" i="1"/>
  <c r="S310" i="1"/>
  <c r="R1031" i="2"/>
  <c r="S1032" i="2" s="1"/>
  <c r="R1038" i="2"/>
  <c r="R1039" i="2"/>
  <c r="R1041" i="2" s="1"/>
  <c r="R1047" i="2"/>
  <c r="R1056" i="2"/>
  <c r="R1048" i="2"/>
  <c r="T1054" i="2"/>
  <c r="V303" i="1" l="1"/>
  <c r="V305" i="1"/>
  <c r="V308" i="1" s="1"/>
  <c r="T307" i="1"/>
  <c r="T306" i="1"/>
  <c r="T309" i="1" s="1"/>
  <c r="S313" i="1"/>
  <c r="S315" i="1"/>
  <c r="S318" i="1" s="1"/>
  <c r="U295" i="1"/>
  <c r="U293" i="1"/>
  <c r="R1040" i="2"/>
  <c r="R1042" i="2" s="1"/>
  <c r="S1043" i="2" s="1"/>
  <c r="R1049" i="2"/>
  <c r="R1051" i="2" s="1"/>
  <c r="R1050" i="2"/>
  <c r="R1052" i="2" s="1"/>
  <c r="R1058" i="2"/>
  <c r="R1067" i="2"/>
  <c r="R1059" i="2"/>
  <c r="T1065" i="2"/>
  <c r="T312" i="1" l="1"/>
  <c r="T310" i="1"/>
  <c r="U296" i="1"/>
  <c r="S316" i="1"/>
  <c r="S319" i="1" s="1"/>
  <c r="S317" i="1"/>
  <c r="V309" i="1"/>
  <c r="U298" i="1"/>
  <c r="U299" i="1" s="1"/>
  <c r="V307" i="1"/>
  <c r="V306" i="1"/>
  <c r="R1053" i="2"/>
  <c r="S1054" i="2" s="1"/>
  <c r="R1060" i="2"/>
  <c r="R1061" i="2"/>
  <c r="R1063" i="2" s="1"/>
  <c r="R1069" i="2"/>
  <c r="R1078" i="2"/>
  <c r="R1070" i="2"/>
  <c r="T1076" i="2"/>
  <c r="V312" i="1" l="1"/>
  <c r="V310" i="1"/>
  <c r="U302" i="1"/>
  <c r="U300" i="1"/>
  <c r="S322" i="1"/>
  <c r="S320" i="1"/>
  <c r="U297" i="1"/>
  <c r="T313" i="1"/>
  <c r="T315" i="1"/>
  <c r="R1062" i="2"/>
  <c r="R1064" i="2" s="1"/>
  <c r="S1065" i="2" s="1"/>
  <c r="R1071" i="2"/>
  <c r="R1073" i="2" s="1"/>
  <c r="R1072" i="2"/>
  <c r="R1074" i="2" s="1"/>
  <c r="R1080" i="2"/>
  <c r="R1089" i="2"/>
  <c r="R1081" i="2"/>
  <c r="T1087" i="2"/>
  <c r="T316" i="1" l="1"/>
  <c r="U303" i="1"/>
  <c r="U305" i="1"/>
  <c r="U308" i="1" s="1"/>
  <c r="S323" i="1"/>
  <c r="S325" i="1"/>
  <c r="S328" i="1" s="1"/>
  <c r="T318" i="1"/>
  <c r="T319" i="1" s="1"/>
  <c r="V313" i="1"/>
  <c r="V315" i="1"/>
  <c r="V318" i="1" s="1"/>
  <c r="R1075" i="2"/>
  <c r="S1076" i="2" s="1"/>
  <c r="R1082" i="2"/>
  <c r="R1083" i="2"/>
  <c r="R1085" i="2" s="1"/>
  <c r="R1091" i="2"/>
  <c r="R1100" i="2"/>
  <c r="R1092" i="2"/>
  <c r="T1098" i="2"/>
  <c r="T322" i="1" l="1"/>
  <c r="T320" i="1"/>
  <c r="S326" i="1"/>
  <c r="S329" i="1" s="1"/>
  <c r="S327" i="1"/>
  <c r="U306" i="1"/>
  <c r="U309" i="1" s="1"/>
  <c r="U307" i="1"/>
  <c r="V317" i="1"/>
  <c r="V316" i="1"/>
  <c r="V319" i="1" s="1"/>
  <c r="T317" i="1"/>
  <c r="R1084" i="2"/>
  <c r="R1086" i="2" s="1"/>
  <c r="S1087" i="2" s="1"/>
  <c r="R1093" i="2"/>
  <c r="R1094" i="2"/>
  <c r="R1096" i="2" s="1"/>
  <c r="R1102" i="2"/>
  <c r="R1111" i="2"/>
  <c r="R1103" i="2"/>
  <c r="T1109" i="2"/>
  <c r="S677" i="1"/>
  <c r="S676" i="1"/>
  <c r="U312" i="1" l="1"/>
  <c r="U310" i="1"/>
  <c r="S330" i="1"/>
  <c r="S332" i="1"/>
  <c r="T325" i="1"/>
  <c r="T323" i="1"/>
  <c r="V322" i="1"/>
  <c r="V320" i="1"/>
  <c r="R1113" i="2"/>
  <c r="R1122" i="2"/>
  <c r="R1114" i="2"/>
  <c r="R1104" i="2"/>
  <c r="R1105" i="2"/>
  <c r="R1107" i="2" s="1"/>
  <c r="R1095" i="2"/>
  <c r="R1097" i="2" s="1"/>
  <c r="S1098" i="2" s="1"/>
  <c r="T1120" i="2"/>
  <c r="S678" i="1"/>
  <c r="S681" i="1" s="1"/>
  <c r="V323" i="1" l="1"/>
  <c r="V325" i="1"/>
  <c r="V328" i="1" s="1"/>
  <c r="T326" i="1"/>
  <c r="T328" i="1"/>
  <c r="T327" i="1" s="1"/>
  <c r="S333" i="1"/>
  <c r="S335" i="1"/>
  <c r="S338" i="1" s="1"/>
  <c r="U313" i="1"/>
  <c r="U315" i="1"/>
  <c r="U318" i="1" s="1"/>
  <c r="R1115" i="2"/>
  <c r="R1116" i="2"/>
  <c r="R1118" i="2" s="1"/>
  <c r="R1106" i="2"/>
  <c r="R1108" i="2" s="1"/>
  <c r="S1109" i="2" s="1"/>
  <c r="R1124" i="2"/>
  <c r="R1133" i="2"/>
  <c r="R1125" i="2"/>
  <c r="T1131" i="2"/>
  <c r="S680" i="1"/>
  <c r="S682" i="1" s="1"/>
  <c r="S683" i="1" s="1"/>
  <c r="T329" i="1" l="1"/>
  <c r="S337" i="1"/>
  <c r="S336" i="1"/>
  <c r="S339" i="1" s="1"/>
  <c r="U317" i="1"/>
  <c r="U316" i="1"/>
  <c r="U319" i="1" s="1"/>
  <c r="V326" i="1"/>
  <c r="V329" i="1" s="1"/>
  <c r="V327" i="1"/>
  <c r="R1126" i="2"/>
  <c r="R1127" i="2"/>
  <c r="R1129" i="2" s="1"/>
  <c r="R1135" i="2"/>
  <c r="R1144" i="2"/>
  <c r="R1136" i="2"/>
  <c r="R1117" i="2"/>
  <c r="R1119" i="2" s="1"/>
  <c r="S1120" i="2" s="1"/>
  <c r="T1142" i="2"/>
  <c r="S684" i="1"/>
  <c r="S686" i="1" s="1"/>
  <c r="S688" i="1" s="1"/>
  <c r="U322" i="1" l="1"/>
  <c r="U320" i="1"/>
  <c r="S342" i="1"/>
  <c r="S340" i="1"/>
  <c r="V330" i="1"/>
  <c r="V332" i="1"/>
  <c r="T330" i="1"/>
  <c r="T332" i="1"/>
  <c r="R1137" i="2"/>
  <c r="R1138" i="2"/>
  <c r="R1140" i="2" s="1"/>
  <c r="R1128" i="2"/>
  <c r="R1130" i="2" s="1"/>
  <c r="S1131" i="2" s="1"/>
  <c r="R1146" i="2"/>
  <c r="R1155" i="2"/>
  <c r="R1147" i="2"/>
  <c r="T1153" i="2"/>
  <c r="S689" i="1"/>
  <c r="S687" i="1"/>
  <c r="S690" i="1"/>
  <c r="T333" i="1" l="1"/>
  <c r="T335" i="1"/>
  <c r="T338" i="1" s="1"/>
  <c r="V335" i="1"/>
  <c r="V333" i="1"/>
  <c r="S345" i="1"/>
  <c r="S343" i="1"/>
  <c r="U325" i="1"/>
  <c r="U323" i="1"/>
  <c r="R1148" i="2"/>
  <c r="R1149" i="2"/>
  <c r="R1151" i="2" s="1"/>
  <c r="R1139" i="2"/>
  <c r="R1141" i="2" s="1"/>
  <c r="S1142" i="2" s="1"/>
  <c r="R1157" i="2"/>
  <c r="R1166" i="2"/>
  <c r="R1158" i="2"/>
  <c r="T1164" i="2"/>
  <c r="S692" i="1"/>
  <c r="S693" i="1"/>
  <c r="S694" i="1" s="1"/>
  <c r="S695" i="1" s="1"/>
  <c r="U328" i="1" l="1"/>
  <c r="V336" i="1"/>
  <c r="S348" i="1"/>
  <c r="V338" i="1"/>
  <c r="V339" i="1" s="1"/>
  <c r="U327" i="1"/>
  <c r="U326" i="1"/>
  <c r="U329" i="1" s="1"/>
  <c r="S346" i="1"/>
  <c r="S349" i="1" s="1"/>
  <c r="S347" i="1"/>
  <c r="T336" i="1"/>
  <c r="T339" i="1" s="1"/>
  <c r="T337" i="1"/>
  <c r="R1159" i="2"/>
  <c r="R1161" i="2" s="1"/>
  <c r="R1160" i="2"/>
  <c r="R1162" i="2" s="1"/>
  <c r="R1150" i="2"/>
  <c r="R1152" i="2" s="1"/>
  <c r="S1153" i="2" s="1"/>
  <c r="R1168" i="2"/>
  <c r="R1177" i="2"/>
  <c r="R1169" i="2"/>
  <c r="T1175" i="2"/>
  <c r="S696" i="1"/>
  <c r="S698" i="1" s="1"/>
  <c r="S699" i="1" s="1"/>
  <c r="T342" i="1" l="1"/>
  <c r="T340" i="1"/>
  <c r="S352" i="1"/>
  <c r="S350" i="1"/>
  <c r="V342" i="1"/>
  <c r="V340" i="1"/>
  <c r="U330" i="1"/>
  <c r="U332" i="1"/>
  <c r="V337" i="1"/>
  <c r="R1163" i="2"/>
  <c r="S1164" i="2" s="1"/>
  <c r="R1170" i="2"/>
  <c r="R1171" i="2"/>
  <c r="R1173" i="2" s="1"/>
  <c r="R1179" i="2"/>
  <c r="R1188" i="2"/>
  <c r="R1180" i="2"/>
  <c r="T1186" i="2"/>
  <c r="S700" i="1"/>
  <c r="S702" i="1" s="1"/>
  <c r="S704" i="1" s="1"/>
  <c r="S701" i="1"/>
  <c r="U335" i="1" l="1"/>
  <c r="U333" i="1"/>
  <c r="V343" i="1"/>
  <c r="V345" i="1"/>
  <c r="V348" i="1" s="1"/>
  <c r="S353" i="1"/>
  <c r="S355" i="1"/>
  <c r="S358" i="1" s="1"/>
  <c r="T343" i="1"/>
  <c r="T345" i="1"/>
  <c r="R1172" i="2"/>
  <c r="R1174" i="2" s="1"/>
  <c r="S1175" i="2" s="1"/>
  <c r="R1181" i="2"/>
  <c r="R1183" i="2" s="1"/>
  <c r="R1182" i="2"/>
  <c r="R1184" i="2" s="1"/>
  <c r="R1190" i="2"/>
  <c r="R1199" i="2"/>
  <c r="R1191" i="2"/>
  <c r="T1197" i="2"/>
  <c r="S705" i="1"/>
  <c r="S706" i="1" s="1"/>
  <c r="S707" i="1" s="1"/>
  <c r="T348" i="1" l="1"/>
  <c r="S357" i="1"/>
  <c r="S356" i="1"/>
  <c r="S359" i="1" s="1"/>
  <c r="V346" i="1"/>
  <c r="V349" i="1" s="1"/>
  <c r="V347" i="1"/>
  <c r="T346" i="1"/>
  <c r="T349" i="1" s="1"/>
  <c r="T347" i="1"/>
  <c r="U336" i="1"/>
  <c r="U338" i="1"/>
  <c r="U337" i="1" s="1"/>
  <c r="R1185" i="2"/>
  <c r="S1186" i="2" s="1"/>
  <c r="R1192" i="2"/>
  <c r="R1193" i="2"/>
  <c r="R1195" i="2" s="1"/>
  <c r="R1201" i="2"/>
  <c r="R1210" i="2"/>
  <c r="R1202" i="2"/>
  <c r="T1208" i="2"/>
  <c r="S708" i="1"/>
  <c r="S710" i="1" s="1"/>
  <c r="S713" i="1" s="1"/>
  <c r="V352" i="1" l="1"/>
  <c r="V350" i="1"/>
  <c r="S362" i="1"/>
  <c r="S360" i="1"/>
  <c r="U339" i="1"/>
  <c r="T352" i="1"/>
  <c r="T350" i="1"/>
  <c r="R1194" i="2"/>
  <c r="R1196" i="2" s="1"/>
  <c r="S1197" i="2" s="1"/>
  <c r="R1203" i="2"/>
  <c r="R1204" i="2"/>
  <c r="R1206" i="2" s="1"/>
  <c r="R1212" i="2"/>
  <c r="R1221" i="2"/>
  <c r="R1213" i="2"/>
  <c r="T1219" i="2"/>
  <c r="S712" i="1"/>
  <c r="S714" i="1" s="1"/>
  <c r="S711" i="1"/>
  <c r="T355" i="1" l="1"/>
  <c r="T353" i="1"/>
  <c r="U342" i="1"/>
  <c r="U340" i="1"/>
  <c r="S363" i="1"/>
  <c r="S365" i="1"/>
  <c r="S368" i="1" s="1"/>
  <c r="V355" i="1"/>
  <c r="V358" i="1" s="1"/>
  <c r="V353" i="1"/>
  <c r="R1205" i="2"/>
  <c r="R1207" i="2" s="1"/>
  <c r="S1208" i="2" s="1"/>
  <c r="R1214" i="2"/>
  <c r="R1215" i="2"/>
  <c r="R1217" i="2" s="1"/>
  <c r="R1223" i="2"/>
  <c r="R1232" i="2"/>
  <c r="R1224" i="2"/>
  <c r="T1230" i="2"/>
  <c r="S716" i="1"/>
  <c r="S717" i="1"/>
  <c r="S718" i="1" s="1"/>
  <c r="S719" i="1" s="1"/>
  <c r="T358" i="1" l="1"/>
  <c r="U343" i="1"/>
  <c r="U345" i="1"/>
  <c r="S366" i="1"/>
  <c r="S369" i="1" s="1"/>
  <c r="S367" i="1"/>
  <c r="V357" i="1"/>
  <c r="V356" i="1"/>
  <c r="V359" i="1" s="1"/>
  <c r="T356" i="1"/>
  <c r="T359" i="1" s="1"/>
  <c r="T357" i="1"/>
  <c r="R1234" i="2"/>
  <c r="R1243" i="2"/>
  <c r="R1235" i="2"/>
  <c r="R1216" i="2"/>
  <c r="R1218" i="2" s="1"/>
  <c r="S1219" i="2" s="1"/>
  <c r="R1225" i="2"/>
  <c r="R1226" i="2"/>
  <c r="R1228" i="2" s="1"/>
  <c r="T1241" i="2"/>
  <c r="S720" i="1"/>
  <c r="S722" i="1" s="1"/>
  <c r="S724" i="1" s="1"/>
  <c r="T362" i="1" l="1"/>
  <c r="T360" i="1"/>
  <c r="V362" i="1"/>
  <c r="V360" i="1"/>
  <c r="S372" i="1"/>
  <c r="S370" i="1"/>
  <c r="U348" i="1"/>
  <c r="U347" i="1" s="1"/>
  <c r="U346" i="1"/>
  <c r="U349" i="1" s="1"/>
  <c r="R1236" i="2"/>
  <c r="R1237" i="2"/>
  <c r="R1239" i="2" s="1"/>
  <c r="R1245" i="2"/>
  <c r="R1254" i="2"/>
  <c r="R1246" i="2"/>
  <c r="R1227" i="2"/>
  <c r="R1229" i="2" s="1"/>
  <c r="S1230" i="2" s="1"/>
  <c r="T1252" i="2"/>
  <c r="S725" i="1"/>
  <c r="S723" i="1"/>
  <c r="S726" i="1"/>
  <c r="U352" i="1" l="1"/>
  <c r="U350" i="1"/>
  <c r="V363" i="1"/>
  <c r="V365" i="1"/>
  <c r="V368" i="1" s="1"/>
  <c r="S373" i="1"/>
  <c r="S375" i="1"/>
  <c r="S378" i="1" s="1"/>
  <c r="T365" i="1"/>
  <c r="T363" i="1"/>
  <c r="R1238" i="2"/>
  <c r="R1240" i="2" s="1"/>
  <c r="S1241" i="2" s="1"/>
  <c r="R1247" i="2"/>
  <c r="R1248" i="2"/>
  <c r="R1250" i="2" s="1"/>
  <c r="R1256" i="2"/>
  <c r="R1265" i="2"/>
  <c r="R1257" i="2"/>
  <c r="T1263" i="2"/>
  <c r="S729" i="1"/>
  <c r="S728" i="1"/>
  <c r="T368" i="1" l="1"/>
  <c r="V366" i="1"/>
  <c r="V369" i="1" s="1"/>
  <c r="V367" i="1"/>
  <c r="T366" i="1"/>
  <c r="T369" i="1" s="1"/>
  <c r="T367" i="1"/>
  <c r="S377" i="1"/>
  <c r="S376" i="1"/>
  <c r="S379" i="1" s="1"/>
  <c r="U353" i="1"/>
  <c r="U355" i="1"/>
  <c r="R1267" i="2"/>
  <c r="R1276" i="2"/>
  <c r="R1268" i="2"/>
  <c r="R1249" i="2"/>
  <c r="R1251" i="2" s="1"/>
  <c r="S1252" i="2" s="1"/>
  <c r="R1258" i="2"/>
  <c r="R1260" i="2" s="1"/>
  <c r="R1259" i="2"/>
  <c r="R1261" i="2" s="1"/>
  <c r="T1274" i="2"/>
  <c r="S730" i="1"/>
  <c r="S731" i="1" s="1"/>
  <c r="S732" i="1" s="1"/>
  <c r="S734" i="1" s="1"/>
  <c r="S735" i="1" s="1"/>
  <c r="U358" i="1" l="1"/>
  <c r="U357" i="1"/>
  <c r="U356" i="1"/>
  <c r="U359" i="1" s="1"/>
  <c r="T372" i="1"/>
  <c r="T370" i="1"/>
  <c r="S382" i="1"/>
  <c r="S380" i="1"/>
  <c r="V372" i="1"/>
  <c r="V370" i="1"/>
  <c r="R1269" i="2"/>
  <c r="R1270" i="2"/>
  <c r="R1272" i="2" s="1"/>
  <c r="R1278" i="2"/>
  <c r="R1287" i="2"/>
  <c r="R1279" i="2"/>
  <c r="R1262" i="2"/>
  <c r="S1263" i="2" s="1"/>
  <c r="T1285" i="2"/>
  <c r="S736" i="1"/>
  <c r="S738" i="1" s="1"/>
  <c r="S740" i="1" s="1"/>
  <c r="S737" i="1"/>
  <c r="V373" i="1" l="1"/>
  <c r="V375" i="1"/>
  <c r="V378" i="1" s="1"/>
  <c r="T375" i="1"/>
  <c r="T373" i="1"/>
  <c r="U362" i="1"/>
  <c r="U360" i="1"/>
  <c r="S385" i="1"/>
  <c r="S383" i="1"/>
  <c r="R1271" i="2"/>
  <c r="R1273" i="2" s="1"/>
  <c r="S1274" i="2" s="1"/>
  <c r="R1280" i="2"/>
  <c r="R1281" i="2"/>
  <c r="R1283" i="2" s="1"/>
  <c r="R1289" i="2"/>
  <c r="R1298" i="2"/>
  <c r="R1290" i="2"/>
  <c r="T1296" i="2"/>
  <c r="S741" i="1"/>
  <c r="S742" i="1" s="1"/>
  <c r="S743" i="1" s="1"/>
  <c r="U365" i="1" l="1"/>
  <c r="U363" i="1"/>
  <c r="T376" i="1"/>
  <c r="T378" i="1"/>
  <c r="T379" i="1" s="1"/>
  <c r="S386" i="1"/>
  <c r="S389" i="1" s="1"/>
  <c r="S387" i="1"/>
  <c r="S388" i="1"/>
  <c r="V377" i="1"/>
  <c r="V376" i="1"/>
  <c r="V379" i="1" s="1"/>
  <c r="R1282" i="2"/>
  <c r="R1284" i="2" s="1"/>
  <c r="S1285" i="2" s="1"/>
  <c r="R1291" i="2"/>
  <c r="R1292" i="2"/>
  <c r="R1294" i="2" s="1"/>
  <c r="R1300" i="2"/>
  <c r="R1309" i="2"/>
  <c r="R1301" i="2"/>
  <c r="T1307" i="2"/>
  <c r="S744" i="1"/>
  <c r="T382" i="1" l="1"/>
  <c r="T380" i="1"/>
  <c r="V382" i="1"/>
  <c r="V380" i="1"/>
  <c r="U367" i="1"/>
  <c r="U366" i="1"/>
  <c r="U369" i="1" s="1"/>
  <c r="S392" i="1"/>
  <c r="S390" i="1"/>
  <c r="T377" i="1"/>
  <c r="U368" i="1"/>
  <c r="R1311" i="2"/>
  <c r="R1320" i="2"/>
  <c r="R1312" i="2"/>
  <c r="R1293" i="2"/>
  <c r="R1295" i="2" s="1"/>
  <c r="S1296" i="2" s="1"/>
  <c r="R1302" i="2"/>
  <c r="R1303" i="2"/>
  <c r="R1305" i="2" s="1"/>
  <c r="T1318" i="2"/>
  <c r="S746" i="1"/>
  <c r="S748" i="1" s="1"/>
  <c r="S750" i="1" s="1"/>
  <c r="S393" i="1" l="1"/>
  <c r="S395" i="1"/>
  <c r="S398" i="1" s="1"/>
  <c r="U372" i="1"/>
  <c r="U370" i="1"/>
  <c r="V383" i="1"/>
  <c r="V385" i="1"/>
  <c r="V388" i="1" s="1"/>
  <c r="T385" i="1"/>
  <c r="T383" i="1"/>
  <c r="R1313" i="2"/>
  <c r="R1314" i="2"/>
  <c r="R1316" i="2" s="1"/>
  <c r="R1331" i="2"/>
  <c r="R1322" i="2"/>
  <c r="R1323" i="2"/>
  <c r="R1304" i="2"/>
  <c r="R1306" i="2" s="1"/>
  <c r="S1307" i="2" s="1"/>
  <c r="T1329" i="2"/>
  <c r="S749" i="1"/>
  <c r="S747" i="1"/>
  <c r="S752" i="1" s="1"/>
  <c r="V386" i="1" l="1"/>
  <c r="V389" i="1" s="1"/>
  <c r="V387" i="1"/>
  <c r="U375" i="1"/>
  <c r="U373" i="1"/>
  <c r="T386" i="1"/>
  <c r="T388" i="1"/>
  <c r="T389" i="1" s="1"/>
  <c r="S396" i="1"/>
  <c r="S399" i="1" s="1"/>
  <c r="S397" i="1"/>
  <c r="R1315" i="2"/>
  <c r="R1317" i="2" s="1"/>
  <c r="S1318" i="2" s="1"/>
  <c r="R1342" i="2"/>
  <c r="R1333" i="2"/>
  <c r="R1334" i="2"/>
  <c r="R1324" i="2"/>
  <c r="R1325" i="2"/>
  <c r="R1327" i="2" s="1"/>
  <c r="T1340" i="2"/>
  <c r="S753" i="1"/>
  <c r="S754" i="1" s="1"/>
  <c r="S755" i="1" s="1"/>
  <c r="S756" i="1" s="1"/>
  <c r="T392" i="1" l="1"/>
  <c r="T390" i="1"/>
  <c r="U376" i="1"/>
  <c r="U378" i="1"/>
  <c r="U379" i="1" s="1"/>
  <c r="T387" i="1"/>
  <c r="S402" i="1"/>
  <c r="S400" i="1"/>
  <c r="V392" i="1"/>
  <c r="V390" i="1"/>
  <c r="R1326" i="2"/>
  <c r="R1328" i="2" s="1"/>
  <c r="S1329" i="2" s="1"/>
  <c r="R1344" i="2"/>
  <c r="R1353" i="2"/>
  <c r="R1345" i="2"/>
  <c r="R1335" i="2"/>
  <c r="R1336" i="2"/>
  <c r="R1338" i="2" s="1"/>
  <c r="T1351" i="2"/>
  <c r="S758" i="1"/>
  <c r="S759" i="1" s="1"/>
  <c r="S405" i="1" l="1"/>
  <c r="S403" i="1"/>
  <c r="U382" i="1"/>
  <c r="U380" i="1"/>
  <c r="U377" i="1"/>
  <c r="V393" i="1"/>
  <c r="V395" i="1"/>
  <c r="T395" i="1"/>
  <c r="T393" i="1"/>
  <c r="R1346" i="2"/>
  <c r="R1347" i="2"/>
  <c r="R1349" i="2" s="1"/>
  <c r="R1337" i="2"/>
  <c r="R1339" i="2" s="1"/>
  <c r="S1340" i="2" s="1"/>
  <c r="R1355" i="2"/>
  <c r="R1364" i="2"/>
  <c r="R1356" i="2"/>
  <c r="T1362" i="2"/>
  <c r="S761" i="1"/>
  <c r="S760" i="1"/>
  <c r="S762" i="1" s="1"/>
  <c r="S765" i="1" s="1"/>
  <c r="V396" i="1" l="1"/>
  <c r="U385" i="1"/>
  <c r="U383" i="1"/>
  <c r="V398" i="1"/>
  <c r="V399" i="1" s="1"/>
  <c r="T396" i="1"/>
  <c r="T398" i="1"/>
  <c r="T397" i="1" s="1"/>
  <c r="S406" i="1"/>
  <c r="S408" i="1"/>
  <c r="S407" i="1" s="1"/>
  <c r="R1348" i="2"/>
  <c r="R1350" i="2" s="1"/>
  <c r="S1351" i="2" s="1"/>
  <c r="R1357" i="2"/>
  <c r="R1358" i="2"/>
  <c r="R1360" i="2" s="1"/>
  <c r="R1366" i="2"/>
  <c r="R1375" i="2"/>
  <c r="R1367" i="2"/>
  <c r="T1373" i="2"/>
  <c r="S764" i="1"/>
  <c r="S766" i="1" s="1"/>
  <c r="S767" i="1" s="1"/>
  <c r="S768" i="1" s="1"/>
  <c r="S770" i="1" s="1"/>
  <c r="U386" i="1" l="1"/>
  <c r="V402" i="1"/>
  <c r="V400" i="1"/>
  <c r="U388" i="1"/>
  <c r="U389" i="1" s="1"/>
  <c r="S409" i="1"/>
  <c r="V397" i="1"/>
  <c r="T399" i="1"/>
  <c r="R1368" i="2"/>
  <c r="R1369" i="2"/>
  <c r="R1371" i="2" s="1"/>
  <c r="R1359" i="2"/>
  <c r="R1361" i="2" s="1"/>
  <c r="S1362" i="2" s="1"/>
  <c r="R1377" i="2"/>
  <c r="R1386" i="2"/>
  <c r="R1378" i="2"/>
  <c r="T1384" i="2"/>
  <c r="S772" i="1"/>
  <c r="S773" i="1"/>
  <c r="S771" i="1"/>
  <c r="U392" i="1" l="1"/>
  <c r="U390" i="1"/>
  <c r="V403" i="1"/>
  <c r="V405" i="1"/>
  <c r="V408" i="1" s="1"/>
  <c r="U387" i="1"/>
  <c r="T402" i="1"/>
  <c r="T400" i="1"/>
  <c r="S412" i="1"/>
  <c r="S410" i="1"/>
  <c r="R1379" i="2"/>
  <c r="R1380" i="2"/>
  <c r="R1382" i="2" s="1"/>
  <c r="R1370" i="2"/>
  <c r="R1372" i="2" s="1"/>
  <c r="S1373" i="2" s="1"/>
  <c r="R1388" i="2"/>
  <c r="R1397" i="2"/>
  <c r="R1389" i="2"/>
  <c r="T1395" i="2"/>
  <c r="S774" i="1"/>
  <c r="S776" i="1" s="1"/>
  <c r="T403" i="1" l="1"/>
  <c r="T405" i="1"/>
  <c r="T408" i="1" s="1"/>
  <c r="V406" i="1"/>
  <c r="V409" i="1" s="1"/>
  <c r="V407" i="1"/>
  <c r="S413" i="1"/>
  <c r="S415" i="1"/>
  <c r="U395" i="1"/>
  <c r="U393" i="1"/>
  <c r="R1399" i="2"/>
  <c r="R1408" i="2"/>
  <c r="R1400" i="2"/>
  <c r="R1390" i="2"/>
  <c r="R1391" i="2"/>
  <c r="R1393" i="2" s="1"/>
  <c r="R1381" i="2"/>
  <c r="R1383" i="2" s="1"/>
  <c r="S1384" i="2" s="1"/>
  <c r="T1406" i="2"/>
  <c r="S777" i="1"/>
  <c r="S778" i="1" s="1"/>
  <c r="S779" i="1" s="1"/>
  <c r="S780" i="1" s="1"/>
  <c r="S782" i="1" s="1"/>
  <c r="S416" i="1" l="1"/>
  <c r="V412" i="1"/>
  <c r="V410" i="1"/>
  <c r="S418" i="1"/>
  <c r="S419" i="1" s="1"/>
  <c r="U396" i="1"/>
  <c r="U398" i="1"/>
  <c r="U397" i="1" s="1"/>
  <c r="T406" i="1"/>
  <c r="T409" i="1" s="1"/>
  <c r="T407" i="1"/>
  <c r="R1392" i="2"/>
  <c r="R1394" i="2" s="1"/>
  <c r="S1395" i="2" s="1"/>
  <c r="R1401" i="2"/>
  <c r="R1403" i="2" s="1"/>
  <c r="R1402" i="2"/>
  <c r="R1404" i="2" s="1"/>
  <c r="R1410" i="2"/>
  <c r="R1419" i="2"/>
  <c r="R1411" i="2"/>
  <c r="T1417" i="2"/>
  <c r="U399" i="1" l="1"/>
  <c r="U402" i="1"/>
  <c r="U400" i="1"/>
  <c r="V415" i="1"/>
  <c r="V413" i="1"/>
  <c r="T412" i="1"/>
  <c r="T410" i="1"/>
  <c r="S422" i="1"/>
  <c r="S420" i="1"/>
  <c r="S417" i="1"/>
  <c r="R1405" i="2"/>
  <c r="S1406" i="2" s="1"/>
  <c r="R1412" i="2"/>
  <c r="R1413" i="2"/>
  <c r="R1415" i="2" s="1"/>
  <c r="R1421" i="2"/>
  <c r="R1430" i="2"/>
  <c r="R1422" i="2"/>
  <c r="T1428" i="2"/>
  <c r="S783" i="1"/>
  <c r="S784" i="1"/>
  <c r="S786" i="1" s="1"/>
  <c r="S785" i="1"/>
  <c r="T413" i="1" l="1"/>
  <c r="T415" i="1"/>
  <c r="T418" i="1" s="1"/>
  <c r="V416" i="1"/>
  <c r="S423" i="1"/>
  <c r="S425" i="1"/>
  <c r="S428" i="1" s="1"/>
  <c r="V418" i="1"/>
  <c r="V419" i="1" s="1"/>
  <c r="U405" i="1"/>
  <c r="U403" i="1"/>
  <c r="R1414" i="2"/>
  <c r="R1416" i="2" s="1"/>
  <c r="S1417" i="2" s="1"/>
  <c r="R1423" i="2"/>
  <c r="R1424" i="2"/>
  <c r="R1426" i="2" s="1"/>
  <c r="R1441" i="2"/>
  <c r="R1432" i="2"/>
  <c r="R1433" i="2"/>
  <c r="T1439" i="2"/>
  <c r="S789" i="1"/>
  <c r="S788" i="1"/>
  <c r="S427" i="1" l="1"/>
  <c r="S426" i="1"/>
  <c r="S429" i="1" s="1"/>
  <c r="V422" i="1"/>
  <c r="V420" i="1"/>
  <c r="V417" i="1"/>
  <c r="U406" i="1"/>
  <c r="U408" i="1"/>
  <c r="U409" i="1" s="1"/>
  <c r="T416" i="1"/>
  <c r="T419" i="1" s="1"/>
  <c r="T417" i="1"/>
  <c r="R1443" i="2"/>
  <c r="R1452" i="2"/>
  <c r="R1444" i="2"/>
  <c r="R1425" i="2"/>
  <c r="R1427" i="2" s="1"/>
  <c r="S1428" i="2" s="1"/>
  <c r="R1434" i="2"/>
  <c r="R1435" i="2"/>
  <c r="R1437" i="2" s="1"/>
  <c r="T1450" i="2"/>
  <c r="S790" i="1"/>
  <c r="S791" i="1" s="1"/>
  <c r="S792" i="1" s="1"/>
  <c r="S794" i="1" s="1"/>
  <c r="U412" i="1" l="1"/>
  <c r="U410" i="1"/>
  <c r="V423" i="1"/>
  <c r="V425" i="1"/>
  <c r="V428" i="1" s="1"/>
  <c r="S430" i="1"/>
  <c r="S432" i="1"/>
  <c r="U407" i="1"/>
  <c r="T422" i="1"/>
  <c r="T420" i="1"/>
  <c r="R1445" i="2"/>
  <c r="R1446" i="2"/>
  <c r="R1448" i="2" s="1"/>
  <c r="R1463" i="2"/>
  <c r="R1454" i="2"/>
  <c r="R1455" i="2"/>
  <c r="R1436" i="2"/>
  <c r="R1438" i="2" s="1"/>
  <c r="S1439" i="2" s="1"/>
  <c r="T1461" i="2"/>
  <c r="T423" i="1" l="1"/>
  <c r="T426" i="1" s="1"/>
  <c r="T425" i="1"/>
  <c r="T428" i="1" s="1"/>
  <c r="S435" i="1"/>
  <c r="S433" i="1"/>
  <c r="V426" i="1"/>
  <c r="V429" i="1" s="1"/>
  <c r="V427" i="1"/>
  <c r="U413" i="1"/>
  <c r="U415" i="1"/>
  <c r="R1447" i="2"/>
  <c r="R1449" i="2" s="1"/>
  <c r="S1450" i="2" s="1"/>
  <c r="R1465" i="2"/>
  <c r="R1474" i="2"/>
  <c r="R1466" i="2"/>
  <c r="R1456" i="2"/>
  <c r="R1457" i="2"/>
  <c r="R1459" i="2" s="1"/>
  <c r="T1472" i="2"/>
  <c r="S795" i="1"/>
  <c r="S796" i="1"/>
  <c r="S797" i="1"/>
  <c r="V430" i="1" l="1"/>
  <c r="V432" i="1"/>
  <c r="S436" i="1"/>
  <c r="U416" i="1"/>
  <c r="S438" i="1"/>
  <c r="S439" i="1" s="1"/>
  <c r="T427" i="1"/>
  <c r="T429" i="1"/>
  <c r="U418" i="1"/>
  <c r="U417" i="1" s="1"/>
  <c r="S807" i="1"/>
  <c r="R1458" i="2"/>
  <c r="R1460" i="2" s="1"/>
  <c r="S1461" i="2" s="1"/>
  <c r="R1467" i="2"/>
  <c r="R1468" i="2"/>
  <c r="R1470" i="2" s="1"/>
  <c r="R1476" i="2"/>
  <c r="R1485" i="2"/>
  <c r="R1477" i="2"/>
  <c r="T1483" i="2"/>
  <c r="S798" i="1"/>
  <c r="S801" i="1" s="1"/>
  <c r="S442" i="1" l="1"/>
  <c r="S440" i="1"/>
  <c r="S437" i="1"/>
  <c r="U419" i="1"/>
  <c r="V435" i="1"/>
  <c r="V433" i="1"/>
  <c r="T430" i="1"/>
  <c r="T432" i="1"/>
  <c r="D25" i="1"/>
  <c r="D26" i="1" s="1"/>
  <c r="M36" i="2"/>
  <c r="M20" i="2" s="1"/>
  <c r="R1478" i="2"/>
  <c r="R1479" i="2"/>
  <c r="R1481" i="2" s="1"/>
  <c r="R1469" i="2"/>
  <c r="R1471" i="2" s="1"/>
  <c r="S1472" i="2" s="1"/>
  <c r="R1496" i="2"/>
  <c r="R1487" i="2"/>
  <c r="R1488" i="2"/>
  <c r="T1494" i="2"/>
  <c r="S800" i="1"/>
  <c r="S802" i="1" s="1"/>
  <c r="S803" i="1" s="1"/>
  <c r="V436" i="1" l="1"/>
  <c r="V438" i="1"/>
  <c r="V437" i="1" s="1"/>
  <c r="U422" i="1"/>
  <c r="U420" i="1"/>
  <c r="T433" i="1"/>
  <c r="T435" i="1"/>
  <c r="T438" i="1" s="1"/>
  <c r="S445" i="1"/>
  <c r="S443" i="1"/>
  <c r="O15" i="6"/>
  <c r="C38" i="6" s="1"/>
  <c r="C45" i="3"/>
  <c r="S45" i="3" s="1"/>
  <c r="W40" i="3"/>
  <c r="X40" i="3" s="1"/>
  <c r="Y40" i="3"/>
  <c r="Z40" i="3" s="1"/>
  <c r="R1489" i="2"/>
  <c r="R1490" i="2"/>
  <c r="R1492" i="2" s="1"/>
  <c r="R1507" i="2"/>
  <c r="R1498" i="2"/>
  <c r="R1499" i="2"/>
  <c r="R1480" i="2"/>
  <c r="R1482" i="2" s="1"/>
  <c r="S1483" i="2" s="1"/>
  <c r="T1505" i="2"/>
  <c r="D27" i="1"/>
  <c r="S804" i="1"/>
  <c r="T436" i="1" l="1"/>
  <c r="T439" i="1" s="1"/>
  <c r="T437" i="1"/>
  <c r="U425" i="1"/>
  <c r="U423" i="1"/>
  <c r="S446" i="1"/>
  <c r="V439" i="1"/>
  <c r="S448" i="1"/>
  <c r="S447" i="1" s="1"/>
  <c r="C30" i="6"/>
  <c r="C32" i="6"/>
  <c r="C36" i="6"/>
  <c r="C40" i="6"/>
  <c r="C34" i="6"/>
  <c r="L45" i="3"/>
  <c r="M45" i="3"/>
  <c r="Q45" i="3"/>
  <c r="J45" i="3"/>
  <c r="O45" i="3"/>
  <c r="E45" i="3"/>
  <c r="I45" i="3"/>
  <c r="H45" i="3"/>
  <c r="K45" i="3"/>
  <c r="F45" i="3"/>
  <c r="D45" i="3"/>
  <c r="G45" i="3"/>
  <c r="R45" i="3"/>
  <c r="N45" i="3"/>
  <c r="T45" i="3"/>
  <c r="U45" i="3"/>
  <c r="P45" i="3"/>
  <c r="R1491" i="2"/>
  <c r="R1493" i="2" s="1"/>
  <c r="S1494" i="2" s="1"/>
  <c r="R1509" i="2"/>
  <c r="R1518" i="2"/>
  <c r="R1510" i="2"/>
  <c r="R1500" i="2"/>
  <c r="R1502" i="2" s="1"/>
  <c r="R1501" i="2"/>
  <c r="R1503" i="2" s="1"/>
  <c r="T1516" i="2"/>
  <c r="V442" i="1" l="1"/>
  <c r="V440" i="1"/>
  <c r="S449" i="1"/>
  <c r="U426" i="1"/>
  <c r="U428" i="1"/>
  <c r="U427" i="1" s="1"/>
  <c r="T442" i="1"/>
  <c r="T440" i="1"/>
  <c r="R1511" i="2"/>
  <c r="R1512" i="2"/>
  <c r="R1514" i="2" s="1"/>
  <c r="R1520" i="2"/>
  <c r="R1529" i="2"/>
  <c r="R1521" i="2"/>
  <c r="R1504" i="2"/>
  <c r="S1505" i="2" s="1"/>
  <c r="T1527" i="2"/>
  <c r="U429" i="1" l="1"/>
  <c r="T443" i="1"/>
  <c r="T445" i="1"/>
  <c r="T448" i="1" s="1"/>
  <c r="S452" i="1"/>
  <c r="S450" i="1"/>
  <c r="V445" i="1"/>
  <c r="V443" i="1"/>
  <c r="R1513" i="2"/>
  <c r="R1515" i="2" s="1"/>
  <c r="S1516" i="2" s="1"/>
  <c r="R1522" i="2"/>
  <c r="R1523" i="2"/>
  <c r="R1525" i="2" s="1"/>
  <c r="R1531" i="2"/>
  <c r="R1540" i="2"/>
  <c r="R1532" i="2"/>
  <c r="T1538" i="2"/>
  <c r="V448" i="1" l="1"/>
  <c r="S453" i="1"/>
  <c r="S455" i="1"/>
  <c r="S458" i="1" s="1"/>
  <c r="T446" i="1"/>
  <c r="T449" i="1" s="1"/>
  <c r="T447" i="1"/>
  <c r="V446" i="1"/>
  <c r="V449" i="1" s="1"/>
  <c r="V447" i="1"/>
  <c r="U430" i="1"/>
  <c r="U432" i="1"/>
  <c r="R1533" i="2"/>
  <c r="R1534" i="2"/>
  <c r="R1536" i="2" s="1"/>
  <c r="R1524" i="2"/>
  <c r="R1526" i="2" s="1"/>
  <c r="S1527" i="2" s="1"/>
  <c r="R1542" i="2"/>
  <c r="R1551" i="2"/>
  <c r="R1543" i="2"/>
  <c r="T1549" i="2"/>
  <c r="V452" i="1" l="1"/>
  <c r="V450" i="1"/>
  <c r="T452" i="1"/>
  <c r="T450" i="1"/>
  <c r="S457" i="1"/>
  <c r="S456" i="1"/>
  <c r="S459" i="1" s="1"/>
  <c r="U435" i="1"/>
  <c r="U433" i="1"/>
  <c r="R1544" i="2"/>
  <c r="R1546" i="2" s="1"/>
  <c r="R1545" i="2"/>
  <c r="R1547" i="2" s="1"/>
  <c r="R1535" i="2"/>
  <c r="R1537" i="2" s="1"/>
  <c r="S1538" i="2" s="1"/>
  <c r="R1553" i="2"/>
  <c r="R1562" i="2"/>
  <c r="R1554" i="2"/>
  <c r="T1560" i="2"/>
  <c r="U438" i="1" l="1"/>
  <c r="U437" i="1" s="1"/>
  <c r="U436" i="1"/>
  <c r="T453" i="1"/>
  <c r="T455" i="1"/>
  <c r="T458" i="1" s="1"/>
  <c r="S462" i="1"/>
  <c r="S460" i="1"/>
  <c r="V453" i="1"/>
  <c r="V455" i="1"/>
  <c r="R1555" i="2"/>
  <c r="R1556" i="2"/>
  <c r="R1558" i="2" s="1"/>
  <c r="R1548" i="2"/>
  <c r="S1549" i="2" s="1"/>
  <c r="R1564" i="2"/>
  <c r="R1573" i="2"/>
  <c r="R1565" i="2"/>
  <c r="T1571" i="2"/>
  <c r="U439" i="1" l="1"/>
  <c r="V458" i="1"/>
  <c r="S463" i="1"/>
  <c r="S465" i="1"/>
  <c r="S468" i="1" s="1"/>
  <c r="T456" i="1"/>
  <c r="T459" i="1" s="1"/>
  <c r="T457" i="1"/>
  <c r="V459" i="1"/>
  <c r="U442" i="1"/>
  <c r="U440" i="1"/>
  <c r="V457" i="1"/>
  <c r="V456" i="1"/>
  <c r="R1575" i="2"/>
  <c r="R1584" i="2"/>
  <c r="R1576" i="2"/>
  <c r="R1557" i="2"/>
  <c r="R1559" i="2" s="1"/>
  <c r="S1560" i="2" s="1"/>
  <c r="R1566" i="2"/>
  <c r="R1567" i="2"/>
  <c r="R1569" i="2" s="1"/>
  <c r="T1582" i="2"/>
  <c r="T462" i="1" l="1"/>
  <c r="T460" i="1"/>
  <c r="U445" i="1"/>
  <c r="U443" i="1"/>
  <c r="V462" i="1"/>
  <c r="V460" i="1"/>
  <c r="S467" i="1"/>
  <c r="S466" i="1"/>
  <c r="S469" i="1" s="1"/>
  <c r="R1577" i="2"/>
  <c r="R1578" i="2"/>
  <c r="R1580" i="2" s="1"/>
  <c r="R1586" i="2"/>
  <c r="R1595" i="2"/>
  <c r="R1587" i="2"/>
  <c r="R1568" i="2"/>
  <c r="R1570" i="2" s="1"/>
  <c r="S1571" i="2" s="1"/>
  <c r="T1593" i="2"/>
  <c r="U448" i="1" l="1"/>
  <c r="V463" i="1"/>
  <c r="V465" i="1"/>
  <c r="V468" i="1" s="1"/>
  <c r="U446" i="1"/>
  <c r="U449" i="1" s="1"/>
  <c r="U447" i="1"/>
  <c r="S472" i="1"/>
  <c r="S470" i="1"/>
  <c r="T465" i="1"/>
  <c r="T463" i="1"/>
  <c r="R1579" i="2"/>
  <c r="R1581" i="2" s="1"/>
  <c r="S1582" i="2" s="1"/>
  <c r="R1588" i="2"/>
  <c r="R1589" i="2"/>
  <c r="R1591" i="2" s="1"/>
  <c r="R1597" i="2"/>
  <c r="R1606" i="2"/>
  <c r="R1598" i="2"/>
  <c r="T1604" i="2"/>
  <c r="U452" i="1" l="1"/>
  <c r="U450" i="1"/>
  <c r="T466" i="1"/>
  <c r="S475" i="1"/>
  <c r="S473" i="1"/>
  <c r="T468" i="1"/>
  <c r="T467" i="1" s="1"/>
  <c r="V467" i="1"/>
  <c r="V466" i="1"/>
  <c r="V469" i="1" s="1"/>
  <c r="R1599" i="2"/>
  <c r="R1601" i="2" s="1"/>
  <c r="R1600" i="2"/>
  <c r="R1602" i="2" s="1"/>
  <c r="R1590" i="2"/>
  <c r="R1592" i="2" s="1"/>
  <c r="S1593" i="2" s="1"/>
  <c r="R1608" i="2"/>
  <c r="R1617" i="2"/>
  <c r="R1609" i="2"/>
  <c r="T1615" i="2"/>
  <c r="S476" i="1" l="1"/>
  <c r="S478" i="1"/>
  <c r="S477" i="1" s="1"/>
  <c r="V472" i="1"/>
  <c r="V470" i="1"/>
  <c r="T469" i="1"/>
  <c r="U453" i="1"/>
  <c r="U455" i="1"/>
  <c r="U458" i="1" s="1"/>
  <c r="R1603" i="2"/>
  <c r="S1604" i="2" s="1"/>
  <c r="R1610" i="2"/>
  <c r="R1611" i="2"/>
  <c r="R1613" i="2" s="1"/>
  <c r="R1619" i="2"/>
  <c r="R1628" i="2"/>
  <c r="R1620" i="2"/>
  <c r="T1626" i="2"/>
  <c r="V475" i="1" l="1"/>
  <c r="V473" i="1"/>
  <c r="U456" i="1"/>
  <c r="U457" i="1"/>
  <c r="S479" i="1"/>
  <c r="U459" i="1"/>
  <c r="T472" i="1"/>
  <c r="T470" i="1"/>
  <c r="R1612" i="2"/>
  <c r="R1614" i="2" s="1"/>
  <c r="S1615" i="2" s="1"/>
  <c r="R1621" i="2"/>
  <c r="R1622" i="2"/>
  <c r="R1624" i="2" s="1"/>
  <c r="R1630" i="2"/>
  <c r="R1639" i="2"/>
  <c r="R1631" i="2"/>
  <c r="T1637" i="2"/>
  <c r="S482" i="1" l="1"/>
  <c r="S480" i="1"/>
  <c r="T475" i="1"/>
  <c r="T473" i="1"/>
  <c r="V476" i="1"/>
  <c r="V477" i="1"/>
  <c r="U462" i="1"/>
  <c r="U460" i="1"/>
  <c r="V478" i="1"/>
  <c r="R1641" i="2"/>
  <c r="R1650" i="2"/>
  <c r="R1642" i="2"/>
  <c r="R1632" i="2"/>
  <c r="R1634" i="2" s="1"/>
  <c r="R1633" i="2"/>
  <c r="R1635" i="2" s="1"/>
  <c r="R1623" i="2"/>
  <c r="R1625" i="2" s="1"/>
  <c r="S1626" i="2" s="1"/>
  <c r="T1648" i="2"/>
  <c r="U465" i="1" l="1"/>
  <c r="U463" i="1"/>
  <c r="T478" i="1"/>
  <c r="T476" i="1"/>
  <c r="T479" i="1" s="1"/>
  <c r="T477" i="1"/>
  <c r="V479" i="1"/>
  <c r="S483" i="1"/>
  <c r="S485" i="1"/>
  <c r="R1643" i="2"/>
  <c r="R1644" i="2"/>
  <c r="R1646" i="2" s="1"/>
  <c r="R1636" i="2"/>
  <c r="S1637" i="2" s="1"/>
  <c r="R1652" i="2"/>
  <c r="R1661" i="2"/>
  <c r="R1653" i="2"/>
  <c r="T1659" i="2"/>
  <c r="U468" i="1" l="1"/>
  <c r="V482" i="1"/>
  <c r="V480" i="1"/>
  <c r="T482" i="1"/>
  <c r="T480" i="1"/>
  <c r="U466" i="1"/>
  <c r="U469" i="1" s="1"/>
  <c r="U467" i="1"/>
  <c r="S486" i="1"/>
  <c r="S487" i="1"/>
  <c r="S488" i="1"/>
  <c r="R1663" i="2"/>
  <c r="R1672" i="2"/>
  <c r="R1664" i="2"/>
  <c r="R1645" i="2"/>
  <c r="R1647" i="2" s="1"/>
  <c r="S1648" i="2" s="1"/>
  <c r="R1654" i="2"/>
  <c r="R1655" i="2"/>
  <c r="R1657" i="2" s="1"/>
  <c r="T1670" i="2"/>
  <c r="U472" i="1" l="1"/>
  <c r="U470" i="1"/>
  <c r="T485" i="1"/>
  <c r="T483" i="1"/>
  <c r="S489" i="1"/>
  <c r="V483" i="1"/>
  <c r="V485" i="1"/>
  <c r="R1665" i="2"/>
  <c r="R1666" i="2"/>
  <c r="R1668" i="2" s="1"/>
  <c r="R1674" i="2"/>
  <c r="R1683" i="2"/>
  <c r="R1675" i="2"/>
  <c r="R1656" i="2"/>
  <c r="R1658" i="2" s="1"/>
  <c r="S1659" i="2" s="1"/>
  <c r="T1681" i="2"/>
  <c r="V486" i="1" l="1"/>
  <c r="V488" i="1"/>
  <c r="V489" i="1" s="1"/>
  <c r="S492" i="1"/>
  <c r="S490" i="1"/>
  <c r="T486" i="1"/>
  <c r="T488" i="1"/>
  <c r="T487" i="1" s="1"/>
  <c r="U475" i="1"/>
  <c r="U473" i="1"/>
  <c r="R1667" i="2"/>
  <c r="R1669" i="2" s="1"/>
  <c r="S1670" i="2" s="1"/>
  <c r="R1676" i="2"/>
  <c r="R1677" i="2"/>
  <c r="R1679" i="2" s="1"/>
  <c r="R1685" i="2"/>
  <c r="R1694" i="2"/>
  <c r="R1686" i="2"/>
  <c r="T1692" i="2"/>
  <c r="S493" i="1" l="1"/>
  <c r="S495" i="1"/>
  <c r="S498" i="1" s="1"/>
  <c r="V492" i="1"/>
  <c r="V490" i="1"/>
  <c r="T489" i="1"/>
  <c r="U476" i="1"/>
  <c r="U479" i="1" s="1"/>
  <c r="U477" i="1"/>
  <c r="V487" i="1"/>
  <c r="U478" i="1"/>
  <c r="R1696" i="2"/>
  <c r="R1705" i="2"/>
  <c r="R1697" i="2"/>
  <c r="R1687" i="2"/>
  <c r="R1688" i="2"/>
  <c r="R1690" i="2" s="1"/>
  <c r="R1678" i="2"/>
  <c r="R1680" i="2" s="1"/>
  <c r="S1681" i="2" s="1"/>
  <c r="T1703" i="2"/>
  <c r="U482" i="1" l="1"/>
  <c r="U480" i="1"/>
  <c r="T492" i="1"/>
  <c r="T490" i="1"/>
  <c r="V495" i="1"/>
  <c r="V493" i="1"/>
  <c r="S496" i="1"/>
  <c r="S499" i="1" s="1"/>
  <c r="S497" i="1"/>
  <c r="R1689" i="2"/>
  <c r="R1691" i="2" s="1"/>
  <c r="S1692" i="2" s="1"/>
  <c r="R1698" i="2"/>
  <c r="R1699" i="2"/>
  <c r="R1701" i="2" s="1"/>
  <c r="R1707" i="2"/>
  <c r="R1716" i="2"/>
  <c r="R1708" i="2"/>
  <c r="T1714" i="2"/>
  <c r="S502" i="1" l="1"/>
  <c r="S500" i="1"/>
  <c r="V496" i="1"/>
  <c r="V498" i="1"/>
  <c r="V499" i="1" s="1"/>
  <c r="T493" i="1"/>
  <c r="T495" i="1"/>
  <c r="T498" i="1" s="1"/>
  <c r="U485" i="1"/>
  <c r="U483" i="1"/>
  <c r="R1718" i="2"/>
  <c r="R1727" i="2"/>
  <c r="R1719" i="2"/>
  <c r="R1709" i="2"/>
  <c r="R1711" i="2" s="1"/>
  <c r="R1710" i="2"/>
  <c r="R1712" i="2" s="1"/>
  <c r="R1700" i="2"/>
  <c r="R1702" i="2" s="1"/>
  <c r="S1703" i="2" s="1"/>
  <c r="T1725" i="2"/>
  <c r="T496" i="1" l="1"/>
  <c r="T499" i="1" s="1"/>
  <c r="T497" i="1"/>
  <c r="V497" i="1"/>
  <c r="V502" i="1"/>
  <c r="V500" i="1"/>
  <c r="U486" i="1"/>
  <c r="U488" i="1"/>
  <c r="U487" i="1" s="1"/>
  <c r="S503" i="1"/>
  <c r="S505" i="1"/>
  <c r="S508" i="1" s="1"/>
  <c r="R1713" i="2"/>
  <c r="S1714" i="2" s="1"/>
  <c r="R1720" i="2"/>
  <c r="R1721" i="2"/>
  <c r="R1723" i="2" s="1"/>
  <c r="R1729" i="2"/>
  <c r="R1738" i="2"/>
  <c r="R1730" i="2"/>
  <c r="T1736" i="2"/>
  <c r="U489" i="1" l="1"/>
  <c r="V503" i="1"/>
  <c r="V505" i="1"/>
  <c r="V508" i="1" s="1"/>
  <c r="S506" i="1"/>
  <c r="S509" i="1" s="1"/>
  <c r="S507" i="1"/>
  <c r="T502" i="1"/>
  <c r="T500" i="1"/>
  <c r="R1722" i="2"/>
  <c r="R1724" i="2" s="1"/>
  <c r="S1725" i="2" s="1"/>
  <c r="R1731" i="2"/>
  <c r="R1732" i="2"/>
  <c r="R1734" i="2" s="1"/>
  <c r="R1740" i="2"/>
  <c r="R1749" i="2"/>
  <c r="R1741" i="2"/>
  <c r="T1747" i="2"/>
  <c r="S512" i="1" l="1"/>
  <c r="S510" i="1"/>
  <c r="V506" i="1"/>
  <c r="V509" i="1" s="1"/>
  <c r="V507" i="1"/>
  <c r="T503" i="1"/>
  <c r="T505" i="1"/>
  <c r="T508" i="1" s="1"/>
  <c r="U492" i="1"/>
  <c r="U490" i="1"/>
  <c r="R1742" i="2"/>
  <c r="R1743" i="2"/>
  <c r="R1745" i="2" s="1"/>
  <c r="R1760" i="2"/>
  <c r="R1751" i="2"/>
  <c r="R1752" i="2"/>
  <c r="R1733" i="2"/>
  <c r="R1735" i="2" s="1"/>
  <c r="S1736" i="2" s="1"/>
  <c r="T1758" i="2"/>
  <c r="V512" i="1" l="1"/>
  <c r="V510" i="1"/>
  <c r="T506" i="1"/>
  <c r="T507" i="1"/>
  <c r="T509" i="1"/>
  <c r="U495" i="1"/>
  <c r="U493" i="1"/>
  <c r="S513" i="1"/>
  <c r="S515" i="1"/>
  <c r="S518" i="1" s="1"/>
  <c r="R1744" i="2"/>
  <c r="R1746" i="2" s="1"/>
  <c r="S1747" i="2" s="1"/>
  <c r="R1771" i="2"/>
  <c r="R1762" i="2"/>
  <c r="R1763" i="2"/>
  <c r="R1753" i="2"/>
  <c r="R1754" i="2"/>
  <c r="R1756" i="2" s="1"/>
  <c r="T1769" i="2"/>
  <c r="T512" i="1" l="1"/>
  <c r="T510" i="1"/>
  <c r="U498" i="1"/>
  <c r="U496" i="1"/>
  <c r="U497" i="1"/>
  <c r="S516" i="1"/>
  <c r="S519" i="1" s="1"/>
  <c r="S517" i="1"/>
  <c r="V515" i="1"/>
  <c r="V513" i="1"/>
  <c r="R1773" i="2"/>
  <c r="R1782" i="2"/>
  <c r="R1774" i="2"/>
  <c r="R1755" i="2"/>
  <c r="R1757" i="2" s="1"/>
  <c r="S1758" i="2" s="1"/>
  <c r="R1764" i="2"/>
  <c r="R1765" i="2"/>
  <c r="R1767" i="2" s="1"/>
  <c r="T1780" i="2"/>
  <c r="S522" i="1" l="1"/>
  <c r="S520" i="1"/>
  <c r="U499" i="1"/>
  <c r="V516" i="1"/>
  <c r="V518" i="1"/>
  <c r="V519" i="1" s="1"/>
  <c r="T513" i="1"/>
  <c r="T515" i="1"/>
  <c r="T518" i="1" s="1"/>
  <c r="R1775" i="2"/>
  <c r="R1777" i="2" s="1"/>
  <c r="R1776" i="2"/>
  <c r="R1778" i="2" s="1"/>
  <c r="R1784" i="2"/>
  <c r="R1793" i="2"/>
  <c r="R1785" i="2"/>
  <c r="R1766" i="2"/>
  <c r="R1768" i="2" s="1"/>
  <c r="S1769" i="2" s="1"/>
  <c r="T1791" i="2"/>
  <c r="V522" i="1" l="1"/>
  <c r="V520" i="1"/>
  <c r="T516" i="1"/>
  <c r="T517" i="1"/>
  <c r="U502" i="1"/>
  <c r="U500" i="1"/>
  <c r="T519" i="1"/>
  <c r="V517" i="1"/>
  <c r="S523" i="1"/>
  <c r="S525" i="1"/>
  <c r="S528" i="1" s="1"/>
  <c r="R1779" i="2"/>
  <c r="S1780" i="2" s="1"/>
  <c r="R1786" i="2"/>
  <c r="R1787" i="2"/>
  <c r="R1789" i="2" s="1"/>
  <c r="R1795" i="2"/>
  <c r="R1804" i="2"/>
  <c r="R1796" i="2"/>
  <c r="T1802" i="2"/>
  <c r="T522" i="1" l="1"/>
  <c r="T520" i="1"/>
  <c r="U503" i="1"/>
  <c r="U505" i="1"/>
  <c r="U508" i="1" s="1"/>
  <c r="S526" i="1"/>
  <c r="S529" i="1" s="1"/>
  <c r="S527" i="1"/>
  <c r="V523" i="1"/>
  <c r="V525" i="1"/>
  <c r="R1788" i="2"/>
  <c r="R1790" i="2" s="1"/>
  <c r="S1791" i="2" s="1"/>
  <c r="R1797" i="2"/>
  <c r="R1798" i="2"/>
  <c r="R1800" i="2" s="1"/>
  <c r="R1806" i="2"/>
  <c r="R1815" i="2"/>
  <c r="R1807" i="2"/>
  <c r="T1813" i="2"/>
  <c r="S530" i="1" l="1"/>
  <c r="S532" i="1"/>
  <c r="U507" i="1"/>
  <c r="U506" i="1"/>
  <c r="U509" i="1" s="1"/>
  <c r="V526" i="1"/>
  <c r="V528" i="1"/>
  <c r="V529" i="1" s="1"/>
  <c r="T523" i="1"/>
  <c r="T525" i="1"/>
  <c r="R1808" i="2"/>
  <c r="R1809" i="2"/>
  <c r="R1811" i="2" s="1"/>
  <c r="R1799" i="2"/>
  <c r="R1801" i="2" s="1"/>
  <c r="S1802" i="2" s="1"/>
  <c r="R1817" i="2"/>
  <c r="R1826" i="2"/>
  <c r="R1818" i="2"/>
  <c r="T1824" i="2"/>
  <c r="T526" i="1" l="1"/>
  <c r="V527" i="1"/>
  <c r="V530" i="1"/>
  <c r="V532" i="1"/>
  <c r="S535" i="1"/>
  <c r="S533" i="1"/>
  <c r="U512" i="1"/>
  <c r="U510" i="1"/>
  <c r="T528" i="1"/>
  <c r="T527" i="1" s="1"/>
  <c r="R1819" i="2"/>
  <c r="R1820" i="2"/>
  <c r="R1822" i="2" s="1"/>
  <c r="R1810" i="2"/>
  <c r="R1812" i="2" s="1"/>
  <c r="S1813" i="2" s="1"/>
  <c r="R1828" i="2"/>
  <c r="R1837" i="2"/>
  <c r="R1829" i="2"/>
  <c r="T1835" i="2"/>
  <c r="S536" i="1" l="1"/>
  <c r="S538" i="1"/>
  <c r="S539" i="1" s="1"/>
  <c r="V533" i="1"/>
  <c r="V535" i="1"/>
  <c r="V538" i="1" s="1"/>
  <c r="U513" i="1"/>
  <c r="U515" i="1"/>
  <c r="U518" i="1" s="1"/>
  <c r="T529" i="1"/>
  <c r="R1830" i="2"/>
  <c r="R1831" i="2"/>
  <c r="R1833" i="2" s="1"/>
  <c r="R1821" i="2"/>
  <c r="R1823" i="2" s="1"/>
  <c r="S1824" i="2" s="1"/>
  <c r="R1839" i="2"/>
  <c r="R1848" i="2"/>
  <c r="R1840" i="2"/>
  <c r="T1846" i="2"/>
  <c r="U516" i="1" l="1"/>
  <c r="U517" i="1"/>
  <c r="S542" i="1"/>
  <c r="S540" i="1"/>
  <c r="U519" i="1"/>
  <c r="S537" i="1"/>
  <c r="V536" i="1"/>
  <c r="V539" i="1" s="1"/>
  <c r="V537" i="1"/>
  <c r="T530" i="1"/>
  <c r="T532" i="1"/>
  <c r="R1841" i="2"/>
  <c r="R1842" i="2"/>
  <c r="R1844" i="2" s="1"/>
  <c r="R1832" i="2"/>
  <c r="R1834" i="2" s="1"/>
  <c r="S1835" i="2" s="1"/>
  <c r="R1850" i="2"/>
  <c r="R1859" i="2"/>
  <c r="R1851" i="2"/>
  <c r="T1857" i="2"/>
  <c r="V542" i="1" l="1"/>
  <c r="V540" i="1"/>
  <c r="U522" i="1"/>
  <c r="U520" i="1"/>
  <c r="S543" i="1"/>
  <c r="S545" i="1"/>
  <c r="S548" i="1" s="1"/>
  <c r="T533" i="1"/>
  <c r="T535" i="1"/>
  <c r="R1852" i="2"/>
  <c r="R1853" i="2"/>
  <c r="R1855" i="2" s="1"/>
  <c r="R1843" i="2"/>
  <c r="R1845" i="2" s="1"/>
  <c r="S1846" i="2" s="1"/>
  <c r="R1861" i="2"/>
  <c r="R1870" i="2"/>
  <c r="R1862" i="2"/>
  <c r="T1868" i="2"/>
  <c r="T536" i="1" l="1"/>
  <c r="U525" i="1"/>
  <c r="U523" i="1"/>
  <c r="S546" i="1"/>
  <c r="S549" i="1" s="1"/>
  <c r="S547" i="1"/>
  <c r="T538" i="1"/>
  <c r="T537" i="1" s="1"/>
  <c r="V545" i="1"/>
  <c r="V548" i="1" s="1"/>
  <c r="V543" i="1"/>
  <c r="R1872" i="2"/>
  <c r="R1881" i="2"/>
  <c r="R1873" i="2"/>
  <c r="R1863" i="2"/>
  <c r="R1865" i="2" s="1"/>
  <c r="R1864" i="2"/>
  <c r="R1866" i="2" s="1"/>
  <c r="R1854" i="2"/>
  <c r="R1856" i="2" s="1"/>
  <c r="S1857" i="2" s="1"/>
  <c r="T1879" i="2"/>
  <c r="S552" i="1" l="1"/>
  <c r="S550" i="1"/>
  <c r="U528" i="1"/>
  <c r="U526" i="1"/>
  <c r="U527" i="1"/>
  <c r="V546" i="1"/>
  <c r="V549" i="1" s="1"/>
  <c r="V547" i="1"/>
  <c r="T539" i="1"/>
  <c r="R1867" i="2"/>
  <c r="S1868" i="2" s="1"/>
  <c r="R1874" i="2"/>
  <c r="R1875" i="2"/>
  <c r="R1877" i="2" s="1"/>
  <c r="R1883" i="2"/>
  <c r="R1892" i="2"/>
  <c r="R1884" i="2"/>
  <c r="T1890" i="2"/>
  <c r="V552" i="1" l="1"/>
  <c r="V550" i="1"/>
  <c r="U529" i="1"/>
  <c r="T542" i="1"/>
  <c r="T540" i="1"/>
  <c r="S553" i="1"/>
  <c r="S555" i="1"/>
  <c r="S558" i="1" s="1"/>
  <c r="R1876" i="2"/>
  <c r="R1878" i="2" s="1"/>
  <c r="S1879" i="2" s="1"/>
  <c r="R1885" i="2"/>
  <c r="R1886" i="2"/>
  <c r="R1888" i="2" s="1"/>
  <c r="R1894" i="2"/>
  <c r="R1903" i="2"/>
  <c r="R1895" i="2"/>
  <c r="T1901" i="2"/>
  <c r="S556" i="1" l="1"/>
  <c r="S559" i="1" s="1"/>
  <c r="S557" i="1"/>
  <c r="U530" i="1"/>
  <c r="U532" i="1"/>
  <c r="T545" i="1"/>
  <c r="T543" i="1"/>
  <c r="V553" i="1"/>
  <c r="V555" i="1"/>
  <c r="V558" i="1" s="1"/>
  <c r="R1896" i="2"/>
  <c r="R1897" i="2"/>
  <c r="R1899" i="2" s="1"/>
  <c r="R1887" i="2"/>
  <c r="R1889" i="2" s="1"/>
  <c r="S1890" i="2" s="1"/>
  <c r="R1905" i="2"/>
  <c r="R1914" i="2"/>
  <c r="R1906" i="2"/>
  <c r="T1912" i="2"/>
  <c r="S562" i="1" l="1"/>
  <c r="S560" i="1"/>
  <c r="T546" i="1"/>
  <c r="U535" i="1"/>
  <c r="U533" i="1"/>
  <c r="T548" i="1"/>
  <c r="T549" i="1" s="1"/>
  <c r="V557" i="1"/>
  <c r="V556" i="1"/>
  <c r="V559" i="1" s="1"/>
  <c r="R1907" i="2"/>
  <c r="R1908" i="2"/>
  <c r="R1910" i="2" s="1"/>
  <c r="R1898" i="2"/>
  <c r="R1900" i="2" s="1"/>
  <c r="S1901" i="2" s="1"/>
  <c r="R1916" i="2"/>
  <c r="R1925" i="2"/>
  <c r="R1917" i="2"/>
  <c r="T1923" i="2"/>
  <c r="U538" i="1" l="1"/>
  <c r="U536" i="1"/>
  <c r="U539" i="1" s="1"/>
  <c r="U537" i="1"/>
  <c r="V562" i="1"/>
  <c r="V560" i="1"/>
  <c r="T552" i="1"/>
  <c r="T550" i="1"/>
  <c r="T547" i="1"/>
  <c r="S563" i="1"/>
  <c r="S565" i="1"/>
  <c r="S568" i="1" s="1"/>
  <c r="R1918" i="2"/>
  <c r="R1919" i="2"/>
  <c r="R1921" i="2" s="1"/>
  <c r="R1909" i="2"/>
  <c r="R1911" i="2" s="1"/>
  <c r="S1912" i="2" s="1"/>
  <c r="R1927" i="2"/>
  <c r="R1936" i="2"/>
  <c r="R1928" i="2"/>
  <c r="T1934" i="2"/>
  <c r="V563" i="1" l="1"/>
  <c r="V565" i="1"/>
  <c r="V568" i="1" s="1"/>
  <c r="T553" i="1"/>
  <c r="T555" i="1"/>
  <c r="T558" i="1" s="1"/>
  <c r="U542" i="1"/>
  <c r="U540" i="1"/>
  <c r="S567" i="1"/>
  <c r="S566" i="1"/>
  <c r="S569" i="1" s="1"/>
  <c r="R1929" i="2"/>
  <c r="R1930" i="2"/>
  <c r="R1932" i="2" s="1"/>
  <c r="R1920" i="2"/>
  <c r="R1922" i="2" s="1"/>
  <c r="S1923" i="2" s="1"/>
  <c r="R1938" i="2"/>
  <c r="R1947" i="2"/>
  <c r="R1939" i="2"/>
  <c r="T1945" i="2"/>
  <c r="U543" i="1" l="1"/>
  <c r="U545" i="1"/>
  <c r="U548" i="1" s="1"/>
  <c r="T557" i="1"/>
  <c r="T556" i="1"/>
  <c r="T559" i="1" s="1"/>
  <c r="S572" i="1"/>
  <c r="S570" i="1"/>
  <c r="V566" i="1"/>
  <c r="V569" i="1" s="1"/>
  <c r="V567" i="1"/>
  <c r="R1940" i="2"/>
  <c r="R1941" i="2"/>
  <c r="R1943" i="2" s="1"/>
  <c r="R1931" i="2"/>
  <c r="R1933" i="2" s="1"/>
  <c r="S1934" i="2" s="1"/>
  <c r="R1949" i="2"/>
  <c r="R1958" i="2"/>
  <c r="R1950" i="2"/>
  <c r="T1956" i="2"/>
  <c r="T562" i="1" l="1"/>
  <c r="T560" i="1"/>
  <c r="S575" i="1"/>
  <c r="S573" i="1"/>
  <c r="V572" i="1"/>
  <c r="V570" i="1"/>
  <c r="U546" i="1"/>
  <c r="U549" i="1" s="1"/>
  <c r="U547" i="1"/>
  <c r="R1951" i="2"/>
  <c r="R1952" i="2"/>
  <c r="R1954" i="2" s="1"/>
  <c r="R1942" i="2"/>
  <c r="R1944" i="2" s="1"/>
  <c r="S1945" i="2" s="1"/>
  <c r="R1960" i="2"/>
  <c r="R1969" i="2"/>
  <c r="R1961" i="2"/>
  <c r="T1967" i="2"/>
  <c r="S576" i="1" l="1"/>
  <c r="U552" i="1"/>
  <c r="U550" i="1"/>
  <c r="V573" i="1"/>
  <c r="V575" i="1"/>
  <c r="V578" i="1" s="1"/>
  <c r="S578" i="1"/>
  <c r="S577" i="1" s="1"/>
  <c r="T563" i="1"/>
  <c r="T565" i="1"/>
  <c r="T568" i="1" s="1"/>
  <c r="R1962" i="2"/>
  <c r="R1963" i="2"/>
  <c r="R1965" i="2" s="1"/>
  <c r="R1953" i="2"/>
  <c r="R1955" i="2" s="1"/>
  <c r="S1956" i="2" s="1"/>
  <c r="R1971" i="2"/>
  <c r="R1980" i="2"/>
  <c r="R1972" i="2"/>
  <c r="T1978" i="2"/>
  <c r="V577" i="1" l="1"/>
  <c r="V576" i="1"/>
  <c r="V579" i="1" s="1"/>
  <c r="U553" i="1"/>
  <c r="U555" i="1"/>
  <c r="T566" i="1"/>
  <c r="T569" i="1" s="1"/>
  <c r="T567" i="1"/>
  <c r="S579" i="1"/>
  <c r="R1973" i="2"/>
  <c r="R1974" i="2"/>
  <c r="R1976" i="2" s="1"/>
  <c r="R1964" i="2"/>
  <c r="R1966" i="2" s="1"/>
  <c r="S1967" i="2" s="1"/>
  <c r="R1982" i="2"/>
  <c r="R1991" i="2"/>
  <c r="R1983" i="2"/>
  <c r="T1989" i="2"/>
  <c r="T572" i="1" l="1"/>
  <c r="T570" i="1"/>
  <c r="U556" i="1"/>
  <c r="U558" i="1"/>
  <c r="U557" i="1" s="1"/>
  <c r="V582" i="1"/>
  <c r="V580" i="1"/>
  <c r="S582" i="1"/>
  <c r="S580" i="1"/>
  <c r="R1984" i="2"/>
  <c r="R1985" i="2"/>
  <c r="R1987" i="2" s="1"/>
  <c r="R1975" i="2"/>
  <c r="R1977" i="2" s="1"/>
  <c r="S1978" i="2" s="1"/>
  <c r="R1993" i="2"/>
  <c r="R2002" i="2"/>
  <c r="R1994" i="2"/>
  <c r="T2000" i="2"/>
  <c r="S583" i="1" l="1"/>
  <c r="S585" i="1"/>
  <c r="S588" i="1" s="1"/>
  <c r="V583" i="1"/>
  <c r="V585" i="1"/>
  <c r="V588" i="1" s="1"/>
  <c r="U559" i="1"/>
  <c r="T573" i="1"/>
  <c r="T575" i="1"/>
  <c r="R1995" i="2"/>
  <c r="R1996" i="2"/>
  <c r="R1998" i="2" s="1"/>
  <c r="R1986" i="2"/>
  <c r="R1988" i="2" s="1"/>
  <c r="S1989" i="2" s="1"/>
  <c r="R2013" i="2"/>
  <c r="R2004" i="2"/>
  <c r="R2005" i="2"/>
  <c r="T2011" i="2"/>
  <c r="T576" i="1" l="1"/>
  <c r="U562" i="1"/>
  <c r="U560" i="1"/>
  <c r="V586" i="1"/>
  <c r="V589" i="1" s="1"/>
  <c r="V587" i="1"/>
  <c r="T578" i="1"/>
  <c r="T579" i="1" s="1"/>
  <c r="S586" i="1"/>
  <c r="S589" i="1" s="1"/>
  <c r="S587" i="1"/>
  <c r="R2015" i="2"/>
  <c r="R2024" i="2"/>
  <c r="R2016" i="2"/>
  <c r="R1997" i="2"/>
  <c r="R1999" i="2" s="1"/>
  <c r="S2000" i="2" s="1"/>
  <c r="R2006" i="2"/>
  <c r="R2007" i="2"/>
  <c r="R2009" i="2" s="1"/>
  <c r="T2022" i="2"/>
  <c r="V592" i="1" l="1"/>
  <c r="V590" i="1"/>
  <c r="T582" i="1"/>
  <c r="T580" i="1"/>
  <c r="U565" i="1"/>
  <c r="U563" i="1"/>
  <c r="T577" i="1"/>
  <c r="S592" i="1"/>
  <c r="S590" i="1"/>
  <c r="R2017" i="2"/>
  <c r="R2018" i="2"/>
  <c r="R2020" i="2" s="1"/>
  <c r="R2026" i="2"/>
  <c r="R2035" i="2"/>
  <c r="R2027" i="2"/>
  <c r="R2008" i="2"/>
  <c r="R2010" i="2" s="1"/>
  <c r="S2011" i="2" s="1"/>
  <c r="T2033" i="2"/>
  <c r="U568" i="1" l="1"/>
  <c r="T583" i="1"/>
  <c r="T585" i="1"/>
  <c r="T588" i="1" s="1"/>
  <c r="U567" i="1"/>
  <c r="U566" i="1"/>
  <c r="U569" i="1" s="1"/>
  <c r="S595" i="1"/>
  <c r="S593" i="1"/>
  <c r="V593" i="1"/>
  <c r="V595" i="1"/>
  <c r="V598" i="1" s="1"/>
  <c r="R2019" i="2"/>
  <c r="R2021" i="2" s="1"/>
  <c r="S2022" i="2" s="1"/>
  <c r="R2028" i="2"/>
  <c r="R2029" i="2"/>
  <c r="R2031" i="2" s="1"/>
  <c r="R2037" i="2"/>
  <c r="R2046" i="2"/>
  <c r="R2038" i="2"/>
  <c r="T2044" i="2"/>
  <c r="S596" i="1" l="1"/>
  <c r="U572" i="1"/>
  <c r="U570" i="1"/>
  <c r="S598" i="1"/>
  <c r="S599" i="1" s="1"/>
  <c r="V596" i="1"/>
  <c r="V599" i="1" s="1"/>
  <c r="V597" i="1"/>
  <c r="T586" i="1"/>
  <c r="T589" i="1" s="1"/>
  <c r="T587" i="1"/>
  <c r="R2039" i="2"/>
  <c r="R2040" i="2"/>
  <c r="R2042" i="2" s="1"/>
  <c r="R2030" i="2"/>
  <c r="R2032" i="2" s="1"/>
  <c r="S2033" i="2" s="1"/>
  <c r="R2048" i="2"/>
  <c r="R2057" i="2"/>
  <c r="R2049" i="2"/>
  <c r="T2055" i="2"/>
  <c r="S602" i="1" l="1"/>
  <c r="S600" i="1"/>
  <c r="T592" i="1"/>
  <c r="T590" i="1"/>
  <c r="V602" i="1"/>
  <c r="V600" i="1"/>
  <c r="U573" i="1"/>
  <c r="U575" i="1"/>
  <c r="S597" i="1"/>
  <c r="R2050" i="2"/>
  <c r="R2051" i="2"/>
  <c r="R2053" i="2" s="1"/>
  <c r="R2041" i="2"/>
  <c r="R2043" i="2" s="1"/>
  <c r="S2044" i="2" s="1"/>
  <c r="R2059" i="2"/>
  <c r="R2068" i="2"/>
  <c r="R2060" i="2"/>
  <c r="T2066" i="2"/>
  <c r="U578" i="1" l="1"/>
  <c r="V603" i="1"/>
  <c r="V605" i="1"/>
  <c r="V608" i="1" s="1"/>
  <c r="G17" i="1" s="1"/>
  <c r="U576" i="1"/>
  <c r="U579" i="1" s="1"/>
  <c r="U577" i="1"/>
  <c r="T593" i="1"/>
  <c r="T595" i="1"/>
  <c r="T598" i="1" s="1"/>
  <c r="S603" i="1"/>
  <c r="S605" i="1"/>
  <c r="R2061" i="2"/>
  <c r="R2062" i="2"/>
  <c r="R2064" i="2" s="1"/>
  <c r="R2052" i="2"/>
  <c r="R2054" i="2" s="1"/>
  <c r="S2055" i="2" s="1"/>
  <c r="R2070" i="2"/>
  <c r="R2079" i="2"/>
  <c r="R2071" i="2"/>
  <c r="T2077" i="2"/>
  <c r="T596" i="1" l="1"/>
  <c r="T599" i="1" s="1"/>
  <c r="T597" i="1"/>
  <c r="S606" i="1"/>
  <c r="U582" i="1"/>
  <c r="U580" i="1"/>
  <c r="S608" i="1"/>
  <c r="D17" i="1" s="1"/>
  <c r="V606" i="1"/>
  <c r="V609" i="1" s="1"/>
  <c r="V607" i="1"/>
  <c r="R2072" i="2"/>
  <c r="R2073" i="2"/>
  <c r="R2075" i="2" s="1"/>
  <c r="R2063" i="2"/>
  <c r="R2065" i="2" s="1"/>
  <c r="S2066" i="2" s="1"/>
  <c r="R2081" i="2"/>
  <c r="R2090" i="2"/>
  <c r="R2082" i="2"/>
  <c r="T2088" i="2"/>
  <c r="U585" i="1" l="1"/>
  <c r="U583" i="1"/>
  <c r="V610" i="1"/>
  <c r="V614" i="1"/>
  <c r="G15" i="1"/>
  <c r="S607" i="1"/>
  <c r="S609" i="1"/>
  <c r="T602" i="1"/>
  <c r="T600" i="1"/>
  <c r="R2083" i="2"/>
  <c r="R2084" i="2"/>
  <c r="R2086" i="2" s="1"/>
  <c r="R2074" i="2"/>
  <c r="R2076" i="2" s="1"/>
  <c r="S2077" i="2" s="1"/>
  <c r="R2101" i="2"/>
  <c r="R2092" i="2"/>
  <c r="R2093" i="2"/>
  <c r="T2099" i="2"/>
  <c r="V615" i="1" l="1"/>
  <c r="V618" i="1" s="1"/>
  <c r="V617" i="1"/>
  <c r="V620" i="1" s="1"/>
  <c r="S610" i="1"/>
  <c r="S614" i="1"/>
  <c r="D15" i="1"/>
  <c r="V655" i="1"/>
  <c r="V628" i="1"/>
  <c r="U586" i="1"/>
  <c r="U589" i="1" s="1"/>
  <c r="T605" i="1"/>
  <c r="T603" i="1"/>
  <c r="U588" i="1"/>
  <c r="U587" i="1" s="1"/>
  <c r="R2103" i="2"/>
  <c r="R2112" i="2"/>
  <c r="R2104" i="2"/>
  <c r="R2085" i="2"/>
  <c r="R2087" i="2" s="1"/>
  <c r="S2088" i="2" s="1"/>
  <c r="R2094" i="2"/>
  <c r="R2095" i="2"/>
  <c r="R2097" i="2" s="1"/>
  <c r="T2110" i="2"/>
  <c r="S628" i="1" l="1"/>
  <c r="S655" i="1"/>
  <c r="S617" i="1"/>
  <c r="S620" i="1" s="1"/>
  <c r="S615" i="1"/>
  <c r="S618" i="1" s="1"/>
  <c r="V636" i="1"/>
  <c r="V640" i="1" s="1"/>
  <c r="V643" i="1" s="1"/>
  <c r="V638" i="1"/>
  <c r="V635" i="1"/>
  <c r="R8" i="6"/>
  <c r="V634" i="1"/>
  <c r="V637" i="1"/>
  <c r="T606" i="1"/>
  <c r="T608" i="1"/>
  <c r="E17" i="1" s="1"/>
  <c r="V619" i="1"/>
  <c r="V621" i="1"/>
  <c r="G16" i="1" s="1"/>
  <c r="U592" i="1"/>
  <c r="U590" i="1"/>
  <c r="R2105" i="2"/>
  <c r="R2106" i="2"/>
  <c r="R2108" i="2" s="1"/>
  <c r="R2114" i="2"/>
  <c r="R2123" i="2"/>
  <c r="R2115" i="2"/>
  <c r="R2096" i="2"/>
  <c r="R2098" i="2" s="1"/>
  <c r="S2099" i="2" s="1"/>
  <c r="T2121" i="2"/>
  <c r="V651" i="1" l="1"/>
  <c r="V650" i="1"/>
  <c r="V649" i="1"/>
  <c r="V653" i="1" s="1"/>
  <c r="V657" i="1" s="1"/>
  <c r="V658" i="1" s="1"/>
  <c r="G18" i="1" s="1"/>
  <c r="V647" i="1"/>
  <c r="V648" i="1" s="1"/>
  <c r="S619" i="1"/>
  <c r="S621" i="1"/>
  <c r="D16" i="1" s="1"/>
  <c r="T607" i="1"/>
  <c r="S635" i="1"/>
  <c r="S638" i="1"/>
  <c r="S637" i="1"/>
  <c r="S634" i="1"/>
  <c r="O8" i="6"/>
  <c r="S636" i="1"/>
  <c r="S640" i="1" s="1"/>
  <c r="S643" i="1" s="1"/>
  <c r="T609" i="1"/>
  <c r="U593" i="1"/>
  <c r="U595" i="1"/>
  <c r="F20" i="6"/>
  <c r="F14" i="6"/>
  <c r="F12" i="6"/>
  <c r="F16" i="6"/>
  <c r="F18" i="6"/>
  <c r="F10" i="6"/>
  <c r="V656" i="1"/>
  <c r="R2107" i="2"/>
  <c r="R2109" i="2" s="1"/>
  <c r="S2110" i="2" s="1"/>
  <c r="R2116" i="2"/>
  <c r="R2117" i="2"/>
  <c r="R2119" i="2" s="1"/>
  <c r="R2125" i="2"/>
  <c r="R2134" i="2"/>
  <c r="R2126" i="2"/>
  <c r="T2132" i="2"/>
  <c r="U596" i="1" l="1"/>
  <c r="T614" i="1"/>
  <c r="E15" i="1"/>
  <c r="T610" i="1"/>
  <c r="C20" i="6"/>
  <c r="C16" i="6"/>
  <c r="C12" i="6"/>
  <c r="C18" i="6"/>
  <c r="C14" i="6"/>
  <c r="C10" i="6"/>
  <c r="S649" i="1"/>
  <c r="S651" i="1"/>
  <c r="S650" i="1"/>
  <c r="S647" i="1"/>
  <c r="S648" i="1" s="1"/>
  <c r="S653" i="1" s="1"/>
  <c r="S657" i="1" s="1"/>
  <c r="S656" i="1"/>
  <c r="U598" i="1"/>
  <c r="U597" i="1" s="1"/>
  <c r="R2127" i="2"/>
  <c r="R2128" i="2"/>
  <c r="R2130" i="2" s="1"/>
  <c r="R2136" i="2"/>
  <c r="R2145" i="2"/>
  <c r="R2137" i="2"/>
  <c r="R2118" i="2"/>
  <c r="R2120" i="2" s="1"/>
  <c r="S2121" i="2" s="1"/>
  <c r="T2143" i="2"/>
  <c r="S658" i="1" l="1"/>
  <c r="D18" i="1" s="1"/>
  <c r="T628" i="1"/>
  <c r="T655" i="1"/>
  <c r="T617" i="1"/>
  <c r="T615" i="1"/>
  <c r="T618" i="1" s="1"/>
  <c r="U599" i="1"/>
  <c r="R2129" i="2"/>
  <c r="R2131" i="2" s="1"/>
  <c r="S2132" i="2" s="1"/>
  <c r="R2138" i="2"/>
  <c r="R2139" i="2"/>
  <c r="R2141" i="2" s="1"/>
  <c r="R2147" i="2"/>
  <c r="R2156" i="2"/>
  <c r="R2148" i="2"/>
  <c r="T2154" i="2"/>
  <c r="T620" i="1" l="1"/>
  <c r="T635" i="1"/>
  <c r="T638" i="1"/>
  <c r="T636" i="1"/>
  <c r="T640" i="1" s="1"/>
  <c r="T643" i="1" s="1"/>
  <c r="P8" i="6"/>
  <c r="T634" i="1"/>
  <c r="T637" i="1"/>
  <c r="U602" i="1"/>
  <c r="U600" i="1"/>
  <c r="R2149" i="2"/>
  <c r="R2150" i="2"/>
  <c r="R2152" i="2" s="1"/>
  <c r="R2158" i="2"/>
  <c r="R2167" i="2"/>
  <c r="R2159" i="2"/>
  <c r="R2140" i="2"/>
  <c r="R2142" i="2" s="1"/>
  <c r="S2143" i="2" s="1"/>
  <c r="T2165" i="2"/>
  <c r="D14" i="6" l="1"/>
  <c r="D18" i="6"/>
  <c r="D20" i="6"/>
  <c r="D12" i="6"/>
  <c r="D10" i="6"/>
  <c r="D16" i="6"/>
  <c r="T656" i="1"/>
  <c r="T658" i="1" s="1"/>
  <c r="E18" i="1" s="1"/>
  <c r="T647" i="1"/>
  <c r="T648" i="1" s="1"/>
  <c r="T649" i="1"/>
  <c r="T653" i="1" s="1"/>
  <c r="T657" i="1" s="1"/>
  <c r="T650" i="1"/>
  <c r="T651" i="1"/>
  <c r="U603" i="1"/>
  <c r="U605" i="1"/>
  <c r="U608" i="1" s="1"/>
  <c r="T619" i="1"/>
  <c r="T621" i="1"/>
  <c r="E16" i="1" s="1"/>
  <c r="R2151" i="2"/>
  <c r="R2153" i="2" s="1"/>
  <c r="S2154" i="2" s="1"/>
  <c r="R2160" i="2"/>
  <c r="R2161" i="2"/>
  <c r="R2163" i="2" s="1"/>
  <c r="R2169" i="2"/>
  <c r="R2178" i="2"/>
  <c r="R2170" i="2"/>
  <c r="T2176" i="2"/>
  <c r="U607" i="1" l="1"/>
  <c r="U606" i="1"/>
  <c r="U609" i="1"/>
  <c r="F17" i="1"/>
  <c r="R2171" i="2"/>
  <c r="R2172" i="2"/>
  <c r="R2174" i="2" s="1"/>
  <c r="R2162" i="2"/>
  <c r="R2164" i="2" s="1"/>
  <c r="S2165" i="2" s="1"/>
  <c r="R2180" i="2"/>
  <c r="R2189" i="2"/>
  <c r="R2181" i="2"/>
  <c r="T2187" i="2"/>
  <c r="U610" i="1" l="1"/>
  <c r="U614" i="1"/>
  <c r="F15" i="1"/>
  <c r="R2182" i="2"/>
  <c r="R2183" i="2"/>
  <c r="R2185" i="2" s="1"/>
  <c r="R2173" i="2"/>
  <c r="R2175" i="2" s="1"/>
  <c r="S2176" i="2" s="1"/>
  <c r="R2191" i="2"/>
  <c r="R2200" i="2"/>
  <c r="R2192" i="2"/>
  <c r="T2198" i="2"/>
  <c r="U628" i="1" l="1"/>
  <c r="U655" i="1"/>
  <c r="U617" i="1"/>
  <c r="U615" i="1"/>
  <c r="U618" i="1" s="1"/>
  <c r="R2193" i="2"/>
  <c r="R2194" i="2"/>
  <c r="R2196" i="2" s="1"/>
  <c r="R2184" i="2"/>
  <c r="R2186" i="2" s="1"/>
  <c r="S2187" i="2" s="1"/>
  <c r="R2202" i="2"/>
  <c r="R2211" i="2"/>
  <c r="R2203" i="2"/>
  <c r="T2209" i="2"/>
  <c r="U620" i="1" l="1"/>
  <c r="U638" i="1"/>
  <c r="U634" i="1"/>
  <c r="Q8" i="6"/>
  <c r="U635" i="1"/>
  <c r="U637" i="1"/>
  <c r="U636" i="1"/>
  <c r="U640" i="1" s="1"/>
  <c r="R2204" i="2"/>
  <c r="R2205" i="2"/>
  <c r="R2207" i="2" s="1"/>
  <c r="R2195" i="2"/>
  <c r="R2197" i="2" s="1"/>
  <c r="S2198" i="2" s="1"/>
  <c r="R2222" i="2"/>
  <c r="R2213" i="2"/>
  <c r="R2214" i="2"/>
  <c r="T2220" i="2"/>
  <c r="U643" i="1" l="1"/>
  <c r="U656" i="1"/>
  <c r="E12" i="6"/>
  <c r="E20" i="6"/>
  <c r="E16" i="6"/>
  <c r="E18" i="6"/>
  <c r="E10" i="6"/>
  <c r="E14" i="6"/>
  <c r="U619" i="1"/>
  <c r="U621" i="1"/>
  <c r="F16" i="1" s="1"/>
  <c r="R2233" i="2"/>
  <c r="R2224" i="2"/>
  <c r="R2225" i="2"/>
  <c r="R2206" i="2"/>
  <c r="R2208" i="2" s="1"/>
  <c r="S2209" i="2" s="1"/>
  <c r="R2215" i="2"/>
  <c r="R2216" i="2"/>
  <c r="R2218" i="2" s="1"/>
  <c r="T2231" i="2"/>
  <c r="U651" i="1" l="1"/>
  <c r="U649" i="1"/>
  <c r="U653" i="1" s="1"/>
  <c r="U657" i="1" s="1"/>
  <c r="U658" i="1" s="1"/>
  <c r="F18" i="1" s="1"/>
  <c r="U647" i="1"/>
  <c r="U648" i="1" s="1"/>
  <c r="U650" i="1"/>
  <c r="R2235" i="2"/>
  <c r="R2244" i="2"/>
  <c r="R2236" i="2"/>
  <c r="R2226" i="2"/>
  <c r="R2228" i="2" s="1"/>
  <c r="R2227" i="2"/>
  <c r="R2229" i="2" s="1"/>
  <c r="R2217" i="2"/>
  <c r="R2219" i="2" s="1"/>
  <c r="S2220" i="2" s="1"/>
  <c r="T2242" i="2"/>
  <c r="R2230" i="2" l="1"/>
  <c r="S2231" i="2" s="1"/>
  <c r="R2237" i="2"/>
  <c r="R2238" i="2"/>
  <c r="R2240" i="2" s="1"/>
  <c r="R2255" i="2"/>
  <c r="R2246" i="2"/>
  <c r="R2247" i="2"/>
  <c r="T2253" i="2"/>
  <c r="R2239" i="2" l="1"/>
  <c r="R2241" i="2" s="1"/>
  <c r="S2242" i="2" s="1"/>
  <c r="R2266" i="2"/>
  <c r="R2257" i="2"/>
  <c r="R2258" i="2"/>
  <c r="R2248" i="2"/>
  <c r="R2249" i="2"/>
  <c r="R2251" i="2" s="1"/>
  <c r="T2264" i="2"/>
  <c r="R2277" i="2" l="1"/>
  <c r="R2268" i="2"/>
  <c r="R2269" i="2"/>
  <c r="R2250" i="2"/>
  <c r="R2252" i="2" s="1"/>
  <c r="S2253" i="2" s="1"/>
  <c r="R2259" i="2"/>
  <c r="R2260" i="2"/>
  <c r="R2262" i="2" s="1"/>
  <c r="T2275" i="2"/>
  <c r="R2288" i="2" l="1"/>
  <c r="R2279" i="2"/>
  <c r="R2280" i="2"/>
  <c r="R2270" i="2"/>
  <c r="R2271" i="2"/>
  <c r="R2273" i="2" s="1"/>
  <c r="R2261" i="2"/>
  <c r="R2263" i="2" s="1"/>
  <c r="S2264" i="2" s="1"/>
  <c r="T2286" i="2"/>
  <c r="R2272" i="2" l="1"/>
  <c r="R2274" i="2" s="1"/>
  <c r="S2275" i="2" s="1"/>
  <c r="R2299" i="2"/>
  <c r="R2290" i="2"/>
  <c r="R2291" i="2"/>
  <c r="R2281" i="2"/>
  <c r="R2282" i="2"/>
  <c r="R2284" i="2" s="1"/>
  <c r="T2297" i="2"/>
  <c r="R2283" i="2" l="1"/>
  <c r="R2285" i="2" s="1"/>
  <c r="S2286" i="2" s="1"/>
  <c r="R2310" i="2"/>
  <c r="R2301" i="2"/>
  <c r="R2302" i="2"/>
  <c r="R2292" i="2"/>
  <c r="R2293" i="2"/>
  <c r="R2295" i="2" s="1"/>
  <c r="T2308" i="2"/>
  <c r="R2321" i="2" l="1"/>
  <c r="R2312" i="2"/>
  <c r="R2313" i="2"/>
  <c r="R2294" i="2"/>
  <c r="R2296" i="2" s="1"/>
  <c r="S2297" i="2" s="1"/>
  <c r="R2303" i="2"/>
  <c r="R2304" i="2"/>
  <c r="R2306" i="2" s="1"/>
  <c r="T2319" i="2"/>
  <c r="R2332" i="2" l="1"/>
  <c r="R2323" i="2"/>
  <c r="R2324" i="2"/>
  <c r="R2314" i="2"/>
  <c r="R2315" i="2"/>
  <c r="R2317" i="2" s="1"/>
  <c r="R2305" i="2"/>
  <c r="R2307" i="2" s="1"/>
  <c r="S2308" i="2" s="1"/>
  <c r="T2330" i="2"/>
  <c r="R2343" i="2" l="1"/>
  <c r="R2334" i="2"/>
  <c r="R2335" i="2"/>
  <c r="R2316" i="2"/>
  <c r="R2318" i="2" s="1"/>
  <c r="S2319" i="2" s="1"/>
  <c r="R2325" i="2"/>
  <c r="R2326" i="2"/>
  <c r="R2328" i="2" s="1"/>
  <c r="T2341" i="2"/>
  <c r="R2345" i="2" l="1"/>
  <c r="R2354" i="2"/>
  <c r="R2346" i="2"/>
  <c r="R2336" i="2"/>
  <c r="R2337" i="2"/>
  <c r="R2339" i="2" s="1"/>
  <c r="R2327" i="2"/>
  <c r="R2329" i="2" s="1"/>
  <c r="S2330" i="2" s="1"/>
  <c r="T2352" i="2"/>
  <c r="R2356" i="2" l="1"/>
  <c r="R2365" i="2"/>
  <c r="R2357" i="2"/>
  <c r="R2338" i="2"/>
  <c r="R2340" i="2" s="1"/>
  <c r="S2341" i="2" s="1"/>
  <c r="R2347" i="2"/>
  <c r="R2349" i="2" s="1"/>
  <c r="R2348" i="2"/>
  <c r="R2350" i="2" s="1"/>
  <c r="T2363" i="2"/>
  <c r="R2358" i="2" l="1"/>
  <c r="R2359" i="2"/>
  <c r="R2361" i="2" s="1"/>
  <c r="R2367" i="2"/>
  <c r="R2376" i="2"/>
  <c r="R2368" i="2"/>
  <c r="R2351" i="2"/>
  <c r="S2352" i="2" s="1"/>
  <c r="T2374" i="2"/>
  <c r="R2360" i="2" l="1"/>
  <c r="R2362" i="2" s="1"/>
  <c r="S2363" i="2" s="1"/>
  <c r="R2369" i="2"/>
  <c r="R2370" i="2"/>
  <c r="R2372" i="2" s="1"/>
  <c r="R2378" i="2"/>
  <c r="R2387" i="2"/>
  <c r="R2379" i="2"/>
  <c r="T2385" i="2"/>
  <c r="R2380" i="2" l="1"/>
  <c r="R2381" i="2"/>
  <c r="R2383" i="2" s="1"/>
  <c r="R2371" i="2"/>
  <c r="R2373" i="2" s="1"/>
  <c r="S2374" i="2" s="1"/>
  <c r="R2398" i="2"/>
  <c r="R2389" i="2"/>
  <c r="R2390" i="2"/>
  <c r="T2396" i="2"/>
  <c r="R2400" i="2" l="1"/>
  <c r="R2409" i="2"/>
  <c r="R2401" i="2"/>
  <c r="R2382" i="2"/>
  <c r="R2384" i="2" s="1"/>
  <c r="S2385" i="2" s="1"/>
  <c r="R2391" i="2"/>
  <c r="R2392" i="2"/>
  <c r="R2394" i="2" s="1"/>
  <c r="T2407" i="2"/>
  <c r="R2402" i="2" l="1"/>
  <c r="R2403" i="2"/>
  <c r="R2405" i="2" s="1"/>
  <c r="R2411" i="2"/>
  <c r="R2420" i="2"/>
  <c r="R2412" i="2"/>
  <c r="R2393" i="2"/>
  <c r="R2395" i="2" s="1"/>
  <c r="S2396" i="2" s="1"/>
  <c r="T2418" i="2"/>
  <c r="R2404" i="2" l="1"/>
  <c r="R2406" i="2" s="1"/>
  <c r="S2407" i="2" s="1"/>
  <c r="R2413" i="2"/>
  <c r="R2414" i="2"/>
  <c r="R2416" i="2" s="1"/>
  <c r="R2422" i="2"/>
  <c r="R2431" i="2"/>
  <c r="R2423" i="2"/>
  <c r="T2429" i="2"/>
  <c r="R2424" i="2" l="1"/>
  <c r="R2425" i="2"/>
  <c r="R2427" i="2" s="1"/>
  <c r="R2415" i="2"/>
  <c r="R2417" i="2" s="1"/>
  <c r="S2418" i="2" s="1"/>
  <c r="R2442" i="2"/>
  <c r="R2433" i="2"/>
  <c r="R2434" i="2"/>
  <c r="T2440" i="2"/>
  <c r="R2444" i="2" l="1"/>
  <c r="R2453" i="2"/>
  <c r="R2445" i="2"/>
  <c r="R2426" i="2"/>
  <c r="R2428" i="2" s="1"/>
  <c r="S2429" i="2" s="1"/>
  <c r="R2435" i="2"/>
  <c r="R2436" i="2"/>
  <c r="R2438" i="2" s="1"/>
  <c r="T2451" i="2"/>
  <c r="R2446" i="2" l="1"/>
  <c r="R2447" i="2"/>
  <c r="R2449" i="2" s="1"/>
  <c r="R2455" i="2"/>
  <c r="R2464" i="2"/>
  <c r="R2456" i="2"/>
  <c r="R2437" i="2"/>
  <c r="R2439" i="2" s="1"/>
  <c r="S2440" i="2" s="1"/>
  <c r="T2462" i="2"/>
  <c r="R2448" i="2" l="1"/>
  <c r="R2450" i="2" s="1"/>
  <c r="S2451" i="2" s="1"/>
  <c r="R2457" i="2"/>
  <c r="R2458" i="2"/>
  <c r="R2460" i="2" s="1"/>
  <c r="R2466" i="2"/>
  <c r="R2475" i="2"/>
  <c r="R2467" i="2"/>
  <c r="T2473" i="2"/>
  <c r="R2468" i="2" l="1"/>
  <c r="R2470" i="2" s="1"/>
  <c r="R2469" i="2"/>
  <c r="R2471" i="2" s="1"/>
  <c r="R2459" i="2"/>
  <c r="R2461" i="2" s="1"/>
  <c r="S2462" i="2" s="1"/>
  <c r="R2477" i="2"/>
  <c r="R2486" i="2"/>
  <c r="R2478" i="2"/>
  <c r="T2484" i="2"/>
  <c r="R2479" i="2" l="1"/>
  <c r="R2480" i="2"/>
  <c r="R2482" i="2" s="1"/>
  <c r="R2472" i="2"/>
  <c r="S2473" i="2" s="1"/>
  <c r="R2497" i="2"/>
  <c r="R2488" i="2"/>
  <c r="R2489" i="2"/>
  <c r="T2495" i="2"/>
  <c r="R2490" i="2" l="1"/>
  <c r="R2492" i="2" s="1"/>
  <c r="R2491" i="2"/>
  <c r="R2493" i="2" s="1"/>
  <c r="R2481" i="2"/>
  <c r="R2483" i="2" s="1"/>
  <c r="S2484" i="2" s="1"/>
  <c r="R2499" i="2"/>
  <c r="R2508" i="2"/>
  <c r="R2500" i="2"/>
  <c r="T2506" i="2"/>
  <c r="R2494" i="2" l="1"/>
  <c r="S2495" i="2" s="1"/>
  <c r="R2501" i="2"/>
  <c r="R2502" i="2"/>
  <c r="R2504" i="2" s="1"/>
  <c r="R2510" i="2"/>
  <c r="R2519" i="2"/>
  <c r="R2511" i="2"/>
  <c r="T2517" i="2"/>
  <c r="R2503" i="2" l="1"/>
  <c r="R2505" i="2" s="1"/>
  <c r="S2506" i="2" s="1"/>
  <c r="R2512" i="2"/>
  <c r="R2513" i="2"/>
  <c r="R2515" i="2" s="1"/>
  <c r="R2521" i="2"/>
  <c r="R2530" i="2"/>
  <c r="R2522" i="2"/>
  <c r="T2528" i="2"/>
  <c r="R2532" i="2" l="1"/>
  <c r="R2541" i="2"/>
  <c r="R2533" i="2"/>
  <c r="R2523" i="2"/>
  <c r="R2524" i="2"/>
  <c r="R2526" i="2" s="1"/>
  <c r="R2514" i="2"/>
  <c r="R2516" i="2" s="1"/>
  <c r="S2517" i="2" s="1"/>
  <c r="T2539" i="2"/>
  <c r="R2534" i="2" l="1"/>
  <c r="R2535" i="2"/>
  <c r="R2537" i="2" s="1"/>
  <c r="R2525" i="2"/>
  <c r="R2527" i="2" s="1"/>
  <c r="S2528" i="2" s="1"/>
  <c r="R2552" i="2"/>
  <c r="R2543" i="2"/>
  <c r="R2544" i="2"/>
  <c r="T2550" i="2"/>
  <c r="R2554" i="2" l="1"/>
  <c r="R2563" i="2"/>
  <c r="R2555" i="2"/>
  <c r="R2536" i="2"/>
  <c r="R2538" i="2" s="1"/>
  <c r="S2539" i="2" s="1"/>
  <c r="R2545" i="2"/>
  <c r="R2546" i="2"/>
  <c r="R2548" i="2" s="1"/>
  <c r="T2561" i="2"/>
  <c r="R2565" i="2" l="1"/>
  <c r="R2574" i="2"/>
  <c r="R2566" i="2"/>
  <c r="R2556" i="2"/>
  <c r="R2557" i="2"/>
  <c r="R2559" i="2" s="1"/>
  <c r="R2547" i="2"/>
  <c r="R2549" i="2" s="1"/>
  <c r="S2550" i="2" s="1"/>
  <c r="T2572" i="2"/>
  <c r="R2576" i="2" l="1"/>
  <c r="R2585" i="2"/>
  <c r="R2577" i="2"/>
  <c r="R2567" i="2"/>
  <c r="R2568" i="2"/>
  <c r="R2570" i="2" s="1"/>
  <c r="R2558" i="2"/>
  <c r="R2560" i="2" s="1"/>
  <c r="S2561" i="2" s="1"/>
  <c r="T2583" i="2"/>
  <c r="R2578" i="2" l="1"/>
  <c r="R2579" i="2"/>
  <c r="R2581" i="2" s="1"/>
  <c r="R2569" i="2"/>
  <c r="R2571" i="2" s="1"/>
  <c r="S2572" i="2" s="1"/>
  <c r="R2596" i="2"/>
  <c r="R2587" i="2"/>
  <c r="R2588" i="2"/>
  <c r="T2594" i="2"/>
  <c r="R2580" i="2" l="1"/>
  <c r="R2582" i="2" s="1"/>
  <c r="S2583" i="2" s="1"/>
  <c r="R2589" i="2"/>
  <c r="R2591" i="2" s="1"/>
  <c r="R2590" i="2"/>
  <c r="R2592" i="2" s="1"/>
  <c r="R2598" i="2"/>
  <c r="R2607" i="2"/>
  <c r="R2599" i="2"/>
  <c r="T2605" i="2"/>
  <c r="R2593" i="2" l="1"/>
  <c r="S2594" i="2" s="1"/>
  <c r="R2609" i="2"/>
  <c r="R2618" i="2"/>
  <c r="R2610" i="2"/>
  <c r="R2600" i="2"/>
  <c r="R2601" i="2"/>
  <c r="R2603" i="2" s="1"/>
  <c r="T2616" i="2"/>
  <c r="R2611" i="2" l="1"/>
  <c r="R2612" i="2"/>
  <c r="R2614" i="2" s="1"/>
  <c r="R2620" i="2"/>
  <c r="R2629" i="2"/>
  <c r="R2621" i="2"/>
  <c r="R2602" i="2"/>
  <c r="R2604" i="2" s="1"/>
  <c r="S2605" i="2" s="1"/>
  <c r="T2627" i="2"/>
  <c r="R2613" i="2" l="1"/>
  <c r="R2615" i="2" s="1"/>
  <c r="S2616" i="2" s="1"/>
  <c r="R2622" i="2"/>
  <c r="R2623" i="2"/>
  <c r="R2625" i="2" s="1"/>
  <c r="R2640" i="2"/>
  <c r="R2631" i="2"/>
  <c r="R2632" i="2"/>
  <c r="T2638" i="2"/>
  <c r="R2642" i="2" l="1"/>
  <c r="R2651" i="2"/>
  <c r="R2643" i="2"/>
  <c r="R2624" i="2"/>
  <c r="R2626" i="2" s="1"/>
  <c r="S2627" i="2" s="1"/>
  <c r="R2633" i="2"/>
  <c r="R2634" i="2"/>
  <c r="R2636" i="2" s="1"/>
  <c r="T2649" i="2"/>
  <c r="R2644" i="2" l="1"/>
  <c r="R2646" i="2" s="1"/>
  <c r="R2645" i="2"/>
  <c r="R2647" i="2" s="1"/>
  <c r="R2653" i="2"/>
  <c r="R2662" i="2"/>
  <c r="R2654" i="2"/>
  <c r="R2635" i="2"/>
  <c r="R2637" i="2" s="1"/>
  <c r="S2638" i="2" s="1"/>
  <c r="T2660" i="2"/>
  <c r="R2648" i="2" l="1"/>
  <c r="S2649" i="2" s="1"/>
  <c r="R2655" i="2"/>
  <c r="R2656" i="2"/>
  <c r="R2658" i="2" s="1"/>
  <c r="R2673" i="2"/>
  <c r="R2664" i="2"/>
  <c r="R2665" i="2"/>
  <c r="T2671" i="2"/>
  <c r="R2657" i="2" l="1"/>
  <c r="R2659" i="2" s="1"/>
  <c r="S2660" i="2" s="1"/>
  <c r="R2684" i="2"/>
  <c r="R2675" i="2"/>
  <c r="R2676" i="2"/>
  <c r="R2666" i="2"/>
  <c r="R2667" i="2"/>
  <c r="R2669" i="2" s="1"/>
  <c r="T2682" i="2"/>
  <c r="R2668" i="2" l="1"/>
  <c r="R2670" i="2" s="1"/>
  <c r="S2671" i="2" s="1"/>
  <c r="R2686" i="2"/>
  <c r="R2695" i="2"/>
  <c r="R2687" i="2"/>
  <c r="R2677" i="2"/>
  <c r="R2678" i="2"/>
  <c r="R2680" i="2" s="1"/>
  <c r="T2693" i="2"/>
  <c r="R2679" i="2" l="1"/>
  <c r="R2681" i="2" s="1"/>
  <c r="S2682" i="2" s="1"/>
  <c r="R2688" i="2"/>
  <c r="R2690" i="2" s="1"/>
  <c r="R2689" i="2"/>
  <c r="R2691" i="2" s="1"/>
  <c r="R2697" i="2"/>
  <c r="R2706" i="2"/>
  <c r="R2698" i="2"/>
  <c r="T2704" i="2"/>
  <c r="R2692" i="2" l="1"/>
  <c r="S2693" i="2" s="1"/>
  <c r="R2717" i="2"/>
  <c r="R2708" i="2"/>
  <c r="R2709" i="2"/>
  <c r="R2699" i="2"/>
  <c r="R2700" i="2"/>
  <c r="R2702" i="2" s="1"/>
  <c r="T2715" i="2"/>
  <c r="R2701" i="2" l="1"/>
  <c r="R2703" i="2" s="1"/>
  <c r="S2704" i="2" s="1"/>
  <c r="R2719" i="2"/>
  <c r="R2728" i="2"/>
  <c r="R2720" i="2"/>
  <c r="R2710" i="2"/>
  <c r="R2711" i="2"/>
  <c r="R2713" i="2" s="1"/>
  <c r="T2726" i="2"/>
  <c r="R2721" i="2" l="1"/>
  <c r="R2722" i="2"/>
  <c r="R2724" i="2" s="1"/>
  <c r="R2712" i="2"/>
  <c r="R2714" i="2" s="1"/>
  <c r="S2715" i="2" s="1"/>
  <c r="R2730" i="2"/>
  <c r="R2739" i="2"/>
  <c r="R2731" i="2"/>
  <c r="T2737" i="2"/>
  <c r="R2732" i="2" l="1"/>
  <c r="R2733" i="2"/>
  <c r="R2735" i="2" s="1"/>
  <c r="R2723" i="2"/>
  <c r="R2725" i="2" s="1"/>
  <c r="S2726" i="2" s="1"/>
  <c r="R2741" i="2"/>
  <c r="R2750" i="2"/>
  <c r="R2742" i="2"/>
  <c r="T2748" i="2"/>
  <c r="R2743" i="2" l="1"/>
  <c r="R2744" i="2"/>
  <c r="R2746" i="2" s="1"/>
  <c r="R2734" i="2"/>
  <c r="R2736" i="2" s="1"/>
  <c r="S2737" i="2" s="1"/>
  <c r="R2752" i="2"/>
  <c r="R2761" i="2"/>
  <c r="R2753" i="2"/>
  <c r="T2759" i="2"/>
  <c r="R2754" i="2" l="1"/>
  <c r="R2755" i="2"/>
  <c r="R2757" i="2" s="1"/>
  <c r="R2745" i="2"/>
  <c r="R2747" i="2" s="1"/>
  <c r="S2748" i="2" s="1"/>
  <c r="R2763" i="2"/>
  <c r="R2772" i="2"/>
  <c r="R2764" i="2"/>
  <c r="T2770" i="2"/>
  <c r="R2765" i="2" l="1"/>
  <c r="R2766" i="2"/>
  <c r="R2768" i="2" s="1"/>
  <c r="R2756" i="2"/>
  <c r="R2758" i="2" s="1"/>
  <c r="S2759" i="2" s="1"/>
  <c r="R2774" i="2"/>
  <c r="R2783" i="2"/>
  <c r="R2775" i="2"/>
  <c r="T2781" i="2"/>
  <c r="R2776" i="2" l="1"/>
  <c r="R2777" i="2"/>
  <c r="R2779" i="2" s="1"/>
  <c r="R2767" i="2"/>
  <c r="R2769" i="2" s="1"/>
  <c r="S2770" i="2" s="1"/>
  <c r="R2794" i="2"/>
  <c r="R2785" i="2"/>
  <c r="R2786" i="2"/>
  <c r="T2792" i="2"/>
  <c r="R2796" i="2" l="1"/>
  <c r="R2805" i="2"/>
  <c r="R2797" i="2"/>
  <c r="R2778" i="2"/>
  <c r="R2780" i="2" s="1"/>
  <c r="S2781" i="2" s="1"/>
  <c r="R2787" i="2"/>
  <c r="R2789" i="2" s="1"/>
  <c r="R2788" i="2"/>
  <c r="R2790" i="2" s="1"/>
  <c r="T2803" i="2"/>
  <c r="R2798" i="2" l="1"/>
  <c r="R2799" i="2"/>
  <c r="R2801" i="2" s="1"/>
  <c r="R2807" i="2"/>
  <c r="R2816" i="2"/>
  <c r="R2808" i="2"/>
  <c r="R2791" i="2"/>
  <c r="S2792" i="2" s="1"/>
  <c r="T2814" i="2"/>
  <c r="R2800" i="2" l="1"/>
  <c r="R2802" i="2" s="1"/>
  <c r="S2803" i="2" s="1"/>
  <c r="R2809" i="2"/>
  <c r="R2811" i="2" s="1"/>
  <c r="R2810" i="2"/>
  <c r="R2812" i="2" s="1"/>
  <c r="R2818" i="2"/>
  <c r="R2827" i="2"/>
  <c r="R2819" i="2"/>
  <c r="T2825" i="2"/>
  <c r="R2813" i="2" l="1"/>
  <c r="S2814" i="2" s="1"/>
  <c r="R2838" i="2"/>
  <c r="R2829" i="2"/>
  <c r="R2830" i="2"/>
  <c r="R2820" i="2"/>
  <c r="R2822" i="2" s="1"/>
  <c r="R2821" i="2"/>
  <c r="R2823" i="2" s="1"/>
  <c r="T2836" i="2"/>
  <c r="R2824" i="2" l="1"/>
  <c r="S2825" i="2" s="1"/>
  <c r="R2831" i="2"/>
  <c r="R2833" i="2" s="1"/>
  <c r="R2832" i="2"/>
  <c r="R2834" i="2" s="1"/>
  <c r="R2840" i="2"/>
  <c r="R2849" i="2"/>
  <c r="R2841" i="2"/>
  <c r="T2847" i="2"/>
  <c r="R2835" i="2" l="1"/>
  <c r="S2836" i="2" s="1"/>
  <c r="R2842" i="2"/>
  <c r="R2844" i="2" s="1"/>
  <c r="R2843" i="2"/>
  <c r="R2845" i="2" s="1"/>
  <c r="R2851" i="2"/>
  <c r="R2860" i="2"/>
  <c r="R2852" i="2"/>
  <c r="T2858" i="2"/>
  <c r="R2846" i="2" l="1"/>
  <c r="S2847" i="2" s="1"/>
  <c r="R2853" i="2"/>
  <c r="R2854" i="2"/>
  <c r="R2856" i="2" s="1"/>
  <c r="R2862" i="2"/>
  <c r="R2871" i="2"/>
  <c r="R2863" i="2"/>
  <c r="T2869" i="2"/>
  <c r="R2855" i="2" l="1"/>
  <c r="R2857" i="2" s="1"/>
  <c r="S2858" i="2" s="1"/>
  <c r="R2864" i="2"/>
  <c r="R2865" i="2"/>
  <c r="R2867" i="2" s="1"/>
  <c r="R2873" i="2"/>
  <c r="R2882" i="2"/>
  <c r="R2874" i="2"/>
  <c r="T2880" i="2"/>
  <c r="R2875" i="2" l="1"/>
  <c r="R2876" i="2"/>
  <c r="R2878" i="2" s="1"/>
  <c r="R2866" i="2"/>
  <c r="R2868" i="2" s="1"/>
  <c r="S2869" i="2" s="1"/>
  <c r="R2893" i="2"/>
  <c r="R2884" i="2"/>
  <c r="R2885" i="2"/>
  <c r="T2891" i="2"/>
  <c r="R2895" i="2" l="1"/>
  <c r="R2904" i="2"/>
  <c r="R2896" i="2"/>
  <c r="R2877" i="2"/>
  <c r="R2879" i="2" s="1"/>
  <c r="S2880" i="2" s="1"/>
  <c r="R2886" i="2"/>
  <c r="R2887" i="2"/>
  <c r="R2889" i="2" s="1"/>
  <c r="T2902" i="2"/>
  <c r="R2897" i="2" l="1"/>
  <c r="R2898" i="2"/>
  <c r="R2900" i="2" s="1"/>
  <c r="R2915" i="2"/>
  <c r="R2906" i="2"/>
  <c r="R2907" i="2"/>
  <c r="R2888" i="2"/>
  <c r="R2890" i="2" s="1"/>
  <c r="S2891" i="2" s="1"/>
  <c r="T2913" i="2"/>
  <c r="R2899" i="2" l="1"/>
  <c r="R2901" i="2" s="1"/>
  <c r="S2902" i="2" s="1"/>
  <c r="R2917" i="2"/>
  <c r="R2926" i="2"/>
  <c r="R2918" i="2"/>
  <c r="R2908" i="2"/>
  <c r="R2909" i="2"/>
  <c r="R2911" i="2" s="1"/>
  <c r="T2924" i="2"/>
  <c r="R2910" i="2" l="1"/>
  <c r="R2912" i="2" s="1"/>
  <c r="S2913" i="2" s="1"/>
  <c r="R2919" i="2"/>
  <c r="R2921" i="2" s="1"/>
  <c r="R2920" i="2"/>
  <c r="R2922" i="2" s="1"/>
  <c r="R2928" i="2"/>
  <c r="R2937" i="2"/>
  <c r="R2929" i="2"/>
  <c r="T2935" i="2"/>
  <c r="R2923" i="2" l="1"/>
  <c r="S2924" i="2" s="1"/>
  <c r="R2948" i="2"/>
  <c r="R2939" i="2"/>
  <c r="R2940" i="2"/>
  <c r="R2930" i="2"/>
  <c r="R2931" i="2"/>
  <c r="R2933" i="2" s="1"/>
  <c r="T2946" i="2"/>
  <c r="R2950" i="2" l="1"/>
  <c r="R2959" i="2"/>
  <c r="R2951" i="2"/>
  <c r="R2932" i="2"/>
  <c r="R2934" i="2" s="1"/>
  <c r="S2935" i="2" s="1"/>
  <c r="R2941" i="2"/>
  <c r="R2942" i="2"/>
  <c r="R2944" i="2" s="1"/>
  <c r="T2957" i="2"/>
  <c r="R2952" i="2" l="1"/>
  <c r="R2953" i="2"/>
  <c r="R2955" i="2" s="1"/>
  <c r="R2970" i="2"/>
  <c r="R2961" i="2"/>
  <c r="R2962" i="2"/>
  <c r="R2943" i="2"/>
  <c r="R2945" i="2" s="1"/>
  <c r="S2946" i="2" s="1"/>
  <c r="T2968" i="2"/>
  <c r="R2954" i="2" l="1"/>
  <c r="R2956" i="2" s="1"/>
  <c r="S2957" i="2" s="1"/>
  <c r="R2981" i="2"/>
  <c r="R2972" i="2"/>
  <c r="R2973" i="2"/>
  <c r="R2963" i="2"/>
  <c r="R2964" i="2"/>
  <c r="R2966" i="2" s="1"/>
  <c r="T2979" i="2"/>
  <c r="R2965" i="2" l="1"/>
  <c r="R2967" i="2" s="1"/>
  <c r="S2968" i="2" s="1"/>
  <c r="R2992" i="2"/>
  <c r="R2983" i="2"/>
  <c r="R2984" i="2"/>
  <c r="R2974" i="2"/>
  <c r="R2976" i="2" s="1"/>
  <c r="R2975" i="2"/>
  <c r="R2977" i="2" s="1"/>
  <c r="T2990" i="2"/>
  <c r="R3003" i="2" l="1"/>
  <c r="R2994" i="2"/>
  <c r="R2995" i="2"/>
  <c r="R2985" i="2"/>
  <c r="R2986" i="2"/>
  <c r="R2988" i="2" s="1"/>
  <c r="R2978" i="2"/>
  <c r="S2979" i="2" s="1"/>
  <c r="T3001" i="2"/>
  <c r="R3014" i="2" l="1"/>
  <c r="R3005" i="2"/>
  <c r="R3006" i="2"/>
  <c r="R2987" i="2"/>
  <c r="R2989" i="2" s="1"/>
  <c r="S2990" i="2" s="1"/>
  <c r="R2996" i="2"/>
  <c r="R2997" i="2"/>
  <c r="R2999" i="2" s="1"/>
  <c r="T3012" i="2"/>
  <c r="R3025" i="2" l="1"/>
  <c r="R3016" i="2"/>
  <c r="R3017" i="2"/>
  <c r="R3007" i="2"/>
  <c r="R3009" i="2" s="1"/>
  <c r="R3008" i="2"/>
  <c r="R3010" i="2" s="1"/>
  <c r="R2998" i="2"/>
  <c r="R3000" i="2" s="1"/>
  <c r="S3001" i="2" s="1"/>
  <c r="T3023" i="2"/>
  <c r="R3011" i="2" l="1"/>
  <c r="S3012" i="2" s="1"/>
  <c r="R3036" i="2"/>
  <c r="R3027" i="2"/>
  <c r="R3028" i="2"/>
  <c r="R3018" i="2"/>
  <c r="R3019" i="2"/>
  <c r="R3021" i="2" s="1"/>
  <c r="T3034" i="2"/>
  <c r="R3047" i="2" l="1"/>
  <c r="R3038" i="2"/>
  <c r="R3039" i="2"/>
  <c r="R3020" i="2"/>
  <c r="R3022" i="2" s="1"/>
  <c r="S3023" i="2" s="1"/>
  <c r="R3029" i="2"/>
  <c r="R3030" i="2"/>
  <c r="R3032" i="2" s="1"/>
  <c r="T3045" i="2"/>
  <c r="R3058" i="2" l="1"/>
  <c r="R3049" i="2"/>
  <c r="R3050" i="2"/>
  <c r="R3040" i="2"/>
  <c r="R3041" i="2"/>
  <c r="R3043" i="2" s="1"/>
  <c r="R3031" i="2"/>
  <c r="R3033" i="2" s="1"/>
  <c r="S3034" i="2" s="1"/>
  <c r="T3056" i="2"/>
  <c r="R3051" i="2" l="1"/>
  <c r="R3052" i="2"/>
  <c r="R3054" i="2" s="1"/>
  <c r="R3042" i="2"/>
  <c r="R3044" i="2" s="1"/>
  <c r="S3045" i="2" s="1"/>
  <c r="R3069" i="2"/>
  <c r="R3060" i="2"/>
  <c r="R3061" i="2"/>
  <c r="T3067" i="2"/>
  <c r="R3080" i="2" l="1"/>
  <c r="R3071" i="2"/>
  <c r="R3072" i="2"/>
  <c r="R3053" i="2"/>
  <c r="R3055" i="2" s="1"/>
  <c r="S3056" i="2" s="1"/>
  <c r="R3062" i="2"/>
  <c r="R3064" i="2" s="1"/>
  <c r="R3063" i="2"/>
  <c r="R3065" i="2" s="1"/>
  <c r="T3078" i="2"/>
  <c r="R3066" i="2" l="1"/>
  <c r="S3067" i="2" s="1"/>
  <c r="R3091" i="2"/>
  <c r="R3082" i="2"/>
  <c r="R3083" i="2"/>
  <c r="R3073" i="2"/>
  <c r="R3074" i="2"/>
  <c r="R3076" i="2" s="1"/>
  <c r="T3089" i="2"/>
  <c r="R3075" i="2" l="1"/>
  <c r="R3077" i="2" s="1"/>
  <c r="S3078" i="2" s="1"/>
  <c r="R3102" i="2"/>
  <c r="R3093" i="2"/>
  <c r="R3094" i="2"/>
  <c r="R3084" i="2"/>
  <c r="R3086" i="2" s="1"/>
  <c r="R3085" i="2"/>
  <c r="R3087" i="2" s="1"/>
  <c r="T3100" i="2"/>
  <c r="R3088" i="2" l="1"/>
  <c r="S3089" i="2" s="1"/>
  <c r="R3113" i="2"/>
  <c r="R3104" i="2"/>
  <c r="R3105" i="2"/>
  <c r="R3095" i="2"/>
  <c r="R3097" i="2" s="1"/>
  <c r="R3096" i="2"/>
  <c r="R3098" i="2" s="1"/>
  <c r="T3111" i="2"/>
  <c r="R3099" i="2" l="1"/>
  <c r="S3100" i="2" s="1"/>
  <c r="R3124" i="2"/>
  <c r="R3115" i="2"/>
  <c r="R3116" i="2"/>
  <c r="R3106" i="2"/>
  <c r="R3107" i="2"/>
  <c r="R3109" i="2" s="1"/>
  <c r="T3122" i="2"/>
  <c r="R3135" i="2" l="1"/>
  <c r="R3126" i="2"/>
  <c r="R3127" i="2"/>
  <c r="R3108" i="2"/>
  <c r="R3110" i="2" s="1"/>
  <c r="S3111" i="2" s="1"/>
  <c r="R3117" i="2"/>
  <c r="R3118" i="2"/>
  <c r="R3120" i="2" s="1"/>
  <c r="T3133" i="2"/>
  <c r="R3146" i="2" l="1"/>
  <c r="R3137" i="2"/>
  <c r="R3138" i="2"/>
  <c r="R3128" i="2"/>
  <c r="R3129" i="2"/>
  <c r="R3131" i="2" s="1"/>
  <c r="R3119" i="2"/>
  <c r="R3121" i="2" s="1"/>
  <c r="S3122" i="2" s="1"/>
  <c r="T3144" i="2"/>
  <c r="R3139" i="2" l="1"/>
  <c r="R3140" i="2"/>
  <c r="R3142" i="2" s="1"/>
  <c r="R3130" i="2"/>
  <c r="R3132" i="2" s="1"/>
  <c r="S3133" i="2" s="1"/>
  <c r="R3157" i="2"/>
  <c r="R3148" i="2"/>
  <c r="R3149" i="2"/>
  <c r="T3155" i="2"/>
  <c r="R3168" i="2" l="1"/>
  <c r="R3159" i="2"/>
  <c r="R3160" i="2"/>
  <c r="R3141" i="2"/>
  <c r="R3143" i="2" s="1"/>
  <c r="S3144" i="2" s="1"/>
  <c r="R3150" i="2"/>
  <c r="R3151" i="2"/>
  <c r="R3153" i="2" s="1"/>
  <c r="T3166" i="2"/>
  <c r="R3179" i="2" l="1"/>
  <c r="R3170" i="2"/>
  <c r="R3171" i="2"/>
  <c r="R3161" i="2"/>
  <c r="R3162" i="2"/>
  <c r="R3164" i="2" s="1"/>
  <c r="R3152" i="2"/>
  <c r="R3154" i="2" s="1"/>
  <c r="S3155" i="2" s="1"/>
  <c r="T3177" i="2"/>
  <c r="R3163" i="2" l="1"/>
  <c r="R3165" i="2" s="1"/>
  <c r="S3166" i="2" s="1"/>
  <c r="R3190" i="2"/>
  <c r="R3181" i="2"/>
  <c r="R3182" i="2"/>
  <c r="R3172" i="2"/>
  <c r="R3173" i="2"/>
  <c r="R3175" i="2" s="1"/>
  <c r="T3188" i="2"/>
  <c r="R3174" i="2" l="1"/>
  <c r="R3176" i="2" s="1"/>
  <c r="S3177" i="2" s="1"/>
  <c r="R3192" i="2"/>
  <c r="R3201" i="2"/>
  <c r="R3193" i="2"/>
  <c r="R3183" i="2"/>
  <c r="R3184" i="2"/>
  <c r="R3186" i="2" s="1"/>
  <c r="T3199" i="2"/>
  <c r="R3194" i="2" l="1"/>
  <c r="R3195" i="2"/>
  <c r="R3197" i="2" s="1"/>
  <c r="R3185" i="2"/>
  <c r="R3187" i="2" s="1"/>
  <c r="S3188" i="2" s="1"/>
  <c r="R3203" i="2"/>
  <c r="R3212" i="2"/>
  <c r="R3204" i="2"/>
  <c r="T3210" i="2"/>
  <c r="R3205" i="2" l="1"/>
  <c r="R3207" i="2" s="1"/>
  <c r="R3206" i="2"/>
  <c r="R3208" i="2" s="1"/>
  <c r="R3196" i="2"/>
  <c r="R3198" i="2" s="1"/>
  <c r="S3199" i="2" s="1"/>
  <c r="R3223" i="2"/>
  <c r="R3214" i="2"/>
  <c r="R3215" i="2"/>
  <c r="T3221" i="2"/>
  <c r="R3209" i="2" l="1"/>
  <c r="S3210" i="2" s="1"/>
  <c r="R3234" i="2"/>
  <c r="R3225" i="2"/>
  <c r="R3226" i="2"/>
  <c r="R3216" i="2"/>
  <c r="R3217" i="2"/>
  <c r="R3219" i="2" s="1"/>
  <c r="T3232" i="2"/>
  <c r="R3227" i="2" l="1"/>
  <c r="R3228" i="2"/>
  <c r="R3230" i="2" s="1"/>
  <c r="R3218" i="2"/>
  <c r="R3220" i="2" s="1"/>
  <c r="S3221" i="2" s="1"/>
  <c r="R3245" i="2"/>
  <c r="R3236" i="2"/>
  <c r="R3237" i="2"/>
  <c r="T3243" i="2"/>
  <c r="R3238" i="2" l="1"/>
  <c r="R3239" i="2"/>
  <c r="R3241" i="2" s="1"/>
  <c r="R3256" i="2"/>
  <c r="R3247" i="2"/>
  <c r="R3248" i="2"/>
  <c r="R3229" i="2"/>
  <c r="R3231" i="2" s="1"/>
  <c r="S3232" i="2" s="1"/>
  <c r="T3254" i="2"/>
  <c r="R3240" i="2" l="1"/>
  <c r="R3242" i="2" s="1"/>
  <c r="S3243" i="2" s="1"/>
  <c r="R3267" i="2"/>
  <c r="R3258" i="2"/>
  <c r="R3259" i="2"/>
  <c r="R3249" i="2"/>
  <c r="R3250" i="2"/>
  <c r="R3252" i="2" s="1"/>
  <c r="T3265" i="2"/>
  <c r="R3251" i="2" l="1"/>
  <c r="R3253" i="2" s="1"/>
  <c r="S3254" i="2" s="1"/>
  <c r="R3278" i="2"/>
  <c r="R3269" i="2"/>
  <c r="R3270" i="2"/>
  <c r="R3260" i="2"/>
  <c r="R3262" i="2" s="1"/>
  <c r="R3261" i="2"/>
  <c r="R3263" i="2" s="1"/>
  <c r="T3276" i="2"/>
  <c r="R3289" i="2" l="1"/>
  <c r="R3280" i="2"/>
  <c r="R3281" i="2"/>
  <c r="R3271" i="2"/>
  <c r="R3272" i="2"/>
  <c r="R3274" i="2" s="1"/>
  <c r="R3264" i="2"/>
  <c r="S3265" i="2" s="1"/>
  <c r="T3287" i="2"/>
  <c r="R3300" i="2" l="1"/>
  <c r="R3291" i="2"/>
  <c r="R3292" i="2"/>
  <c r="R3273" i="2"/>
  <c r="R3275" i="2" s="1"/>
  <c r="S3276" i="2" s="1"/>
  <c r="R3282" i="2"/>
  <c r="R3283" i="2"/>
  <c r="R3285" i="2" s="1"/>
  <c r="T3298" i="2"/>
  <c r="R3302" i="2" l="1"/>
  <c r="R3311" i="2"/>
  <c r="R3303" i="2"/>
  <c r="R3293" i="2"/>
  <c r="R3294" i="2"/>
  <c r="R3296" i="2" s="1"/>
  <c r="R3284" i="2"/>
  <c r="R3286" i="2" s="1"/>
  <c r="S3287" i="2" s="1"/>
  <c r="T3309" i="2"/>
  <c r="R3304" i="2" l="1"/>
  <c r="R3305" i="2"/>
  <c r="R3307" i="2" s="1"/>
  <c r="R3295" i="2"/>
  <c r="R3297" i="2" s="1"/>
  <c r="S3298" i="2" s="1"/>
  <c r="R3313" i="2"/>
  <c r="R3322" i="2"/>
  <c r="R3314" i="2"/>
  <c r="T3320" i="2"/>
  <c r="R3315" i="2" l="1"/>
  <c r="R3317" i="2" s="1"/>
  <c r="R3316" i="2"/>
  <c r="R3318" i="2" s="1"/>
  <c r="R3306" i="2"/>
  <c r="R3308" i="2" s="1"/>
  <c r="S3309" i="2" s="1"/>
  <c r="R3333" i="2"/>
  <c r="R3324" i="2"/>
  <c r="R3325" i="2"/>
  <c r="T3331" i="2"/>
  <c r="R3319" i="2" l="1"/>
  <c r="S3320" i="2" s="1"/>
  <c r="R3344" i="2"/>
  <c r="R3335" i="2"/>
  <c r="R3336" i="2"/>
  <c r="R3326" i="2"/>
  <c r="R3327" i="2"/>
  <c r="R3329" i="2" s="1"/>
  <c r="T3342" i="2"/>
  <c r="R3328" i="2" l="1"/>
  <c r="R3330" i="2" s="1"/>
  <c r="S3331" i="2" s="1"/>
  <c r="R3355" i="2"/>
  <c r="R3346" i="2"/>
  <c r="R3347" i="2"/>
  <c r="R3337" i="2"/>
  <c r="R3338" i="2"/>
  <c r="R3340" i="2" s="1"/>
  <c r="T3353" i="2"/>
  <c r="R3357" i="2" l="1"/>
  <c r="R3366" i="2"/>
  <c r="R3358" i="2"/>
  <c r="R3339" i="2"/>
  <c r="R3341" i="2" s="1"/>
  <c r="S3342" i="2" s="1"/>
  <c r="R3348" i="2"/>
  <c r="R3349" i="2"/>
  <c r="R3351" i="2" s="1"/>
  <c r="T3364" i="2"/>
  <c r="R3359" i="2" l="1"/>
  <c r="R3360" i="2"/>
  <c r="R3362" i="2" s="1"/>
  <c r="R3377" i="2"/>
  <c r="R3368" i="2"/>
  <c r="R3369" i="2"/>
  <c r="R3350" i="2"/>
  <c r="R3352" i="2" s="1"/>
  <c r="S3353" i="2" s="1"/>
  <c r="T3375" i="2"/>
  <c r="R3361" i="2" l="1"/>
  <c r="R3363" i="2" s="1"/>
  <c r="S3364" i="2" s="1"/>
  <c r="R3388" i="2"/>
  <c r="R3379" i="2"/>
  <c r="R3380" i="2"/>
  <c r="R3370" i="2"/>
  <c r="R3372" i="2" s="1"/>
  <c r="R3371" i="2"/>
  <c r="R3373" i="2" s="1"/>
  <c r="T3386" i="2"/>
  <c r="R3374" i="2" l="1"/>
  <c r="S3375" i="2" s="1"/>
  <c r="R3399" i="2"/>
  <c r="R3390" i="2"/>
  <c r="R3391" i="2"/>
  <c r="R3381" i="2"/>
  <c r="R3383" i="2" s="1"/>
  <c r="R3382" i="2"/>
  <c r="R3384" i="2" s="1"/>
  <c r="T3397" i="2"/>
  <c r="R3385" i="2" l="1"/>
  <c r="S3386" i="2" s="1"/>
  <c r="R3401" i="2"/>
  <c r="R3410" i="2"/>
  <c r="R3402" i="2"/>
  <c r="R3392" i="2"/>
  <c r="R3393" i="2"/>
  <c r="R3395" i="2" s="1"/>
  <c r="T3408" i="2"/>
  <c r="R3412" i="2" l="1"/>
  <c r="R3421" i="2"/>
  <c r="R3413" i="2"/>
  <c r="R3394" i="2"/>
  <c r="R3396" i="2" s="1"/>
  <c r="S3397" i="2" s="1"/>
  <c r="R3403" i="2"/>
  <c r="R3404" i="2"/>
  <c r="R3406" i="2" s="1"/>
  <c r="T3419" i="2"/>
  <c r="R3414" i="2" l="1"/>
  <c r="R3415" i="2"/>
  <c r="R3417" i="2" s="1"/>
  <c r="R3423" i="2"/>
  <c r="R3432" i="2"/>
  <c r="R3424" i="2"/>
  <c r="R3405" i="2"/>
  <c r="R3407" i="2" s="1"/>
  <c r="S3408" i="2" s="1"/>
  <c r="T3430" i="2"/>
  <c r="R3416" i="2" l="1"/>
  <c r="R3418" i="2" s="1"/>
  <c r="S3419" i="2" s="1"/>
  <c r="R3425" i="2"/>
  <c r="R3426" i="2"/>
  <c r="R3428" i="2" s="1"/>
  <c r="R3443" i="2"/>
  <c r="R3434" i="2"/>
  <c r="R3435" i="2"/>
  <c r="T3441" i="2"/>
  <c r="R3445" i="2" l="1"/>
  <c r="R3454" i="2"/>
  <c r="R3446" i="2"/>
  <c r="R3427" i="2"/>
  <c r="R3429" i="2" s="1"/>
  <c r="S3430" i="2" s="1"/>
  <c r="R3436" i="2"/>
  <c r="R3437" i="2"/>
  <c r="R3439" i="2" s="1"/>
  <c r="T3452" i="2"/>
  <c r="R3447" i="2" l="1"/>
  <c r="R3448" i="2"/>
  <c r="R3450" i="2" s="1"/>
  <c r="R3456" i="2"/>
  <c r="R3465" i="2"/>
  <c r="R3457" i="2"/>
  <c r="R3438" i="2"/>
  <c r="R3440" i="2" s="1"/>
  <c r="S3441" i="2" s="1"/>
  <c r="T3463" i="2"/>
  <c r="R3449" i="2" l="1"/>
  <c r="R3451" i="2" s="1"/>
  <c r="S3452" i="2" s="1"/>
  <c r="R3458" i="2"/>
  <c r="R3459" i="2"/>
  <c r="R3461" i="2" s="1"/>
  <c r="R3467" i="2"/>
  <c r="R3476" i="2"/>
  <c r="R3468" i="2"/>
  <c r="T3474" i="2"/>
  <c r="R3469" i="2" l="1"/>
  <c r="R3470" i="2"/>
  <c r="R3472" i="2" s="1"/>
  <c r="R3460" i="2"/>
  <c r="R3462" i="2" s="1"/>
  <c r="S3463" i="2" s="1"/>
  <c r="R3478" i="2"/>
  <c r="R3487" i="2"/>
  <c r="R3479" i="2"/>
  <c r="T3485" i="2"/>
  <c r="R3480" i="2" l="1"/>
  <c r="R3481" i="2"/>
  <c r="R3483" i="2" s="1"/>
  <c r="R3471" i="2"/>
  <c r="R3473" i="2" s="1"/>
  <c r="S3474" i="2" s="1"/>
  <c r="R3498" i="2"/>
  <c r="R3489" i="2"/>
  <c r="R3490" i="2"/>
  <c r="T3496" i="2"/>
  <c r="R3500" i="2" l="1"/>
  <c r="R3509" i="2"/>
  <c r="R3501" i="2"/>
  <c r="R3482" i="2"/>
  <c r="R3484" i="2" s="1"/>
  <c r="S3485" i="2" s="1"/>
  <c r="R3491" i="2"/>
  <c r="R3492" i="2"/>
  <c r="R3494" i="2" s="1"/>
  <c r="T3507" i="2"/>
  <c r="R3502" i="2" l="1"/>
  <c r="R3503" i="2"/>
  <c r="R3505" i="2" s="1"/>
  <c r="R3520" i="2"/>
  <c r="R3511" i="2"/>
  <c r="R3512" i="2"/>
  <c r="R3493" i="2"/>
  <c r="R3495" i="2" s="1"/>
  <c r="S3496" i="2" s="1"/>
  <c r="T3518" i="2"/>
  <c r="R3504" i="2" l="1"/>
  <c r="R3506" i="2" s="1"/>
  <c r="S3507" i="2" s="1"/>
  <c r="R3522" i="2"/>
  <c r="R3531" i="2"/>
  <c r="R3523" i="2"/>
  <c r="R3513" i="2"/>
  <c r="R3514" i="2"/>
  <c r="R3516" i="2" s="1"/>
  <c r="T3529" i="2"/>
  <c r="R3524" i="2" l="1"/>
  <c r="R3525" i="2"/>
  <c r="R3527" i="2" s="1"/>
  <c r="R3515" i="2"/>
  <c r="R3517" i="2" s="1"/>
  <c r="S3518" i="2" s="1"/>
  <c r="R3533" i="2"/>
  <c r="R3542" i="2"/>
  <c r="R3534" i="2"/>
  <c r="T3540" i="2"/>
  <c r="R3526" i="2" l="1"/>
  <c r="R3528" i="2" s="1"/>
  <c r="S3529" i="2" s="1"/>
  <c r="R3544" i="2"/>
  <c r="R3553" i="2"/>
  <c r="R3545" i="2"/>
  <c r="R3535" i="2"/>
  <c r="R3537" i="2" s="1"/>
  <c r="R3536" i="2"/>
  <c r="R3538" i="2" s="1"/>
  <c r="T3551" i="2"/>
  <c r="R3546" i="2" l="1"/>
  <c r="R3547" i="2"/>
  <c r="R3549" i="2" s="1"/>
  <c r="R3555" i="2"/>
  <c r="R3564" i="2"/>
  <c r="R3556" i="2"/>
  <c r="R3539" i="2"/>
  <c r="S3540" i="2" s="1"/>
  <c r="T3562" i="2"/>
  <c r="R3548" i="2" l="1"/>
  <c r="R3550" i="2" s="1"/>
  <c r="S3551" i="2" s="1"/>
  <c r="R3557" i="2"/>
  <c r="R3558" i="2"/>
  <c r="R3560" i="2" s="1"/>
  <c r="R3566" i="2"/>
  <c r="R3575" i="2"/>
  <c r="R3567" i="2"/>
  <c r="T3573" i="2"/>
  <c r="R3577" i="2" l="1"/>
  <c r="R3586" i="2"/>
  <c r="R3578" i="2"/>
  <c r="R3568" i="2"/>
  <c r="R3569" i="2"/>
  <c r="R3571" i="2" s="1"/>
  <c r="R3559" i="2"/>
  <c r="R3561" i="2" s="1"/>
  <c r="S3562" i="2" s="1"/>
  <c r="T3584" i="2"/>
  <c r="R3579" i="2" l="1"/>
  <c r="R3580" i="2"/>
  <c r="R3582" i="2" s="1"/>
  <c r="R3570" i="2"/>
  <c r="R3572" i="2" s="1"/>
  <c r="S3573" i="2" s="1"/>
  <c r="R3588" i="2"/>
  <c r="R3597" i="2"/>
  <c r="R3589" i="2"/>
  <c r="T3595" i="2"/>
  <c r="R3590" i="2" l="1"/>
  <c r="R3591" i="2"/>
  <c r="R3593" i="2" s="1"/>
  <c r="R3581" i="2"/>
  <c r="R3583" i="2" s="1"/>
  <c r="S3584" i="2" s="1"/>
  <c r="R3599" i="2"/>
  <c r="R3608" i="2"/>
  <c r="R3600" i="2"/>
  <c r="T3606" i="2"/>
  <c r="R3592" i="2" l="1"/>
  <c r="R3594" i="2" s="1"/>
  <c r="S3595" i="2" s="1"/>
  <c r="R3610" i="2"/>
  <c r="R3619" i="2"/>
  <c r="R3611" i="2"/>
  <c r="R3601" i="2"/>
  <c r="R3602" i="2"/>
  <c r="R3604" i="2" s="1"/>
  <c r="T3617" i="2"/>
  <c r="R3612" i="2" l="1"/>
  <c r="R3613" i="2"/>
  <c r="R3615" i="2" s="1"/>
  <c r="R3603" i="2"/>
  <c r="R3605" i="2" s="1"/>
  <c r="S3606" i="2" s="1"/>
  <c r="R3630" i="2"/>
  <c r="R3621" i="2"/>
  <c r="R3622" i="2"/>
  <c r="T3628" i="2"/>
  <c r="R3632" i="2" l="1"/>
  <c r="R3641" i="2"/>
  <c r="R3633" i="2"/>
  <c r="R3614" i="2"/>
  <c r="R3616" i="2" s="1"/>
  <c r="S3617" i="2" s="1"/>
  <c r="R3623" i="2"/>
  <c r="R3624" i="2"/>
  <c r="R3626" i="2" s="1"/>
  <c r="T3639" i="2"/>
  <c r="R3634" i="2" l="1"/>
  <c r="R3635" i="2"/>
  <c r="R3637" i="2" s="1"/>
  <c r="R3643" i="2"/>
  <c r="R3652" i="2"/>
  <c r="R3644" i="2"/>
  <c r="R3625" i="2"/>
  <c r="R3627" i="2" s="1"/>
  <c r="S3628" i="2" s="1"/>
  <c r="T3650" i="2"/>
  <c r="R3636" i="2" l="1"/>
  <c r="R3638" i="2" s="1"/>
  <c r="S3639" i="2" s="1"/>
  <c r="R3645" i="2"/>
  <c r="R3646" i="2"/>
  <c r="R3648" i="2" s="1"/>
  <c r="R3663" i="2"/>
  <c r="R3654" i="2"/>
  <c r="R3655" i="2"/>
  <c r="T3661" i="2"/>
  <c r="R3674" i="2" l="1"/>
  <c r="R3665" i="2"/>
  <c r="R3666" i="2"/>
  <c r="R3647" i="2"/>
  <c r="R3649" i="2" s="1"/>
  <c r="S3650" i="2" s="1"/>
  <c r="R3656" i="2"/>
  <c r="R3657" i="2"/>
  <c r="R3659" i="2" s="1"/>
  <c r="T3672" i="2"/>
  <c r="R3685" i="2" l="1"/>
  <c r="R3676" i="2"/>
  <c r="R3677" i="2"/>
  <c r="R3667" i="2"/>
  <c r="R3668" i="2"/>
  <c r="R3670" i="2" s="1"/>
  <c r="R3658" i="2"/>
  <c r="R3660" i="2" s="1"/>
  <c r="S3661" i="2" s="1"/>
  <c r="T3683" i="2"/>
  <c r="R3669" i="2" l="1"/>
  <c r="R3671" i="2" s="1"/>
  <c r="S3672" i="2" s="1"/>
  <c r="R3696" i="2"/>
  <c r="R3687" i="2"/>
  <c r="R3688" i="2"/>
  <c r="R3678" i="2"/>
  <c r="R3679" i="2"/>
  <c r="R3681" i="2" s="1"/>
  <c r="T3694" i="2"/>
  <c r="R3698" i="2" l="1"/>
  <c r="R3707" i="2"/>
  <c r="R3699" i="2"/>
  <c r="R3680" i="2"/>
  <c r="R3682" i="2" s="1"/>
  <c r="S3683" i="2" s="1"/>
  <c r="R3689" i="2"/>
  <c r="R3690" i="2"/>
  <c r="R3692" i="2" s="1"/>
  <c r="T3705" i="2"/>
  <c r="R3700" i="2" l="1"/>
  <c r="R3701" i="2"/>
  <c r="R3703" i="2" s="1"/>
  <c r="R3709" i="2"/>
  <c r="R3718" i="2"/>
  <c r="R3710" i="2"/>
  <c r="R3691" i="2"/>
  <c r="R3693" i="2" s="1"/>
  <c r="S3694" i="2" s="1"/>
  <c r="T3716" i="2"/>
  <c r="R3702" i="2" l="1"/>
  <c r="R3704" i="2" s="1"/>
  <c r="S3705" i="2" s="1"/>
  <c r="R3711" i="2"/>
  <c r="R3712" i="2"/>
  <c r="R3714" i="2" s="1"/>
  <c r="R3720" i="2"/>
  <c r="R3729" i="2"/>
  <c r="R3721" i="2"/>
  <c r="T3727" i="2"/>
  <c r="R3722" i="2" l="1"/>
  <c r="R3723" i="2"/>
  <c r="R3725" i="2" s="1"/>
  <c r="R3713" i="2"/>
  <c r="R3715" i="2" s="1"/>
  <c r="S3716" i="2" s="1"/>
  <c r="R3731" i="2"/>
  <c r="R3740" i="2"/>
  <c r="R3732" i="2"/>
  <c r="T3738" i="2"/>
  <c r="R3751" i="2" l="1"/>
  <c r="R3742" i="2"/>
  <c r="R3743" i="2"/>
  <c r="R3733" i="2"/>
  <c r="R3735" i="2" s="1"/>
  <c r="R3734" i="2"/>
  <c r="R3736" i="2" s="1"/>
  <c r="R3724" i="2"/>
  <c r="R3726" i="2" s="1"/>
  <c r="S3727" i="2" s="1"/>
  <c r="T3749" i="2"/>
  <c r="R3737" i="2" l="1"/>
  <c r="S3738" i="2" s="1"/>
  <c r="R3753" i="2"/>
  <c r="R3762" i="2"/>
  <c r="R3754" i="2"/>
  <c r="R3744" i="2"/>
  <c r="R3745" i="2"/>
  <c r="R3747" i="2" s="1"/>
  <c r="T3760" i="2"/>
  <c r="R3755" i="2" l="1"/>
  <c r="R3756" i="2"/>
  <c r="R3758" i="2" s="1"/>
  <c r="R3746" i="2"/>
  <c r="R3748" i="2" s="1"/>
  <c r="S3749" i="2" s="1"/>
  <c r="R3764" i="2"/>
  <c r="R3773" i="2"/>
  <c r="R3765" i="2"/>
  <c r="T3771" i="2"/>
  <c r="R3784" i="2" l="1"/>
  <c r="R3775" i="2"/>
  <c r="R3776" i="2"/>
  <c r="R3766" i="2"/>
  <c r="R3767" i="2"/>
  <c r="R3769" i="2" s="1"/>
  <c r="R3757" i="2"/>
  <c r="R3759" i="2" s="1"/>
  <c r="S3760" i="2" s="1"/>
  <c r="T3782" i="2"/>
  <c r="R3768" i="2" l="1"/>
  <c r="R3770" i="2" s="1"/>
  <c r="S3771" i="2" s="1"/>
  <c r="R3795" i="2"/>
  <c r="R3786" i="2"/>
  <c r="R3787" i="2"/>
  <c r="R3777" i="2"/>
  <c r="R3778" i="2"/>
  <c r="R3780" i="2" s="1"/>
  <c r="T3793" i="2"/>
  <c r="R3779" i="2" l="1"/>
  <c r="R3781" i="2" s="1"/>
  <c r="S3782" i="2" s="1"/>
  <c r="R3797" i="2"/>
  <c r="R3806" i="2"/>
  <c r="R3798" i="2"/>
  <c r="R3788" i="2"/>
  <c r="R3789" i="2"/>
  <c r="R3791" i="2" s="1"/>
  <c r="T3804" i="2"/>
  <c r="R3799" i="2" l="1"/>
  <c r="R3800" i="2"/>
  <c r="R3802" i="2" s="1"/>
  <c r="R3790" i="2"/>
  <c r="R3792" i="2" s="1"/>
  <c r="S3793" i="2" s="1"/>
  <c r="R3808" i="2"/>
  <c r="R3817" i="2"/>
  <c r="R3809" i="2"/>
  <c r="T3815" i="2"/>
  <c r="R3810" i="2" l="1"/>
  <c r="R3811" i="2"/>
  <c r="R3813" i="2" s="1"/>
  <c r="R3801" i="2"/>
  <c r="R3803" i="2" s="1"/>
  <c r="S3804" i="2" s="1"/>
  <c r="R3819" i="2"/>
  <c r="R3828" i="2"/>
  <c r="R3820" i="2"/>
  <c r="T3826" i="2"/>
  <c r="R3821" i="2" l="1"/>
  <c r="R3822" i="2"/>
  <c r="R3824" i="2" s="1"/>
  <c r="R3812" i="2"/>
  <c r="R3814" i="2" s="1"/>
  <c r="S3815" i="2" s="1"/>
  <c r="R3839" i="2"/>
  <c r="R3830" i="2"/>
  <c r="R3831" i="2"/>
  <c r="T3837" i="2"/>
  <c r="R3850" i="2" l="1"/>
  <c r="R3841" i="2"/>
  <c r="R3842" i="2"/>
  <c r="R3823" i="2"/>
  <c r="R3825" i="2" s="1"/>
  <c r="S3826" i="2" s="1"/>
  <c r="R3832" i="2"/>
  <c r="R3833" i="2"/>
  <c r="R3835" i="2" s="1"/>
  <c r="T3848" i="2"/>
  <c r="R3843" i="2" l="1"/>
  <c r="R3845" i="2" s="1"/>
  <c r="R3844" i="2"/>
  <c r="R3846" i="2" s="1"/>
  <c r="R3861" i="2"/>
  <c r="R3852" i="2"/>
  <c r="R3853" i="2"/>
  <c r="R3834" i="2"/>
  <c r="R3836" i="2" s="1"/>
  <c r="S3837" i="2" s="1"/>
  <c r="T3859" i="2"/>
  <c r="R3847" i="2" l="1"/>
  <c r="S3848" i="2" s="1"/>
  <c r="R3863" i="2"/>
  <c r="R3872" i="2"/>
  <c r="R3864" i="2"/>
  <c r="R3854" i="2"/>
  <c r="R3855" i="2"/>
  <c r="R3857" i="2" s="1"/>
  <c r="T3870" i="2"/>
  <c r="R3865" i="2" l="1"/>
  <c r="R3867" i="2" s="1"/>
  <c r="R3866" i="2"/>
  <c r="R3868" i="2" s="1"/>
  <c r="R3856" i="2"/>
  <c r="R3858" i="2" s="1"/>
  <c r="S3859" i="2" s="1"/>
  <c r="R3874" i="2"/>
  <c r="R3883" i="2"/>
  <c r="R3875" i="2"/>
  <c r="T3881" i="2"/>
  <c r="R3869" i="2" l="1"/>
  <c r="S3870" i="2" s="1"/>
  <c r="R3876" i="2"/>
  <c r="R3878" i="2" s="1"/>
  <c r="R3877" i="2"/>
  <c r="R3879" i="2" s="1"/>
  <c r="R3885" i="2"/>
  <c r="R3894" i="2"/>
  <c r="R3886" i="2"/>
  <c r="T3892" i="2"/>
  <c r="R3880" i="2" l="1"/>
  <c r="S3881" i="2" s="1"/>
  <c r="R3887" i="2"/>
  <c r="R3888" i="2"/>
  <c r="R3890" i="2" s="1"/>
  <c r="R3905" i="2"/>
  <c r="R3896" i="2"/>
  <c r="R3897" i="2"/>
  <c r="T3903" i="2"/>
  <c r="R3889" i="2" l="1"/>
  <c r="R3891" i="2" s="1"/>
  <c r="S3892" i="2" s="1"/>
  <c r="R3916" i="2"/>
  <c r="R3907" i="2"/>
  <c r="R3908" i="2"/>
  <c r="R3898" i="2"/>
  <c r="R3899" i="2"/>
  <c r="R3901" i="2" s="1"/>
  <c r="T3914" i="2"/>
  <c r="R3900" i="2" l="1"/>
  <c r="R3902" i="2" s="1"/>
  <c r="S3903" i="2" s="1"/>
  <c r="R3918" i="2"/>
  <c r="R3927" i="2"/>
  <c r="R3919" i="2"/>
  <c r="R3909" i="2"/>
  <c r="R3910" i="2"/>
  <c r="R3912" i="2" s="1"/>
  <c r="T3925" i="2"/>
  <c r="R3911" i="2" l="1"/>
  <c r="R3913" i="2" s="1"/>
  <c r="S3914" i="2" s="1"/>
  <c r="R3920" i="2"/>
  <c r="R3922" i="2" s="1"/>
  <c r="R3921" i="2"/>
  <c r="R3923" i="2" s="1"/>
  <c r="R3938" i="2"/>
  <c r="R3929" i="2"/>
  <c r="R3930" i="2"/>
  <c r="T3936" i="2"/>
  <c r="R3924" i="2" l="1"/>
  <c r="S3925" i="2" s="1"/>
  <c r="R3949" i="2"/>
  <c r="R3940" i="2"/>
  <c r="R3941" i="2"/>
  <c r="R3931" i="2"/>
  <c r="R3932" i="2"/>
  <c r="R3934" i="2" s="1"/>
  <c r="T3947" i="2"/>
  <c r="R3933" i="2" l="1"/>
  <c r="R3935" i="2" s="1"/>
  <c r="S3936" i="2" s="1"/>
  <c r="R3951" i="2"/>
  <c r="R3960" i="2"/>
  <c r="R3952" i="2"/>
  <c r="R3942" i="2"/>
  <c r="R3943" i="2"/>
  <c r="R3945" i="2" s="1"/>
  <c r="T3958" i="2"/>
  <c r="R3944" i="2" l="1"/>
  <c r="R3946" i="2" s="1"/>
  <c r="S3947" i="2" s="1"/>
  <c r="R3953" i="2"/>
  <c r="R3954" i="2"/>
  <c r="R3956" i="2" s="1"/>
  <c r="R3971" i="2"/>
  <c r="R3962" i="2"/>
  <c r="R3963" i="2"/>
  <c r="T3969" i="2"/>
  <c r="R3982" i="2" l="1"/>
  <c r="R3973" i="2"/>
  <c r="R3974" i="2"/>
  <c r="R3955" i="2"/>
  <c r="R3957" i="2" s="1"/>
  <c r="S3958" i="2" s="1"/>
  <c r="R3964" i="2"/>
  <c r="R3965" i="2"/>
  <c r="R3967" i="2" s="1"/>
  <c r="T3980" i="2"/>
  <c r="R3984" i="2" l="1"/>
  <c r="R3993" i="2"/>
  <c r="R3985" i="2"/>
  <c r="R3975" i="2"/>
  <c r="R3977" i="2" s="1"/>
  <c r="R3976" i="2"/>
  <c r="R3978" i="2" s="1"/>
  <c r="R3966" i="2"/>
  <c r="R3968" i="2" s="1"/>
  <c r="S3969" i="2" s="1"/>
  <c r="T3991" i="2"/>
  <c r="R3979" i="2" l="1"/>
  <c r="S3980" i="2" s="1"/>
  <c r="R3986" i="2"/>
  <c r="R3987" i="2"/>
  <c r="R3989" i="2" s="1"/>
  <c r="R4004" i="2"/>
  <c r="R3995" i="2"/>
  <c r="R3996" i="2"/>
  <c r="T4002" i="2"/>
  <c r="R3988" i="2" l="1"/>
  <c r="R3990" i="2" s="1"/>
  <c r="S3991" i="2" s="1"/>
  <c r="R4015" i="2"/>
  <c r="R4006" i="2"/>
  <c r="R4007" i="2"/>
  <c r="R3997" i="2"/>
  <c r="R3998" i="2"/>
  <c r="R4000" i="2" s="1"/>
  <c r="T4013" i="2"/>
  <c r="R3999" i="2" l="1"/>
  <c r="R4001" i="2" s="1"/>
  <c r="S4002" i="2" s="1"/>
  <c r="R4017" i="2"/>
  <c r="R4026" i="2"/>
  <c r="R4018" i="2"/>
  <c r="R4008" i="2"/>
  <c r="R4009" i="2"/>
  <c r="R4011" i="2" s="1"/>
  <c r="T4024" i="2"/>
  <c r="R4010" i="2" l="1"/>
  <c r="R4012" i="2" s="1"/>
  <c r="S4013" i="2" s="1"/>
  <c r="R4019" i="2"/>
  <c r="R4020" i="2"/>
  <c r="R4022" i="2" s="1"/>
  <c r="R4028" i="2"/>
  <c r="R4037" i="2"/>
  <c r="R4029" i="2"/>
  <c r="T4035" i="2"/>
  <c r="R4039" i="2" l="1"/>
  <c r="R4048" i="2"/>
  <c r="R4040" i="2"/>
  <c r="R4030" i="2"/>
  <c r="R4031" i="2"/>
  <c r="R4033" i="2" s="1"/>
  <c r="R4021" i="2"/>
  <c r="R4023" i="2" s="1"/>
  <c r="S4024" i="2" s="1"/>
  <c r="T4046" i="2"/>
  <c r="R4032" i="2" l="1"/>
  <c r="R4034" i="2" s="1"/>
  <c r="S4035" i="2" s="1"/>
  <c r="R4041" i="2"/>
  <c r="R4042" i="2"/>
  <c r="R4044" i="2" s="1"/>
  <c r="R4050" i="2"/>
  <c r="R4059" i="2"/>
  <c r="R4051" i="2"/>
  <c r="T4057" i="2"/>
  <c r="R4052" i="2" l="1"/>
  <c r="R4053" i="2"/>
  <c r="R4055" i="2" s="1"/>
  <c r="R4043" i="2"/>
  <c r="R4045" i="2" s="1"/>
  <c r="S4046" i="2" s="1"/>
  <c r="R4061" i="2"/>
  <c r="R4070" i="2"/>
  <c r="R4062" i="2"/>
  <c r="T4068" i="2"/>
  <c r="R4063" i="2" l="1"/>
  <c r="R4064" i="2"/>
  <c r="R4066" i="2" s="1"/>
  <c r="R4054" i="2"/>
  <c r="R4056" i="2" s="1"/>
  <c r="S4057" i="2" s="1"/>
  <c r="R4072" i="2"/>
  <c r="R4081" i="2"/>
  <c r="R4073" i="2"/>
  <c r="T4079" i="2"/>
  <c r="R4083" i="2" l="1"/>
  <c r="R4092" i="2"/>
  <c r="R4084" i="2"/>
  <c r="R4074" i="2"/>
  <c r="R4075" i="2"/>
  <c r="R4077" i="2" s="1"/>
  <c r="R4065" i="2"/>
  <c r="R4067" i="2" s="1"/>
  <c r="S4068" i="2" s="1"/>
  <c r="T4090" i="2"/>
  <c r="R4076" i="2" l="1"/>
  <c r="R4078" i="2" s="1"/>
  <c r="S4079" i="2" s="1"/>
  <c r="R4085" i="2"/>
  <c r="R4087" i="2" s="1"/>
  <c r="R4086" i="2"/>
  <c r="R4088" i="2" s="1"/>
  <c r="R4094" i="2"/>
  <c r="R4103" i="2"/>
  <c r="R4095" i="2"/>
  <c r="T4101" i="2"/>
  <c r="R4089" i="2" l="1"/>
  <c r="S4090" i="2" s="1"/>
  <c r="R4096" i="2"/>
  <c r="R4098" i="2" s="1"/>
  <c r="R4097" i="2"/>
  <c r="R4099" i="2" s="1"/>
  <c r="R4105" i="2"/>
  <c r="R4114" i="2"/>
  <c r="R4106" i="2"/>
  <c r="T4112" i="2"/>
  <c r="R4100" i="2" l="1"/>
  <c r="S4101" i="2" s="1"/>
  <c r="R4107" i="2"/>
  <c r="R4108" i="2"/>
  <c r="R4110" i="2" s="1"/>
  <c r="R4116" i="2"/>
  <c r="R4125" i="2"/>
  <c r="R4117" i="2"/>
  <c r="T4123" i="2"/>
  <c r="R4109" i="2" l="1"/>
  <c r="R4111" i="2" s="1"/>
  <c r="S4112" i="2" s="1"/>
  <c r="R4118" i="2"/>
  <c r="R4119" i="2"/>
  <c r="R4121" i="2" s="1"/>
  <c r="R4127" i="2"/>
  <c r="R4136" i="2"/>
  <c r="R4128" i="2"/>
  <c r="T4134" i="2"/>
  <c r="R4138" i="2" l="1"/>
  <c r="R4147" i="2"/>
  <c r="R4139" i="2"/>
  <c r="R4120" i="2"/>
  <c r="R4122" i="2" s="1"/>
  <c r="S4123" i="2" s="1"/>
  <c r="R4129" i="2"/>
  <c r="R4130" i="2"/>
  <c r="R4132" i="2" s="1"/>
  <c r="T4145" i="2"/>
  <c r="R4140" i="2" l="1"/>
  <c r="R4141" i="2"/>
  <c r="R4143" i="2" s="1"/>
  <c r="R4149" i="2"/>
  <c r="R4158" i="2"/>
  <c r="R4150" i="2"/>
  <c r="R4131" i="2"/>
  <c r="R4133" i="2" s="1"/>
  <c r="S4134" i="2" s="1"/>
  <c r="T4156" i="2"/>
  <c r="R4142" i="2" l="1"/>
  <c r="R4144" i="2" s="1"/>
  <c r="S4145" i="2" s="1"/>
  <c r="R4151" i="2"/>
  <c r="R4152" i="2"/>
  <c r="R4154" i="2" s="1"/>
  <c r="R4160" i="2"/>
  <c r="R4169" i="2"/>
  <c r="R4161" i="2"/>
  <c r="T4167" i="2"/>
  <c r="R4162" i="2" l="1"/>
  <c r="R4163" i="2"/>
  <c r="R4165" i="2" s="1"/>
  <c r="R4153" i="2"/>
  <c r="R4155" i="2" s="1"/>
  <c r="S4156" i="2" s="1"/>
  <c r="R4171" i="2"/>
  <c r="R4180" i="2"/>
  <c r="R4172" i="2"/>
  <c r="T4178" i="2"/>
  <c r="R4191" i="2" l="1"/>
  <c r="R4182" i="2"/>
  <c r="R4183" i="2"/>
  <c r="R4173" i="2"/>
  <c r="R4175" i="2" s="1"/>
  <c r="R4174" i="2"/>
  <c r="R4176" i="2" s="1"/>
  <c r="R4164" i="2"/>
  <c r="R4166" i="2" s="1"/>
  <c r="S4167" i="2" s="1"/>
  <c r="T4189" i="2"/>
  <c r="R4177" i="2" l="1"/>
  <c r="S4178" i="2" s="1"/>
  <c r="R4193" i="2"/>
  <c r="R4202" i="2"/>
  <c r="R4194" i="2"/>
  <c r="R4184" i="2"/>
  <c r="R4185" i="2"/>
  <c r="R4187" i="2" s="1"/>
  <c r="T4200" i="2"/>
  <c r="R4186" i="2" l="1"/>
  <c r="R4188" i="2" s="1"/>
  <c r="S4189" i="2" s="1"/>
  <c r="R4195" i="2"/>
  <c r="R4196" i="2"/>
  <c r="R4198" i="2" s="1"/>
  <c r="R4204" i="2"/>
  <c r="R4213" i="2"/>
  <c r="R4205" i="2"/>
  <c r="T4211" i="2"/>
  <c r="R4206" i="2" l="1"/>
  <c r="R4207" i="2"/>
  <c r="R4209" i="2" s="1"/>
  <c r="R4197" i="2"/>
  <c r="R4199" i="2" s="1"/>
  <c r="S4200" i="2" s="1"/>
  <c r="R4215" i="2"/>
  <c r="R4224" i="2"/>
  <c r="R4216" i="2"/>
  <c r="T4222" i="2"/>
  <c r="R4226" i="2" l="1"/>
  <c r="R4235" i="2"/>
  <c r="R4227" i="2"/>
  <c r="R4217" i="2"/>
  <c r="R4218" i="2"/>
  <c r="R4220" i="2" s="1"/>
  <c r="R4208" i="2"/>
  <c r="R4210" i="2" s="1"/>
  <c r="S4211" i="2" s="1"/>
  <c r="T4233" i="2"/>
  <c r="R4237" i="2" l="1"/>
  <c r="R4246" i="2"/>
  <c r="R4238" i="2"/>
  <c r="R4219" i="2"/>
  <c r="R4221" i="2" s="1"/>
  <c r="S4222" i="2" s="1"/>
  <c r="R4228" i="2"/>
  <c r="R4230" i="2" s="1"/>
  <c r="R4229" i="2"/>
  <c r="R4231" i="2" s="1"/>
  <c r="T4244" i="2"/>
  <c r="R4232" i="2" l="1"/>
  <c r="S4233" i="2" s="1"/>
  <c r="R4248" i="2"/>
  <c r="R4257" i="2"/>
  <c r="R4249" i="2"/>
  <c r="R4239" i="2"/>
  <c r="R4241" i="2" s="1"/>
  <c r="R4240" i="2"/>
  <c r="R4242" i="2" s="1"/>
  <c r="T4255" i="2"/>
  <c r="R4243" i="2" l="1"/>
  <c r="S4244" i="2" s="1"/>
  <c r="R4250" i="2"/>
  <c r="R4251" i="2"/>
  <c r="R4253" i="2" s="1"/>
  <c r="R4259" i="2"/>
  <c r="R4268" i="2"/>
  <c r="R4260" i="2"/>
  <c r="T4266" i="2"/>
  <c r="R4252" i="2" l="1"/>
  <c r="R4254" i="2" s="1"/>
  <c r="S4255" i="2" s="1"/>
  <c r="R4261" i="2"/>
  <c r="R4263" i="2" s="1"/>
  <c r="R4262" i="2"/>
  <c r="R4264" i="2" s="1"/>
  <c r="R4270" i="2"/>
  <c r="R4279" i="2"/>
  <c r="R4271" i="2"/>
  <c r="T4277" i="2"/>
  <c r="R4265" i="2" l="1"/>
  <c r="S4266" i="2" s="1"/>
  <c r="R4272" i="2"/>
  <c r="R4273" i="2"/>
  <c r="R4275" i="2" s="1"/>
  <c r="R4281" i="2"/>
  <c r="R4290" i="2"/>
  <c r="R4282" i="2"/>
  <c r="T4288" i="2"/>
  <c r="R4274" i="2" l="1"/>
  <c r="R4276" i="2" s="1"/>
  <c r="S4277" i="2" s="1"/>
  <c r="R4283" i="2"/>
  <c r="R4285" i="2" s="1"/>
  <c r="R4284" i="2"/>
  <c r="R4286" i="2" s="1"/>
  <c r="R4292" i="2"/>
  <c r="R4301" i="2"/>
  <c r="R4293" i="2"/>
  <c r="T4299" i="2"/>
  <c r="R4287" i="2" l="1"/>
  <c r="S4288" i="2" s="1"/>
  <c r="R4303" i="2"/>
  <c r="R4312" i="2"/>
  <c r="R4304" i="2"/>
  <c r="R4294" i="2"/>
  <c r="R4295" i="2"/>
  <c r="R4297" i="2" s="1"/>
  <c r="T4310" i="2"/>
  <c r="R4305" i="2" l="1"/>
  <c r="R4306" i="2"/>
  <c r="R4308" i="2" s="1"/>
  <c r="R4296" i="2"/>
  <c r="R4298" i="2" s="1"/>
  <c r="S4299" i="2" s="1"/>
  <c r="R4314" i="2"/>
  <c r="R4323" i="2"/>
  <c r="R4315" i="2"/>
  <c r="T4321" i="2"/>
  <c r="R4316" i="2" l="1"/>
  <c r="R4318" i="2" s="1"/>
  <c r="R4317" i="2"/>
  <c r="R4319" i="2" s="1"/>
  <c r="R4307" i="2"/>
  <c r="R4309" i="2" s="1"/>
  <c r="S4310" i="2" s="1"/>
  <c r="R4325" i="2"/>
  <c r="R4334" i="2"/>
  <c r="R4326" i="2"/>
  <c r="T4332" i="2"/>
  <c r="R4320" i="2" l="1"/>
  <c r="S4321" i="2" s="1"/>
  <c r="R4327" i="2"/>
  <c r="R4328" i="2"/>
  <c r="R4330" i="2" s="1"/>
  <c r="R4345" i="2"/>
  <c r="R4336" i="2"/>
  <c r="R4337" i="2"/>
  <c r="T4343" i="2"/>
  <c r="R4329" i="2" l="1"/>
  <c r="R4331" i="2" s="1"/>
  <c r="S4332" i="2" s="1"/>
  <c r="R4347" i="2"/>
  <c r="R4356" i="2"/>
  <c r="R4348" i="2"/>
  <c r="R4338" i="2"/>
  <c r="R4340" i="2" s="1"/>
  <c r="R4339" i="2"/>
  <c r="R4341" i="2" s="1"/>
  <c r="T4354" i="2"/>
  <c r="R4342" i="2" l="1"/>
  <c r="S4343" i="2" s="1"/>
  <c r="R4349" i="2"/>
  <c r="R4351" i="2" s="1"/>
  <c r="R4350" i="2"/>
  <c r="R4352" i="2" s="1"/>
  <c r="R4358" i="2"/>
  <c r="R4367" i="2"/>
  <c r="R4359" i="2"/>
  <c r="T4365" i="2"/>
  <c r="R4353" i="2" l="1"/>
  <c r="S4354" i="2" s="1"/>
  <c r="R4360" i="2"/>
  <c r="R4361" i="2"/>
  <c r="R4363" i="2" s="1"/>
  <c r="R4369" i="2"/>
  <c r="R4378" i="2"/>
  <c r="R4370" i="2"/>
  <c r="T4376" i="2"/>
  <c r="R4362" i="2" l="1"/>
  <c r="R4364" i="2" s="1"/>
  <c r="S4365" i="2" s="1"/>
  <c r="R4371" i="2"/>
  <c r="R4372" i="2"/>
  <c r="R4374" i="2" s="1"/>
  <c r="R4380" i="2"/>
  <c r="R4389" i="2"/>
  <c r="R4381" i="2"/>
  <c r="T4387" i="2"/>
  <c r="R4400" i="2" l="1"/>
  <c r="R4391" i="2"/>
  <c r="R4392" i="2"/>
  <c r="R4382" i="2"/>
  <c r="R4383" i="2"/>
  <c r="R4385" i="2" s="1"/>
  <c r="R4373" i="2"/>
  <c r="R4375" i="2" s="1"/>
  <c r="S4376" i="2" s="1"/>
  <c r="T4398" i="2"/>
  <c r="R4393" i="2" l="1"/>
  <c r="R4395" i="2" s="1"/>
  <c r="R4394" i="2"/>
  <c r="R4396" i="2" s="1"/>
  <c r="R4384" i="2"/>
  <c r="R4386" i="2" s="1"/>
  <c r="S4387" i="2" s="1"/>
  <c r="R4411" i="2"/>
  <c r="R4402" i="2"/>
  <c r="R4403" i="2"/>
  <c r="T4409" i="2"/>
  <c r="R4397" i="2" l="1"/>
  <c r="S4398" i="2" s="1"/>
  <c r="R4413" i="2"/>
  <c r="R4422" i="2"/>
  <c r="R4414" i="2"/>
  <c r="R4404" i="2"/>
  <c r="R4405" i="2"/>
  <c r="R4407" i="2" s="1"/>
  <c r="T4420" i="2"/>
  <c r="R4406" i="2" l="1"/>
  <c r="R4408" i="2" s="1"/>
  <c r="S4409" i="2" s="1"/>
  <c r="R4415" i="2"/>
  <c r="R4416" i="2"/>
  <c r="R4418" i="2" s="1"/>
  <c r="R4424" i="2"/>
  <c r="R4433" i="2"/>
  <c r="R4425" i="2"/>
  <c r="T4431" i="2"/>
  <c r="R4426" i="2" l="1"/>
  <c r="R4427" i="2"/>
  <c r="R4429" i="2" s="1"/>
  <c r="R4417" i="2"/>
  <c r="R4419" i="2" s="1"/>
  <c r="S4420" i="2" s="1"/>
  <c r="R4435" i="2"/>
  <c r="R4444" i="2"/>
  <c r="R4436" i="2"/>
  <c r="T4442" i="2"/>
  <c r="R4437" i="2" l="1"/>
  <c r="R4438" i="2"/>
  <c r="R4440" i="2" s="1"/>
  <c r="R4428" i="2"/>
  <c r="R4430" i="2" s="1"/>
  <c r="S4431" i="2" s="1"/>
  <c r="R4446" i="2"/>
  <c r="R4455" i="2"/>
  <c r="R4447" i="2"/>
  <c r="T4453" i="2"/>
  <c r="R4448" i="2" l="1"/>
  <c r="R4449" i="2"/>
  <c r="R4451" i="2" s="1"/>
  <c r="R4439" i="2"/>
  <c r="R4441" i="2" s="1"/>
  <c r="S4442" i="2" s="1"/>
  <c r="R4457" i="2"/>
  <c r="R4466" i="2"/>
  <c r="R4458" i="2"/>
  <c r="T4464" i="2"/>
  <c r="R4459" i="2" l="1"/>
  <c r="R4460" i="2"/>
  <c r="R4462" i="2" s="1"/>
  <c r="R4450" i="2"/>
  <c r="R4452" i="2" s="1"/>
  <c r="S4453" i="2" s="1"/>
  <c r="R4468" i="2"/>
  <c r="R4477" i="2"/>
  <c r="R4469" i="2"/>
  <c r="T4475" i="2"/>
  <c r="R4470" i="2" l="1"/>
  <c r="R4471" i="2"/>
  <c r="R4473" i="2" s="1"/>
  <c r="R4461" i="2"/>
  <c r="R4463" i="2" s="1"/>
  <c r="S4464" i="2" s="1"/>
  <c r="R4479" i="2"/>
  <c r="R4488" i="2"/>
  <c r="R4480" i="2"/>
  <c r="T4486" i="2"/>
  <c r="R4481" i="2" l="1"/>
  <c r="R4482" i="2"/>
  <c r="R4484" i="2" s="1"/>
  <c r="R4472" i="2"/>
  <c r="R4474" i="2" s="1"/>
  <c r="S4475" i="2" s="1"/>
  <c r="R4490" i="2"/>
  <c r="R4499" i="2"/>
  <c r="R4491" i="2"/>
  <c r="T4497" i="2"/>
  <c r="R4492" i="2" l="1"/>
  <c r="R4493" i="2"/>
  <c r="R4495" i="2" s="1"/>
  <c r="R4483" i="2"/>
  <c r="R4485" i="2" s="1"/>
  <c r="S4486" i="2" s="1"/>
  <c r="R4510" i="2"/>
  <c r="R4501" i="2"/>
  <c r="R4502" i="2"/>
  <c r="T4508" i="2"/>
  <c r="R4512" i="2" l="1"/>
  <c r="R4521" i="2"/>
  <c r="R4513" i="2"/>
  <c r="R4494" i="2"/>
  <c r="R4496" i="2" s="1"/>
  <c r="S4497" i="2" s="1"/>
  <c r="R4503" i="2"/>
  <c r="R4504" i="2"/>
  <c r="R4506" i="2" s="1"/>
  <c r="T4519" i="2"/>
  <c r="R4514" i="2" l="1"/>
  <c r="R4515" i="2"/>
  <c r="R4517" i="2" s="1"/>
  <c r="R4523" i="2"/>
  <c r="R4532" i="2"/>
  <c r="R4524" i="2"/>
  <c r="R4505" i="2"/>
  <c r="R4507" i="2" s="1"/>
  <c r="S4508" i="2" s="1"/>
  <c r="T4530" i="2"/>
  <c r="R4516" i="2" l="1"/>
  <c r="R4518" i="2" s="1"/>
  <c r="S4519" i="2" s="1"/>
  <c r="R4525" i="2"/>
  <c r="R4526" i="2"/>
  <c r="R4528" i="2" s="1"/>
  <c r="R4543" i="2"/>
  <c r="R4534" i="2"/>
  <c r="R4535" i="2"/>
  <c r="T4541" i="2"/>
  <c r="R4545" i="2" l="1"/>
  <c r="R4554" i="2"/>
  <c r="R4546" i="2"/>
  <c r="R4527" i="2"/>
  <c r="R4529" i="2" s="1"/>
  <c r="S4530" i="2" s="1"/>
  <c r="R4536" i="2"/>
  <c r="R4537" i="2"/>
  <c r="R4539" i="2" s="1"/>
  <c r="T4552" i="2"/>
  <c r="R4547" i="2" l="1"/>
  <c r="R4548" i="2"/>
  <c r="R4550" i="2" s="1"/>
  <c r="R4556" i="2"/>
  <c r="R4565" i="2"/>
  <c r="R4557" i="2"/>
  <c r="R4538" i="2"/>
  <c r="R4540" i="2" s="1"/>
  <c r="S4541" i="2" s="1"/>
  <c r="T4563" i="2"/>
  <c r="R4549" i="2" l="1"/>
  <c r="R4551" i="2" s="1"/>
  <c r="S4552" i="2" s="1"/>
  <c r="R4558" i="2"/>
  <c r="R4559" i="2"/>
  <c r="R4561" i="2" s="1"/>
  <c r="R4567" i="2"/>
  <c r="R4576" i="2"/>
  <c r="R4568" i="2"/>
  <c r="T4574" i="2"/>
  <c r="R4569" i="2" l="1"/>
  <c r="R4570" i="2"/>
  <c r="R4572" i="2" s="1"/>
  <c r="R4560" i="2"/>
  <c r="R4562" i="2" s="1"/>
  <c r="S4563" i="2" s="1"/>
  <c r="R4578" i="2"/>
  <c r="R4587" i="2"/>
  <c r="R4579" i="2"/>
  <c r="T4585" i="2"/>
  <c r="R4580" i="2" l="1"/>
  <c r="R4581" i="2"/>
  <c r="R4583" i="2" s="1"/>
  <c r="R4571" i="2"/>
  <c r="R4573" i="2" s="1"/>
  <c r="S4574" i="2" s="1"/>
  <c r="R4589" i="2"/>
  <c r="R4598" i="2"/>
  <c r="R4590" i="2"/>
  <c r="T4596" i="2"/>
  <c r="R4591" i="2" l="1"/>
  <c r="R4593" i="2" s="1"/>
  <c r="R4592" i="2"/>
  <c r="R4594" i="2" s="1"/>
  <c r="R4582" i="2"/>
  <c r="R4584" i="2" s="1"/>
  <c r="S4585" i="2" s="1"/>
  <c r="R4600" i="2"/>
  <c r="R4609" i="2"/>
  <c r="R4601" i="2"/>
  <c r="T4607" i="2"/>
  <c r="R4595" i="2" l="1"/>
  <c r="S4596" i="2" s="1"/>
  <c r="R4602" i="2"/>
  <c r="R4603" i="2"/>
  <c r="R4605" i="2" s="1"/>
  <c r="R4620" i="2"/>
  <c r="R4611" i="2"/>
  <c r="R4612" i="2"/>
  <c r="T4618" i="2"/>
  <c r="R4604" i="2" l="1"/>
  <c r="R4606" i="2" s="1"/>
  <c r="S4607" i="2" s="1"/>
  <c r="R4622" i="2"/>
  <c r="R4631" i="2"/>
  <c r="R4623" i="2"/>
  <c r="R4613" i="2"/>
  <c r="R4614" i="2"/>
  <c r="R4616" i="2" s="1"/>
  <c r="T4629" i="2"/>
  <c r="R4624" i="2" l="1"/>
  <c r="R4625" i="2"/>
  <c r="R4627" i="2" s="1"/>
  <c r="R4615" i="2"/>
  <c r="R4617" i="2" s="1"/>
  <c r="S4618" i="2" s="1"/>
  <c r="R4633" i="2"/>
  <c r="R4642" i="2"/>
  <c r="R4634" i="2"/>
  <c r="T4640" i="2"/>
  <c r="R4635" i="2" l="1"/>
  <c r="R4636" i="2"/>
  <c r="R4638" i="2" s="1"/>
  <c r="R4626" i="2"/>
  <c r="R4628" i="2" s="1"/>
  <c r="S4629" i="2" s="1"/>
  <c r="R4644" i="2"/>
  <c r="R4653" i="2"/>
  <c r="R4645" i="2"/>
  <c r="T4651" i="2"/>
  <c r="R4655" i="2" l="1"/>
  <c r="R4656" i="2"/>
  <c r="R4646" i="2"/>
  <c r="R4647" i="2"/>
  <c r="R4649" i="2" s="1"/>
  <c r="R4637" i="2"/>
  <c r="R4639" i="2" s="1"/>
  <c r="S4640" i="2" s="1"/>
  <c r="T4662" i="2"/>
  <c r="R4657" i="2" l="1"/>
  <c r="R4658" i="2"/>
  <c r="R4660" i="2" s="1"/>
  <c r="R4648" i="2"/>
  <c r="R4650" i="2" s="1"/>
  <c r="S4651" i="2" s="1"/>
  <c r="R4659" i="2" l="1"/>
  <c r="R4661" i="2" s="1"/>
  <c r="S4662" i="2" s="1"/>
  <c r="T18" i="2" s="1"/>
  <c r="T19" i="2" l="1"/>
  <c r="T20" i="2"/>
  <c r="D40" i="3" l="1"/>
  <c r="C44" i="3" s="1"/>
  <c r="C41" i="3" s="1"/>
  <c r="U33" i="2"/>
  <c r="W42" i="2" s="1"/>
  <c r="C40" i="3" l="1"/>
  <c r="U36" i="2"/>
  <c r="U35" i="2"/>
  <c r="U44" i="2"/>
  <c r="U55" i="2" s="1"/>
  <c r="W64" i="2" s="1"/>
  <c r="U58" i="2" l="1"/>
  <c r="U37" i="2"/>
  <c r="U38" i="2"/>
  <c r="U40" i="2" s="1"/>
  <c r="W53" i="2"/>
  <c r="U66" i="2"/>
  <c r="U69" i="2" s="1"/>
  <c r="U47" i="2"/>
  <c r="U57" i="2"/>
  <c r="U46" i="2"/>
  <c r="U49" i="2" s="1"/>
  <c r="U51" i="2" s="1"/>
  <c r="U68" i="2" l="1"/>
  <c r="U70" i="2" s="1"/>
  <c r="U72" i="2" s="1"/>
  <c r="U48" i="2"/>
  <c r="U50" i="2" s="1"/>
  <c r="W75" i="2"/>
  <c r="U59" i="2"/>
  <c r="U61" i="2" s="1"/>
  <c r="U77" i="2"/>
  <c r="W86" i="2" s="1"/>
  <c r="U39" i="2"/>
  <c r="U41" i="2" s="1"/>
  <c r="V42" i="2" s="1"/>
  <c r="U60" i="2"/>
  <c r="U62" i="2" s="1"/>
  <c r="U52" i="2"/>
  <c r="V53" i="2" s="1"/>
  <c r="U71" i="2" l="1"/>
  <c r="U73" i="2" s="1"/>
  <c r="U80" i="2"/>
  <c r="U79" i="2"/>
  <c r="U63" i="2"/>
  <c r="V64" i="2" s="1"/>
  <c r="U88" i="2"/>
  <c r="U90" i="2" s="1"/>
  <c r="U74" i="2" l="1"/>
  <c r="V75" i="2" s="1"/>
  <c r="U81" i="2"/>
  <c r="U83" i="2" s="1"/>
  <c r="U82" i="2"/>
  <c r="U84" i="2" s="1"/>
  <c r="U91" i="2"/>
  <c r="U92" i="2" s="1"/>
  <c r="U94" i="2" s="1"/>
  <c r="W97" i="2"/>
  <c r="U99" i="2"/>
  <c r="U102" i="2" s="1"/>
  <c r="U93" i="2"/>
  <c r="U95" i="2" s="1"/>
  <c r="U85" i="2" l="1"/>
  <c r="V86" i="2" s="1"/>
  <c r="W108" i="2"/>
  <c r="U101" i="2"/>
  <c r="U104" i="2" s="1"/>
  <c r="U106" i="2" s="1"/>
  <c r="U110" i="2"/>
  <c r="U121" i="2" s="1"/>
  <c r="U96" i="2"/>
  <c r="V97" i="2" s="1"/>
  <c r="U113" i="2"/>
  <c r="U112" i="2"/>
  <c r="W119" i="2" l="1"/>
  <c r="U103" i="2"/>
  <c r="U105" i="2" s="1"/>
  <c r="U132" i="2"/>
  <c r="U124" i="2"/>
  <c r="W130" i="2"/>
  <c r="U123" i="2"/>
  <c r="U114" i="2"/>
  <c r="U115" i="2"/>
  <c r="U117" i="2" s="1"/>
  <c r="U107" i="2" l="1"/>
  <c r="V108" i="2" s="1"/>
  <c r="U135" i="2"/>
  <c r="W141" i="2"/>
  <c r="U143" i="2"/>
  <c r="U134" i="2"/>
  <c r="U116" i="2"/>
  <c r="U118" i="2" s="1"/>
  <c r="V119" i="2" s="1"/>
  <c r="U125" i="2"/>
  <c r="U127" i="2" s="1"/>
  <c r="U126" i="2"/>
  <c r="U128" i="2" s="1"/>
  <c r="W152" i="2" l="1"/>
  <c r="U154" i="2"/>
  <c r="U145" i="2"/>
  <c r="U146" i="2"/>
  <c r="U136" i="2"/>
  <c r="U137" i="2"/>
  <c r="U139" i="2" s="1"/>
  <c r="U129" i="2"/>
  <c r="V130" i="2" s="1"/>
  <c r="W163" i="2" l="1"/>
  <c r="U165" i="2"/>
  <c r="U156" i="2"/>
  <c r="U157" i="2"/>
  <c r="U138" i="2"/>
  <c r="U140" i="2" s="1"/>
  <c r="V141" i="2" s="1"/>
  <c r="U147" i="2"/>
  <c r="U149" i="2" s="1"/>
  <c r="U148" i="2"/>
  <c r="U150" i="2" s="1"/>
  <c r="W174" i="2" l="1"/>
  <c r="U176" i="2"/>
  <c r="U167" i="2"/>
  <c r="U168" i="2"/>
  <c r="U158" i="2"/>
  <c r="U159" i="2"/>
  <c r="U161" i="2" s="1"/>
  <c r="U151" i="2"/>
  <c r="V152" i="2" s="1"/>
  <c r="U187" i="2" l="1"/>
  <c r="U179" i="2"/>
  <c r="W185" i="2"/>
  <c r="U178" i="2"/>
  <c r="U160" i="2"/>
  <c r="U162" i="2" s="1"/>
  <c r="V163" i="2" s="1"/>
  <c r="U169" i="2"/>
  <c r="U171" i="2" s="1"/>
  <c r="U170" i="2"/>
  <c r="U172" i="2" s="1"/>
  <c r="U173" i="2" l="1"/>
  <c r="V174" i="2" s="1"/>
  <c r="U180" i="2"/>
  <c r="U181" i="2"/>
  <c r="U183" i="2" s="1"/>
  <c r="U198" i="2"/>
  <c r="W196" i="2"/>
  <c r="U189" i="2"/>
  <c r="U190" i="2"/>
  <c r="U191" i="2" l="1"/>
  <c r="U192" i="2"/>
  <c r="U194" i="2" s="1"/>
  <c r="U182" i="2"/>
  <c r="U184" i="2" s="1"/>
  <c r="V185" i="2" s="1"/>
  <c r="W207" i="2"/>
  <c r="U200" i="2"/>
  <c r="U201" i="2"/>
  <c r="U209" i="2"/>
  <c r="U212" i="2" l="1"/>
  <c r="U211" i="2"/>
  <c r="W218" i="2"/>
  <c r="U220" i="2"/>
  <c r="U193" i="2"/>
  <c r="U195" i="2" s="1"/>
  <c r="V196" i="2" s="1"/>
  <c r="U202" i="2"/>
  <c r="U204" i="2" s="1"/>
  <c r="U203" i="2"/>
  <c r="U205" i="2" s="1"/>
  <c r="U206" i="2" l="1"/>
  <c r="V207" i="2" s="1"/>
  <c r="W229" i="2"/>
  <c r="U223" i="2"/>
  <c r="U231" i="2"/>
  <c r="U222" i="2"/>
  <c r="U213" i="2"/>
  <c r="U214" i="2"/>
  <c r="U216" i="2" s="1"/>
  <c r="U224" i="2" l="1"/>
  <c r="U226" i="2" s="1"/>
  <c r="U225" i="2"/>
  <c r="U227" i="2" s="1"/>
  <c r="U215" i="2"/>
  <c r="U217" i="2" s="1"/>
  <c r="V218" i="2" s="1"/>
  <c r="U242" i="2"/>
  <c r="U233" i="2"/>
  <c r="W240" i="2"/>
  <c r="U234" i="2"/>
  <c r="U228" i="2" l="1"/>
  <c r="V229" i="2" s="1"/>
  <c r="U253" i="2"/>
  <c r="U244" i="2"/>
  <c r="W251" i="2"/>
  <c r="U245" i="2"/>
  <c r="U235" i="2"/>
  <c r="U237" i="2" s="1"/>
  <c r="U236" i="2"/>
  <c r="U238" i="2" s="1"/>
  <c r="U239" i="2" l="1"/>
  <c r="V240" i="2" s="1"/>
  <c r="U264" i="2"/>
  <c r="U255" i="2"/>
  <c r="W262" i="2"/>
  <c r="U256" i="2"/>
  <c r="U246" i="2"/>
  <c r="U248" i="2" s="1"/>
  <c r="U247" i="2"/>
  <c r="U249" i="2" s="1"/>
  <c r="U250" i="2" l="1"/>
  <c r="V251" i="2" s="1"/>
  <c r="U275" i="2"/>
  <c r="U266" i="2"/>
  <c r="W273" i="2"/>
  <c r="U267" i="2"/>
  <c r="U257" i="2"/>
  <c r="U259" i="2" s="1"/>
  <c r="U258" i="2"/>
  <c r="U260" i="2" s="1"/>
  <c r="U261" i="2" l="1"/>
  <c r="V262" i="2" s="1"/>
  <c r="W284" i="2"/>
  <c r="U278" i="2"/>
  <c r="U286" i="2"/>
  <c r="U277" i="2"/>
  <c r="U268" i="2"/>
  <c r="U270" i="2" s="1"/>
  <c r="U269" i="2"/>
  <c r="U271" i="2" s="1"/>
  <c r="U272" i="2" l="1"/>
  <c r="V273" i="2" s="1"/>
  <c r="U279" i="2"/>
  <c r="U281" i="2" s="1"/>
  <c r="U280" i="2"/>
  <c r="U282" i="2" s="1"/>
  <c r="U297" i="2"/>
  <c r="U289" i="2"/>
  <c r="U288" i="2"/>
  <c r="W295" i="2"/>
  <c r="U283" i="2" l="1"/>
  <c r="V284" i="2" s="1"/>
  <c r="U290" i="2"/>
  <c r="U291" i="2"/>
  <c r="U293" i="2" s="1"/>
  <c r="U300" i="2"/>
  <c r="W306" i="2"/>
  <c r="U308" i="2"/>
  <c r="U299" i="2"/>
  <c r="W317" i="2" l="1"/>
  <c r="U319" i="2"/>
  <c r="U310" i="2"/>
  <c r="U311" i="2"/>
  <c r="U292" i="2"/>
  <c r="U294" i="2" s="1"/>
  <c r="V295" i="2" s="1"/>
  <c r="U301" i="2"/>
  <c r="U302" i="2"/>
  <c r="U304" i="2" s="1"/>
  <c r="U303" i="2" l="1"/>
  <c r="U305" i="2" s="1"/>
  <c r="V306" i="2" s="1"/>
  <c r="U322" i="2"/>
  <c r="W328" i="2"/>
  <c r="U330" i="2"/>
  <c r="U321" i="2"/>
  <c r="U312" i="2"/>
  <c r="U314" i="2" s="1"/>
  <c r="U313" i="2"/>
  <c r="U315" i="2" s="1"/>
  <c r="U316" i="2" l="1"/>
  <c r="V317" i="2" s="1"/>
  <c r="W339" i="2"/>
  <c r="U333" i="2"/>
  <c r="U341" i="2"/>
  <c r="U332" i="2"/>
  <c r="U323" i="2"/>
  <c r="U324" i="2"/>
  <c r="U326" i="2" s="1"/>
  <c r="U334" i="2" l="1"/>
  <c r="U335" i="2"/>
  <c r="U337" i="2" s="1"/>
  <c r="U325" i="2"/>
  <c r="U327" i="2" s="1"/>
  <c r="V328" i="2" s="1"/>
  <c r="U344" i="2"/>
  <c r="U343" i="2"/>
  <c r="U352" i="2"/>
  <c r="W350" i="2"/>
  <c r="U336" i="2" l="1"/>
  <c r="U338" i="2" s="1"/>
  <c r="V339" i="2" s="1"/>
  <c r="U345" i="2"/>
  <c r="U346" i="2"/>
  <c r="U348" i="2" s="1"/>
  <c r="U363" i="2"/>
  <c r="U354" i="2"/>
  <c r="W361" i="2"/>
  <c r="U355" i="2"/>
  <c r="U365" i="2" l="1"/>
  <c r="W372" i="2"/>
  <c r="U366" i="2"/>
  <c r="U374" i="2"/>
  <c r="U356" i="2"/>
  <c r="U358" i="2" s="1"/>
  <c r="U357" i="2"/>
  <c r="U359" i="2" s="1"/>
  <c r="U347" i="2"/>
  <c r="U349" i="2" s="1"/>
  <c r="V350" i="2" s="1"/>
  <c r="U360" i="2" l="1"/>
  <c r="V361" i="2" s="1"/>
  <c r="W383" i="2"/>
  <c r="U377" i="2"/>
  <c r="U385" i="2"/>
  <c r="U376" i="2"/>
  <c r="U367" i="2"/>
  <c r="U369" i="2" s="1"/>
  <c r="U368" i="2"/>
  <c r="U370" i="2" s="1"/>
  <c r="U371" i="2" l="1"/>
  <c r="V372" i="2" s="1"/>
  <c r="U378" i="2"/>
  <c r="U380" i="2" s="1"/>
  <c r="U379" i="2"/>
  <c r="U381" i="2" s="1"/>
  <c r="U387" i="2"/>
  <c r="W394" i="2"/>
  <c r="U388" i="2"/>
  <c r="U396" i="2"/>
  <c r="U382" i="2" l="1"/>
  <c r="V383" i="2" s="1"/>
  <c r="U398" i="2"/>
  <c r="W405" i="2"/>
  <c r="U399" i="2"/>
  <c r="U407" i="2"/>
  <c r="U389" i="2"/>
  <c r="U391" i="2" s="1"/>
  <c r="U390" i="2"/>
  <c r="U392" i="2" s="1"/>
  <c r="U393" i="2" l="1"/>
  <c r="V394" i="2" s="1"/>
  <c r="U418" i="2"/>
  <c r="W416" i="2"/>
  <c r="U410" i="2"/>
  <c r="U409" i="2"/>
  <c r="U400" i="2"/>
  <c r="U401" i="2"/>
  <c r="U403" i="2" s="1"/>
  <c r="U411" i="2" l="1"/>
  <c r="U413" i="2" s="1"/>
  <c r="U412" i="2"/>
  <c r="U414" i="2" s="1"/>
  <c r="U429" i="2"/>
  <c r="U421" i="2"/>
  <c r="U420" i="2"/>
  <c r="W427" i="2"/>
  <c r="U402" i="2"/>
  <c r="U404" i="2" s="1"/>
  <c r="V405" i="2" s="1"/>
  <c r="U415" i="2" l="1"/>
  <c r="V416" i="2" s="1"/>
  <c r="U422" i="2"/>
  <c r="U423" i="2"/>
  <c r="U425" i="2" s="1"/>
  <c r="U431" i="2"/>
  <c r="W438" i="2"/>
  <c r="U432" i="2"/>
  <c r="U440" i="2"/>
  <c r="U424" i="2" l="1"/>
  <c r="U426" i="2" s="1"/>
  <c r="V427" i="2" s="1"/>
  <c r="U443" i="2"/>
  <c r="U442" i="2"/>
  <c r="U451" i="2"/>
  <c r="W449" i="2"/>
  <c r="U433" i="2"/>
  <c r="U434" i="2"/>
  <c r="U436" i="2" s="1"/>
  <c r="U435" i="2" l="1"/>
  <c r="U437" i="2" s="1"/>
  <c r="V438" i="2" s="1"/>
  <c r="U444" i="2"/>
  <c r="U446" i="2" s="1"/>
  <c r="U445" i="2"/>
  <c r="U447" i="2" s="1"/>
  <c r="U462" i="2"/>
  <c r="W460" i="2"/>
  <c r="U454" i="2"/>
  <c r="U453" i="2"/>
  <c r="U455" i="2" l="1"/>
  <c r="U456" i="2"/>
  <c r="U458" i="2" s="1"/>
  <c r="U465" i="2"/>
  <c r="U464" i="2"/>
  <c r="U473" i="2"/>
  <c r="W471" i="2"/>
  <c r="U448" i="2"/>
  <c r="V449" i="2" s="1"/>
  <c r="U466" i="2" l="1"/>
  <c r="U467" i="2"/>
  <c r="U469" i="2" s="1"/>
  <c r="U475" i="2"/>
  <c r="U476" i="2"/>
  <c r="U484" i="2"/>
  <c r="W482" i="2"/>
  <c r="U457" i="2"/>
  <c r="U459" i="2" s="1"/>
  <c r="V460" i="2" s="1"/>
  <c r="U486" i="2" l="1"/>
  <c r="W493" i="2"/>
  <c r="U487" i="2"/>
  <c r="U495" i="2"/>
  <c r="U468" i="2"/>
  <c r="U470" i="2" s="1"/>
  <c r="V471" i="2" s="1"/>
  <c r="U477" i="2"/>
  <c r="U478" i="2"/>
  <c r="U480" i="2" s="1"/>
  <c r="U479" i="2" l="1"/>
  <c r="U481" i="2" s="1"/>
  <c r="V482" i="2" s="1"/>
  <c r="U498" i="2"/>
  <c r="U506" i="2"/>
  <c r="U497" i="2"/>
  <c r="W504" i="2"/>
  <c r="U488" i="2"/>
  <c r="U489" i="2"/>
  <c r="U491" i="2" s="1"/>
  <c r="U490" i="2" l="1"/>
  <c r="U492" i="2" s="1"/>
  <c r="V493" i="2" s="1"/>
  <c r="U517" i="2"/>
  <c r="U508" i="2"/>
  <c r="W515" i="2"/>
  <c r="U509" i="2"/>
  <c r="U499" i="2"/>
  <c r="U500" i="2"/>
  <c r="U502" i="2" s="1"/>
  <c r="U501" i="2" l="1"/>
  <c r="U503" i="2" s="1"/>
  <c r="V504" i="2" s="1"/>
  <c r="U510" i="2"/>
  <c r="U512" i="2" s="1"/>
  <c r="U511" i="2"/>
  <c r="U513" i="2" s="1"/>
  <c r="U520" i="2"/>
  <c r="U528" i="2"/>
  <c r="U519" i="2"/>
  <c r="W526" i="2"/>
  <c r="U539" i="2" l="1"/>
  <c r="U530" i="2"/>
  <c r="W537" i="2"/>
  <c r="U531" i="2"/>
  <c r="U521" i="2"/>
  <c r="U523" i="2" s="1"/>
  <c r="U522" i="2"/>
  <c r="U524" i="2" s="1"/>
  <c r="U514" i="2"/>
  <c r="V515" i="2" s="1"/>
  <c r="U525" i="2" l="1"/>
  <c r="V526" i="2" s="1"/>
  <c r="U550" i="2"/>
  <c r="U541" i="2"/>
  <c r="U542" i="2"/>
  <c r="W548" i="2"/>
  <c r="U532" i="2"/>
  <c r="U534" i="2" s="1"/>
  <c r="U533" i="2"/>
  <c r="U535" i="2" s="1"/>
  <c r="U536" i="2" l="1"/>
  <c r="V537" i="2" s="1"/>
  <c r="W559" i="2"/>
  <c r="U561" i="2"/>
  <c r="U553" i="2"/>
  <c r="U552" i="2"/>
  <c r="U543" i="2"/>
  <c r="U544" i="2"/>
  <c r="U546" i="2" s="1"/>
  <c r="U554" i="2" l="1"/>
  <c r="U555" i="2"/>
  <c r="U557" i="2" s="1"/>
  <c r="U545" i="2"/>
  <c r="U547" i="2" s="1"/>
  <c r="V548" i="2" s="1"/>
  <c r="U564" i="2"/>
  <c r="W570" i="2"/>
  <c r="U572" i="2"/>
  <c r="U563" i="2"/>
  <c r="U565" i="2" l="1"/>
  <c r="U567" i="2" s="1"/>
  <c r="U566" i="2"/>
  <c r="U568" i="2" s="1"/>
  <c r="U556" i="2"/>
  <c r="U558" i="2" s="1"/>
  <c r="V559" i="2" s="1"/>
  <c r="W581" i="2"/>
  <c r="U575" i="2"/>
  <c r="U583" i="2"/>
  <c r="U574" i="2"/>
  <c r="U569" i="2" l="1"/>
  <c r="V570" i="2" s="1"/>
  <c r="U576" i="2"/>
  <c r="U578" i="2" s="1"/>
  <c r="U577" i="2"/>
  <c r="U579" i="2" s="1"/>
  <c r="U594" i="2"/>
  <c r="W592" i="2"/>
  <c r="U585" i="2"/>
  <c r="U586" i="2"/>
  <c r="U580" i="2" l="1"/>
  <c r="V581" i="2" s="1"/>
  <c r="U587" i="2"/>
  <c r="U589" i="2" s="1"/>
  <c r="U588" i="2"/>
  <c r="U590" i="2" s="1"/>
  <c r="U605" i="2"/>
  <c r="U596" i="2"/>
  <c r="W603" i="2"/>
  <c r="U597" i="2"/>
  <c r="U591" i="2" l="1"/>
  <c r="V592" i="2" s="1"/>
  <c r="U598" i="2"/>
  <c r="U599" i="2"/>
  <c r="U601" i="2" s="1"/>
  <c r="U607" i="2"/>
  <c r="W614" i="2"/>
  <c r="U608" i="2"/>
  <c r="U616" i="2"/>
  <c r="U600" i="2" l="1"/>
  <c r="U602" i="2" s="1"/>
  <c r="V603" i="2" s="1"/>
  <c r="U619" i="2"/>
  <c r="U627" i="2"/>
  <c r="U618" i="2"/>
  <c r="W625" i="2"/>
  <c r="U609" i="2"/>
  <c r="U611" i="2" s="1"/>
  <c r="U610" i="2"/>
  <c r="U612" i="2" s="1"/>
  <c r="U613" i="2" l="1"/>
  <c r="V614" i="2" s="1"/>
  <c r="W636" i="2"/>
  <c r="U630" i="2"/>
  <c r="U638" i="2"/>
  <c r="U629" i="2"/>
  <c r="U620" i="2"/>
  <c r="U621" i="2"/>
  <c r="U623" i="2" s="1"/>
  <c r="U631" i="2" l="1"/>
  <c r="U632" i="2"/>
  <c r="U634" i="2" s="1"/>
  <c r="U622" i="2"/>
  <c r="U624" i="2" s="1"/>
  <c r="V625" i="2" s="1"/>
  <c r="U641" i="2"/>
  <c r="U649" i="2"/>
  <c r="U640" i="2"/>
  <c r="W647" i="2"/>
  <c r="U633" i="2" l="1"/>
  <c r="U635" i="2" s="1"/>
  <c r="V636" i="2" s="1"/>
  <c r="U660" i="2"/>
  <c r="U652" i="2"/>
  <c r="U651" i="2"/>
  <c r="W658" i="2"/>
  <c r="U642" i="2"/>
  <c r="U644" i="2" s="1"/>
  <c r="U643" i="2"/>
  <c r="U645" i="2" s="1"/>
  <c r="U646" i="2" l="1"/>
  <c r="V647" i="2" s="1"/>
  <c r="U653" i="2"/>
  <c r="U654" i="2"/>
  <c r="U656" i="2" s="1"/>
  <c r="U663" i="2"/>
  <c r="W669" i="2"/>
  <c r="U662" i="2"/>
  <c r="U671" i="2"/>
  <c r="U664" i="2" l="1"/>
  <c r="U666" i="2" s="1"/>
  <c r="U665" i="2"/>
  <c r="U667" i="2" s="1"/>
  <c r="U655" i="2"/>
  <c r="U657" i="2" s="1"/>
  <c r="V658" i="2" s="1"/>
  <c r="U673" i="2"/>
  <c r="U674" i="2"/>
  <c r="U682" i="2"/>
  <c r="W680" i="2"/>
  <c r="U668" i="2" l="1"/>
  <c r="V669" i="2" s="1"/>
  <c r="U675" i="2"/>
  <c r="U677" i="2" s="1"/>
  <c r="U676" i="2"/>
  <c r="U678" i="2" s="1"/>
  <c r="U685" i="2"/>
  <c r="U684" i="2"/>
  <c r="W691" i="2"/>
  <c r="U693" i="2"/>
  <c r="U679" i="2" l="1"/>
  <c r="V680" i="2" s="1"/>
  <c r="U686" i="2"/>
  <c r="U687" i="2"/>
  <c r="U689" i="2" s="1"/>
  <c r="U696" i="2"/>
  <c r="W702" i="2"/>
  <c r="U704" i="2"/>
  <c r="U695" i="2"/>
  <c r="U706" i="2" l="1"/>
  <c r="W713" i="2"/>
  <c r="U707" i="2"/>
  <c r="U715" i="2"/>
  <c r="U688" i="2"/>
  <c r="U690" i="2" s="1"/>
  <c r="V691" i="2" s="1"/>
  <c r="U697" i="2"/>
  <c r="U699" i="2" s="1"/>
  <c r="U698" i="2"/>
  <c r="U700" i="2" s="1"/>
  <c r="U701" i="2" l="1"/>
  <c r="V702" i="2" s="1"/>
  <c r="U717" i="2"/>
  <c r="W724" i="2"/>
  <c r="U718" i="2"/>
  <c r="U726" i="2"/>
  <c r="U708" i="2"/>
  <c r="U710" i="2" s="1"/>
  <c r="U709" i="2"/>
  <c r="U711" i="2" s="1"/>
  <c r="U712" i="2" l="1"/>
  <c r="V713" i="2" s="1"/>
  <c r="W735" i="2"/>
  <c r="U729" i="2"/>
  <c r="U737" i="2"/>
  <c r="U728" i="2"/>
  <c r="U719" i="2"/>
  <c r="U721" i="2" s="1"/>
  <c r="U720" i="2"/>
  <c r="U722" i="2" s="1"/>
  <c r="U723" i="2" l="1"/>
  <c r="V724" i="2" s="1"/>
  <c r="U730" i="2"/>
  <c r="U732" i="2" s="1"/>
  <c r="U731" i="2"/>
  <c r="U733" i="2" s="1"/>
  <c r="U739" i="2"/>
  <c r="W746" i="2"/>
  <c r="U740" i="2"/>
  <c r="U748" i="2"/>
  <c r="U734" i="2" l="1"/>
  <c r="V735" i="2" s="1"/>
  <c r="U750" i="2"/>
  <c r="W757" i="2"/>
  <c r="U759" i="2"/>
  <c r="U751" i="2"/>
  <c r="U741" i="2"/>
  <c r="U742" i="2"/>
  <c r="U744" i="2" s="1"/>
  <c r="U752" i="2" l="1"/>
  <c r="U754" i="2" s="1"/>
  <c r="U753" i="2"/>
  <c r="U755" i="2" s="1"/>
  <c r="U743" i="2"/>
  <c r="U745" i="2" s="1"/>
  <c r="V746" i="2" s="1"/>
  <c r="U762" i="2"/>
  <c r="U770" i="2"/>
  <c r="U761" i="2"/>
  <c r="W768" i="2"/>
  <c r="U756" i="2" l="1"/>
  <c r="V757" i="2" s="1"/>
  <c r="U781" i="2"/>
  <c r="W779" i="2"/>
  <c r="U773" i="2"/>
  <c r="U772" i="2"/>
  <c r="U763" i="2"/>
  <c r="U765" i="2" s="1"/>
  <c r="U764" i="2"/>
  <c r="U766" i="2" s="1"/>
  <c r="U767" i="2" l="1"/>
  <c r="V768" i="2" s="1"/>
  <c r="U774" i="2"/>
  <c r="U776" i="2" s="1"/>
  <c r="U775" i="2"/>
  <c r="U777" i="2" s="1"/>
  <c r="W790" i="2"/>
  <c r="U792" i="2"/>
  <c r="U784" i="2"/>
  <c r="U783" i="2"/>
  <c r="U778" i="2" l="1"/>
  <c r="V779" i="2" s="1"/>
  <c r="W801" i="2"/>
  <c r="U794" i="2"/>
  <c r="U795" i="2"/>
  <c r="U803" i="2"/>
  <c r="U785" i="2"/>
  <c r="U786" i="2"/>
  <c r="U788" i="2" s="1"/>
  <c r="U805" i="2" l="1"/>
  <c r="W812" i="2"/>
  <c r="U806" i="2"/>
  <c r="U814" i="2"/>
  <c r="U787" i="2"/>
  <c r="U789" i="2" s="1"/>
  <c r="V790" i="2" s="1"/>
  <c r="U796" i="2"/>
  <c r="U798" i="2" s="1"/>
  <c r="U797" i="2"/>
  <c r="U799" i="2" s="1"/>
  <c r="U807" i="2" l="1"/>
  <c r="U808" i="2"/>
  <c r="U810" i="2" s="1"/>
  <c r="U825" i="2"/>
  <c r="W823" i="2"/>
  <c r="U817" i="2"/>
  <c r="U816" i="2"/>
  <c r="U800" i="2"/>
  <c r="V801" i="2" s="1"/>
  <c r="U809" i="2" l="1"/>
  <c r="U811" i="2" s="1"/>
  <c r="V812" i="2" s="1"/>
  <c r="U818" i="2"/>
  <c r="U820" i="2" s="1"/>
  <c r="U819" i="2"/>
  <c r="U821" i="2" s="1"/>
  <c r="W834" i="2"/>
  <c r="U836" i="2"/>
  <c r="U828" i="2"/>
  <c r="U827" i="2"/>
  <c r="U829" i="2" l="1"/>
  <c r="U830" i="2"/>
  <c r="U832" i="2" s="1"/>
  <c r="U847" i="2"/>
  <c r="U838" i="2"/>
  <c r="W845" i="2"/>
  <c r="U839" i="2"/>
  <c r="U822" i="2"/>
  <c r="V823" i="2" s="1"/>
  <c r="U840" i="2" l="1"/>
  <c r="U842" i="2" s="1"/>
  <c r="U841" i="2"/>
  <c r="U843" i="2" s="1"/>
  <c r="U831" i="2"/>
  <c r="U833" i="2" s="1"/>
  <c r="V834" i="2" s="1"/>
  <c r="U849" i="2"/>
  <c r="W856" i="2"/>
  <c r="U850" i="2"/>
  <c r="U858" i="2"/>
  <c r="U844" i="2" l="1"/>
  <c r="V845" i="2" s="1"/>
  <c r="U861" i="2"/>
  <c r="W867" i="2"/>
  <c r="U869" i="2"/>
  <c r="U860" i="2"/>
  <c r="U851" i="2"/>
  <c r="U853" i="2" s="1"/>
  <c r="U852" i="2"/>
  <c r="U854" i="2" s="1"/>
  <c r="U855" i="2" l="1"/>
  <c r="V856" i="2" s="1"/>
  <c r="U862" i="2"/>
  <c r="U864" i="2" s="1"/>
  <c r="U863" i="2"/>
  <c r="U865" i="2" s="1"/>
  <c r="U872" i="2"/>
  <c r="U880" i="2"/>
  <c r="U871" i="2"/>
  <c r="W878" i="2"/>
  <c r="U866" i="2" l="1"/>
  <c r="V867" i="2" s="1"/>
  <c r="U882" i="2"/>
  <c r="W889" i="2"/>
  <c r="U883" i="2"/>
  <c r="U891" i="2"/>
  <c r="U873" i="2"/>
  <c r="U874" i="2"/>
  <c r="U876" i="2" s="1"/>
  <c r="U902" i="2" l="1"/>
  <c r="U893" i="2"/>
  <c r="W900" i="2"/>
  <c r="U894" i="2"/>
  <c r="U884" i="2"/>
  <c r="U886" i="2" s="1"/>
  <c r="U885" i="2"/>
  <c r="U887" i="2" s="1"/>
  <c r="U875" i="2"/>
  <c r="U877" i="2" s="1"/>
  <c r="V878" i="2" s="1"/>
  <c r="U888" i="2" l="1"/>
  <c r="V889" i="2" s="1"/>
  <c r="U913" i="2"/>
  <c r="U904" i="2"/>
  <c r="W911" i="2"/>
  <c r="U905" i="2"/>
  <c r="U895" i="2"/>
  <c r="U897" i="2" s="1"/>
  <c r="U896" i="2"/>
  <c r="U898" i="2" s="1"/>
  <c r="U915" i="2" l="1"/>
  <c r="W922" i="2"/>
  <c r="U916" i="2"/>
  <c r="U924" i="2"/>
  <c r="U906" i="2"/>
  <c r="U908" i="2" s="1"/>
  <c r="U907" i="2"/>
  <c r="U909" i="2" s="1"/>
  <c r="U899" i="2"/>
  <c r="V900" i="2" s="1"/>
  <c r="U910" i="2" l="1"/>
  <c r="V911" i="2" s="1"/>
  <c r="U935" i="2"/>
  <c r="W933" i="2"/>
  <c r="U926" i="2"/>
  <c r="U927" i="2"/>
  <c r="U917" i="2"/>
  <c r="U919" i="2" s="1"/>
  <c r="U918" i="2"/>
  <c r="U920" i="2" s="1"/>
  <c r="U921" i="2" l="1"/>
  <c r="V922" i="2" s="1"/>
  <c r="W944" i="2"/>
  <c r="U946" i="2"/>
  <c r="U938" i="2"/>
  <c r="U937" i="2"/>
  <c r="U928" i="2"/>
  <c r="U930" i="2" s="1"/>
  <c r="U929" i="2"/>
  <c r="U931" i="2" s="1"/>
  <c r="U932" i="2" l="1"/>
  <c r="V933" i="2" s="1"/>
  <c r="U939" i="2"/>
  <c r="U940" i="2"/>
  <c r="U942" i="2" s="1"/>
  <c r="U957" i="2"/>
  <c r="U949" i="2"/>
  <c r="W955" i="2"/>
  <c r="U948" i="2"/>
  <c r="U941" i="2" l="1"/>
  <c r="U943" i="2" s="1"/>
  <c r="V944" i="2" s="1"/>
  <c r="U950" i="2"/>
  <c r="U952" i="2" s="1"/>
  <c r="U951" i="2"/>
  <c r="U953" i="2" s="1"/>
  <c r="U959" i="2"/>
  <c r="W966" i="2"/>
  <c r="U960" i="2"/>
  <c r="U968" i="2"/>
  <c r="U979" i="2" l="1"/>
  <c r="U970" i="2"/>
  <c r="W977" i="2"/>
  <c r="U971" i="2"/>
  <c r="U961" i="2"/>
  <c r="U962" i="2"/>
  <c r="U964" i="2" s="1"/>
  <c r="U954" i="2"/>
  <c r="V955" i="2" s="1"/>
  <c r="U990" i="2" l="1"/>
  <c r="U981" i="2"/>
  <c r="W988" i="2"/>
  <c r="U982" i="2"/>
  <c r="U963" i="2"/>
  <c r="U965" i="2" s="1"/>
  <c r="V966" i="2" s="1"/>
  <c r="U972" i="2"/>
  <c r="U973" i="2"/>
  <c r="U975" i="2" s="1"/>
  <c r="U974" i="2" l="1"/>
  <c r="U976" i="2" s="1"/>
  <c r="V977" i="2" s="1"/>
  <c r="U992" i="2"/>
  <c r="W999" i="2"/>
  <c r="U993" i="2"/>
  <c r="U1001" i="2"/>
  <c r="U983" i="2"/>
  <c r="U984" i="2"/>
  <c r="U986" i="2" s="1"/>
  <c r="U985" i="2" l="1"/>
  <c r="U987" i="2" s="1"/>
  <c r="V988" i="2" s="1"/>
  <c r="U1003" i="2"/>
  <c r="W1010" i="2"/>
  <c r="U1004" i="2"/>
  <c r="U1012" i="2"/>
  <c r="U994" i="2"/>
  <c r="U995" i="2"/>
  <c r="U997" i="2" s="1"/>
  <c r="U996" i="2" l="1"/>
  <c r="U998" i="2" s="1"/>
  <c r="V999" i="2" s="1"/>
  <c r="U1023" i="2"/>
  <c r="U1014" i="2"/>
  <c r="W1021" i="2"/>
  <c r="U1015" i="2"/>
  <c r="U1005" i="2"/>
  <c r="U1007" i="2" s="1"/>
  <c r="U1006" i="2"/>
  <c r="U1008" i="2" s="1"/>
  <c r="U1034" i="2" l="1"/>
  <c r="W1032" i="2"/>
  <c r="U1025" i="2"/>
  <c r="U1026" i="2"/>
  <c r="U1016" i="2"/>
  <c r="U1018" i="2" s="1"/>
  <c r="U1017" i="2"/>
  <c r="U1019" i="2" s="1"/>
  <c r="U1009" i="2"/>
  <c r="V1010" i="2" s="1"/>
  <c r="U1036" i="2" l="1"/>
  <c r="W1043" i="2"/>
  <c r="U1037" i="2"/>
  <c r="U1045" i="2"/>
  <c r="U1027" i="2"/>
  <c r="U1028" i="2"/>
  <c r="U1030" i="2" s="1"/>
  <c r="U1020" i="2"/>
  <c r="V1021" i="2" s="1"/>
  <c r="U1038" i="2" l="1"/>
  <c r="U1040" i="2" s="1"/>
  <c r="U1039" i="2"/>
  <c r="U1041" i="2" s="1"/>
  <c r="U1029" i="2"/>
  <c r="U1031" i="2" s="1"/>
  <c r="V1032" i="2" s="1"/>
  <c r="U1047" i="2"/>
  <c r="U1056" i="2"/>
  <c r="W1054" i="2"/>
  <c r="U1048" i="2"/>
  <c r="U1042" i="2" l="1"/>
  <c r="V1043" i="2" s="1"/>
  <c r="U1049" i="2"/>
  <c r="U1051" i="2" s="1"/>
  <c r="U1050" i="2"/>
  <c r="U1052" i="2" s="1"/>
  <c r="U1058" i="2"/>
  <c r="U1059" i="2"/>
  <c r="W1065" i="2"/>
  <c r="U1067" i="2"/>
  <c r="U1053" i="2" l="1"/>
  <c r="V1054" i="2" s="1"/>
  <c r="U1078" i="2"/>
  <c r="W1076" i="2"/>
  <c r="U1069" i="2"/>
  <c r="U1070" i="2"/>
  <c r="U1060" i="2"/>
  <c r="U1062" i="2" s="1"/>
  <c r="U1061" i="2"/>
  <c r="U1063" i="2" s="1"/>
  <c r="U1064" i="2" l="1"/>
  <c r="V1065" i="2" s="1"/>
  <c r="U1080" i="2"/>
  <c r="W1087" i="2"/>
  <c r="U1081" i="2"/>
  <c r="U1089" i="2"/>
  <c r="U1071" i="2"/>
  <c r="U1072" i="2"/>
  <c r="U1074" i="2" s="1"/>
  <c r="U1082" i="2" l="1"/>
  <c r="U1083" i="2"/>
  <c r="U1085" i="2" s="1"/>
  <c r="U1073" i="2"/>
  <c r="U1075" i="2" s="1"/>
  <c r="V1076" i="2" s="1"/>
  <c r="U1091" i="2"/>
  <c r="W1098" i="2"/>
  <c r="U1092" i="2"/>
  <c r="U1100" i="2"/>
  <c r="U1093" i="2" l="1"/>
  <c r="U1094" i="2"/>
  <c r="U1096" i="2" s="1"/>
  <c r="U1084" i="2"/>
  <c r="U1086" i="2" s="1"/>
  <c r="V1087" i="2" s="1"/>
  <c r="W1109" i="2"/>
  <c r="U1103" i="2"/>
  <c r="U1111" i="2"/>
  <c r="U1102" i="2"/>
  <c r="U1095" i="2" l="1"/>
  <c r="U1097" i="2" s="1"/>
  <c r="V1098" i="2" s="1"/>
  <c r="U1113" i="2"/>
  <c r="W1120" i="2"/>
  <c r="U1114" i="2"/>
  <c r="U1122" i="2"/>
  <c r="U1104" i="2"/>
  <c r="U1106" i="2" s="1"/>
  <c r="U1105" i="2"/>
  <c r="U1107" i="2" s="1"/>
  <c r="U1108" i="2" l="1"/>
  <c r="V1109" i="2" s="1"/>
  <c r="W1131" i="2"/>
  <c r="U1125" i="2"/>
  <c r="U1133" i="2"/>
  <c r="U1124" i="2"/>
  <c r="U1115" i="2"/>
  <c r="U1116" i="2"/>
  <c r="U1118" i="2" s="1"/>
  <c r="U1117" i="2" l="1"/>
  <c r="U1119" i="2" s="1"/>
  <c r="V1120" i="2" s="1"/>
  <c r="U1144" i="2"/>
  <c r="U1135" i="2"/>
  <c r="W1142" i="2"/>
  <c r="U1136" i="2"/>
  <c r="U1126" i="2"/>
  <c r="U1128" i="2" s="1"/>
  <c r="U1127" i="2"/>
  <c r="U1129" i="2" s="1"/>
  <c r="U1155" i="2" l="1"/>
  <c r="U1146" i="2"/>
  <c r="W1153" i="2"/>
  <c r="U1147" i="2"/>
  <c r="U1137" i="2"/>
  <c r="U1138" i="2"/>
  <c r="U1140" i="2" s="1"/>
  <c r="U1130" i="2"/>
  <c r="V1131" i="2" s="1"/>
  <c r="U1157" i="2" l="1"/>
  <c r="W1164" i="2"/>
  <c r="U1158" i="2"/>
  <c r="U1166" i="2"/>
  <c r="U1148" i="2"/>
  <c r="U1150" i="2" s="1"/>
  <c r="U1149" i="2"/>
  <c r="U1151" i="2" s="1"/>
  <c r="U1139" i="2"/>
  <c r="U1141" i="2" s="1"/>
  <c r="V1142" i="2" s="1"/>
  <c r="U1152" i="2" l="1"/>
  <c r="V1153" i="2" s="1"/>
  <c r="U1159" i="2"/>
  <c r="U1160" i="2"/>
  <c r="U1162" i="2" s="1"/>
  <c r="U1168" i="2"/>
  <c r="W1175" i="2"/>
  <c r="U1169" i="2"/>
  <c r="U1177" i="2"/>
  <c r="U1161" i="2" l="1"/>
  <c r="U1163" i="2" s="1"/>
  <c r="V1164" i="2" s="1"/>
  <c r="U1179" i="2"/>
  <c r="U1188" i="2"/>
  <c r="W1186" i="2"/>
  <c r="U1180" i="2"/>
  <c r="U1170" i="2"/>
  <c r="U1172" i="2" s="1"/>
  <c r="U1171" i="2"/>
  <c r="U1173" i="2" s="1"/>
  <c r="U1174" i="2" l="1"/>
  <c r="V1175" i="2" s="1"/>
  <c r="U1199" i="2"/>
  <c r="U1190" i="2"/>
  <c r="W1197" i="2"/>
  <c r="U1191" i="2"/>
  <c r="U1181" i="2"/>
  <c r="U1182" i="2"/>
  <c r="U1184" i="2" s="1"/>
  <c r="W1208" i="2" l="1"/>
  <c r="U1202" i="2"/>
  <c r="U1210" i="2"/>
  <c r="U1201" i="2"/>
  <c r="U1183" i="2"/>
  <c r="U1185" i="2" s="1"/>
  <c r="V1186" i="2" s="1"/>
  <c r="U1192" i="2"/>
  <c r="U1194" i="2" s="1"/>
  <c r="U1193" i="2"/>
  <c r="U1195" i="2" s="1"/>
  <c r="U1196" i="2" l="1"/>
  <c r="V1197" i="2" s="1"/>
  <c r="U1203" i="2"/>
  <c r="U1205" i="2" s="1"/>
  <c r="U1204" i="2"/>
  <c r="U1206" i="2" s="1"/>
  <c r="U1212" i="2"/>
  <c r="W1219" i="2"/>
  <c r="U1213" i="2"/>
  <c r="U1221" i="2"/>
  <c r="U1207" i="2" l="1"/>
  <c r="V1208" i="2" s="1"/>
  <c r="U1223" i="2"/>
  <c r="W1230" i="2"/>
  <c r="U1224" i="2"/>
  <c r="U1232" i="2"/>
  <c r="U1214" i="2"/>
  <c r="U1216" i="2" s="1"/>
  <c r="U1215" i="2"/>
  <c r="U1217" i="2" s="1"/>
  <c r="U1218" i="2" l="1"/>
  <c r="V1219" i="2" s="1"/>
  <c r="U1234" i="2"/>
  <c r="W1241" i="2"/>
  <c r="U1235" i="2"/>
  <c r="U1243" i="2"/>
  <c r="U1225" i="2"/>
  <c r="U1226" i="2"/>
  <c r="U1228" i="2" s="1"/>
  <c r="W1252" i="2" l="1"/>
  <c r="U1246" i="2"/>
  <c r="U1254" i="2"/>
  <c r="U1245" i="2"/>
  <c r="U1236" i="2"/>
  <c r="U1237" i="2"/>
  <c r="U1239" i="2" s="1"/>
  <c r="U1227" i="2"/>
  <c r="U1229" i="2" s="1"/>
  <c r="V1230" i="2" s="1"/>
  <c r="U1247" i="2" l="1"/>
  <c r="U1248" i="2"/>
  <c r="U1250" i="2" s="1"/>
  <c r="U1238" i="2"/>
  <c r="U1240" i="2" s="1"/>
  <c r="V1241" i="2" s="1"/>
  <c r="U1265" i="2"/>
  <c r="U1256" i="2"/>
  <c r="W1263" i="2"/>
  <c r="U1257" i="2"/>
  <c r="W1274" i="2" l="1"/>
  <c r="U1268" i="2"/>
  <c r="U1276" i="2"/>
  <c r="U1267" i="2"/>
  <c r="U1249" i="2"/>
  <c r="U1251" i="2" s="1"/>
  <c r="V1252" i="2" s="1"/>
  <c r="U1258" i="2"/>
  <c r="U1259" i="2"/>
  <c r="U1261" i="2" s="1"/>
  <c r="U1260" i="2" l="1"/>
  <c r="U1262" i="2" s="1"/>
  <c r="V1263" i="2" s="1"/>
  <c r="U1269" i="2"/>
  <c r="U1270" i="2"/>
  <c r="U1272" i="2" s="1"/>
  <c r="U1287" i="2"/>
  <c r="W1285" i="2"/>
  <c r="U1278" i="2"/>
  <c r="U1279" i="2"/>
  <c r="U1290" i="2" l="1"/>
  <c r="U1289" i="2"/>
  <c r="U1298" i="2"/>
  <c r="W1296" i="2"/>
  <c r="U1281" i="2"/>
  <c r="U1283" i="2" s="1"/>
  <c r="U1280" i="2"/>
  <c r="U1282" i="2" s="1"/>
  <c r="U1271" i="2"/>
  <c r="U1273" i="2" s="1"/>
  <c r="V1274" i="2" s="1"/>
  <c r="U1291" i="2" l="1"/>
  <c r="U1292" i="2"/>
  <c r="U1294" i="2" s="1"/>
  <c r="U1309" i="2"/>
  <c r="U1301" i="2"/>
  <c r="U1300" i="2"/>
  <c r="W1307" i="2"/>
  <c r="U1284" i="2"/>
  <c r="V1285" i="2" s="1"/>
  <c r="U1302" i="2" l="1"/>
  <c r="U1303" i="2"/>
  <c r="U1305" i="2" s="1"/>
  <c r="U1293" i="2"/>
  <c r="U1295" i="2" s="1"/>
  <c r="V1296" i="2" s="1"/>
  <c r="W1318" i="2"/>
  <c r="U1312" i="2"/>
  <c r="U1311" i="2"/>
  <c r="U1320" i="2"/>
  <c r="U1331" i="2" l="1"/>
  <c r="W1329" i="2"/>
  <c r="U1323" i="2"/>
  <c r="U1322" i="2"/>
  <c r="U1304" i="2"/>
  <c r="U1306" i="2" s="1"/>
  <c r="V1307" i="2" s="1"/>
  <c r="U1313" i="2"/>
  <c r="U1314" i="2"/>
  <c r="U1316" i="2" s="1"/>
  <c r="U1315" i="2" l="1"/>
  <c r="U1317" i="2" s="1"/>
  <c r="V1318" i="2" s="1"/>
  <c r="U1324" i="2"/>
  <c r="U1325" i="2"/>
  <c r="U1327" i="2" s="1"/>
  <c r="U1333" i="2"/>
  <c r="W1340" i="2"/>
  <c r="U1342" i="2"/>
  <c r="U1334" i="2"/>
  <c r="U1335" i="2" l="1"/>
  <c r="U1336" i="2"/>
  <c r="U1338" i="2" s="1"/>
  <c r="U1344" i="2"/>
  <c r="U1353" i="2"/>
  <c r="U1345" i="2"/>
  <c r="W1351" i="2"/>
  <c r="U1326" i="2"/>
  <c r="U1328" i="2" s="1"/>
  <c r="V1329" i="2" s="1"/>
  <c r="U1364" i="2" l="1"/>
  <c r="U1356" i="2"/>
  <c r="U1355" i="2"/>
  <c r="W1362" i="2"/>
  <c r="U1337" i="2"/>
  <c r="U1339" i="2" s="1"/>
  <c r="V1340" i="2" s="1"/>
  <c r="U1346" i="2"/>
  <c r="U1347" i="2"/>
  <c r="U1349" i="2" s="1"/>
  <c r="U1348" i="2" l="1"/>
  <c r="U1350" i="2" s="1"/>
  <c r="V1351" i="2" s="1"/>
  <c r="U1375" i="2"/>
  <c r="W1373" i="2"/>
  <c r="U1367" i="2"/>
  <c r="U1366" i="2"/>
  <c r="U1357" i="2"/>
  <c r="U1358" i="2"/>
  <c r="U1360" i="2" s="1"/>
  <c r="U1359" i="2" l="1"/>
  <c r="U1361" i="2" s="1"/>
  <c r="V1362" i="2" s="1"/>
  <c r="U1368" i="2"/>
  <c r="U1369" i="2"/>
  <c r="U1371" i="2" s="1"/>
  <c r="U1386" i="2"/>
  <c r="U1377" i="2"/>
  <c r="W1384" i="2"/>
  <c r="U1378" i="2"/>
  <c r="U1388" i="2" l="1"/>
  <c r="U1397" i="2"/>
  <c r="W1395" i="2"/>
  <c r="U1389" i="2"/>
  <c r="U1379" i="2"/>
  <c r="U1380" i="2"/>
  <c r="U1382" i="2" s="1"/>
  <c r="U1370" i="2"/>
  <c r="U1372" i="2" s="1"/>
  <c r="V1373" i="2" s="1"/>
  <c r="U1390" i="2" l="1"/>
  <c r="U1392" i="2" s="1"/>
  <c r="U1391" i="2"/>
  <c r="U1393" i="2" s="1"/>
  <c r="U1381" i="2"/>
  <c r="U1383" i="2" s="1"/>
  <c r="V1384" i="2" s="1"/>
  <c r="U1400" i="2"/>
  <c r="U1408" i="2"/>
  <c r="U1399" i="2"/>
  <c r="W1406" i="2"/>
  <c r="U1394" i="2" l="1"/>
  <c r="V1395" i="2" s="1"/>
  <c r="U1419" i="2"/>
  <c r="W1417" i="2"/>
  <c r="U1410" i="2"/>
  <c r="U1411" i="2"/>
  <c r="U1401" i="2"/>
  <c r="U1402" i="2"/>
  <c r="U1404" i="2" s="1"/>
  <c r="W1428" i="2" l="1"/>
  <c r="U1430" i="2"/>
  <c r="U1422" i="2"/>
  <c r="U1421" i="2"/>
  <c r="U1403" i="2"/>
  <c r="U1405" i="2" s="1"/>
  <c r="V1406" i="2" s="1"/>
  <c r="U1412" i="2"/>
  <c r="U1413" i="2"/>
  <c r="U1415" i="2" s="1"/>
  <c r="U1414" i="2" l="1"/>
  <c r="U1416" i="2" s="1"/>
  <c r="V1417" i="2" s="1"/>
  <c r="U1423" i="2"/>
  <c r="U1424" i="2"/>
  <c r="U1426" i="2" s="1"/>
  <c r="U1433" i="2"/>
  <c r="U1441" i="2"/>
  <c r="W1439" i="2"/>
  <c r="U1432" i="2"/>
  <c r="U1434" i="2" l="1"/>
  <c r="U1435" i="2"/>
  <c r="U1437" i="2" s="1"/>
  <c r="U1452" i="2"/>
  <c r="U1444" i="2"/>
  <c r="U1443" i="2"/>
  <c r="W1450" i="2"/>
  <c r="U1425" i="2"/>
  <c r="U1427" i="2" s="1"/>
  <c r="V1428" i="2" s="1"/>
  <c r="U1445" i="2" l="1"/>
  <c r="U1446" i="2"/>
  <c r="U1448" i="2" s="1"/>
  <c r="U1436" i="2"/>
  <c r="U1438" i="2" s="1"/>
  <c r="V1439" i="2" s="1"/>
  <c r="U1455" i="2"/>
  <c r="W1461" i="2"/>
  <c r="U1454" i="2"/>
  <c r="U1463" i="2"/>
  <c r="U1466" i="2" l="1"/>
  <c r="U1465" i="2"/>
  <c r="W1472" i="2"/>
  <c r="U1474" i="2"/>
  <c r="U1447" i="2"/>
  <c r="U1449" i="2" s="1"/>
  <c r="V1450" i="2" s="1"/>
  <c r="U1456" i="2"/>
  <c r="U1457" i="2"/>
  <c r="U1459" i="2" s="1"/>
  <c r="U1458" i="2" l="1"/>
  <c r="U1460" i="2" s="1"/>
  <c r="V1461" i="2" s="1"/>
  <c r="W1483" i="2"/>
  <c r="U1477" i="2"/>
  <c r="U1485" i="2"/>
  <c r="U1476" i="2"/>
  <c r="U1467" i="2"/>
  <c r="U1468" i="2"/>
  <c r="U1470" i="2" s="1"/>
  <c r="U1469" i="2" l="1"/>
  <c r="U1471" i="2" s="1"/>
  <c r="V1472" i="2" s="1"/>
  <c r="U1488" i="2"/>
  <c r="U1496" i="2"/>
  <c r="U1487" i="2"/>
  <c r="W1494" i="2"/>
  <c r="U1478" i="2"/>
  <c r="U1479" i="2"/>
  <c r="U1481" i="2" s="1"/>
  <c r="U1480" i="2" l="1"/>
  <c r="U1482" i="2" s="1"/>
  <c r="V1483" i="2" s="1"/>
  <c r="W1505" i="2"/>
  <c r="U1498" i="2"/>
  <c r="U1499" i="2"/>
  <c r="U1507" i="2"/>
  <c r="U1489" i="2"/>
  <c r="U1490" i="2"/>
  <c r="U1492" i="2" s="1"/>
  <c r="U1491" i="2" l="1"/>
  <c r="U1493" i="2" s="1"/>
  <c r="V1494" i="2" s="1"/>
  <c r="U1500" i="2"/>
  <c r="U1501" i="2"/>
  <c r="U1503" i="2" s="1"/>
  <c r="U1518" i="2"/>
  <c r="U1510" i="2"/>
  <c r="U1509" i="2"/>
  <c r="W1516" i="2"/>
  <c r="U1521" i="2" l="1"/>
  <c r="U1529" i="2"/>
  <c r="U1520" i="2"/>
  <c r="W1527" i="2"/>
  <c r="U1511" i="2"/>
  <c r="U1512" i="2"/>
  <c r="U1514" i="2" s="1"/>
  <c r="U1502" i="2"/>
  <c r="U1504" i="2" s="1"/>
  <c r="V1505" i="2" s="1"/>
  <c r="U1513" i="2" l="1"/>
  <c r="U1515" i="2" s="1"/>
  <c r="V1516" i="2" s="1"/>
  <c r="U1531" i="2"/>
  <c r="W1538" i="2"/>
  <c r="U1540" i="2"/>
  <c r="U1532" i="2"/>
  <c r="U1522" i="2"/>
  <c r="U1523" i="2"/>
  <c r="U1525" i="2" s="1"/>
  <c r="U1524" i="2" l="1"/>
  <c r="U1526" i="2" s="1"/>
  <c r="V1527" i="2" s="1"/>
  <c r="U1543" i="2"/>
  <c r="U1551" i="2"/>
  <c r="W1549" i="2"/>
  <c r="U1542" i="2"/>
  <c r="U1533" i="2"/>
  <c r="U1534" i="2"/>
  <c r="U1536" i="2" s="1"/>
  <c r="U1535" i="2" l="1"/>
  <c r="U1537" i="2" s="1"/>
  <c r="V1538" i="2" s="1"/>
  <c r="U1553" i="2"/>
  <c r="W1560" i="2"/>
  <c r="U1562" i="2"/>
  <c r="U1554" i="2"/>
  <c r="U1544" i="2"/>
  <c r="U1545" i="2"/>
  <c r="U1547" i="2" s="1"/>
  <c r="U1546" i="2" l="1"/>
  <c r="U1548" i="2" s="1"/>
  <c r="V1549" i="2" s="1"/>
  <c r="U1564" i="2"/>
  <c r="U1573" i="2"/>
  <c r="W1571" i="2"/>
  <c r="U1565" i="2"/>
  <c r="U1555" i="2"/>
  <c r="U1556" i="2"/>
  <c r="U1558" i="2" s="1"/>
  <c r="U1557" i="2" l="1"/>
  <c r="U1559" i="2" s="1"/>
  <c r="V1560" i="2" s="1"/>
  <c r="U1575" i="2"/>
  <c r="W1582" i="2"/>
  <c r="U1576" i="2"/>
  <c r="U1584" i="2"/>
  <c r="U1566" i="2"/>
  <c r="U1567" i="2"/>
  <c r="U1569" i="2" s="1"/>
  <c r="U1568" i="2" l="1"/>
  <c r="U1570" i="2" s="1"/>
  <c r="V1571" i="2" s="1"/>
  <c r="U1595" i="2"/>
  <c r="U1586" i="2"/>
  <c r="W1593" i="2"/>
  <c r="U1587" i="2"/>
  <c r="U1577" i="2"/>
  <c r="U1578" i="2"/>
  <c r="U1580" i="2" s="1"/>
  <c r="U1579" i="2" l="1"/>
  <c r="U1581" i="2" s="1"/>
  <c r="V1582" i="2" s="1"/>
  <c r="U1588" i="2"/>
  <c r="U1589" i="2"/>
  <c r="U1591" i="2" s="1"/>
  <c r="U1606" i="2"/>
  <c r="U1598" i="2"/>
  <c r="U1597" i="2"/>
  <c r="W1604" i="2"/>
  <c r="U1617" i="2" l="1"/>
  <c r="W1615" i="2"/>
  <c r="U1609" i="2"/>
  <c r="U1608" i="2"/>
  <c r="U1599" i="2"/>
  <c r="U1600" i="2"/>
  <c r="U1602" i="2" s="1"/>
  <c r="U1590" i="2"/>
  <c r="U1592" i="2" s="1"/>
  <c r="V1593" i="2" s="1"/>
  <c r="U1610" i="2" l="1"/>
  <c r="U1611" i="2"/>
  <c r="U1613" i="2" s="1"/>
  <c r="U1619" i="2"/>
  <c r="W1626" i="2"/>
  <c r="U1628" i="2"/>
  <c r="U1620" i="2"/>
  <c r="U1601" i="2"/>
  <c r="U1603" i="2" s="1"/>
  <c r="V1604" i="2" s="1"/>
  <c r="W1637" i="2" l="1"/>
  <c r="U1630" i="2"/>
  <c r="U1631" i="2"/>
  <c r="U1639" i="2"/>
  <c r="U1612" i="2"/>
  <c r="U1614" i="2" s="1"/>
  <c r="V1615" i="2" s="1"/>
  <c r="U1621" i="2"/>
  <c r="U1622" i="2"/>
  <c r="U1624" i="2" s="1"/>
  <c r="U1623" i="2" l="1"/>
  <c r="U1625" i="2" s="1"/>
  <c r="V1626" i="2" s="1"/>
  <c r="U1642" i="2"/>
  <c r="U1641" i="2"/>
  <c r="W1648" i="2"/>
  <c r="U1650" i="2"/>
  <c r="U1632" i="2"/>
  <c r="U1633" i="2"/>
  <c r="U1635" i="2" s="1"/>
  <c r="U1634" i="2" l="1"/>
  <c r="U1636" i="2" s="1"/>
  <c r="V1637" i="2" s="1"/>
  <c r="U1643" i="2"/>
  <c r="U1644" i="2"/>
  <c r="U1646" i="2" s="1"/>
  <c r="U1652" i="2"/>
  <c r="U1653" i="2"/>
  <c r="W1659" i="2"/>
  <c r="U1661" i="2"/>
  <c r="U1664" i="2" l="1"/>
  <c r="U1663" i="2"/>
  <c r="U1672" i="2"/>
  <c r="W1670" i="2"/>
  <c r="U1654" i="2"/>
  <c r="U1655" i="2"/>
  <c r="U1657" i="2" s="1"/>
  <c r="U1645" i="2"/>
  <c r="U1647" i="2" s="1"/>
  <c r="V1648" i="2" s="1"/>
  <c r="U1656" i="2" l="1"/>
  <c r="U1658" i="2" s="1"/>
  <c r="V1659" i="2" s="1"/>
  <c r="U1665" i="2"/>
  <c r="U1666" i="2"/>
  <c r="U1668" i="2" s="1"/>
  <c r="U1683" i="2"/>
  <c r="W1681" i="2"/>
  <c r="U1674" i="2"/>
  <c r="U1675" i="2"/>
  <c r="U1694" i="2" l="1"/>
  <c r="U1685" i="2"/>
  <c r="W1692" i="2"/>
  <c r="U1686" i="2"/>
  <c r="U1676" i="2"/>
  <c r="U1677" i="2"/>
  <c r="U1679" i="2" s="1"/>
  <c r="U1667" i="2"/>
  <c r="U1669" i="2" s="1"/>
  <c r="V1670" i="2" s="1"/>
  <c r="U1697" i="2" l="1"/>
  <c r="U1705" i="2"/>
  <c r="U1696" i="2"/>
  <c r="W1703" i="2"/>
  <c r="U1678" i="2"/>
  <c r="U1680" i="2" s="1"/>
  <c r="V1681" i="2" s="1"/>
  <c r="U1687" i="2"/>
  <c r="U1688" i="2"/>
  <c r="U1690" i="2" s="1"/>
  <c r="U1689" i="2" l="1"/>
  <c r="U1691" i="2" s="1"/>
  <c r="V1692" i="2" s="1"/>
  <c r="W1714" i="2"/>
  <c r="U1708" i="2"/>
  <c r="U1716" i="2"/>
  <c r="U1707" i="2"/>
  <c r="U1698" i="2"/>
  <c r="U1699" i="2"/>
  <c r="U1701" i="2" s="1"/>
  <c r="U1700" i="2" l="1"/>
  <c r="U1702" i="2" s="1"/>
  <c r="V1703" i="2" s="1"/>
  <c r="U1727" i="2"/>
  <c r="W1725" i="2"/>
  <c r="U1718" i="2"/>
  <c r="U1719" i="2"/>
  <c r="U1709" i="2"/>
  <c r="U1710" i="2"/>
  <c r="U1712" i="2" s="1"/>
  <c r="U1711" i="2" l="1"/>
  <c r="U1713" i="2" s="1"/>
  <c r="V1714" i="2" s="1"/>
  <c r="U1720" i="2"/>
  <c r="U1721" i="2"/>
  <c r="U1723" i="2" s="1"/>
  <c r="W1736" i="2"/>
  <c r="U1730" i="2"/>
  <c r="U1738" i="2"/>
  <c r="U1729" i="2"/>
  <c r="U1731" i="2" l="1"/>
  <c r="U1732" i="2"/>
  <c r="U1734" i="2" s="1"/>
  <c r="U1749" i="2"/>
  <c r="U1740" i="2"/>
  <c r="W1747" i="2"/>
  <c r="U1741" i="2"/>
  <c r="U1722" i="2"/>
  <c r="U1724" i="2" s="1"/>
  <c r="V1725" i="2" s="1"/>
  <c r="U1742" i="2" l="1"/>
  <c r="U1743" i="2"/>
  <c r="U1745" i="2" s="1"/>
  <c r="U1733" i="2"/>
  <c r="U1735" i="2" s="1"/>
  <c r="V1736" i="2" s="1"/>
  <c r="U1751" i="2"/>
  <c r="U1752" i="2"/>
  <c r="U1760" i="2"/>
  <c r="W1758" i="2"/>
  <c r="U1753" i="2" l="1"/>
  <c r="U1754" i="2"/>
  <c r="U1756" i="2" s="1"/>
  <c r="U1744" i="2"/>
  <c r="U1746" i="2" s="1"/>
  <c r="V1747" i="2" s="1"/>
  <c r="W1769" i="2"/>
  <c r="U1763" i="2"/>
  <c r="U1771" i="2"/>
  <c r="U1762" i="2"/>
  <c r="U1764" i="2" l="1"/>
  <c r="U1765" i="2"/>
  <c r="U1767" i="2" s="1"/>
  <c r="U1755" i="2"/>
  <c r="U1757" i="2" s="1"/>
  <c r="V1758" i="2" s="1"/>
  <c r="U1773" i="2"/>
  <c r="U1774" i="2"/>
  <c r="U1782" i="2"/>
  <c r="W1780" i="2"/>
  <c r="U1775" i="2" l="1"/>
  <c r="U1776" i="2"/>
  <c r="U1778" i="2" s="1"/>
  <c r="U1766" i="2"/>
  <c r="U1768" i="2" s="1"/>
  <c r="V1769" i="2" s="1"/>
  <c r="W1791" i="2"/>
  <c r="U1785" i="2"/>
  <c r="U1793" i="2"/>
  <c r="U1784" i="2"/>
  <c r="U1786" i="2" l="1"/>
  <c r="U1787" i="2"/>
  <c r="U1789" i="2" s="1"/>
  <c r="U1777" i="2"/>
  <c r="U1779" i="2" s="1"/>
  <c r="V1780" i="2" s="1"/>
  <c r="U1795" i="2"/>
  <c r="W1802" i="2"/>
  <c r="U1796" i="2"/>
  <c r="U1804" i="2"/>
  <c r="U1806" i="2" l="1"/>
  <c r="W1813" i="2"/>
  <c r="U1807" i="2"/>
  <c r="U1815" i="2"/>
  <c r="U1797" i="2"/>
  <c r="U1798" i="2"/>
  <c r="U1800" i="2" s="1"/>
  <c r="U1788" i="2"/>
  <c r="U1790" i="2" s="1"/>
  <c r="V1791" i="2" s="1"/>
  <c r="W1824" i="2" l="1"/>
  <c r="U1818" i="2"/>
  <c r="U1826" i="2"/>
  <c r="U1817" i="2"/>
  <c r="U1808" i="2"/>
  <c r="U1809" i="2"/>
  <c r="U1811" i="2" s="1"/>
  <c r="U1799" i="2"/>
  <c r="U1801" i="2" s="1"/>
  <c r="V1802" i="2" s="1"/>
  <c r="U1828" i="2" l="1"/>
  <c r="W1835" i="2"/>
  <c r="U1829" i="2"/>
  <c r="U1837" i="2"/>
  <c r="U1810" i="2"/>
  <c r="U1812" i="2" s="1"/>
  <c r="V1813" i="2" s="1"/>
  <c r="U1819" i="2"/>
  <c r="U1820" i="2"/>
  <c r="U1822" i="2" s="1"/>
  <c r="U1821" i="2" l="1"/>
  <c r="U1823" i="2" s="1"/>
  <c r="V1824" i="2" s="1"/>
  <c r="W1846" i="2"/>
  <c r="U1839" i="2"/>
  <c r="U1840" i="2"/>
  <c r="U1848" i="2"/>
  <c r="U1830" i="2"/>
  <c r="U1831" i="2"/>
  <c r="U1833" i="2" s="1"/>
  <c r="W1857" i="2" l="1"/>
  <c r="U1850" i="2"/>
  <c r="U1851" i="2"/>
  <c r="U1859" i="2"/>
  <c r="U1832" i="2"/>
  <c r="U1834" i="2" s="1"/>
  <c r="V1835" i="2" s="1"/>
  <c r="U1841" i="2"/>
  <c r="U1842" i="2"/>
  <c r="U1844" i="2" s="1"/>
  <c r="U1852" i="2" l="1"/>
  <c r="U1853" i="2"/>
  <c r="U1855" i="2" s="1"/>
  <c r="U1843" i="2"/>
  <c r="U1845" i="2" s="1"/>
  <c r="V1846" i="2" s="1"/>
  <c r="U1862" i="2"/>
  <c r="W1868" i="2"/>
  <c r="U1870" i="2"/>
  <c r="U1861" i="2"/>
  <c r="U1873" i="2" l="1"/>
  <c r="U1872" i="2"/>
  <c r="W1879" i="2"/>
  <c r="U1881" i="2"/>
  <c r="U1854" i="2"/>
  <c r="U1856" i="2" s="1"/>
  <c r="V1857" i="2" s="1"/>
  <c r="U1863" i="2"/>
  <c r="U1864" i="2"/>
  <c r="U1866" i="2" s="1"/>
  <c r="U1865" i="2" l="1"/>
  <c r="U1867" i="2" s="1"/>
  <c r="V1868" i="2" s="1"/>
  <c r="W1890" i="2"/>
  <c r="U1884" i="2"/>
  <c r="U1892" i="2"/>
  <c r="U1883" i="2"/>
  <c r="U1874" i="2"/>
  <c r="U1875" i="2"/>
  <c r="U1877" i="2" s="1"/>
  <c r="U1903" i="2" l="1"/>
  <c r="W1901" i="2"/>
  <c r="U1894" i="2"/>
  <c r="U1895" i="2"/>
  <c r="U1885" i="2"/>
  <c r="U1886" i="2"/>
  <c r="U1888" i="2" s="1"/>
  <c r="U1876" i="2"/>
  <c r="U1878" i="2" s="1"/>
  <c r="V1879" i="2" s="1"/>
  <c r="U1896" i="2" l="1"/>
  <c r="U1897" i="2"/>
  <c r="U1899" i="2" s="1"/>
  <c r="U1906" i="2"/>
  <c r="U1914" i="2"/>
  <c r="U1905" i="2"/>
  <c r="W1912" i="2"/>
  <c r="U1887" i="2"/>
  <c r="U1889" i="2" s="1"/>
  <c r="V1890" i="2" s="1"/>
  <c r="U1907" i="2" l="1"/>
  <c r="U1908" i="2"/>
  <c r="U1910" i="2" s="1"/>
  <c r="U1898" i="2"/>
  <c r="U1900" i="2" s="1"/>
  <c r="V1901" i="2" s="1"/>
  <c r="U1917" i="2"/>
  <c r="U1925" i="2"/>
  <c r="U1916" i="2"/>
  <c r="W1923" i="2"/>
  <c r="U1918" i="2" l="1"/>
  <c r="U1919" i="2"/>
  <c r="U1921" i="2" s="1"/>
  <c r="U1909" i="2"/>
  <c r="U1911" i="2" s="1"/>
  <c r="V1912" i="2" s="1"/>
  <c r="U1927" i="2"/>
  <c r="W1934" i="2"/>
  <c r="U1928" i="2"/>
  <c r="U1936" i="2"/>
  <c r="U1929" i="2" l="1"/>
  <c r="U1930" i="2"/>
  <c r="U1932" i="2" s="1"/>
  <c r="U1920" i="2"/>
  <c r="U1922" i="2" s="1"/>
  <c r="V1923" i="2" s="1"/>
  <c r="U1938" i="2"/>
  <c r="U1939" i="2"/>
  <c r="U1947" i="2"/>
  <c r="W1945" i="2"/>
  <c r="U1931" i="2" l="1"/>
  <c r="U1933" i="2" s="1"/>
  <c r="V1934" i="2" s="1"/>
  <c r="U1949" i="2"/>
  <c r="W1956" i="2"/>
  <c r="U1950" i="2"/>
  <c r="U1958" i="2"/>
  <c r="U1940" i="2"/>
  <c r="U1941" i="2"/>
  <c r="U1943" i="2" s="1"/>
  <c r="U1960" i="2" l="1"/>
  <c r="W1967" i="2"/>
  <c r="U1961" i="2"/>
  <c r="U1969" i="2"/>
  <c r="U1951" i="2"/>
  <c r="U1952" i="2"/>
  <c r="U1954" i="2" s="1"/>
  <c r="U1942" i="2"/>
  <c r="U1944" i="2" s="1"/>
  <c r="V1945" i="2" s="1"/>
  <c r="U1962" i="2" l="1"/>
  <c r="U1963" i="2"/>
  <c r="U1965" i="2" s="1"/>
  <c r="U1953" i="2"/>
  <c r="U1955" i="2" s="1"/>
  <c r="V1956" i="2" s="1"/>
  <c r="U1972" i="2"/>
  <c r="U1980" i="2"/>
  <c r="U1971" i="2"/>
  <c r="W1978" i="2"/>
  <c r="U1973" i="2" l="1"/>
  <c r="U1974" i="2"/>
  <c r="U1976" i="2" s="1"/>
  <c r="U1964" i="2"/>
  <c r="U1966" i="2" s="1"/>
  <c r="V1967" i="2" s="1"/>
  <c r="W1989" i="2"/>
  <c r="U1991" i="2"/>
  <c r="U1982" i="2"/>
  <c r="U1983" i="2"/>
  <c r="U1975" i="2" l="1"/>
  <c r="U1977" i="2" s="1"/>
  <c r="V1978" i="2" s="1"/>
  <c r="U1994" i="2"/>
  <c r="U1993" i="2"/>
  <c r="U2002" i="2"/>
  <c r="W2000" i="2"/>
  <c r="U1984" i="2"/>
  <c r="U1985" i="2"/>
  <c r="U1987" i="2" s="1"/>
  <c r="U2005" i="2" l="1"/>
  <c r="U2013" i="2"/>
  <c r="U2004" i="2"/>
  <c r="W2011" i="2"/>
  <c r="U1986" i="2"/>
  <c r="U1988" i="2" s="1"/>
  <c r="V1989" i="2" s="1"/>
  <c r="U1995" i="2"/>
  <c r="U1996" i="2"/>
  <c r="U1998" i="2" s="1"/>
  <c r="U2006" i="2" l="1"/>
  <c r="U2007" i="2"/>
  <c r="U2009" i="2" s="1"/>
  <c r="U2024" i="2"/>
  <c r="U2015" i="2"/>
  <c r="W2022" i="2"/>
  <c r="U2016" i="2"/>
  <c r="U1997" i="2"/>
  <c r="U1999" i="2" s="1"/>
  <c r="V2000" i="2" s="1"/>
  <c r="U2026" i="2" l="1"/>
  <c r="W2033" i="2"/>
  <c r="U2027" i="2"/>
  <c r="U2035" i="2"/>
  <c r="U2008" i="2"/>
  <c r="U2010" i="2" s="1"/>
  <c r="V2011" i="2" s="1"/>
  <c r="U2017" i="2"/>
  <c r="U2018" i="2"/>
  <c r="U2020" i="2" s="1"/>
  <c r="U2028" i="2" l="1"/>
  <c r="U2029" i="2"/>
  <c r="U2031" i="2" s="1"/>
  <c r="U2019" i="2"/>
  <c r="U2021" i="2" s="1"/>
  <c r="V2022" i="2" s="1"/>
  <c r="U2037" i="2"/>
  <c r="U2038" i="2"/>
  <c r="U2046" i="2"/>
  <c r="W2044" i="2"/>
  <c r="U2039" i="2" l="1"/>
  <c r="U2040" i="2"/>
  <c r="U2042" i="2" s="1"/>
  <c r="W2055" i="2"/>
  <c r="U2049" i="2"/>
  <c r="U2057" i="2"/>
  <c r="U2048" i="2"/>
  <c r="U2030" i="2"/>
  <c r="U2032" i="2" s="1"/>
  <c r="V2033" i="2" s="1"/>
  <c r="U2059" i="2" l="1"/>
  <c r="U2060" i="2"/>
  <c r="U2068" i="2"/>
  <c r="W2066" i="2"/>
  <c r="U2041" i="2"/>
  <c r="U2043" i="2" s="1"/>
  <c r="V2044" i="2" s="1"/>
  <c r="U2050" i="2"/>
  <c r="U2051" i="2"/>
  <c r="U2053" i="2" s="1"/>
  <c r="U2070" i="2" l="1"/>
  <c r="U2071" i="2"/>
  <c r="U2079" i="2"/>
  <c r="W2077" i="2"/>
  <c r="U2061" i="2"/>
  <c r="U2062" i="2"/>
  <c r="U2064" i="2" s="1"/>
  <c r="U2052" i="2"/>
  <c r="U2054" i="2" s="1"/>
  <c r="V2055" i="2" s="1"/>
  <c r="U2072" i="2" l="1"/>
  <c r="U2073" i="2"/>
  <c r="U2075" i="2" s="1"/>
  <c r="U2063" i="2"/>
  <c r="U2065" i="2" s="1"/>
  <c r="V2066" i="2" s="1"/>
  <c r="U2081" i="2"/>
  <c r="W2088" i="2"/>
  <c r="U2082" i="2"/>
  <c r="U2090" i="2"/>
  <c r="U2083" i="2" l="1"/>
  <c r="U2084" i="2"/>
  <c r="U2086" i="2" s="1"/>
  <c r="U2074" i="2"/>
  <c r="U2076" i="2" s="1"/>
  <c r="V2077" i="2" s="1"/>
  <c r="W2099" i="2"/>
  <c r="U2093" i="2"/>
  <c r="U2101" i="2"/>
  <c r="U2092" i="2"/>
  <c r="U2112" i="2" l="1"/>
  <c r="U2103" i="2"/>
  <c r="W2110" i="2"/>
  <c r="U2104" i="2"/>
  <c r="U2085" i="2"/>
  <c r="U2087" i="2" s="1"/>
  <c r="V2088" i="2" s="1"/>
  <c r="U2094" i="2"/>
  <c r="U2095" i="2"/>
  <c r="U2097" i="2" s="1"/>
  <c r="U2123" i="2" l="1"/>
  <c r="U2114" i="2"/>
  <c r="W2121" i="2"/>
  <c r="U2115" i="2"/>
  <c r="U2105" i="2"/>
  <c r="U2106" i="2"/>
  <c r="U2108" i="2" s="1"/>
  <c r="U2096" i="2"/>
  <c r="U2098" i="2" s="1"/>
  <c r="V2099" i="2" s="1"/>
  <c r="U2134" i="2" l="1"/>
  <c r="U2125" i="2"/>
  <c r="W2132" i="2"/>
  <c r="U2126" i="2"/>
  <c r="U2116" i="2"/>
  <c r="U2117" i="2"/>
  <c r="U2119" i="2" s="1"/>
  <c r="U2107" i="2"/>
  <c r="U2109" i="2" s="1"/>
  <c r="V2110" i="2" s="1"/>
  <c r="U2127" i="2" l="1"/>
  <c r="U2128" i="2"/>
  <c r="U2130" i="2" s="1"/>
  <c r="U2137" i="2"/>
  <c r="W2143" i="2"/>
  <c r="U2145" i="2"/>
  <c r="U2136" i="2"/>
  <c r="U2118" i="2"/>
  <c r="U2120" i="2" s="1"/>
  <c r="V2121" i="2" s="1"/>
  <c r="U2129" i="2" l="1"/>
  <c r="U2131" i="2" s="1"/>
  <c r="V2132" i="2" s="1"/>
  <c r="U2148" i="2"/>
  <c r="U2156" i="2"/>
  <c r="U2147" i="2"/>
  <c r="W2154" i="2"/>
  <c r="U2138" i="2"/>
  <c r="U2139" i="2"/>
  <c r="U2141" i="2" s="1"/>
  <c r="U2149" i="2" l="1"/>
  <c r="U2150" i="2"/>
  <c r="U2152" i="2" s="1"/>
  <c r="U2140" i="2"/>
  <c r="U2142" i="2" s="1"/>
  <c r="V2143" i="2" s="1"/>
  <c r="U2159" i="2"/>
  <c r="U2167" i="2"/>
  <c r="U2158" i="2"/>
  <c r="W2165" i="2"/>
  <c r="U2160" i="2" l="1"/>
  <c r="U2161" i="2"/>
  <c r="U2163" i="2" s="1"/>
  <c r="U2151" i="2"/>
  <c r="U2153" i="2" s="1"/>
  <c r="V2154" i="2" s="1"/>
  <c r="W2176" i="2"/>
  <c r="U2170" i="2"/>
  <c r="U2178" i="2"/>
  <c r="U2169" i="2"/>
  <c r="W2187" i="2" l="1"/>
  <c r="U2181" i="2"/>
  <c r="U2189" i="2"/>
  <c r="U2180" i="2"/>
  <c r="U2162" i="2"/>
  <c r="U2164" i="2" s="1"/>
  <c r="V2165" i="2" s="1"/>
  <c r="U2171" i="2"/>
  <c r="U2172" i="2"/>
  <c r="U2174" i="2" s="1"/>
  <c r="U2200" i="2" l="1"/>
  <c r="U2191" i="2"/>
  <c r="W2198" i="2"/>
  <c r="U2192" i="2"/>
  <c r="U2173" i="2"/>
  <c r="U2175" i="2" s="1"/>
  <c r="V2176" i="2" s="1"/>
  <c r="U2182" i="2"/>
  <c r="U2183" i="2"/>
  <c r="U2185" i="2" s="1"/>
  <c r="W2209" i="2" l="1"/>
  <c r="U2203" i="2"/>
  <c r="U2211" i="2"/>
  <c r="U2202" i="2"/>
  <c r="U2193" i="2"/>
  <c r="U2194" i="2"/>
  <c r="U2196" i="2" s="1"/>
  <c r="U2184" i="2"/>
  <c r="U2186" i="2" s="1"/>
  <c r="V2187" i="2" s="1"/>
  <c r="U2214" i="2" l="1"/>
  <c r="U2222" i="2"/>
  <c r="U2213" i="2"/>
  <c r="W2220" i="2"/>
  <c r="U2195" i="2"/>
  <c r="U2197" i="2" s="1"/>
  <c r="V2198" i="2" s="1"/>
  <c r="U2204" i="2"/>
  <c r="U2205" i="2"/>
  <c r="U2207" i="2" s="1"/>
  <c r="U2215" i="2" l="1"/>
  <c r="U2216" i="2"/>
  <c r="U2218" i="2" s="1"/>
  <c r="U2225" i="2"/>
  <c r="U2233" i="2"/>
  <c r="U2224" i="2"/>
  <c r="W2231" i="2"/>
  <c r="U2206" i="2"/>
  <c r="U2208" i="2" s="1"/>
  <c r="V2209" i="2" s="1"/>
  <c r="U2226" i="2" l="1"/>
  <c r="U2227" i="2"/>
  <c r="U2229" i="2" s="1"/>
  <c r="U2217" i="2"/>
  <c r="U2219" i="2" s="1"/>
  <c r="V2220" i="2" s="1"/>
  <c r="U2236" i="2"/>
  <c r="U2244" i="2"/>
  <c r="U2235" i="2"/>
  <c r="W2242" i="2"/>
  <c r="U2237" i="2" l="1"/>
  <c r="U2238" i="2"/>
  <c r="U2240" i="2" s="1"/>
  <c r="U2228" i="2"/>
  <c r="U2230" i="2" s="1"/>
  <c r="V2231" i="2" s="1"/>
  <c r="U2255" i="2"/>
  <c r="U2246" i="2"/>
  <c r="W2253" i="2"/>
  <c r="U2247" i="2"/>
  <c r="U2258" i="2" l="1"/>
  <c r="U2266" i="2"/>
  <c r="U2257" i="2"/>
  <c r="W2264" i="2"/>
  <c r="U2248" i="2"/>
  <c r="U2249" i="2"/>
  <c r="U2251" i="2" s="1"/>
  <c r="U2239" i="2"/>
  <c r="U2241" i="2" s="1"/>
  <c r="V2242" i="2" s="1"/>
  <c r="U2259" i="2" l="1"/>
  <c r="U2260" i="2"/>
  <c r="U2262" i="2" s="1"/>
  <c r="U2250" i="2"/>
  <c r="U2252" i="2" s="1"/>
  <c r="V2253" i="2" s="1"/>
  <c r="U2277" i="2"/>
  <c r="U2268" i="2"/>
  <c r="W2275" i="2"/>
  <c r="U2269" i="2"/>
  <c r="U2261" i="2" l="1"/>
  <c r="U2263" i="2" s="1"/>
  <c r="V2264" i="2" s="1"/>
  <c r="U2270" i="2"/>
  <c r="U2271" i="2"/>
  <c r="U2273" i="2" s="1"/>
  <c r="W2286" i="2"/>
  <c r="U2280" i="2"/>
  <c r="U2288" i="2"/>
  <c r="U2279" i="2"/>
  <c r="U2290" i="2" l="1"/>
  <c r="W2297" i="2"/>
  <c r="U2291" i="2"/>
  <c r="U2299" i="2"/>
  <c r="U2272" i="2"/>
  <c r="U2274" i="2" s="1"/>
  <c r="V2275" i="2" s="1"/>
  <c r="U2281" i="2"/>
  <c r="U2282" i="2"/>
  <c r="U2284" i="2" s="1"/>
  <c r="U2292" i="2" l="1"/>
  <c r="U2293" i="2"/>
  <c r="U2295" i="2" s="1"/>
  <c r="U2283" i="2"/>
  <c r="U2285" i="2" s="1"/>
  <c r="V2286" i="2" s="1"/>
  <c r="U2302" i="2"/>
  <c r="U2310" i="2"/>
  <c r="U2301" i="2"/>
  <c r="W2308" i="2"/>
  <c r="U2303" i="2" l="1"/>
  <c r="U2304" i="2"/>
  <c r="U2306" i="2" s="1"/>
  <c r="U2294" i="2"/>
  <c r="U2296" i="2" s="1"/>
  <c r="V2297" i="2" s="1"/>
  <c r="U2312" i="2"/>
  <c r="W2319" i="2"/>
  <c r="U2313" i="2"/>
  <c r="U2321" i="2"/>
  <c r="U2314" i="2" l="1"/>
  <c r="U2315" i="2"/>
  <c r="U2317" i="2" s="1"/>
  <c r="U2305" i="2"/>
  <c r="U2307" i="2" s="1"/>
  <c r="V2308" i="2" s="1"/>
  <c r="U2323" i="2"/>
  <c r="W2330" i="2"/>
  <c r="U2324" i="2"/>
  <c r="U2332" i="2"/>
  <c r="U2325" i="2" l="1"/>
  <c r="U2326" i="2"/>
  <c r="U2328" i="2" s="1"/>
  <c r="U2316" i="2"/>
  <c r="U2318" i="2" s="1"/>
  <c r="V2319" i="2" s="1"/>
  <c r="W2341" i="2"/>
  <c r="U2335" i="2"/>
  <c r="U2343" i="2"/>
  <c r="U2334" i="2"/>
  <c r="U2354" i="2" l="1"/>
  <c r="U2345" i="2"/>
  <c r="W2352" i="2"/>
  <c r="U2346" i="2"/>
  <c r="U2327" i="2"/>
  <c r="U2329" i="2" s="1"/>
  <c r="V2330" i="2" s="1"/>
  <c r="U2336" i="2"/>
  <c r="U2337" i="2"/>
  <c r="U2339" i="2" s="1"/>
  <c r="W2363" i="2" l="1"/>
  <c r="U2357" i="2"/>
  <c r="U2365" i="2"/>
  <c r="U2356" i="2"/>
  <c r="U2347" i="2"/>
  <c r="U2348" i="2"/>
  <c r="U2350" i="2" s="1"/>
  <c r="U2338" i="2"/>
  <c r="U2340" i="2" s="1"/>
  <c r="V2341" i="2" s="1"/>
  <c r="U2349" i="2" l="1"/>
  <c r="U2351" i="2" s="1"/>
  <c r="V2352" i="2" s="1"/>
  <c r="W2374" i="2"/>
  <c r="U2368" i="2"/>
  <c r="U2376" i="2"/>
  <c r="U2367" i="2"/>
  <c r="U2358" i="2"/>
  <c r="U2359" i="2"/>
  <c r="U2361" i="2" s="1"/>
  <c r="U2379" i="2" l="1"/>
  <c r="U2387" i="2"/>
  <c r="U2378" i="2"/>
  <c r="W2385" i="2"/>
  <c r="U2369" i="2"/>
  <c r="U2370" i="2"/>
  <c r="U2372" i="2" s="1"/>
  <c r="U2360" i="2"/>
  <c r="U2362" i="2" s="1"/>
  <c r="V2363" i="2" s="1"/>
  <c r="U2380" i="2" l="1"/>
  <c r="U2381" i="2"/>
  <c r="U2383" i="2" s="1"/>
  <c r="U2371" i="2"/>
  <c r="U2373" i="2" s="1"/>
  <c r="V2374" i="2" s="1"/>
  <c r="U2390" i="2"/>
  <c r="U2398" i="2"/>
  <c r="U2389" i="2"/>
  <c r="W2396" i="2"/>
  <c r="U2391" i="2" l="1"/>
  <c r="U2392" i="2"/>
  <c r="U2394" i="2" s="1"/>
  <c r="U2382" i="2"/>
  <c r="U2384" i="2" s="1"/>
  <c r="V2385" i="2" s="1"/>
  <c r="U2400" i="2"/>
  <c r="W2407" i="2"/>
  <c r="U2401" i="2"/>
  <c r="U2409" i="2"/>
  <c r="U2402" i="2" l="1"/>
  <c r="U2403" i="2"/>
  <c r="U2405" i="2" s="1"/>
  <c r="U2393" i="2"/>
  <c r="U2395" i="2" s="1"/>
  <c r="V2396" i="2" s="1"/>
  <c r="U2411" i="2"/>
  <c r="W2418" i="2"/>
  <c r="U2412" i="2"/>
  <c r="U2420" i="2"/>
  <c r="U2413" i="2" l="1"/>
  <c r="U2414" i="2"/>
  <c r="U2416" i="2" s="1"/>
  <c r="U2404" i="2"/>
  <c r="U2406" i="2" s="1"/>
  <c r="V2407" i="2" s="1"/>
  <c r="W2429" i="2"/>
  <c r="U2423" i="2"/>
  <c r="U2431" i="2"/>
  <c r="U2422" i="2"/>
  <c r="W2440" i="2" l="1"/>
  <c r="U2434" i="2"/>
  <c r="U2442" i="2"/>
  <c r="U2433" i="2"/>
  <c r="U2415" i="2"/>
  <c r="U2417" i="2" s="1"/>
  <c r="V2418" i="2" s="1"/>
  <c r="U2424" i="2"/>
  <c r="U2425" i="2"/>
  <c r="U2427" i="2" s="1"/>
  <c r="U2453" i="2" l="1"/>
  <c r="U2444" i="2"/>
  <c r="W2451" i="2"/>
  <c r="U2445" i="2"/>
  <c r="U2426" i="2"/>
  <c r="U2428" i="2" s="1"/>
  <c r="V2429" i="2" s="1"/>
  <c r="U2435" i="2"/>
  <c r="U2436" i="2"/>
  <c r="U2438" i="2" s="1"/>
  <c r="U2464" i="2" l="1"/>
  <c r="U2455" i="2"/>
  <c r="W2462" i="2"/>
  <c r="U2456" i="2"/>
  <c r="U2446" i="2"/>
  <c r="U2448" i="2" s="1"/>
  <c r="U2447" i="2"/>
  <c r="U2449" i="2" s="1"/>
  <c r="U2437" i="2"/>
  <c r="U2439" i="2" s="1"/>
  <c r="V2440" i="2" s="1"/>
  <c r="U2450" i="2" l="1"/>
  <c r="V2451" i="2" s="1"/>
  <c r="U2475" i="2"/>
  <c r="U2466" i="2"/>
  <c r="W2473" i="2"/>
  <c r="U2467" i="2"/>
  <c r="U2457" i="2"/>
  <c r="U2458" i="2"/>
  <c r="U2460" i="2" s="1"/>
  <c r="U2468" i="2" l="1"/>
  <c r="U2470" i="2" s="1"/>
  <c r="U2469" i="2"/>
  <c r="U2471" i="2" s="1"/>
  <c r="U2477" i="2"/>
  <c r="U2486" i="2"/>
  <c r="W2484" i="2"/>
  <c r="U2478" i="2"/>
  <c r="U2459" i="2"/>
  <c r="U2461" i="2" s="1"/>
  <c r="V2462" i="2" s="1"/>
  <c r="U2472" i="2" l="1"/>
  <c r="V2473" i="2" s="1"/>
  <c r="U2479" i="2"/>
  <c r="U2480" i="2"/>
  <c r="U2482" i="2" s="1"/>
  <c r="U2489" i="2"/>
  <c r="U2497" i="2"/>
  <c r="U2488" i="2"/>
  <c r="W2495" i="2"/>
  <c r="U2490" i="2" l="1"/>
  <c r="U2492" i="2" s="1"/>
  <c r="U2491" i="2"/>
  <c r="U2493" i="2" s="1"/>
  <c r="U2481" i="2"/>
  <c r="U2483" i="2" s="1"/>
  <c r="V2484" i="2" s="1"/>
  <c r="U2499" i="2"/>
  <c r="W2506" i="2"/>
  <c r="U2500" i="2"/>
  <c r="U2508" i="2"/>
  <c r="U2494" i="2" l="1"/>
  <c r="V2495" i="2" s="1"/>
  <c r="U2501" i="2"/>
  <c r="U2503" i="2" s="1"/>
  <c r="U2502" i="2"/>
  <c r="U2504" i="2" s="1"/>
  <c r="U2510" i="2"/>
  <c r="U2519" i="2"/>
  <c r="W2517" i="2"/>
  <c r="U2511" i="2"/>
  <c r="U2505" i="2" l="1"/>
  <c r="V2506" i="2" s="1"/>
  <c r="U2512" i="2"/>
  <c r="U2513" i="2"/>
  <c r="U2515" i="2" s="1"/>
  <c r="W2528" i="2"/>
  <c r="U2522" i="2"/>
  <c r="U2530" i="2"/>
  <c r="U2521" i="2"/>
  <c r="U2532" i="2" l="1"/>
  <c r="W2539" i="2"/>
  <c r="U2533" i="2"/>
  <c r="U2541" i="2"/>
  <c r="U2514" i="2"/>
  <c r="U2516" i="2" s="1"/>
  <c r="V2517" i="2" s="1"/>
  <c r="U2523" i="2"/>
  <c r="U2524" i="2"/>
  <c r="U2526" i="2" s="1"/>
  <c r="U2534" i="2" l="1"/>
  <c r="U2535" i="2"/>
  <c r="U2537" i="2" s="1"/>
  <c r="U2525" i="2"/>
  <c r="U2527" i="2" s="1"/>
  <c r="V2528" i="2" s="1"/>
  <c r="U2544" i="2"/>
  <c r="U2552" i="2"/>
  <c r="U2543" i="2"/>
  <c r="W2550" i="2"/>
  <c r="U2536" i="2" l="1"/>
  <c r="U2538" i="2" s="1"/>
  <c r="V2539" i="2" s="1"/>
  <c r="U2554" i="2"/>
  <c r="U2563" i="2"/>
  <c r="W2561" i="2"/>
  <c r="U2555" i="2"/>
  <c r="U2545" i="2"/>
  <c r="U2547" i="2" s="1"/>
  <c r="U2546" i="2"/>
  <c r="U2548" i="2" s="1"/>
  <c r="U2556" i="2" l="1"/>
  <c r="U2558" i="2" s="1"/>
  <c r="U2557" i="2"/>
  <c r="U2559" i="2" s="1"/>
  <c r="U2574" i="2"/>
  <c r="U2565" i="2"/>
  <c r="W2572" i="2"/>
  <c r="U2566" i="2"/>
  <c r="U2549" i="2"/>
  <c r="V2550" i="2" s="1"/>
  <c r="U2560" i="2" l="1"/>
  <c r="V2561" i="2" s="1"/>
  <c r="U2576" i="2"/>
  <c r="W2583" i="2"/>
  <c r="U2577" i="2"/>
  <c r="U2585" i="2"/>
  <c r="U2567" i="2"/>
  <c r="U2568" i="2"/>
  <c r="U2570" i="2" s="1"/>
  <c r="U2578" i="2" l="1"/>
  <c r="U2580" i="2" s="1"/>
  <c r="U2579" i="2"/>
  <c r="U2581" i="2" s="1"/>
  <c r="U2569" i="2"/>
  <c r="U2571" i="2" s="1"/>
  <c r="V2572" i="2" s="1"/>
  <c r="U2588" i="2"/>
  <c r="U2587" i="2"/>
  <c r="U2596" i="2"/>
  <c r="W2594" i="2"/>
  <c r="U2582" i="2" l="1"/>
  <c r="V2583" i="2" s="1"/>
  <c r="U2607" i="2"/>
  <c r="U2598" i="2"/>
  <c r="W2605" i="2"/>
  <c r="U2599" i="2"/>
  <c r="U2589" i="2"/>
  <c r="U2590" i="2"/>
  <c r="U2592" i="2" s="1"/>
  <c r="U2591" i="2" l="1"/>
  <c r="U2593" i="2" s="1"/>
  <c r="V2594" i="2" s="1"/>
  <c r="U2610" i="2"/>
  <c r="U2609" i="2"/>
  <c r="U2618" i="2"/>
  <c r="W2616" i="2"/>
  <c r="U2600" i="2"/>
  <c r="U2601" i="2"/>
  <c r="U2603" i="2" s="1"/>
  <c r="U2629" i="2" l="1"/>
  <c r="U2621" i="2"/>
  <c r="U2620" i="2"/>
  <c r="W2627" i="2"/>
  <c r="U2602" i="2"/>
  <c r="U2604" i="2" s="1"/>
  <c r="V2605" i="2" s="1"/>
  <c r="U2611" i="2"/>
  <c r="U2612" i="2"/>
  <c r="U2614" i="2" s="1"/>
  <c r="U2622" i="2" l="1"/>
  <c r="U2623" i="2"/>
  <c r="U2625" i="2" s="1"/>
  <c r="U2640" i="2"/>
  <c r="W2638" i="2"/>
  <c r="U2632" i="2"/>
  <c r="U2631" i="2"/>
  <c r="U2613" i="2"/>
  <c r="U2615" i="2" s="1"/>
  <c r="V2616" i="2" s="1"/>
  <c r="U2624" i="2" l="1"/>
  <c r="U2626" i="2" s="1"/>
  <c r="V2627" i="2" s="1"/>
  <c r="U2633" i="2"/>
  <c r="U2634" i="2"/>
  <c r="U2636" i="2" s="1"/>
  <c r="U2643" i="2"/>
  <c r="U2642" i="2"/>
  <c r="W2649" i="2"/>
  <c r="U2651" i="2"/>
  <c r="U2644" i="2" l="1"/>
  <c r="U2645" i="2"/>
  <c r="U2647" i="2" s="1"/>
  <c r="U2635" i="2"/>
  <c r="U2637" i="2" s="1"/>
  <c r="V2638" i="2" s="1"/>
  <c r="U2662" i="2"/>
  <c r="W2660" i="2"/>
  <c r="U2654" i="2"/>
  <c r="U2653" i="2"/>
  <c r="U2673" i="2" l="1"/>
  <c r="U2664" i="2"/>
  <c r="W2671" i="2"/>
  <c r="U2665" i="2"/>
  <c r="U2646" i="2"/>
  <c r="U2648" i="2" s="1"/>
  <c r="V2649" i="2" s="1"/>
  <c r="U2655" i="2"/>
  <c r="U2656" i="2"/>
  <c r="U2658" i="2" s="1"/>
  <c r="U2676" i="2" l="1"/>
  <c r="U2675" i="2"/>
  <c r="U2684" i="2"/>
  <c r="W2682" i="2"/>
  <c r="U2666" i="2"/>
  <c r="U2667" i="2"/>
  <c r="U2669" i="2" s="1"/>
  <c r="U2657" i="2"/>
  <c r="U2659" i="2" s="1"/>
  <c r="V2660" i="2" s="1"/>
  <c r="U2668" i="2" l="1"/>
  <c r="U2670" i="2" s="1"/>
  <c r="V2671" i="2" s="1"/>
  <c r="U2686" i="2"/>
  <c r="W2693" i="2"/>
  <c r="U2687" i="2"/>
  <c r="U2695" i="2"/>
  <c r="U2677" i="2"/>
  <c r="U2679" i="2" s="1"/>
  <c r="U2678" i="2"/>
  <c r="U2680" i="2" s="1"/>
  <c r="U2697" i="2" l="1"/>
  <c r="U2706" i="2"/>
  <c r="U2698" i="2"/>
  <c r="W2704" i="2"/>
  <c r="U2688" i="2"/>
  <c r="U2689" i="2"/>
  <c r="U2691" i="2" s="1"/>
  <c r="U2681" i="2"/>
  <c r="V2682" i="2" s="1"/>
  <c r="U2699" i="2" l="1"/>
  <c r="U2700" i="2"/>
  <c r="U2702" i="2" s="1"/>
  <c r="W2715" i="2"/>
  <c r="U2717" i="2"/>
  <c r="U2709" i="2"/>
  <c r="U2708" i="2"/>
  <c r="U2690" i="2"/>
  <c r="U2692" i="2" s="1"/>
  <c r="V2693" i="2" s="1"/>
  <c r="U2701" i="2" l="1"/>
  <c r="U2703" i="2" s="1"/>
  <c r="V2704" i="2" s="1"/>
  <c r="U2710" i="2"/>
  <c r="U2712" i="2" s="1"/>
  <c r="U2711" i="2"/>
  <c r="U2713" i="2" s="1"/>
  <c r="W2726" i="2"/>
  <c r="U2728" i="2"/>
  <c r="U2720" i="2"/>
  <c r="U2719" i="2"/>
  <c r="W2737" i="2" l="1"/>
  <c r="U2739" i="2"/>
  <c r="U2731" i="2"/>
  <c r="U2730" i="2"/>
  <c r="U2714" i="2"/>
  <c r="V2715" i="2" s="1"/>
  <c r="U2721" i="2"/>
  <c r="U2722" i="2"/>
  <c r="U2724" i="2" s="1"/>
  <c r="U2741" i="2" l="1"/>
  <c r="U2750" i="2"/>
  <c r="W2748" i="2"/>
  <c r="U2742" i="2"/>
  <c r="U2723" i="2"/>
  <c r="U2725" i="2" s="1"/>
  <c r="V2726" i="2" s="1"/>
  <c r="U2732" i="2"/>
  <c r="U2733" i="2"/>
  <c r="U2735" i="2" s="1"/>
  <c r="U2743" i="2" l="1"/>
  <c r="U2745" i="2" s="1"/>
  <c r="U2744" i="2"/>
  <c r="U2746" i="2" s="1"/>
  <c r="W2759" i="2"/>
  <c r="U2753" i="2"/>
  <c r="U2761" i="2"/>
  <c r="U2752" i="2"/>
  <c r="U2734" i="2"/>
  <c r="U2736" i="2" s="1"/>
  <c r="V2737" i="2" s="1"/>
  <c r="U2747" i="2" l="1"/>
  <c r="V2748" i="2" s="1"/>
  <c r="U2772" i="2"/>
  <c r="W2770" i="2"/>
  <c r="U2764" i="2"/>
  <c r="U2763" i="2"/>
  <c r="U2754" i="2"/>
  <c r="U2755" i="2"/>
  <c r="U2757" i="2" s="1"/>
  <c r="W2781" i="2" l="1"/>
  <c r="U2775" i="2"/>
  <c r="U2783" i="2"/>
  <c r="U2774" i="2"/>
  <c r="U2756" i="2"/>
  <c r="U2758" i="2" s="1"/>
  <c r="V2759" i="2" s="1"/>
  <c r="U2765" i="2"/>
  <c r="U2767" i="2" s="1"/>
  <c r="U2766" i="2"/>
  <c r="U2768" i="2" s="1"/>
  <c r="U2794" i="2" l="1"/>
  <c r="U2786" i="2"/>
  <c r="W2792" i="2"/>
  <c r="U2785" i="2"/>
  <c r="U2776" i="2"/>
  <c r="U2777" i="2"/>
  <c r="U2779" i="2" s="1"/>
  <c r="U2769" i="2"/>
  <c r="V2770" i="2" s="1"/>
  <c r="U2805" i="2" l="1"/>
  <c r="U2797" i="2"/>
  <c r="U2796" i="2"/>
  <c r="W2803" i="2"/>
  <c r="U2778" i="2"/>
  <c r="U2780" i="2" s="1"/>
  <c r="V2781" i="2" s="1"/>
  <c r="U2787" i="2"/>
  <c r="U2788" i="2"/>
  <c r="U2790" i="2" s="1"/>
  <c r="U2798" i="2" l="1"/>
  <c r="U2800" i="2" s="1"/>
  <c r="U2799" i="2"/>
  <c r="U2801" i="2" s="1"/>
  <c r="U2816" i="2"/>
  <c r="W2814" i="2"/>
  <c r="U2808" i="2"/>
  <c r="U2807" i="2"/>
  <c r="U2789" i="2"/>
  <c r="U2791" i="2" s="1"/>
  <c r="V2792" i="2" s="1"/>
  <c r="U2802" i="2" l="1"/>
  <c r="V2803" i="2" s="1"/>
  <c r="U2827" i="2"/>
  <c r="W2825" i="2"/>
  <c r="U2819" i="2"/>
  <c r="U2818" i="2"/>
  <c r="U2809" i="2"/>
  <c r="U2811" i="2" s="1"/>
  <c r="U2810" i="2"/>
  <c r="U2812" i="2" s="1"/>
  <c r="U2813" i="2" l="1"/>
  <c r="V2814" i="2" s="1"/>
  <c r="U2829" i="2"/>
  <c r="W2836" i="2"/>
  <c r="U2830" i="2"/>
  <c r="U2838" i="2"/>
  <c r="U2820" i="2"/>
  <c r="U2822" i="2" s="1"/>
  <c r="U2821" i="2"/>
  <c r="U2823" i="2" s="1"/>
  <c r="U2824" i="2" l="1"/>
  <c r="V2825" i="2" s="1"/>
  <c r="U2831" i="2"/>
  <c r="U2833" i="2" s="1"/>
  <c r="U2832" i="2"/>
  <c r="U2834" i="2" s="1"/>
  <c r="U2841" i="2"/>
  <c r="U2840" i="2"/>
  <c r="U2849" i="2"/>
  <c r="W2847" i="2"/>
  <c r="U2835" i="2" l="1"/>
  <c r="V2836" i="2" s="1"/>
  <c r="U2851" i="2"/>
  <c r="U2860" i="2"/>
  <c r="W2858" i="2"/>
  <c r="U2852" i="2"/>
  <c r="U2842" i="2"/>
  <c r="U2844" i="2" s="1"/>
  <c r="U2843" i="2"/>
  <c r="U2845" i="2" s="1"/>
  <c r="U2846" i="2" l="1"/>
  <c r="V2847" i="2" s="1"/>
  <c r="U2853" i="2"/>
  <c r="U2854" i="2"/>
  <c r="U2856" i="2" s="1"/>
  <c r="U2862" i="2"/>
  <c r="W2869" i="2"/>
  <c r="U2863" i="2"/>
  <c r="U2871" i="2"/>
  <c r="U2864" i="2" l="1"/>
  <c r="U2866" i="2" s="1"/>
  <c r="U2865" i="2"/>
  <c r="U2867" i="2" s="1"/>
  <c r="U2855" i="2"/>
  <c r="U2857" i="2" s="1"/>
  <c r="V2858" i="2" s="1"/>
  <c r="U2882" i="2"/>
  <c r="W2880" i="2"/>
  <c r="U2874" i="2"/>
  <c r="U2873" i="2"/>
  <c r="U2868" i="2" l="1"/>
  <c r="V2869" i="2" s="1"/>
  <c r="W2891" i="2"/>
  <c r="U2893" i="2"/>
  <c r="U2885" i="2"/>
  <c r="U2884" i="2"/>
  <c r="U2875" i="2"/>
  <c r="U2876" i="2"/>
  <c r="U2878" i="2" s="1"/>
  <c r="U2877" i="2" l="1"/>
  <c r="U2879" i="2" s="1"/>
  <c r="V2880" i="2" s="1"/>
  <c r="W2902" i="2"/>
  <c r="U2896" i="2"/>
  <c r="U2895" i="2"/>
  <c r="U2904" i="2"/>
  <c r="U2886" i="2"/>
  <c r="U2887" i="2"/>
  <c r="U2889" i="2" s="1"/>
  <c r="U2897" i="2" l="1"/>
  <c r="U2898" i="2"/>
  <c r="U2900" i="2" s="1"/>
  <c r="W2913" i="2"/>
  <c r="U2915" i="2"/>
  <c r="U2907" i="2"/>
  <c r="U2906" i="2"/>
  <c r="U2888" i="2"/>
  <c r="U2890" i="2" s="1"/>
  <c r="V2891" i="2" s="1"/>
  <c r="U2899" i="2" l="1"/>
  <c r="U2901" i="2" s="1"/>
  <c r="V2902" i="2" s="1"/>
  <c r="U2908" i="2"/>
  <c r="U2909" i="2"/>
  <c r="U2911" i="2" s="1"/>
  <c r="U2926" i="2"/>
  <c r="W2924" i="2"/>
  <c r="U2918" i="2"/>
  <c r="U2917" i="2"/>
  <c r="U2910" i="2" l="1"/>
  <c r="U2912" i="2" s="1"/>
  <c r="V2913" i="2" s="1"/>
  <c r="W2935" i="2"/>
  <c r="U2929" i="2"/>
  <c r="U2937" i="2"/>
  <c r="U2928" i="2"/>
  <c r="U2919" i="2"/>
  <c r="U2920" i="2"/>
  <c r="U2922" i="2" s="1"/>
  <c r="U2930" i="2" l="1"/>
  <c r="U2931" i="2"/>
  <c r="U2933" i="2" s="1"/>
  <c r="U2939" i="2"/>
  <c r="W2946" i="2"/>
  <c r="U2940" i="2"/>
  <c r="U2948" i="2"/>
  <c r="U2921" i="2"/>
  <c r="U2923" i="2" s="1"/>
  <c r="V2924" i="2" s="1"/>
  <c r="U2932" i="2" l="1"/>
  <c r="U2934" i="2" s="1"/>
  <c r="V2935" i="2" s="1"/>
  <c r="U2959" i="2"/>
  <c r="U2950" i="2"/>
  <c r="W2957" i="2"/>
  <c r="U2951" i="2"/>
  <c r="U2941" i="2"/>
  <c r="U2942" i="2"/>
  <c r="U2944" i="2" s="1"/>
  <c r="U2961" i="2" l="1"/>
  <c r="W2968" i="2"/>
  <c r="U2970" i="2"/>
  <c r="U2962" i="2"/>
  <c r="U2943" i="2"/>
  <c r="U2945" i="2" s="1"/>
  <c r="V2946" i="2" s="1"/>
  <c r="U2952" i="2"/>
  <c r="U2953" i="2"/>
  <c r="U2955" i="2" s="1"/>
  <c r="W2979" i="2" l="1"/>
  <c r="U2981" i="2"/>
  <c r="U2973" i="2"/>
  <c r="U2972" i="2"/>
  <c r="U2963" i="2"/>
  <c r="U2964" i="2"/>
  <c r="U2966" i="2" s="1"/>
  <c r="U2954" i="2"/>
  <c r="U2956" i="2" s="1"/>
  <c r="V2957" i="2" s="1"/>
  <c r="U2965" i="2" l="1"/>
  <c r="U2967" i="2" s="1"/>
  <c r="V2968" i="2" s="1"/>
  <c r="U2984" i="2"/>
  <c r="U2983" i="2"/>
  <c r="U2992" i="2"/>
  <c r="W2990" i="2"/>
  <c r="U2974" i="2"/>
  <c r="U2975" i="2"/>
  <c r="U2977" i="2" s="1"/>
  <c r="U2976" i="2" l="1"/>
  <c r="U2978" i="2" s="1"/>
  <c r="V2979" i="2" s="1"/>
  <c r="U2985" i="2"/>
  <c r="U2986" i="2"/>
  <c r="U2988" i="2" s="1"/>
  <c r="U3003" i="2"/>
  <c r="U2995" i="2"/>
  <c r="U2994" i="2"/>
  <c r="W3001" i="2"/>
  <c r="U3006" i="2" l="1"/>
  <c r="U3014" i="2"/>
  <c r="U3005" i="2"/>
  <c r="W3012" i="2"/>
  <c r="U2996" i="2"/>
  <c r="U2997" i="2"/>
  <c r="U2999" i="2" s="1"/>
  <c r="U2987" i="2"/>
  <c r="U2989" i="2" s="1"/>
  <c r="V2990" i="2" s="1"/>
  <c r="U2998" i="2" l="1"/>
  <c r="U3000" i="2" s="1"/>
  <c r="V3001" i="2" s="1"/>
  <c r="U3017" i="2"/>
  <c r="U3025" i="2"/>
  <c r="U3016" i="2"/>
  <c r="W3023" i="2"/>
  <c r="U3007" i="2"/>
  <c r="U3008" i="2"/>
  <c r="U3010" i="2" s="1"/>
  <c r="U3009" i="2" l="1"/>
  <c r="U3011" i="2" s="1"/>
  <c r="V3012" i="2" s="1"/>
  <c r="W3034" i="2"/>
  <c r="U3027" i="2"/>
  <c r="U3028" i="2"/>
  <c r="U3036" i="2"/>
  <c r="U3018" i="2"/>
  <c r="U3019" i="2"/>
  <c r="U3021" i="2" s="1"/>
  <c r="U3020" i="2" l="1"/>
  <c r="U3022" i="2" s="1"/>
  <c r="V3023" i="2" s="1"/>
  <c r="U3029" i="2"/>
  <c r="U3030" i="2"/>
  <c r="U3032" i="2" s="1"/>
  <c r="U3039" i="2"/>
  <c r="W3045" i="2"/>
  <c r="U3047" i="2"/>
  <c r="U3038" i="2"/>
  <c r="U3040" i="2" l="1"/>
  <c r="U3041" i="2"/>
  <c r="U3043" i="2" s="1"/>
  <c r="W3056" i="2"/>
  <c r="U3050" i="2"/>
  <c r="U3049" i="2"/>
  <c r="U3058" i="2"/>
  <c r="U3031" i="2"/>
  <c r="U3033" i="2" s="1"/>
  <c r="V3034" i="2" s="1"/>
  <c r="U3051" i="2" l="1"/>
  <c r="U3052" i="2"/>
  <c r="U3054" i="2" s="1"/>
  <c r="U3042" i="2"/>
  <c r="U3044" i="2" s="1"/>
  <c r="V3045" i="2" s="1"/>
  <c r="U3060" i="2"/>
  <c r="W3067" i="2"/>
  <c r="U3069" i="2"/>
  <c r="U3061" i="2"/>
  <c r="U3062" i="2" l="1"/>
  <c r="U3063" i="2"/>
  <c r="U3065" i="2" s="1"/>
  <c r="U3053" i="2"/>
  <c r="U3055" i="2" s="1"/>
  <c r="V3056" i="2" s="1"/>
  <c r="U3071" i="2"/>
  <c r="U3080" i="2"/>
  <c r="W3078" i="2"/>
  <c r="U3072" i="2"/>
  <c r="U3073" i="2" l="1"/>
  <c r="U3074" i="2"/>
  <c r="U3076" i="2" s="1"/>
  <c r="U3064" i="2"/>
  <c r="U3066" i="2" s="1"/>
  <c r="V3067" i="2" s="1"/>
  <c r="U3083" i="2"/>
  <c r="U3091" i="2"/>
  <c r="U3082" i="2"/>
  <c r="W3089" i="2"/>
  <c r="U3075" i="2" l="1"/>
  <c r="U3077" i="2" s="1"/>
  <c r="V3078" i="2" s="1"/>
  <c r="U3093" i="2"/>
  <c r="U3102" i="2"/>
  <c r="W3100" i="2"/>
  <c r="U3094" i="2"/>
  <c r="U3084" i="2"/>
  <c r="U3085" i="2"/>
  <c r="U3087" i="2" s="1"/>
  <c r="U3086" i="2" l="1"/>
  <c r="U3088" i="2" s="1"/>
  <c r="V3089" i="2" s="1"/>
  <c r="U3105" i="2"/>
  <c r="U3113" i="2"/>
  <c r="U3104" i="2"/>
  <c r="W3111" i="2"/>
  <c r="U3095" i="2"/>
  <c r="U3096" i="2"/>
  <c r="U3098" i="2" s="1"/>
  <c r="U3097" i="2" l="1"/>
  <c r="U3099" i="2" s="1"/>
  <c r="V3100" i="2" s="1"/>
  <c r="U3116" i="2"/>
  <c r="U3115" i="2"/>
  <c r="U3124" i="2"/>
  <c r="W3122" i="2"/>
  <c r="U3106" i="2"/>
  <c r="U3107" i="2"/>
  <c r="U3109" i="2" s="1"/>
  <c r="U3108" i="2" l="1"/>
  <c r="U3110" i="2" s="1"/>
  <c r="V3111" i="2" s="1"/>
  <c r="U3117" i="2"/>
  <c r="U3118" i="2"/>
  <c r="U3120" i="2" s="1"/>
  <c r="W3133" i="2"/>
  <c r="U3127" i="2"/>
  <c r="U3135" i="2"/>
  <c r="U3126" i="2"/>
  <c r="U3128" i="2" l="1"/>
  <c r="U3129" i="2"/>
  <c r="U3131" i="2" s="1"/>
  <c r="W3144" i="2"/>
  <c r="U3138" i="2"/>
  <c r="U3137" i="2"/>
  <c r="U3146" i="2"/>
  <c r="U3119" i="2"/>
  <c r="U3121" i="2" s="1"/>
  <c r="V3122" i="2" s="1"/>
  <c r="U3139" i="2" l="1"/>
  <c r="U3140" i="2"/>
  <c r="U3142" i="2" s="1"/>
  <c r="U3130" i="2"/>
  <c r="U3132" i="2" s="1"/>
  <c r="V3133" i="2" s="1"/>
  <c r="U3148" i="2"/>
  <c r="W3155" i="2"/>
  <c r="U3157" i="2"/>
  <c r="U3149" i="2"/>
  <c r="U3150" i="2" l="1"/>
  <c r="U3151" i="2"/>
  <c r="U3153" i="2" s="1"/>
  <c r="U3141" i="2"/>
  <c r="U3143" i="2" s="1"/>
  <c r="V3144" i="2" s="1"/>
  <c r="U3160" i="2"/>
  <c r="U3168" i="2"/>
  <c r="U3159" i="2"/>
  <c r="W3166" i="2"/>
  <c r="U3152" i="2" l="1"/>
  <c r="U3154" i="2" s="1"/>
  <c r="V3155" i="2" s="1"/>
  <c r="W3177" i="2"/>
  <c r="U3171" i="2"/>
  <c r="U3179" i="2"/>
  <c r="U3170" i="2"/>
  <c r="U3161" i="2"/>
  <c r="U3162" i="2"/>
  <c r="U3164" i="2" s="1"/>
  <c r="U3163" i="2" l="1"/>
  <c r="U3165" i="2" s="1"/>
  <c r="V3166" i="2" s="1"/>
  <c r="U3190" i="2"/>
  <c r="U3181" i="2"/>
  <c r="U3182" i="2"/>
  <c r="W3188" i="2"/>
  <c r="U3172" i="2"/>
  <c r="U3173" i="2"/>
  <c r="U3175" i="2" s="1"/>
  <c r="U3174" i="2" l="1"/>
  <c r="U3176" i="2" s="1"/>
  <c r="V3177" i="2" s="1"/>
  <c r="U3183" i="2"/>
  <c r="U3184" i="2"/>
  <c r="U3186" i="2" s="1"/>
  <c r="U3192" i="2"/>
  <c r="W3199" i="2"/>
  <c r="U3193" i="2"/>
  <c r="U3201" i="2"/>
  <c r="W3210" i="2" l="1"/>
  <c r="U3203" i="2"/>
  <c r="U3204" i="2"/>
  <c r="U3212" i="2"/>
  <c r="U3194" i="2"/>
  <c r="U3195" i="2"/>
  <c r="U3197" i="2" s="1"/>
  <c r="U3185" i="2"/>
  <c r="U3187" i="2" s="1"/>
  <c r="V3188" i="2" s="1"/>
  <c r="U3214" i="2" l="1"/>
  <c r="U3223" i="2"/>
  <c r="W3221" i="2"/>
  <c r="U3215" i="2"/>
  <c r="U3196" i="2"/>
  <c r="U3198" i="2" s="1"/>
  <c r="V3199" i="2" s="1"/>
  <c r="U3205" i="2"/>
  <c r="U3206" i="2"/>
  <c r="U3208" i="2" s="1"/>
  <c r="U3207" i="2" l="1"/>
  <c r="U3209" i="2" s="1"/>
  <c r="V3210" i="2" s="1"/>
  <c r="U3216" i="2"/>
  <c r="U3217" i="2"/>
  <c r="U3219" i="2" s="1"/>
  <c r="U3226" i="2"/>
  <c r="W3232" i="2"/>
  <c r="U3234" i="2"/>
  <c r="U3225" i="2"/>
  <c r="U3227" i="2" l="1"/>
  <c r="U3228" i="2"/>
  <c r="U3230" i="2" s="1"/>
  <c r="U3245" i="2"/>
  <c r="U3237" i="2"/>
  <c r="U3236" i="2"/>
  <c r="W3243" i="2"/>
  <c r="U3218" i="2"/>
  <c r="U3220" i="2" s="1"/>
  <c r="V3221" i="2" s="1"/>
  <c r="U3238" i="2" l="1"/>
  <c r="U3239" i="2"/>
  <c r="U3241" i="2" s="1"/>
  <c r="U3229" i="2"/>
  <c r="U3231" i="2" s="1"/>
  <c r="V3232" i="2" s="1"/>
  <c r="U3248" i="2"/>
  <c r="U3247" i="2"/>
  <c r="W3254" i="2"/>
  <c r="U3256" i="2"/>
  <c r="U3258" i="2" l="1"/>
  <c r="U3259" i="2"/>
  <c r="U3267" i="2"/>
  <c r="W3265" i="2"/>
  <c r="U3240" i="2"/>
  <c r="U3242" i="2" s="1"/>
  <c r="V3243" i="2" s="1"/>
  <c r="U3249" i="2"/>
  <c r="U3250" i="2"/>
  <c r="U3252" i="2" s="1"/>
  <c r="U3251" i="2" l="1"/>
  <c r="U3253" i="2" s="1"/>
  <c r="V3254" i="2" s="1"/>
  <c r="U3260" i="2"/>
  <c r="U3261" i="2"/>
  <c r="U3263" i="2" s="1"/>
  <c r="U3269" i="2"/>
  <c r="W3276" i="2"/>
  <c r="U3278" i="2"/>
  <c r="U3270" i="2"/>
  <c r="U3271" i="2" l="1"/>
  <c r="U3272" i="2"/>
  <c r="U3274" i="2" s="1"/>
  <c r="U3289" i="2"/>
  <c r="U3280" i="2"/>
  <c r="W3287" i="2"/>
  <c r="U3281" i="2"/>
  <c r="U3262" i="2"/>
  <c r="U3264" i="2" s="1"/>
  <c r="V3265" i="2" s="1"/>
  <c r="U3282" i="2" l="1"/>
  <c r="U3283" i="2"/>
  <c r="U3285" i="2" s="1"/>
  <c r="U3273" i="2"/>
  <c r="U3275" i="2" s="1"/>
  <c r="V3276" i="2" s="1"/>
  <c r="W3298" i="2"/>
  <c r="U3292" i="2"/>
  <c r="U3300" i="2"/>
  <c r="U3291" i="2"/>
  <c r="U3293" i="2" l="1"/>
  <c r="U3295" i="2" s="1"/>
  <c r="U3294" i="2"/>
  <c r="U3296" i="2" s="1"/>
  <c r="U3284" i="2"/>
  <c r="U3286" i="2" s="1"/>
  <c r="V3287" i="2" s="1"/>
  <c r="W3309" i="2"/>
  <c r="U3303" i="2"/>
  <c r="U3311" i="2"/>
  <c r="U3302" i="2"/>
  <c r="U3297" i="2" l="1"/>
  <c r="V3298" i="2" s="1"/>
  <c r="U3304" i="2"/>
  <c r="U3305" i="2"/>
  <c r="U3307" i="2" s="1"/>
  <c r="U3313" i="2"/>
  <c r="W3320" i="2"/>
  <c r="U3314" i="2"/>
  <c r="U3322" i="2"/>
  <c r="U3306" i="2" l="1"/>
  <c r="U3308" i="2" s="1"/>
  <c r="V3309" i="2" s="1"/>
  <c r="U3324" i="2"/>
  <c r="U3333" i="2"/>
  <c r="W3331" i="2"/>
  <c r="U3325" i="2"/>
  <c r="U3315" i="2"/>
  <c r="U3316" i="2"/>
  <c r="U3318" i="2" s="1"/>
  <c r="U3317" i="2" l="1"/>
  <c r="U3319" i="2" s="1"/>
  <c r="V3320" i="2" s="1"/>
  <c r="U3335" i="2"/>
  <c r="W3342" i="2"/>
  <c r="U3336" i="2"/>
  <c r="U3344" i="2"/>
  <c r="U3326" i="2"/>
  <c r="U3327" i="2"/>
  <c r="U3329" i="2" s="1"/>
  <c r="U3328" i="2" l="1"/>
  <c r="U3330" i="2" s="1"/>
  <c r="V3331" i="2" s="1"/>
  <c r="U3347" i="2"/>
  <c r="U3355" i="2"/>
  <c r="U3346" i="2"/>
  <c r="W3353" i="2"/>
  <c r="U3337" i="2"/>
  <c r="U3338" i="2"/>
  <c r="U3340" i="2" s="1"/>
  <c r="U3339" i="2" l="1"/>
  <c r="U3341" i="2" s="1"/>
  <c r="V3342" i="2" s="1"/>
  <c r="W3364" i="2"/>
  <c r="U3366" i="2"/>
  <c r="U3358" i="2"/>
  <c r="U3357" i="2"/>
  <c r="U3348" i="2"/>
  <c r="U3349" i="2"/>
  <c r="U3351" i="2" s="1"/>
  <c r="U3350" i="2" l="1"/>
  <c r="U3352" i="2" s="1"/>
  <c r="V3353" i="2" s="1"/>
  <c r="U3377" i="2"/>
  <c r="U3368" i="2"/>
  <c r="W3375" i="2"/>
  <c r="U3369" i="2"/>
  <c r="U3359" i="2"/>
  <c r="U3360" i="2"/>
  <c r="U3362" i="2" s="1"/>
  <c r="U3361" i="2" l="1"/>
  <c r="U3363" i="2" s="1"/>
  <c r="V3364" i="2" s="1"/>
  <c r="U3370" i="2"/>
  <c r="U3371" i="2"/>
  <c r="U3373" i="2" s="1"/>
  <c r="U3388" i="2"/>
  <c r="U3379" i="2"/>
  <c r="W3386" i="2"/>
  <c r="U3380" i="2"/>
  <c r="U3399" i="2" l="1"/>
  <c r="U3390" i="2"/>
  <c r="W3397" i="2"/>
  <c r="U3391" i="2"/>
  <c r="U3381" i="2"/>
  <c r="U3382" i="2"/>
  <c r="U3384" i="2" s="1"/>
  <c r="U3372" i="2"/>
  <c r="U3374" i="2" s="1"/>
  <c r="V3375" i="2" s="1"/>
  <c r="U3401" i="2" l="1"/>
  <c r="W3408" i="2"/>
  <c r="U3402" i="2"/>
  <c r="U3410" i="2"/>
  <c r="U3383" i="2"/>
  <c r="U3385" i="2" s="1"/>
  <c r="V3386" i="2" s="1"/>
  <c r="U3392" i="2"/>
  <c r="U3393" i="2"/>
  <c r="U3395" i="2" s="1"/>
  <c r="U3394" i="2" l="1"/>
  <c r="U3396" i="2" s="1"/>
  <c r="V3397" i="2" s="1"/>
  <c r="U3413" i="2"/>
  <c r="U3421" i="2"/>
  <c r="U3412" i="2"/>
  <c r="W3419" i="2"/>
  <c r="U3403" i="2"/>
  <c r="U3404" i="2"/>
  <c r="U3406" i="2" s="1"/>
  <c r="U3405" i="2" l="1"/>
  <c r="U3407" i="2" s="1"/>
  <c r="V3408" i="2" s="1"/>
  <c r="U3424" i="2"/>
  <c r="U3432" i="2"/>
  <c r="U3423" i="2"/>
  <c r="W3430" i="2"/>
  <c r="U3414" i="2"/>
  <c r="U3415" i="2"/>
  <c r="U3417" i="2" s="1"/>
  <c r="U3416" i="2" l="1"/>
  <c r="U3418" i="2" s="1"/>
  <c r="V3419" i="2" s="1"/>
  <c r="U3443" i="2"/>
  <c r="U3434" i="2"/>
  <c r="W3441" i="2"/>
  <c r="U3435" i="2"/>
  <c r="U3425" i="2"/>
  <c r="U3426" i="2"/>
  <c r="U3428" i="2" s="1"/>
  <c r="U3427" i="2" l="1"/>
  <c r="U3429" i="2" s="1"/>
  <c r="V3430" i="2" s="1"/>
  <c r="U3436" i="2"/>
  <c r="U3437" i="2"/>
  <c r="U3439" i="2" s="1"/>
  <c r="U3445" i="2"/>
  <c r="W3452" i="2"/>
  <c r="U3454" i="2"/>
  <c r="U3446" i="2"/>
  <c r="U3447" i="2" l="1"/>
  <c r="U3448" i="2"/>
  <c r="U3450" i="2" s="1"/>
  <c r="U3465" i="2"/>
  <c r="U3456" i="2"/>
  <c r="W3463" i="2"/>
  <c r="U3457" i="2"/>
  <c r="U3438" i="2"/>
  <c r="U3440" i="2" s="1"/>
  <c r="V3441" i="2" s="1"/>
  <c r="U3458" i="2" l="1"/>
  <c r="U3459" i="2"/>
  <c r="U3461" i="2" s="1"/>
  <c r="U3449" i="2"/>
  <c r="U3451" i="2" s="1"/>
  <c r="V3452" i="2" s="1"/>
  <c r="U3476" i="2"/>
  <c r="U3467" i="2"/>
  <c r="W3474" i="2"/>
  <c r="U3468" i="2"/>
  <c r="U3478" i="2" l="1"/>
  <c r="W3485" i="2"/>
  <c r="U3479" i="2"/>
  <c r="U3487" i="2"/>
  <c r="U3460" i="2"/>
  <c r="U3462" i="2" s="1"/>
  <c r="V3463" i="2" s="1"/>
  <c r="U3469" i="2"/>
  <c r="U3470" i="2"/>
  <c r="U3472" i="2" s="1"/>
  <c r="U3471" i="2" l="1"/>
  <c r="U3473" i="2" s="1"/>
  <c r="V3474" i="2" s="1"/>
  <c r="U3498" i="2"/>
  <c r="U3490" i="2"/>
  <c r="U3489" i="2"/>
  <c r="W3496" i="2"/>
  <c r="U3480" i="2"/>
  <c r="U3481" i="2"/>
  <c r="U3483" i="2" s="1"/>
  <c r="U3482" i="2" l="1"/>
  <c r="U3484" i="2" s="1"/>
  <c r="V3485" i="2" s="1"/>
  <c r="U3491" i="2"/>
  <c r="U3492" i="2"/>
  <c r="U3494" i="2" s="1"/>
  <c r="U3501" i="2"/>
  <c r="U3509" i="2"/>
  <c r="U3500" i="2"/>
  <c r="W3507" i="2"/>
  <c r="U3511" i="2" l="1"/>
  <c r="W3518" i="2"/>
  <c r="U3512" i="2"/>
  <c r="U3520" i="2"/>
  <c r="U3502" i="2"/>
  <c r="U3503" i="2"/>
  <c r="U3505" i="2" s="1"/>
  <c r="U3493" i="2"/>
  <c r="U3495" i="2" s="1"/>
  <c r="V3496" i="2" s="1"/>
  <c r="U3531" i="2" l="1"/>
  <c r="U3522" i="2"/>
  <c r="W3529" i="2"/>
  <c r="U3523" i="2"/>
  <c r="U3513" i="2"/>
  <c r="U3514" i="2"/>
  <c r="U3516" i="2" s="1"/>
  <c r="U3504" i="2"/>
  <c r="U3506" i="2" s="1"/>
  <c r="V3507" i="2" s="1"/>
  <c r="W3540" i="2" l="1"/>
  <c r="U3542" i="2"/>
  <c r="U3534" i="2"/>
  <c r="U3533" i="2"/>
  <c r="U3515" i="2"/>
  <c r="U3517" i="2" s="1"/>
  <c r="V3518" i="2" s="1"/>
  <c r="U3524" i="2"/>
  <c r="U3525" i="2"/>
  <c r="U3527" i="2" s="1"/>
  <c r="U3526" i="2" l="1"/>
  <c r="U3528" i="2" s="1"/>
  <c r="V3529" i="2" s="1"/>
  <c r="U3535" i="2"/>
  <c r="U3536" i="2"/>
  <c r="U3538" i="2" s="1"/>
  <c r="W3551" i="2"/>
  <c r="U3545" i="2"/>
  <c r="U3553" i="2"/>
  <c r="U3544" i="2"/>
  <c r="U3546" i="2" l="1"/>
  <c r="U3548" i="2" s="1"/>
  <c r="U3547" i="2"/>
  <c r="U3549" i="2" s="1"/>
  <c r="W3562" i="2"/>
  <c r="U3556" i="2"/>
  <c r="U3564" i="2"/>
  <c r="U3555" i="2"/>
  <c r="U3537" i="2"/>
  <c r="U3539" i="2" s="1"/>
  <c r="V3540" i="2" s="1"/>
  <c r="U3550" i="2" l="1"/>
  <c r="V3551" i="2" s="1"/>
  <c r="U3575" i="2"/>
  <c r="U3566" i="2"/>
  <c r="W3573" i="2"/>
  <c r="U3567" i="2"/>
  <c r="U3557" i="2"/>
  <c r="U3558" i="2"/>
  <c r="U3560" i="2" s="1"/>
  <c r="U3578" i="2" l="1"/>
  <c r="U3586" i="2"/>
  <c r="U3577" i="2"/>
  <c r="W3584" i="2"/>
  <c r="U3559" i="2"/>
  <c r="U3561" i="2" s="1"/>
  <c r="V3562" i="2" s="1"/>
  <c r="U3568" i="2"/>
  <c r="U3569" i="2"/>
  <c r="U3571" i="2" s="1"/>
  <c r="U3570" i="2" l="1"/>
  <c r="U3572" i="2" s="1"/>
  <c r="V3573" i="2" s="1"/>
  <c r="U3589" i="2"/>
  <c r="U3597" i="2"/>
  <c r="U3588" i="2"/>
  <c r="W3595" i="2"/>
  <c r="U3579" i="2"/>
  <c r="U3580" i="2"/>
  <c r="U3582" i="2" s="1"/>
  <c r="U3581" i="2" l="1"/>
  <c r="U3583" i="2" s="1"/>
  <c r="V3584" i="2" s="1"/>
  <c r="U3599" i="2"/>
  <c r="W3606" i="2"/>
  <c r="U3600" i="2"/>
  <c r="U3608" i="2"/>
  <c r="U3590" i="2"/>
  <c r="U3591" i="2"/>
  <c r="U3593" i="2" s="1"/>
  <c r="U3592" i="2" l="1"/>
  <c r="U3594" i="2" s="1"/>
  <c r="V3595" i="2" s="1"/>
  <c r="U3619" i="2"/>
  <c r="U3610" i="2"/>
  <c r="W3617" i="2"/>
  <c r="U3611" i="2"/>
  <c r="U3601" i="2"/>
  <c r="U3603" i="2" s="1"/>
  <c r="U3602" i="2"/>
  <c r="U3604" i="2" s="1"/>
  <c r="U3605" i="2" l="1"/>
  <c r="V3606" i="2" s="1"/>
  <c r="U3612" i="2"/>
  <c r="U3613" i="2"/>
  <c r="U3615" i="2" s="1"/>
  <c r="U3630" i="2"/>
  <c r="U3622" i="2"/>
  <c r="U3621" i="2"/>
  <c r="W3628" i="2"/>
  <c r="U3623" i="2" l="1"/>
  <c r="U3625" i="2" s="1"/>
  <c r="U3624" i="2"/>
  <c r="U3626" i="2" s="1"/>
  <c r="U3614" i="2"/>
  <c r="U3616" i="2" s="1"/>
  <c r="V3617" i="2" s="1"/>
  <c r="W3639" i="2"/>
  <c r="U3633" i="2"/>
  <c r="U3641" i="2"/>
  <c r="U3632" i="2"/>
  <c r="U3627" i="2" l="1"/>
  <c r="V3628" i="2" s="1"/>
  <c r="U3634" i="2"/>
  <c r="U3635" i="2"/>
  <c r="U3637" i="2" s="1"/>
  <c r="U3644" i="2"/>
  <c r="U3652" i="2"/>
  <c r="U3643" i="2"/>
  <c r="W3650" i="2"/>
  <c r="W3661" i="2" l="1"/>
  <c r="U3655" i="2"/>
  <c r="U3663" i="2"/>
  <c r="U3654" i="2"/>
  <c r="U3645" i="2"/>
  <c r="U3646" i="2"/>
  <c r="U3648" i="2" s="1"/>
  <c r="U3636" i="2"/>
  <c r="U3638" i="2" s="1"/>
  <c r="V3639" i="2" s="1"/>
  <c r="U3656" i="2" l="1"/>
  <c r="U3657" i="2"/>
  <c r="U3659" i="2" s="1"/>
  <c r="U3647" i="2"/>
  <c r="U3649" i="2" s="1"/>
  <c r="V3650" i="2" s="1"/>
  <c r="U3665" i="2"/>
  <c r="W3672" i="2"/>
  <c r="U3674" i="2"/>
  <c r="U3666" i="2"/>
  <c r="U3667" i="2" l="1"/>
  <c r="U3669" i="2" s="1"/>
  <c r="U3668" i="2"/>
  <c r="U3670" i="2" s="1"/>
  <c r="U3658" i="2"/>
  <c r="U3660" i="2" s="1"/>
  <c r="V3661" i="2" s="1"/>
  <c r="U3685" i="2"/>
  <c r="U3676" i="2"/>
  <c r="W3683" i="2"/>
  <c r="U3677" i="2"/>
  <c r="U3671" i="2" l="1"/>
  <c r="V3672" i="2" s="1"/>
  <c r="U3688" i="2"/>
  <c r="W3694" i="2"/>
  <c r="U3696" i="2"/>
  <c r="U3687" i="2"/>
  <c r="U3678" i="2"/>
  <c r="U3679" i="2"/>
  <c r="U3681" i="2" s="1"/>
  <c r="U3698" i="2" l="1"/>
  <c r="U3699" i="2"/>
  <c r="U3707" i="2"/>
  <c r="W3705" i="2"/>
  <c r="U3680" i="2"/>
  <c r="U3682" i="2" s="1"/>
  <c r="V3683" i="2" s="1"/>
  <c r="U3689" i="2"/>
  <c r="U3691" i="2" s="1"/>
  <c r="U3690" i="2"/>
  <c r="U3692" i="2" s="1"/>
  <c r="U3700" i="2" l="1"/>
  <c r="U3702" i="2" s="1"/>
  <c r="U3701" i="2"/>
  <c r="U3703" i="2" s="1"/>
  <c r="U3709" i="2"/>
  <c r="U3710" i="2"/>
  <c r="W3716" i="2"/>
  <c r="U3718" i="2"/>
  <c r="U3693" i="2"/>
  <c r="V3694" i="2" s="1"/>
  <c r="U3704" i="2" l="1"/>
  <c r="V3705" i="2" s="1"/>
  <c r="W3727" i="2"/>
  <c r="U3729" i="2"/>
  <c r="U3721" i="2"/>
  <c r="U3720" i="2"/>
  <c r="U3711" i="2"/>
  <c r="U3712" i="2"/>
  <c r="U3714" i="2" s="1"/>
  <c r="U3722" i="2" l="1"/>
  <c r="U3724" i="2" s="1"/>
  <c r="U3723" i="2"/>
  <c r="U3725" i="2" s="1"/>
  <c r="U3713" i="2"/>
  <c r="U3715" i="2" s="1"/>
  <c r="V3716" i="2" s="1"/>
  <c r="W3738" i="2"/>
  <c r="U3732" i="2"/>
  <c r="U3731" i="2"/>
  <c r="U3740" i="2"/>
  <c r="U3726" i="2" l="1"/>
  <c r="V3727" i="2" s="1"/>
  <c r="U3733" i="2"/>
  <c r="U3734" i="2"/>
  <c r="U3736" i="2" s="1"/>
  <c r="U3743" i="2"/>
  <c r="U3742" i="2"/>
  <c r="W3749" i="2"/>
  <c r="U3751" i="2"/>
  <c r="U3744" i="2" l="1"/>
  <c r="U3746" i="2" s="1"/>
  <c r="U3745" i="2"/>
  <c r="U3747" i="2" s="1"/>
  <c r="U3735" i="2"/>
  <c r="U3737" i="2" s="1"/>
  <c r="V3738" i="2" s="1"/>
  <c r="U3762" i="2"/>
  <c r="U3753" i="2"/>
  <c r="W3760" i="2"/>
  <c r="U3754" i="2"/>
  <c r="U3748" i="2" l="1"/>
  <c r="V3749" i="2" s="1"/>
  <c r="U3773" i="2"/>
  <c r="W3771" i="2"/>
  <c r="U3765" i="2"/>
  <c r="U3764" i="2"/>
  <c r="U3755" i="2"/>
  <c r="U3756" i="2"/>
  <c r="U3758" i="2" s="1"/>
  <c r="U3766" i="2" l="1"/>
  <c r="U3767" i="2"/>
  <c r="U3769" i="2" s="1"/>
  <c r="U3776" i="2"/>
  <c r="U3775" i="2"/>
  <c r="W3782" i="2"/>
  <c r="U3784" i="2"/>
  <c r="U3757" i="2"/>
  <c r="U3759" i="2" s="1"/>
  <c r="V3760" i="2" s="1"/>
  <c r="U3777" i="2" l="1"/>
  <c r="U3778" i="2"/>
  <c r="U3780" i="2" s="1"/>
  <c r="U3768" i="2"/>
  <c r="U3770" i="2" s="1"/>
  <c r="V3771" i="2" s="1"/>
  <c r="U3795" i="2"/>
  <c r="W3793" i="2"/>
  <c r="U3787" i="2"/>
  <c r="U3786" i="2"/>
  <c r="U3797" i="2" l="1"/>
  <c r="W3804" i="2"/>
  <c r="U3806" i="2"/>
  <c r="U3798" i="2"/>
  <c r="U3779" i="2"/>
  <c r="U3781" i="2" s="1"/>
  <c r="V3782" i="2" s="1"/>
  <c r="U3788" i="2"/>
  <c r="U3789" i="2"/>
  <c r="U3791" i="2" s="1"/>
  <c r="U3790" i="2" l="1"/>
  <c r="U3792" i="2" s="1"/>
  <c r="V3793" i="2" s="1"/>
  <c r="U3799" i="2"/>
  <c r="U3801" i="2" s="1"/>
  <c r="U3800" i="2"/>
  <c r="U3802" i="2" s="1"/>
  <c r="U3808" i="2"/>
  <c r="U3817" i="2"/>
  <c r="U3809" i="2"/>
  <c r="W3815" i="2"/>
  <c r="U3810" i="2" l="1"/>
  <c r="U3811" i="2"/>
  <c r="U3813" i="2" s="1"/>
  <c r="U3828" i="2"/>
  <c r="U3819" i="2"/>
  <c r="W3826" i="2"/>
  <c r="U3820" i="2"/>
  <c r="U3803" i="2"/>
  <c r="V3804" i="2" s="1"/>
  <c r="U3821" i="2" l="1"/>
  <c r="U3822" i="2"/>
  <c r="U3824" i="2" s="1"/>
  <c r="U3812" i="2"/>
  <c r="U3814" i="2" s="1"/>
  <c r="V3815" i="2" s="1"/>
  <c r="U3830" i="2"/>
  <c r="U3839" i="2"/>
  <c r="W3837" i="2"/>
  <c r="U3831" i="2"/>
  <c r="U3832" i="2" l="1"/>
  <c r="U3833" i="2"/>
  <c r="U3835" i="2" s="1"/>
  <c r="U3823" i="2"/>
  <c r="U3825" i="2" s="1"/>
  <c r="V3826" i="2" s="1"/>
  <c r="U3842" i="2"/>
  <c r="U3850" i="2"/>
  <c r="U3841" i="2"/>
  <c r="W3848" i="2"/>
  <c r="U3834" i="2" l="1"/>
  <c r="U3836" i="2" s="1"/>
  <c r="V3837" i="2" s="1"/>
  <c r="U3853" i="2"/>
  <c r="W3859" i="2"/>
  <c r="U3852" i="2"/>
  <c r="U3861" i="2"/>
  <c r="U3843" i="2"/>
  <c r="U3844" i="2"/>
  <c r="U3846" i="2" s="1"/>
  <c r="U3845" i="2" l="1"/>
  <c r="U3847" i="2" s="1"/>
  <c r="V3848" i="2" s="1"/>
  <c r="U3854" i="2"/>
  <c r="U3855" i="2"/>
  <c r="U3857" i="2" s="1"/>
  <c r="W3870" i="2"/>
  <c r="U3872" i="2"/>
  <c r="U3864" i="2"/>
  <c r="U3863" i="2"/>
  <c r="U3865" i="2" l="1"/>
  <c r="U3866" i="2"/>
  <c r="U3868" i="2" s="1"/>
  <c r="U3883" i="2"/>
  <c r="U3874" i="2"/>
  <c r="U3875" i="2"/>
  <c r="W3881" i="2"/>
  <c r="U3856" i="2"/>
  <c r="U3858" i="2" s="1"/>
  <c r="V3859" i="2" s="1"/>
  <c r="U3876" i="2" l="1"/>
  <c r="U3877" i="2"/>
  <c r="U3879" i="2" s="1"/>
  <c r="U3867" i="2"/>
  <c r="U3869" i="2" s="1"/>
  <c r="V3870" i="2" s="1"/>
  <c r="W3892" i="2"/>
  <c r="U3894" i="2"/>
  <c r="U3886" i="2"/>
  <c r="U3885" i="2"/>
  <c r="U3887" i="2" l="1"/>
  <c r="U3888" i="2"/>
  <c r="U3890" i="2" s="1"/>
  <c r="U3878" i="2"/>
  <c r="U3880" i="2" s="1"/>
  <c r="V3881" i="2" s="1"/>
  <c r="U3905" i="2"/>
  <c r="U3896" i="2"/>
  <c r="U3897" i="2"/>
  <c r="W3903" i="2"/>
  <c r="U3908" i="2" l="1"/>
  <c r="U3916" i="2"/>
  <c r="U3907" i="2"/>
  <c r="W3914" i="2"/>
  <c r="U3889" i="2"/>
  <c r="U3891" i="2" s="1"/>
  <c r="V3892" i="2" s="1"/>
  <c r="U3898" i="2"/>
  <c r="U3899" i="2"/>
  <c r="U3901" i="2" s="1"/>
  <c r="U3900" i="2" l="1"/>
  <c r="U3902" i="2" s="1"/>
  <c r="V3903" i="2" s="1"/>
  <c r="W3925" i="2"/>
  <c r="U3918" i="2"/>
  <c r="U3919" i="2"/>
  <c r="U3927" i="2"/>
  <c r="U3909" i="2"/>
  <c r="U3910" i="2"/>
  <c r="U3912" i="2" s="1"/>
  <c r="U3911" i="2" l="1"/>
  <c r="U3913" i="2" s="1"/>
  <c r="V3914" i="2" s="1"/>
  <c r="U3920" i="2"/>
  <c r="U3921" i="2"/>
  <c r="U3923" i="2" s="1"/>
  <c r="U3938" i="2"/>
  <c r="U3929" i="2"/>
  <c r="W3936" i="2"/>
  <c r="U3930" i="2"/>
  <c r="W3947" i="2" l="1"/>
  <c r="U3941" i="2"/>
  <c r="U3940" i="2"/>
  <c r="U3949" i="2"/>
  <c r="U3931" i="2"/>
  <c r="U3933" i="2" s="1"/>
  <c r="U3932" i="2"/>
  <c r="U3934" i="2" s="1"/>
  <c r="U3922" i="2"/>
  <c r="U3924" i="2" s="1"/>
  <c r="V3925" i="2" s="1"/>
  <c r="U3935" i="2" l="1"/>
  <c r="V3936" i="2" s="1"/>
  <c r="U3952" i="2"/>
  <c r="U3951" i="2"/>
  <c r="W3958" i="2"/>
  <c r="U3960" i="2"/>
  <c r="U3942" i="2"/>
  <c r="U3943" i="2"/>
  <c r="U3945" i="2" s="1"/>
  <c r="U3963" i="2" l="1"/>
  <c r="U3962" i="2"/>
  <c r="U3971" i="2"/>
  <c r="W3969" i="2"/>
  <c r="U3944" i="2"/>
  <c r="U3946" i="2" s="1"/>
  <c r="V3947" i="2" s="1"/>
  <c r="U3953" i="2"/>
  <c r="U3954" i="2"/>
  <c r="U3956" i="2" s="1"/>
  <c r="U3955" i="2" l="1"/>
  <c r="U3957" i="2" s="1"/>
  <c r="V3958" i="2" s="1"/>
  <c r="U3964" i="2"/>
  <c r="U3965" i="2"/>
  <c r="U3967" i="2" s="1"/>
  <c r="U3974" i="2"/>
  <c r="U3973" i="2"/>
  <c r="W3980" i="2"/>
  <c r="U3982" i="2"/>
  <c r="W3991" i="2" l="1"/>
  <c r="U3984" i="2"/>
  <c r="U3993" i="2"/>
  <c r="U3985" i="2"/>
  <c r="U3975" i="2"/>
  <c r="U3977" i="2" s="1"/>
  <c r="U3976" i="2"/>
  <c r="U3978" i="2" s="1"/>
  <c r="U3966" i="2"/>
  <c r="U3968" i="2" s="1"/>
  <c r="V3969" i="2" s="1"/>
  <c r="U3979" i="2" l="1"/>
  <c r="V3980" i="2" s="1"/>
  <c r="U3986" i="2"/>
  <c r="U3988" i="2" s="1"/>
  <c r="U3987" i="2"/>
  <c r="U3989" i="2" s="1"/>
  <c r="W4002" i="2"/>
  <c r="U3996" i="2"/>
  <c r="U4004" i="2"/>
  <c r="U3995" i="2"/>
  <c r="U3990" i="2" l="1"/>
  <c r="V3991" i="2" s="1"/>
  <c r="U4006" i="2"/>
  <c r="U4015" i="2"/>
  <c r="W4013" i="2"/>
  <c r="U4007" i="2"/>
  <c r="U3997" i="2"/>
  <c r="U3999" i="2" s="1"/>
  <c r="U3998" i="2"/>
  <c r="U4000" i="2" s="1"/>
  <c r="U4001" i="2" l="1"/>
  <c r="V4002" i="2" s="1"/>
  <c r="U4008" i="2"/>
  <c r="U4010" i="2" s="1"/>
  <c r="U4009" i="2"/>
  <c r="U4011" i="2" s="1"/>
  <c r="U4026" i="2"/>
  <c r="U4017" i="2"/>
  <c r="W4024" i="2"/>
  <c r="U4018" i="2"/>
  <c r="U4012" i="2" l="1"/>
  <c r="V4013" i="2" s="1"/>
  <c r="U4019" i="2"/>
  <c r="U4021" i="2" s="1"/>
  <c r="U4020" i="2"/>
  <c r="U4022" i="2" s="1"/>
  <c r="U4029" i="2"/>
  <c r="W4035" i="2"/>
  <c r="U4037" i="2"/>
  <c r="U4028" i="2"/>
  <c r="U4023" i="2" l="1"/>
  <c r="V4024" i="2" s="1"/>
  <c r="U4048" i="2"/>
  <c r="W4046" i="2"/>
  <c r="U4040" i="2"/>
  <c r="U4039" i="2"/>
  <c r="U4030" i="2"/>
  <c r="U4032" i="2" s="1"/>
  <c r="U4031" i="2"/>
  <c r="U4033" i="2" s="1"/>
  <c r="U4034" i="2" l="1"/>
  <c r="V4035" i="2" s="1"/>
  <c r="U4041" i="2"/>
  <c r="U4042" i="2"/>
  <c r="U4044" i="2" s="1"/>
  <c r="U4051" i="2"/>
  <c r="U4059" i="2"/>
  <c r="U4050" i="2"/>
  <c r="W4057" i="2"/>
  <c r="U4062" i="2" l="1"/>
  <c r="U4070" i="2"/>
  <c r="U4061" i="2"/>
  <c r="W4068" i="2"/>
  <c r="U4052" i="2"/>
  <c r="U4053" i="2"/>
  <c r="U4055" i="2" s="1"/>
  <c r="U4043" i="2"/>
  <c r="U4045" i="2" s="1"/>
  <c r="V4046" i="2" s="1"/>
  <c r="U4054" i="2" l="1"/>
  <c r="U4056" i="2" s="1"/>
  <c r="V4057" i="2" s="1"/>
  <c r="U4072" i="2"/>
  <c r="U4081" i="2"/>
  <c r="W4079" i="2"/>
  <c r="U4073" i="2"/>
  <c r="U4063" i="2"/>
  <c r="U4064" i="2"/>
  <c r="U4066" i="2" s="1"/>
  <c r="U4065" i="2" l="1"/>
  <c r="U4067" i="2" s="1"/>
  <c r="V4068" i="2" s="1"/>
  <c r="U4084" i="2"/>
  <c r="U4092" i="2"/>
  <c r="U4083" i="2"/>
  <c r="W4090" i="2"/>
  <c r="U4074" i="2"/>
  <c r="U4075" i="2"/>
  <c r="U4077" i="2" s="1"/>
  <c r="U4076" i="2" l="1"/>
  <c r="U4078" i="2" s="1"/>
  <c r="V4079" i="2" s="1"/>
  <c r="U4103" i="2"/>
  <c r="U4094" i="2"/>
  <c r="U4095" i="2"/>
  <c r="W4101" i="2"/>
  <c r="U4085" i="2"/>
  <c r="U4086" i="2"/>
  <c r="U4088" i="2" s="1"/>
  <c r="U4087" i="2" l="1"/>
  <c r="U4089" i="2" s="1"/>
  <c r="V4090" i="2" s="1"/>
  <c r="U4096" i="2"/>
  <c r="U4098" i="2" s="1"/>
  <c r="U4097" i="2"/>
  <c r="U4099" i="2" s="1"/>
  <c r="W4112" i="2"/>
  <c r="U4106" i="2"/>
  <c r="U4114" i="2"/>
  <c r="U4105" i="2"/>
  <c r="U4107" i="2" l="1"/>
  <c r="U4108" i="2"/>
  <c r="U4110" i="2" s="1"/>
  <c r="U4125" i="2"/>
  <c r="U4116" i="2"/>
  <c r="U4117" i="2"/>
  <c r="W4123" i="2"/>
  <c r="U4100" i="2"/>
  <c r="V4101" i="2" s="1"/>
  <c r="U4118" i="2" l="1"/>
  <c r="U4119" i="2"/>
  <c r="U4121" i="2" s="1"/>
  <c r="U4109" i="2"/>
  <c r="U4111" i="2" s="1"/>
  <c r="V4112" i="2" s="1"/>
  <c r="U4128" i="2"/>
  <c r="U4127" i="2"/>
  <c r="W4134" i="2"/>
  <c r="U4136" i="2"/>
  <c r="W4145" i="2" l="1"/>
  <c r="U4138" i="2"/>
  <c r="U4139" i="2"/>
  <c r="U4147" i="2"/>
  <c r="U4120" i="2"/>
  <c r="U4122" i="2" s="1"/>
  <c r="V4123" i="2" s="1"/>
  <c r="U4129" i="2"/>
  <c r="U4131" i="2" s="1"/>
  <c r="U4130" i="2"/>
  <c r="U4132" i="2" s="1"/>
  <c r="U4133" i="2" l="1"/>
  <c r="V4134" i="2" s="1"/>
  <c r="W4156" i="2"/>
  <c r="U4158" i="2"/>
  <c r="U4150" i="2"/>
  <c r="U4149" i="2"/>
  <c r="U4140" i="2"/>
  <c r="U4141" i="2"/>
  <c r="U4143" i="2" s="1"/>
  <c r="U4151" i="2" l="1"/>
  <c r="U4153" i="2" s="1"/>
  <c r="U4152" i="2"/>
  <c r="U4154" i="2" s="1"/>
  <c r="U4142" i="2"/>
  <c r="U4144" i="2" s="1"/>
  <c r="V4145" i="2" s="1"/>
  <c r="U4160" i="2"/>
  <c r="U4161" i="2"/>
  <c r="U4169" i="2"/>
  <c r="W4167" i="2"/>
  <c r="U4155" i="2" l="1"/>
  <c r="V4156" i="2" s="1"/>
  <c r="U4162" i="2"/>
  <c r="U4164" i="2" s="1"/>
  <c r="U4163" i="2"/>
  <c r="U4165" i="2" s="1"/>
  <c r="W4178" i="2"/>
  <c r="U4172" i="2"/>
  <c r="U4180" i="2"/>
  <c r="U4171" i="2"/>
  <c r="U4166" i="2" l="1"/>
  <c r="V4167" i="2" s="1"/>
  <c r="W4189" i="2"/>
  <c r="U4191" i="2"/>
  <c r="U4183" i="2"/>
  <c r="U4182" i="2"/>
  <c r="U4173" i="2"/>
  <c r="U4174" i="2"/>
  <c r="U4176" i="2" s="1"/>
  <c r="U4184" i="2" l="1"/>
  <c r="U4186" i="2" s="1"/>
  <c r="U4185" i="2"/>
  <c r="U4187" i="2" s="1"/>
  <c r="U4175" i="2"/>
  <c r="U4177" i="2" s="1"/>
  <c r="V4178" i="2" s="1"/>
  <c r="U4202" i="2"/>
  <c r="U4193" i="2"/>
  <c r="W4200" i="2"/>
  <c r="U4194" i="2"/>
  <c r="U4188" i="2" l="1"/>
  <c r="V4189" i="2" s="1"/>
  <c r="U4205" i="2"/>
  <c r="W4211" i="2"/>
  <c r="U4213" i="2"/>
  <c r="U4204" i="2"/>
  <c r="U4195" i="2"/>
  <c r="U4196" i="2"/>
  <c r="U4198" i="2" s="1"/>
  <c r="U4206" i="2" l="1"/>
  <c r="U4207" i="2"/>
  <c r="U4209" i="2" s="1"/>
  <c r="U4197" i="2"/>
  <c r="U4199" i="2" s="1"/>
  <c r="V4200" i="2" s="1"/>
  <c r="U4224" i="2"/>
  <c r="U4216" i="2"/>
  <c r="U4215" i="2"/>
  <c r="W4222" i="2"/>
  <c r="U4227" i="2" l="1"/>
  <c r="W4233" i="2"/>
  <c r="U4235" i="2"/>
  <c r="U4226" i="2"/>
  <c r="U4208" i="2"/>
  <c r="U4210" i="2" s="1"/>
  <c r="V4211" i="2" s="1"/>
  <c r="U4217" i="2"/>
  <c r="U4218" i="2"/>
  <c r="U4220" i="2" s="1"/>
  <c r="U4219" i="2" l="1"/>
  <c r="U4221" i="2" s="1"/>
  <c r="V4222" i="2" s="1"/>
  <c r="U4228" i="2"/>
  <c r="U4229" i="2"/>
  <c r="U4231" i="2" s="1"/>
  <c r="U4246" i="2"/>
  <c r="U4238" i="2"/>
  <c r="U4237" i="2"/>
  <c r="W4244" i="2"/>
  <c r="W4255" i="2" l="1"/>
  <c r="U4248" i="2"/>
  <c r="U4257" i="2"/>
  <c r="U4249" i="2"/>
  <c r="U4239" i="2"/>
  <c r="U4240" i="2"/>
  <c r="U4242" i="2" s="1"/>
  <c r="U4230" i="2"/>
  <c r="U4232" i="2" s="1"/>
  <c r="V4233" i="2" s="1"/>
  <c r="U4241" i="2" l="1"/>
  <c r="U4243" i="2" s="1"/>
  <c r="V4244" i="2" s="1"/>
  <c r="U4250" i="2"/>
  <c r="U4251" i="2"/>
  <c r="U4253" i="2" s="1"/>
  <c r="U4260" i="2"/>
  <c r="U4268" i="2"/>
  <c r="U4259" i="2"/>
  <c r="W4266" i="2"/>
  <c r="U4270" i="2" l="1"/>
  <c r="W4277" i="2"/>
  <c r="U4279" i="2"/>
  <c r="U4271" i="2"/>
  <c r="U4261" i="2"/>
  <c r="U4262" i="2"/>
  <c r="U4264" i="2" s="1"/>
  <c r="U4252" i="2"/>
  <c r="U4254" i="2" s="1"/>
  <c r="V4255" i="2" s="1"/>
  <c r="U4272" i="2" l="1"/>
  <c r="U4273" i="2"/>
  <c r="U4275" i="2" s="1"/>
  <c r="U4263" i="2"/>
  <c r="U4265" i="2" s="1"/>
  <c r="V4266" i="2" s="1"/>
  <c r="U4282" i="2"/>
  <c r="U4290" i="2"/>
  <c r="U4281" i="2"/>
  <c r="W4288" i="2"/>
  <c r="U4274" i="2" l="1"/>
  <c r="U4276" i="2" s="1"/>
  <c r="V4277" i="2" s="1"/>
  <c r="U4292" i="2"/>
  <c r="W4299" i="2"/>
  <c r="U4301" i="2"/>
  <c r="U4293" i="2"/>
  <c r="U4283" i="2"/>
  <c r="U4284" i="2"/>
  <c r="U4286" i="2" s="1"/>
  <c r="U4285" i="2" l="1"/>
  <c r="U4287" i="2" s="1"/>
  <c r="V4288" i="2" s="1"/>
  <c r="W4310" i="2"/>
  <c r="U4312" i="2"/>
  <c r="U4304" i="2"/>
  <c r="U4303" i="2"/>
  <c r="U4294" i="2"/>
  <c r="U4296" i="2" s="1"/>
  <c r="U4295" i="2"/>
  <c r="U4297" i="2" s="1"/>
  <c r="U4298" i="2" l="1"/>
  <c r="V4299" i="2" s="1"/>
  <c r="U4323" i="2"/>
  <c r="W4321" i="2"/>
  <c r="U4314" i="2"/>
  <c r="U4315" i="2"/>
  <c r="U4305" i="2"/>
  <c r="U4306" i="2"/>
  <c r="U4308" i="2" s="1"/>
  <c r="U4334" i="2" l="1"/>
  <c r="U4326" i="2"/>
  <c r="U4325" i="2"/>
  <c r="W4332" i="2"/>
  <c r="U4307" i="2"/>
  <c r="U4309" i="2" s="1"/>
  <c r="V4310" i="2" s="1"/>
  <c r="U4316" i="2"/>
  <c r="U4318" i="2" s="1"/>
  <c r="U4317" i="2"/>
  <c r="U4319" i="2" s="1"/>
  <c r="U4320" i="2" l="1"/>
  <c r="V4321" i="2" s="1"/>
  <c r="U4336" i="2"/>
  <c r="U4345" i="2"/>
  <c r="U4337" i="2"/>
  <c r="W4343" i="2"/>
  <c r="U4327" i="2"/>
  <c r="U4329" i="2" s="1"/>
  <c r="U4328" i="2"/>
  <c r="U4330" i="2" s="1"/>
  <c r="U4331" i="2" l="1"/>
  <c r="V4332" i="2" s="1"/>
  <c r="U4338" i="2"/>
  <c r="U4339" i="2"/>
  <c r="U4341" i="2" s="1"/>
  <c r="W4354" i="2"/>
  <c r="U4348" i="2"/>
  <c r="U4356" i="2"/>
  <c r="U4347" i="2"/>
  <c r="U4359" i="2" l="1"/>
  <c r="U4367" i="2"/>
  <c r="U4358" i="2"/>
  <c r="W4365" i="2"/>
  <c r="U4340" i="2"/>
  <c r="U4342" i="2" s="1"/>
  <c r="V4343" i="2" s="1"/>
  <c r="U4349" i="2"/>
  <c r="U4350" i="2"/>
  <c r="U4352" i="2" s="1"/>
  <c r="U4351" i="2" l="1"/>
  <c r="U4353" i="2" s="1"/>
  <c r="V4354" i="2" s="1"/>
  <c r="U4369" i="2"/>
  <c r="U4370" i="2"/>
  <c r="W4376" i="2"/>
  <c r="U4378" i="2"/>
  <c r="U4360" i="2"/>
  <c r="U4362" i="2" s="1"/>
  <c r="U4361" i="2"/>
  <c r="U4363" i="2" s="1"/>
  <c r="U4364" i="2" l="1"/>
  <c r="V4365" i="2" s="1"/>
  <c r="W4387" i="2"/>
  <c r="U4381" i="2"/>
  <c r="U4389" i="2"/>
  <c r="U4380" i="2"/>
  <c r="U4371" i="2"/>
  <c r="U4372" i="2"/>
  <c r="U4374" i="2" s="1"/>
  <c r="U4382" i="2" l="1"/>
  <c r="U4384" i="2" s="1"/>
  <c r="U4383" i="2"/>
  <c r="U4385" i="2" s="1"/>
  <c r="U4373" i="2"/>
  <c r="U4375" i="2" s="1"/>
  <c r="V4376" i="2" s="1"/>
  <c r="W4398" i="2"/>
  <c r="U4400" i="2"/>
  <c r="U4392" i="2"/>
  <c r="U4391" i="2"/>
  <c r="U4386" i="2" l="1"/>
  <c r="V4387" i="2" s="1"/>
  <c r="U4393" i="2"/>
  <c r="U4394" i="2"/>
  <c r="U4396" i="2" s="1"/>
  <c r="U4402" i="2"/>
  <c r="W4409" i="2"/>
  <c r="U4403" i="2"/>
  <c r="U4411" i="2"/>
  <c r="U4395" i="2" l="1"/>
  <c r="U4397" i="2" s="1"/>
  <c r="V4398" i="2" s="1"/>
  <c r="U4414" i="2"/>
  <c r="U4422" i="2"/>
  <c r="U4413" i="2"/>
  <c r="W4420" i="2"/>
  <c r="U4404" i="2"/>
  <c r="U4406" i="2" s="1"/>
  <c r="U4405" i="2"/>
  <c r="U4407" i="2" s="1"/>
  <c r="U4408" i="2" l="1"/>
  <c r="V4409" i="2" s="1"/>
  <c r="U4433" i="2"/>
  <c r="W4431" i="2"/>
  <c r="U4424" i="2"/>
  <c r="U4425" i="2"/>
  <c r="U4415" i="2"/>
  <c r="U4416" i="2"/>
  <c r="U4418" i="2" s="1"/>
  <c r="U4435" i="2" l="1"/>
  <c r="W4442" i="2"/>
  <c r="U4436" i="2"/>
  <c r="U4444" i="2"/>
  <c r="U4417" i="2"/>
  <c r="U4419" i="2" s="1"/>
  <c r="V4420" i="2" s="1"/>
  <c r="U4426" i="2"/>
  <c r="U4427" i="2"/>
  <c r="U4429" i="2" s="1"/>
  <c r="U4428" i="2" l="1"/>
  <c r="U4430" i="2" s="1"/>
  <c r="V4431" i="2" s="1"/>
  <c r="U4446" i="2"/>
  <c r="U4455" i="2"/>
  <c r="W4453" i="2"/>
  <c r="U4447" i="2"/>
  <c r="U4437" i="2"/>
  <c r="U4438" i="2"/>
  <c r="U4440" i="2" s="1"/>
  <c r="U4439" i="2" l="1"/>
  <c r="U4441" i="2" s="1"/>
  <c r="V4442" i="2" s="1"/>
  <c r="U4466" i="2"/>
  <c r="W4464" i="2"/>
  <c r="U4458" i="2"/>
  <c r="U4457" i="2"/>
  <c r="U4448" i="2"/>
  <c r="U4449" i="2"/>
  <c r="U4451" i="2" s="1"/>
  <c r="U4450" i="2" l="1"/>
  <c r="U4452" i="2" s="1"/>
  <c r="V4453" i="2" s="1"/>
  <c r="U4459" i="2"/>
  <c r="U4460" i="2"/>
  <c r="U4462" i="2" s="1"/>
  <c r="U4469" i="2"/>
  <c r="W4475" i="2"/>
  <c r="U4477" i="2"/>
  <c r="U4468" i="2"/>
  <c r="U4479" i="2" l="1"/>
  <c r="U4480" i="2"/>
  <c r="W4486" i="2"/>
  <c r="U4488" i="2"/>
  <c r="U4461" i="2"/>
  <c r="U4463" i="2" s="1"/>
  <c r="V4464" i="2" s="1"/>
  <c r="U4470" i="2"/>
  <c r="U4471" i="2"/>
  <c r="U4473" i="2" s="1"/>
  <c r="U4481" i="2" l="1"/>
  <c r="U4482" i="2"/>
  <c r="U4484" i="2" s="1"/>
  <c r="U4472" i="2"/>
  <c r="U4474" i="2" s="1"/>
  <c r="V4475" i="2" s="1"/>
  <c r="U4491" i="2"/>
  <c r="U4490" i="2"/>
  <c r="W4497" i="2"/>
  <c r="U4499" i="2"/>
  <c r="U4483" i="2" l="1"/>
  <c r="U4485" i="2" s="1"/>
  <c r="V4486" i="2" s="1"/>
  <c r="U4492" i="2"/>
  <c r="U4493" i="2"/>
  <c r="U4495" i="2" s="1"/>
  <c r="U4510" i="2"/>
  <c r="U4501" i="2"/>
  <c r="W4508" i="2"/>
  <c r="U4502" i="2"/>
  <c r="U4521" i="2" l="1"/>
  <c r="U4512" i="2"/>
  <c r="W4519" i="2"/>
  <c r="U4513" i="2"/>
  <c r="U4503" i="2"/>
  <c r="U4504" i="2"/>
  <c r="U4506" i="2" s="1"/>
  <c r="U4494" i="2"/>
  <c r="U4496" i="2" s="1"/>
  <c r="V4497" i="2" s="1"/>
  <c r="W4530" i="2" l="1"/>
  <c r="U4524" i="2"/>
  <c r="U4532" i="2"/>
  <c r="U4523" i="2"/>
  <c r="U4505" i="2"/>
  <c r="U4507" i="2" s="1"/>
  <c r="V4508" i="2" s="1"/>
  <c r="U4514" i="2"/>
  <c r="U4515" i="2"/>
  <c r="U4517" i="2" s="1"/>
  <c r="U4516" i="2" l="1"/>
  <c r="U4518" i="2" s="1"/>
  <c r="V4519" i="2" s="1"/>
  <c r="U4525" i="2"/>
  <c r="U4526" i="2"/>
  <c r="U4528" i="2" s="1"/>
  <c r="U4535" i="2"/>
  <c r="U4543" i="2"/>
  <c r="U4534" i="2"/>
  <c r="W4541" i="2"/>
  <c r="U4546" i="2" l="1"/>
  <c r="U4545" i="2"/>
  <c r="W4552" i="2"/>
  <c r="U4554" i="2"/>
  <c r="U4536" i="2"/>
  <c r="U4537" i="2"/>
  <c r="U4539" i="2" s="1"/>
  <c r="U4527" i="2"/>
  <c r="U4529" i="2" s="1"/>
  <c r="V4530" i="2" s="1"/>
  <c r="U4538" i="2" l="1"/>
  <c r="U4540" i="2" s="1"/>
  <c r="V4541" i="2" s="1"/>
  <c r="U4547" i="2"/>
  <c r="U4549" i="2" s="1"/>
  <c r="U4548" i="2"/>
  <c r="U4550" i="2" s="1"/>
  <c r="U4557" i="2"/>
  <c r="U4565" i="2"/>
  <c r="W4563" i="2"/>
  <c r="U4556" i="2"/>
  <c r="U4551" i="2" l="1"/>
  <c r="V4552" i="2" s="1"/>
  <c r="U4567" i="2"/>
  <c r="W4574" i="2"/>
  <c r="U4576" i="2"/>
  <c r="U4568" i="2"/>
  <c r="U4558" i="2"/>
  <c r="U4560" i="2" s="1"/>
  <c r="U4559" i="2"/>
  <c r="U4561" i="2" s="1"/>
  <c r="U4562" i="2" l="1"/>
  <c r="V4563" i="2" s="1"/>
  <c r="U4569" i="2"/>
  <c r="U4571" i="2" s="1"/>
  <c r="U4570" i="2"/>
  <c r="U4572" i="2" s="1"/>
  <c r="W4585" i="2"/>
  <c r="U4579" i="2"/>
  <c r="U4587" i="2"/>
  <c r="U4578" i="2"/>
  <c r="U4573" i="2" l="1"/>
  <c r="V4574" i="2" s="1"/>
  <c r="U4580" i="2"/>
  <c r="U4581" i="2"/>
  <c r="U4583" i="2" s="1"/>
  <c r="U4590" i="2"/>
  <c r="U4598" i="2"/>
  <c r="U4589" i="2"/>
  <c r="W4596" i="2"/>
  <c r="U4591" i="2" l="1"/>
  <c r="U4592" i="2"/>
  <c r="U4594" i="2" s="1"/>
  <c r="U4582" i="2"/>
  <c r="U4584" i="2" s="1"/>
  <c r="V4585" i="2" s="1"/>
  <c r="U4609" i="2"/>
  <c r="U4600" i="2"/>
  <c r="W4607" i="2"/>
  <c r="U4601" i="2"/>
  <c r="W4618" i="2" l="1"/>
  <c r="U4612" i="2"/>
  <c r="U4620" i="2"/>
  <c r="U4611" i="2"/>
  <c r="U4593" i="2"/>
  <c r="U4595" i="2" s="1"/>
  <c r="V4596" i="2" s="1"/>
  <c r="U4602" i="2"/>
  <c r="U4603" i="2"/>
  <c r="U4605" i="2" s="1"/>
  <c r="U4622" i="2" l="1"/>
  <c r="W4629" i="2"/>
  <c r="U4623" i="2"/>
  <c r="U4631" i="2"/>
  <c r="U4604" i="2"/>
  <c r="U4606" i="2" s="1"/>
  <c r="V4607" i="2" s="1"/>
  <c r="U4613" i="2"/>
  <c r="U4614" i="2"/>
  <c r="U4616" i="2" s="1"/>
  <c r="U4624" i="2" l="1"/>
  <c r="U4625" i="2"/>
  <c r="U4627" i="2" s="1"/>
  <c r="U4615" i="2"/>
  <c r="U4617" i="2" s="1"/>
  <c r="V4618" i="2" s="1"/>
  <c r="U4633" i="2"/>
  <c r="W4640" i="2"/>
  <c r="U4634" i="2"/>
  <c r="U4642" i="2"/>
  <c r="U4645" i="2" l="1"/>
  <c r="U4653" i="2"/>
  <c r="U4644" i="2"/>
  <c r="W4651" i="2"/>
  <c r="U4635" i="2"/>
  <c r="U4636" i="2"/>
  <c r="U4638" i="2" s="1"/>
  <c r="U4626" i="2"/>
  <c r="U4628" i="2" s="1"/>
  <c r="V4629" i="2" s="1"/>
  <c r="U4637" i="2" l="1"/>
  <c r="U4639" i="2" s="1"/>
  <c r="V4640" i="2" s="1"/>
  <c r="U4656" i="2"/>
  <c r="U4655" i="2"/>
  <c r="W4662" i="2"/>
  <c r="U4646" i="2"/>
  <c r="U4647" i="2"/>
  <c r="U4649" i="2" s="1"/>
  <c r="U4657" i="2" l="1"/>
  <c r="U4658" i="2"/>
  <c r="U4660" i="2" s="1"/>
  <c r="U4648" i="2"/>
  <c r="U4650" i="2" s="1"/>
  <c r="V4651" i="2" s="1"/>
  <c r="U4659" i="2" l="1"/>
  <c r="U4661" i="2" s="1"/>
  <c r="V4662" i="2" s="1"/>
  <c r="W18" i="2" s="1"/>
  <c r="W20" i="2" l="1"/>
  <c r="W19" i="2"/>
  <c r="X33" i="2" s="1"/>
  <c r="X36" i="2" l="1"/>
  <c r="X35" i="2"/>
  <c r="F40" i="3"/>
  <c r="Z42" i="2"/>
  <c r="X38" i="2" l="1"/>
  <c r="X40" i="2" s="1"/>
  <c r="X37" i="2"/>
  <c r="E40" i="3"/>
  <c r="D44" i="3" s="1"/>
  <c r="D41" i="3" s="1"/>
  <c r="E44" i="3"/>
  <c r="X44" i="2"/>
  <c r="X55" i="2" s="1"/>
  <c r="X39" i="2" l="1"/>
  <c r="X41" i="2" s="1"/>
  <c r="Y42" i="2" s="1"/>
  <c r="E41" i="3"/>
  <c r="X47" i="2"/>
  <c r="X46" i="2"/>
  <c r="X49" i="2" s="1"/>
  <c r="X51" i="2" s="1"/>
  <c r="Z53" i="2"/>
  <c r="X66" i="2"/>
  <c r="Z64" i="2"/>
  <c r="X57" i="2"/>
  <c r="X58" i="2"/>
  <c r="X48" i="2" l="1"/>
  <c r="X50" i="2" s="1"/>
  <c r="X52" i="2" s="1"/>
  <c r="Y53" i="2" s="1"/>
  <c r="Z75" i="2"/>
  <c r="X77" i="2"/>
  <c r="X68" i="2"/>
  <c r="X69" i="2"/>
  <c r="X59" i="2"/>
  <c r="X60" i="2"/>
  <c r="X62" i="2" s="1"/>
  <c r="X61" i="2" l="1"/>
  <c r="X63" i="2" s="1"/>
  <c r="Y64" i="2" s="1"/>
  <c r="X88" i="2"/>
  <c r="X80" i="2"/>
  <c r="Z86" i="2"/>
  <c r="X79" i="2"/>
  <c r="X70" i="2"/>
  <c r="X72" i="2" s="1"/>
  <c r="X71" i="2"/>
  <c r="X73" i="2" s="1"/>
  <c r="X91" i="2" l="1"/>
  <c r="Z97" i="2"/>
  <c r="X90" i="2"/>
  <c r="X99" i="2"/>
  <c r="X74" i="2"/>
  <c r="Y75" i="2" s="1"/>
  <c r="X81" i="2"/>
  <c r="X83" i="2" s="1"/>
  <c r="X82" i="2"/>
  <c r="X84" i="2" s="1"/>
  <c r="X102" i="2" l="1"/>
  <c r="X101" i="2"/>
  <c r="Z108" i="2"/>
  <c r="X110" i="2"/>
  <c r="X92" i="2"/>
  <c r="X94" i="2" s="1"/>
  <c r="X93" i="2"/>
  <c r="X95" i="2" s="1"/>
  <c r="X85" i="2"/>
  <c r="Y86" i="2" s="1"/>
  <c r="X96" i="2" l="1"/>
  <c r="Y97" i="2" s="1"/>
  <c r="X103" i="2"/>
  <c r="X105" i="2" s="1"/>
  <c r="X104" i="2"/>
  <c r="X106" i="2" s="1"/>
  <c r="X112" i="2"/>
  <c r="X113" i="2"/>
  <c r="Z119" i="2"/>
  <c r="X121" i="2"/>
  <c r="X107" i="2" l="1"/>
  <c r="Y108" i="2" s="1"/>
  <c r="Z130" i="2"/>
  <c r="X132" i="2"/>
  <c r="X124" i="2"/>
  <c r="X123" i="2"/>
  <c r="X114" i="2"/>
  <c r="X116" i="2" s="1"/>
  <c r="X115" i="2"/>
  <c r="X117" i="2" s="1"/>
  <c r="X118" i="2" l="1"/>
  <c r="Y119" i="2" s="1"/>
  <c r="X134" i="2"/>
  <c r="Z141" i="2"/>
  <c r="X143" i="2"/>
  <c r="X135" i="2"/>
  <c r="X125" i="2"/>
  <c r="X127" i="2" s="1"/>
  <c r="X126" i="2"/>
  <c r="X128" i="2" s="1"/>
  <c r="X129" i="2" l="1"/>
  <c r="Y130" i="2" s="1"/>
  <c r="X154" i="2"/>
  <c r="X145" i="2"/>
  <c r="X146" i="2"/>
  <c r="Z152" i="2"/>
  <c r="X136" i="2"/>
  <c r="X138" i="2" s="1"/>
  <c r="X137" i="2"/>
  <c r="X139" i="2" s="1"/>
  <c r="X140" i="2" l="1"/>
  <c r="Y141" i="2" s="1"/>
  <c r="Z163" i="2"/>
  <c r="X156" i="2"/>
  <c r="X165" i="2"/>
  <c r="X157" i="2"/>
  <c r="X147" i="2"/>
  <c r="X149" i="2" s="1"/>
  <c r="X148" i="2"/>
  <c r="X150" i="2" s="1"/>
  <c r="X151" i="2" l="1"/>
  <c r="Y152" i="2" s="1"/>
  <c r="X168" i="2"/>
  <c r="X176" i="2"/>
  <c r="Z174" i="2"/>
  <c r="X167" i="2"/>
  <c r="X158" i="2"/>
  <c r="X160" i="2" s="1"/>
  <c r="X159" i="2"/>
  <c r="X161" i="2" s="1"/>
  <c r="X162" i="2" l="1"/>
  <c r="Y163" i="2" s="1"/>
  <c r="X179" i="2"/>
  <c r="X187" i="2"/>
  <c r="Z185" i="2"/>
  <c r="X178" i="2"/>
  <c r="X169" i="2"/>
  <c r="X171" i="2" s="1"/>
  <c r="X170" i="2"/>
  <c r="X172" i="2" s="1"/>
  <c r="X173" i="2" l="1"/>
  <c r="Y174" i="2" s="1"/>
  <c r="X189" i="2"/>
  <c r="X198" i="2"/>
  <c r="X190" i="2"/>
  <c r="Z196" i="2"/>
  <c r="X180" i="2"/>
  <c r="X182" i="2" s="1"/>
  <c r="X181" i="2"/>
  <c r="X183" i="2" s="1"/>
  <c r="X184" i="2" l="1"/>
  <c r="Y185" i="2" s="1"/>
  <c r="Z207" i="2"/>
  <c r="X200" i="2"/>
  <c r="X209" i="2"/>
  <c r="X201" i="2"/>
  <c r="X191" i="2"/>
  <c r="X192" i="2"/>
  <c r="X194" i="2" s="1"/>
  <c r="X212" i="2" l="1"/>
  <c r="Z218" i="2"/>
  <c r="X211" i="2"/>
  <c r="X220" i="2"/>
  <c r="X193" i="2"/>
  <c r="X195" i="2" s="1"/>
  <c r="Y196" i="2" s="1"/>
  <c r="X202" i="2"/>
  <c r="X204" i="2" s="1"/>
  <c r="X203" i="2"/>
  <c r="X205" i="2" s="1"/>
  <c r="X206" i="2" l="1"/>
  <c r="Y207" i="2" s="1"/>
  <c r="X213" i="2"/>
  <c r="X214" i="2"/>
  <c r="X216" i="2" s="1"/>
  <c r="X231" i="2"/>
  <c r="X223" i="2"/>
  <c r="Z229" i="2"/>
  <c r="X222" i="2"/>
  <c r="X224" i="2" l="1"/>
  <c r="X226" i="2" s="1"/>
  <c r="X225" i="2"/>
  <c r="X227" i="2" s="1"/>
  <c r="Z240" i="2"/>
  <c r="X233" i="2"/>
  <c r="X234" i="2"/>
  <c r="X242" i="2"/>
  <c r="X215" i="2"/>
  <c r="X217" i="2" s="1"/>
  <c r="Y218" i="2" s="1"/>
  <c r="X228" i="2" l="1"/>
  <c r="Y229" i="2" s="1"/>
  <c r="X253" i="2"/>
  <c r="X245" i="2"/>
  <c r="Z251" i="2"/>
  <c r="X244" i="2"/>
  <c r="X235" i="2"/>
  <c r="X236" i="2"/>
  <c r="X238" i="2" s="1"/>
  <c r="X255" i="2" l="1"/>
  <c r="X256" i="2"/>
  <c r="X264" i="2"/>
  <c r="Z262" i="2"/>
  <c r="X237" i="2"/>
  <c r="X239" i="2" s="1"/>
  <c r="Y240" i="2" s="1"/>
  <c r="X246" i="2"/>
  <c r="X248" i="2" s="1"/>
  <c r="X247" i="2"/>
  <c r="X249" i="2" s="1"/>
  <c r="X250" i="2" l="1"/>
  <c r="Y251" i="2" s="1"/>
  <c r="X257" i="2"/>
  <c r="X258" i="2"/>
  <c r="X260" i="2" s="1"/>
  <c r="X275" i="2"/>
  <c r="X266" i="2"/>
  <c r="X267" i="2"/>
  <c r="Z273" i="2"/>
  <c r="X268" i="2" l="1"/>
  <c r="X269" i="2"/>
  <c r="X271" i="2" s="1"/>
  <c r="X259" i="2"/>
  <c r="X261" i="2" s="1"/>
  <c r="Y262" i="2" s="1"/>
  <c r="Z284" i="2"/>
  <c r="X277" i="2"/>
  <c r="X286" i="2"/>
  <c r="X278" i="2"/>
  <c r="X270" i="2" l="1"/>
  <c r="X272" i="2" s="1"/>
  <c r="Y273" i="2" s="1"/>
  <c r="X279" i="2"/>
  <c r="X280" i="2"/>
  <c r="X282" i="2" s="1"/>
  <c r="X297" i="2"/>
  <c r="Z295" i="2"/>
  <c r="X288" i="2"/>
  <c r="X289" i="2"/>
  <c r="X300" i="2" l="1"/>
  <c r="Z306" i="2"/>
  <c r="X299" i="2"/>
  <c r="X308" i="2"/>
  <c r="X290" i="2"/>
  <c r="X292" i="2" s="1"/>
  <c r="X291" i="2"/>
  <c r="X293" i="2" s="1"/>
  <c r="X281" i="2"/>
  <c r="X283" i="2" s="1"/>
  <c r="Y284" i="2" s="1"/>
  <c r="X294" i="2" l="1"/>
  <c r="Y295" i="2" s="1"/>
  <c r="Z317" i="2"/>
  <c r="X311" i="2"/>
  <c r="X310" i="2"/>
  <c r="X319" i="2"/>
  <c r="X301" i="2"/>
  <c r="X302" i="2"/>
  <c r="X304" i="2" s="1"/>
  <c r="X330" i="2" l="1"/>
  <c r="Z328" i="2"/>
  <c r="X322" i="2"/>
  <c r="X321" i="2"/>
  <c r="X303" i="2"/>
  <c r="X305" i="2" s="1"/>
  <c r="Y306" i="2" s="1"/>
  <c r="X312" i="2"/>
  <c r="X313" i="2"/>
  <c r="X315" i="2" s="1"/>
  <c r="X314" i="2" l="1"/>
  <c r="X316" i="2" s="1"/>
  <c r="Y317" i="2" s="1"/>
  <c r="X323" i="2"/>
  <c r="X324" i="2"/>
  <c r="X326" i="2" s="1"/>
  <c r="X341" i="2"/>
  <c r="X333" i="2"/>
  <c r="Z339" i="2"/>
  <c r="X332" i="2"/>
  <c r="X334" i="2" l="1"/>
  <c r="X336" i="2" s="1"/>
  <c r="X335" i="2"/>
  <c r="X337" i="2" s="1"/>
  <c r="X343" i="2"/>
  <c r="Z350" i="2"/>
  <c r="X352" i="2"/>
  <c r="X344" i="2"/>
  <c r="X325" i="2"/>
  <c r="X327" i="2" s="1"/>
  <c r="Y328" i="2" s="1"/>
  <c r="X338" i="2" l="1"/>
  <c r="Y339" i="2" s="1"/>
  <c r="X355" i="2"/>
  <c r="Z361" i="2"/>
  <c r="X354" i="2"/>
  <c r="X363" i="2"/>
  <c r="X345" i="2"/>
  <c r="X347" i="2" s="1"/>
  <c r="X346" i="2"/>
  <c r="X348" i="2" s="1"/>
  <c r="X349" i="2" l="1"/>
  <c r="Y350" i="2" s="1"/>
  <c r="Z372" i="2"/>
  <c r="X374" i="2"/>
  <c r="X365" i="2"/>
  <c r="X366" i="2"/>
  <c r="X356" i="2"/>
  <c r="X358" i="2" s="1"/>
  <c r="X357" i="2"/>
  <c r="X359" i="2" s="1"/>
  <c r="X360" i="2" l="1"/>
  <c r="Y361" i="2" s="1"/>
  <c r="Z383" i="2"/>
  <c r="X385" i="2"/>
  <c r="X376" i="2"/>
  <c r="X377" i="2"/>
  <c r="X367" i="2"/>
  <c r="X368" i="2"/>
  <c r="X370" i="2" s="1"/>
  <c r="X369" i="2" l="1"/>
  <c r="X371" i="2" s="1"/>
  <c r="Y372" i="2" s="1"/>
  <c r="X388" i="2"/>
  <c r="X387" i="2"/>
  <c r="Z394" i="2"/>
  <c r="X396" i="2"/>
  <c r="X378" i="2"/>
  <c r="X380" i="2" s="1"/>
  <c r="X379" i="2"/>
  <c r="X381" i="2" s="1"/>
  <c r="X382" i="2" l="1"/>
  <c r="Y383" i="2" s="1"/>
  <c r="X398" i="2"/>
  <c r="X399" i="2"/>
  <c r="Z405" i="2"/>
  <c r="X407" i="2"/>
  <c r="X389" i="2"/>
  <c r="X391" i="2" s="1"/>
  <c r="X390" i="2"/>
  <c r="X392" i="2" s="1"/>
  <c r="X393" i="2" l="1"/>
  <c r="Y394" i="2" s="1"/>
  <c r="Z416" i="2"/>
  <c r="X418" i="2"/>
  <c r="X409" i="2"/>
  <c r="X410" i="2"/>
  <c r="X400" i="2"/>
  <c r="X402" i="2" s="1"/>
  <c r="X401" i="2"/>
  <c r="X403" i="2" s="1"/>
  <c r="X404" i="2" l="1"/>
  <c r="Y405" i="2" s="1"/>
  <c r="X421" i="2"/>
  <c r="Z427" i="2"/>
  <c r="X429" i="2"/>
  <c r="X420" i="2"/>
  <c r="X411" i="2"/>
  <c r="X412" i="2"/>
  <c r="X414" i="2" s="1"/>
  <c r="X413" i="2" l="1"/>
  <c r="X415" i="2" s="1"/>
  <c r="Y416" i="2" s="1"/>
  <c r="Z438" i="2"/>
  <c r="X431" i="2"/>
  <c r="X440" i="2"/>
  <c r="X432" i="2"/>
  <c r="X422" i="2"/>
  <c r="X423" i="2"/>
  <c r="X425" i="2" s="1"/>
  <c r="X424" i="2" l="1"/>
  <c r="X426" i="2" s="1"/>
  <c r="Y427" i="2" s="1"/>
  <c r="X433" i="2"/>
  <c r="X435" i="2" s="1"/>
  <c r="X434" i="2"/>
  <c r="X436" i="2" s="1"/>
  <c r="X443" i="2"/>
  <c r="Z449" i="2"/>
  <c r="X442" i="2"/>
  <c r="X451" i="2"/>
  <c r="Z460" i="2" l="1"/>
  <c r="X453" i="2"/>
  <c r="X462" i="2"/>
  <c r="X454" i="2"/>
  <c r="X444" i="2"/>
  <c r="X445" i="2"/>
  <c r="X447" i="2" s="1"/>
  <c r="X437" i="2"/>
  <c r="Y438" i="2" s="1"/>
  <c r="X446" i="2" l="1"/>
  <c r="X448" i="2" s="1"/>
  <c r="Y449" i="2" s="1"/>
  <c r="X455" i="2"/>
  <c r="X457" i="2" s="1"/>
  <c r="X456" i="2"/>
  <c r="X458" i="2" s="1"/>
  <c r="X464" i="2"/>
  <c r="X473" i="2"/>
  <c r="Z471" i="2"/>
  <c r="X465" i="2"/>
  <c r="X466" i="2" l="1"/>
  <c r="X467" i="2"/>
  <c r="X469" i="2" s="1"/>
  <c r="Z482" i="2"/>
  <c r="X475" i="2"/>
  <c r="X484" i="2"/>
  <c r="X476" i="2"/>
  <c r="X459" i="2"/>
  <c r="Y460" i="2" s="1"/>
  <c r="X477" i="2" l="1"/>
  <c r="X478" i="2"/>
  <c r="X480" i="2" s="1"/>
  <c r="X495" i="2"/>
  <c r="X487" i="2"/>
  <c r="Z493" i="2"/>
  <c r="X486" i="2"/>
  <c r="X468" i="2"/>
  <c r="X470" i="2" s="1"/>
  <c r="Y471" i="2" s="1"/>
  <c r="X479" i="2" l="1"/>
  <c r="X481" i="2" s="1"/>
  <c r="Y482" i="2" s="1"/>
  <c r="X488" i="2"/>
  <c r="X489" i="2"/>
  <c r="X491" i="2" s="1"/>
  <c r="X498" i="2"/>
  <c r="X506" i="2"/>
  <c r="Z504" i="2"/>
  <c r="X497" i="2"/>
  <c r="X499" i="2" l="1"/>
  <c r="X501" i="2" s="1"/>
  <c r="X500" i="2"/>
  <c r="X502" i="2" s="1"/>
  <c r="Z515" i="2"/>
  <c r="X517" i="2"/>
  <c r="X509" i="2"/>
  <c r="X508" i="2"/>
  <c r="X490" i="2"/>
  <c r="X492" i="2" s="1"/>
  <c r="Y493" i="2" s="1"/>
  <c r="X503" i="2" l="1"/>
  <c r="Y504" i="2" s="1"/>
  <c r="X520" i="2"/>
  <c r="X519" i="2"/>
  <c r="X528" i="2"/>
  <c r="Z526" i="2"/>
  <c r="X510" i="2"/>
  <c r="X511" i="2"/>
  <c r="X513" i="2" s="1"/>
  <c r="X512" i="2" l="1"/>
  <c r="X514" i="2" s="1"/>
  <c r="Y515" i="2" s="1"/>
  <c r="X521" i="2"/>
  <c r="X523" i="2" s="1"/>
  <c r="X522" i="2"/>
  <c r="X524" i="2" s="1"/>
  <c r="X531" i="2"/>
  <c r="Z537" i="2"/>
  <c r="X530" i="2"/>
  <c r="X539" i="2"/>
  <c r="X541" i="2" l="1"/>
  <c r="X542" i="2"/>
  <c r="X550" i="2"/>
  <c r="Z548" i="2"/>
  <c r="X532" i="2"/>
  <c r="X533" i="2"/>
  <c r="X535" i="2" s="1"/>
  <c r="X525" i="2"/>
  <c r="Y526" i="2" s="1"/>
  <c r="X543" i="2" l="1"/>
  <c r="X544" i="2"/>
  <c r="X546" i="2" s="1"/>
  <c r="X534" i="2"/>
  <c r="X536" i="2" s="1"/>
  <c r="Y537" i="2" s="1"/>
  <c r="Z559" i="2"/>
  <c r="X561" i="2"/>
  <c r="X553" i="2"/>
  <c r="X552" i="2"/>
  <c r="X554" i="2" l="1"/>
  <c r="X556" i="2" s="1"/>
  <c r="X555" i="2"/>
  <c r="X557" i="2" s="1"/>
  <c r="X545" i="2"/>
  <c r="X547" i="2" s="1"/>
  <c r="Y548" i="2" s="1"/>
  <c r="X564" i="2"/>
  <c r="X563" i="2"/>
  <c r="X572" i="2"/>
  <c r="Z570" i="2"/>
  <c r="X558" i="2" l="1"/>
  <c r="Y559" i="2" s="1"/>
  <c r="X565" i="2"/>
  <c r="X567" i="2" s="1"/>
  <c r="X566" i="2"/>
  <c r="X568" i="2" s="1"/>
  <c r="Z581" i="2"/>
  <c r="X574" i="2"/>
  <c r="X575" i="2"/>
  <c r="X583" i="2"/>
  <c r="X569" i="2" l="1"/>
  <c r="Y570" i="2" s="1"/>
  <c r="X576" i="2"/>
  <c r="X578" i="2" s="1"/>
  <c r="X577" i="2"/>
  <c r="X579" i="2" s="1"/>
  <c r="X586" i="2"/>
  <c r="Z592" i="2"/>
  <c r="X585" i="2"/>
  <c r="X594" i="2"/>
  <c r="X580" i="2" l="1"/>
  <c r="Y581" i="2" s="1"/>
  <c r="X587" i="2"/>
  <c r="X589" i="2" s="1"/>
  <c r="X588" i="2"/>
  <c r="X590" i="2" s="1"/>
  <c r="X596" i="2"/>
  <c r="X597" i="2"/>
  <c r="X605" i="2"/>
  <c r="Z603" i="2"/>
  <c r="X591" i="2" l="1"/>
  <c r="Y592" i="2" s="1"/>
  <c r="X616" i="2"/>
  <c r="Z614" i="2"/>
  <c r="X608" i="2"/>
  <c r="X607" i="2"/>
  <c r="X598" i="2"/>
  <c r="X599" i="2"/>
  <c r="X601" i="2" s="1"/>
  <c r="X609" i="2" l="1"/>
  <c r="X610" i="2"/>
  <c r="X612" i="2" s="1"/>
  <c r="X600" i="2"/>
  <c r="X602" i="2" s="1"/>
  <c r="Y603" i="2" s="1"/>
  <c r="Z625" i="2"/>
  <c r="X618" i="2"/>
  <c r="X627" i="2"/>
  <c r="X619" i="2"/>
  <c r="X611" i="2" l="1"/>
  <c r="X613" i="2" s="1"/>
  <c r="Y614" i="2" s="1"/>
  <c r="X620" i="2"/>
  <c r="X621" i="2"/>
  <c r="X623" i="2" s="1"/>
  <c r="Z636" i="2"/>
  <c r="X638" i="2"/>
  <c r="X630" i="2"/>
  <c r="X629" i="2"/>
  <c r="X631" i="2" l="1"/>
  <c r="X633" i="2" s="1"/>
  <c r="X632" i="2"/>
  <c r="X634" i="2" s="1"/>
  <c r="X640" i="2"/>
  <c r="X649" i="2"/>
  <c r="X641" i="2"/>
  <c r="Z647" i="2"/>
  <c r="X622" i="2"/>
  <c r="X624" i="2" s="1"/>
  <c r="Y625" i="2" s="1"/>
  <c r="X635" i="2" l="1"/>
  <c r="Y636" i="2" s="1"/>
  <c r="X651" i="2"/>
  <c r="X660" i="2"/>
  <c r="X652" i="2"/>
  <c r="Z658" i="2"/>
  <c r="X642" i="2"/>
  <c r="X643" i="2"/>
  <c r="X645" i="2" s="1"/>
  <c r="X644" i="2" l="1"/>
  <c r="X646" i="2" s="1"/>
  <c r="Y647" i="2" s="1"/>
  <c r="X653" i="2"/>
  <c r="X654" i="2"/>
  <c r="X656" i="2" s="1"/>
  <c r="X671" i="2"/>
  <c r="X662" i="2"/>
  <c r="X663" i="2"/>
  <c r="Z669" i="2"/>
  <c r="X674" i="2" l="1"/>
  <c r="Z680" i="2"/>
  <c r="X673" i="2"/>
  <c r="X682" i="2"/>
  <c r="X664" i="2"/>
  <c r="X666" i="2" s="1"/>
  <c r="X665" i="2"/>
  <c r="X667" i="2" s="1"/>
  <c r="X655" i="2"/>
  <c r="X657" i="2" s="1"/>
  <c r="Y658" i="2" s="1"/>
  <c r="X668" i="2" l="1"/>
  <c r="Y669" i="2" s="1"/>
  <c r="Z691" i="2"/>
  <c r="X684" i="2"/>
  <c r="X685" i="2"/>
  <c r="X693" i="2"/>
  <c r="X675" i="2"/>
  <c r="X677" i="2" s="1"/>
  <c r="X676" i="2"/>
  <c r="X678" i="2" s="1"/>
  <c r="X679" i="2" l="1"/>
  <c r="Y680" i="2" s="1"/>
  <c r="X696" i="2"/>
  <c r="X695" i="2"/>
  <c r="Z702" i="2"/>
  <c r="X704" i="2"/>
  <c r="X686" i="2"/>
  <c r="X688" i="2" s="1"/>
  <c r="X687" i="2"/>
  <c r="X689" i="2" s="1"/>
  <c r="X690" i="2" l="1"/>
  <c r="Y691" i="2" s="1"/>
  <c r="Z713" i="2"/>
  <c r="X715" i="2"/>
  <c r="X707" i="2"/>
  <c r="X706" i="2"/>
  <c r="X697" i="2"/>
  <c r="X698" i="2"/>
  <c r="X700" i="2" s="1"/>
  <c r="X708" i="2" l="1"/>
  <c r="X710" i="2" s="1"/>
  <c r="X709" i="2"/>
  <c r="X711" i="2" s="1"/>
  <c r="X699" i="2"/>
  <c r="X701" i="2" s="1"/>
  <c r="Y702" i="2" s="1"/>
  <c r="X718" i="2"/>
  <c r="X726" i="2"/>
  <c r="X717" i="2"/>
  <c r="Z724" i="2"/>
  <c r="X712" i="2" l="1"/>
  <c r="Y713" i="2" s="1"/>
  <c r="X729" i="2"/>
  <c r="Z735" i="2"/>
  <c r="X728" i="2"/>
  <c r="X737" i="2"/>
  <c r="X719" i="2"/>
  <c r="X720" i="2"/>
  <c r="X722" i="2" s="1"/>
  <c r="X740" i="2" l="1"/>
  <c r="X739" i="2"/>
  <c r="X748" i="2"/>
  <c r="Z746" i="2"/>
  <c r="X721" i="2"/>
  <c r="X723" i="2" s="1"/>
  <c r="Y724" i="2" s="1"/>
  <c r="X730" i="2"/>
  <c r="X732" i="2" s="1"/>
  <c r="X731" i="2"/>
  <c r="X733" i="2" s="1"/>
  <c r="X734" i="2" l="1"/>
  <c r="Y735" i="2" s="1"/>
  <c r="X741" i="2"/>
  <c r="X743" i="2" s="1"/>
  <c r="X742" i="2"/>
  <c r="X744" i="2" s="1"/>
  <c r="X759" i="2"/>
  <c r="X751" i="2"/>
  <c r="Z757" i="2"/>
  <c r="X750" i="2"/>
  <c r="X745" i="2" l="1"/>
  <c r="Y746" i="2" s="1"/>
  <c r="X752" i="2"/>
  <c r="X754" i="2" s="1"/>
  <c r="X753" i="2"/>
  <c r="X755" i="2" s="1"/>
  <c r="X761" i="2"/>
  <c r="X762" i="2"/>
  <c r="X770" i="2"/>
  <c r="Z768" i="2"/>
  <c r="X756" i="2" l="1"/>
  <c r="Y757" i="2" s="1"/>
  <c r="X772" i="2"/>
  <c r="Z779" i="2"/>
  <c r="X781" i="2"/>
  <c r="X773" i="2"/>
  <c r="X763" i="2"/>
  <c r="X765" i="2" s="1"/>
  <c r="X764" i="2"/>
  <c r="X766" i="2" s="1"/>
  <c r="X767" i="2" l="1"/>
  <c r="Y768" i="2" s="1"/>
  <c r="X774" i="2"/>
  <c r="X775" i="2"/>
  <c r="X777" i="2" s="1"/>
  <c r="Z790" i="2"/>
  <c r="X792" i="2"/>
  <c r="X784" i="2"/>
  <c r="X783" i="2"/>
  <c r="Z801" i="2" l="1"/>
  <c r="X803" i="2"/>
  <c r="X795" i="2"/>
  <c r="X794" i="2"/>
  <c r="X776" i="2"/>
  <c r="X778" i="2" s="1"/>
  <c r="Y779" i="2" s="1"/>
  <c r="X785" i="2"/>
  <c r="X786" i="2"/>
  <c r="X788" i="2" s="1"/>
  <c r="X796" i="2" l="1"/>
  <c r="X798" i="2" s="1"/>
  <c r="X797" i="2"/>
  <c r="X799" i="2" s="1"/>
  <c r="X805" i="2"/>
  <c r="X806" i="2"/>
  <c r="Z812" i="2"/>
  <c r="X814" i="2"/>
  <c r="X787" i="2"/>
  <c r="X789" i="2" s="1"/>
  <c r="Y790" i="2" s="1"/>
  <c r="X800" i="2" l="1"/>
  <c r="Y801" i="2" s="1"/>
  <c r="X825" i="2"/>
  <c r="Z823" i="2"/>
  <c r="X816" i="2"/>
  <c r="X817" i="2"/>
  <c r="X807" i="2"/>
  <c r="X809" i="2" s="1"/>
  <c r="X808" i="2"/>
  <c r="X810" i="2" s="1"/>
  <c r="X811" i="2" l="1"/>
  <c r="Y812" i="2" s="1"/>
  <c r="X828" i="2"/>
  <c r="X836" i="2"/>
  <c r="X827" i="2"/>
  <c r="Z834" i="2"/>
  <c r="X818" i="2"/>
  <c r="X819" i="2"/>
  <c r="X821" i="2" s="1"/>
  <c r="X820" i="2" l="1"/>
  <c r="X822" i="2" s="1"/>
  <c r="Y823" i="2" s="1"/>
  <c r="X839" i="2"/>
  <c r="Z845" i="2"/>
  <c r="X847" i="2"/>
  <c r="X838" i="2"/>
  <c r="X829" i="2"/>
  <c r="X830" i="2"/>
  <c r="X832" i="2" s="1"/>
  <c r="Z856" i="2" l="1"/>
  <c r="X850" i="2"/>
  <c r="X858" i="2"/>
  <c r="X849" i="2"/>
  <c r="X840" i="2"/>
  <c r="X841" i="2"/>
  <c r="X843" i="2" s="1"/>
  <c r="X831" i="2"/>
  <c r="X833" i="2" s="1"/>
  <c r="Y834" i="2" s="1"/>
  <c r="X851" i="2" l="1"/>
  <c r="X853" i="2" s="1"/>
  <c r="X852" i="2"/>
  <c r="X854" i="2" s="1"/>
  <c r="X842" i="2"/>
  <c r="X844" i="2" s="1"/>
  <c r="Y845" i="2" s="1"/>
  <c r="X869" i="2"/>
  <c r="X861" i="2"/>
  <c r="X860" i="2"/>
  <c r="Z867" i="2"/>
  <c r="X855" i="2" l="1"/>
  <c r="Y856" i="2" s="1"/>
  <c r="X880" i="2"/>
  <c r="X871" i="2"/>
  <c r="X872" i="2"/>
  <c r="Z878" i="2"/>
  <c r="X862" i="2"/>
  <c r="X864" i="2" s="1"/>
  <c r="X863" i="2"/>
  <c r="X865" i="2" s="1"/>
  <c r="X866" i="2" l="1"/>
  <c r="Y867" i="2" s="1"/>
  <c r="X883" i="2"/>
  <c r="Z889" i="2"/>
  <c r="X882" i="2"/>
  <c r="X891" i="2"/>
  <c r="X873" i="2"/>
  <c r="X875" i="2" s="1"/>
  <c r="X874" i="2"/>
  <c r="X876" i="2" s="1"/>
  <c r="X877" i="2" l="1"/>
  <c r="Y878" i="2" s="1"/>
  <c r="Z900" i="2"/>
  <c r="X893" i="2"/>
  <c r="X902" i="2"/>
  <c r="X894" i="2"/>
  <c r="X884" i="2"/>
  <c r="X886" i="2" s="1"/>
  <c r="X885" i="2"/>
  <c r="X887" i="2" s="1"/>
  <c r="X888" i="2" l="1"/>
  <c r="Y889" i="2" s="1"/>
  <c r="X895" i="2"/>
  <c r="X896" i="2"/>
  <c r="X898" i="2" s="1"/>
  <c r="X913" i="2"/>
  <c r="X905" i="2"/>
  <c r="Z911" i="2"/>
  <c r="X904" i="2"/>
  <c r="X897" i="2" l="1"/>
  <c r="X899" i="2" s="1"/>
  <c r="Y900" i="2" s="1"/>
  <c r="X906" i="2"/>
  <c r="X907" i="2"/>
  <c r="X909" i="2" s="1"/>
  <c r="X916" i="2"/>
  <c r="X915" i="2"/>
  <c r="X924" i="2"/>
  <c r="Z922" i="2"/>
  <c r="X917" i="2" l="1"/>
  <c r="X919" i="2" s="1"/>
  <c r="X918" i="2"/>
  <c r="X920" i="2" s="1"/>
  <c r="Z933" i="2"/>
  <c r="X926" i="2"/>
  <c r="X935" i="2"/>
  <c r="X927" i="2"/>
  <c r="X908" i="2"/>
  <c r="X910" i="2" s="1"/>
  <c r="Y911" i="2" s="1"/>
  <c r="X921" i="2" l="1"/>
  <c r="Y922" i="2" s="1"/>
  <c r="X928" i="2"/>
  <c r="X930" i="2" s="1"/>
  <c r="X929" i="2"/>
  <c r="X931" i="2" s="1"/>
  <c r="X946" i="2"/>
  <c r="X938" i="2"/>
  <c r="X937" i="2"/>
  <c r="Z944" i="2"/>
  <c r="X932" i="2" l="1"/>
  <c r="Y933" i="2" s="1"/>
  <c r="X939" i="2"/>
  <c r="X941" i="2" s="1"/>
  <c r="X940" i="2"/>
  <c r="X942" i="2" s="1"/>
  <c r="X957" i="2"/>
  <c r="Z955" i="2"/>
  <c r="X949" i="2"/>
  <c r="X948" i="2"/>
  <c r="X943" i="2" l="1"/>
  <c r="Y944" i="2" s="1"/>
  <c r="X950" i="2"/>
  <c r="X952" i="2" s="1"/>
  <c r="X951" i="2"/>
  <c r="X953" i="2" s="1"/>
  <c r="X968" i="2"/>
  <c r="Z966" i="2"/>
  <c r="X959" i="2"/>
  <c r="X960" i="2"/>
  <c r="X954" i="2" l="1"/>
  <c r="Y955" i="2" s="1"/>
  <c r="X961" i="2"/>
  <c r="X962" i="2"/>
  <c r="X964" i="2" s="1"/>
  <c r="X971" i="2"/>
  <c r="X979" i="2"/>
  <c r="Z977" i="2"/>
  <c r="X970" i="2"/>
  <c r="X981" i="2" l="1"/>
  <c r="Z988" i="2"/>
  <c r="X990" i="2"/>
  <c r="X982" i="2"/>
  <c r="X963" i="2"/>
  <c r="X965" i="2" s="1"/>
  <c r="Y966" i="2" s="1"/>
  <c r="X972" i="2"/>
  <c r="X974" i="2" s="1"/>
  <c r="X973" i="2"/>
  <c r="X975" i="2" s="1"/>
  <c r="X983" i="2" l="1"/>
  <c r="X984" i="2"/>
  <c r="X986" i="2" s="1"/>
  <c r="X993" i="2"/>
  <c r="Z999" i="2"/>
  <c r="X1001" i="2"/>
  <c r="X992" i="2"/>
  <c r="X976" i="2"/>
  <c r="Y977" i="2" s="1"/>
  <c r="X1012" i="2" l="1"/>
  <c r="X1003" i="2"/>
  <c r="X1004" i="2"/>
  <c r="Z1010" i="2"/>
  <c r="X985" i="2"/>
  <c r="X987" i="2" s="1"/>
  <c r="Y988" i="2" s="1"/>
  <c r="X994" i="2"/>
  <c r="X996" i="2" s="1"/>
  <c r="X995" i="2"/>
  <c r="X997" i="2" s="1"/>
  <c r="X1015" i="2" l="1"/>
  <c r="Z1021" i="2"/>
  <c r="X1023" i="2"/>
  <c r="X1014" i="2"/>
  <c r="X1005" i="2"/>
  <c r="X1006" i="2"/>
  <c r="X1008" i="2" s="1"/>
  <c r="X998" i="2"/>
  <c r="Y999" i="2" s="1"/>
  <c r="X1016" i="2" l="1"/>
  <c r="X1018" i="2" s="1"/>
  <c r="X1017" i="2"/>
  <c r="X1019" i="2" s="1"/>
  <c r="X1007" i="2"/>
  <c r="X1009" i="2" s="1"/>
  <c r="Y1010" i="2" s="1"/>
  <c r="X1034" i="2"/>
  <c r="Z1032" i="2"/>
  <c r="X1026" i="2"/>
  <c r="X1025" i="2"/>
  <c r="X1020" i="2" l="1"/>
  <c r="Y1021" i="2" s="1"/>
  <c r="X1027" i="2"/>
  <c r="X1029" i="2" s="1"/>
  <c r="X1028" i="2"/>
  <c r="X1030" i="2" s="1"/>
  <c r="Z1043" i="2"/>
  <c r="X1045" i="2"/>
  <c r="X1037" i="2"/>
  <c r="X1036" i="2"/>
  <c r="X1031" i="2" l="1"/>
  <c r="Y1032" i="2" s="1"/>
  <c r="Z1054" i="2"/>
  <c r="X1056" i="2"/>
  <c r="X1048" i="2"/>
  <c r="X1047" i="2"/>
  <c r="X1038" i="2"/>
  <c r="X1040" i="2" s="1"/>
  <c r="X1039" i="2"/>
  <c r="X1041" i="2" s="1"/>
  <c r="X1042" i="2" l="1"/>
  <c r="Y1043" i="2" s="1"/>
  <c r="X1049" i="2"/>
  <c r="X1051" i="2" s="1"/>
  <c r="X1050" i="2"/>
  <c r="X1052" i="2" s="1"/>
  <c r="X1058" i="2"/>
  <c r="Z1065" i="2"/>
  <c r="X1067" i="2"/>
  <c r="X1059" i="2"/>
  <c r="X1053" i="2" l="1"/>
  <c r="Y1054" i="2" s="1"/>
  <c r="X1078" i="2"/>
  <c r="X1070" i="2"/>
  <c r="X1069" i="2"/>
  <c r="Z1076" i="2"/>
  <c r="X1060" i="2"/>
  <c r="X1062" i="2" s="1"/>
  <c r="X1061" i="2"/>
  <c r="X1063" i="2" s="1"/>
  <c r="X1064" i="2" l="1"/>
  <c r="Y1065" i="2" s="1"/>
  <c r="Z1087" i="2"/>
  <c r="X1089" i="2"/>
  <c r="X1080" i="2"/>
  <c r="X1081" i="2"/>
  <c r="X1071" i="2"/>
  <c r="X1073" i="2" s="1"/>
  <c r="X1072" i="2"/>
  <c r="X1074" i="2" s="1"/>
  <c r="X1075" i="2" l="1"/>
  <c r="Y1076" i="2" s="1"/>
  <c r="X1100" i="2"/>
  <c r="Z1098" i="2"/>
  <c r="X1091" i="2"/>
  <c r="X1092" i="2"/>
  <c r="X1082" i="2"/>
  <c r="X1084" i="2" s="1"/>
  <c r="X1083" i="2"/>
  <c r="X1085" i="2" s="1"/>
  <c r="X1086" i="2" l="1"/>
  <c r="Y1087" i="2" s="1"/>
  <c r="Z1109" i="2"/>
  <c r="X1102" i="2"/>
  <c r="X1103" i="2"/>
  <c r="X1111" i="2"/>
  <c r="X1093" i="2"/>
  <c r="X1095" i="2" s="1"/>
  <c r="X1094" i="2"/>
  <c r="X1096" i="2" s="1"/>
  <c r="X1097" i="2" l="1"/>
  <c r="Y1098" i="2" s="1"/>
  <c r="X1113" i="2"/>
  <c r="X1122" i="2"/>
  <c r="Z1120" i="2"/>
  <c r="X1114" i="2"/>
  <c r="X1104" i="2"/>
  <c r="X1106" i="2" s="1"/>
  <c r="X1105" i="2"/>
  <c r="X1107" i="2" s="1"/>
  <c r="X1108" i="2" l="1"/>
  <c r="Y1109" i="2" s="1"/>
  <c r="X1115" i="2"/>
  <c r="X1116" i="2"/>
  <c r="X1118" i="2" s="1"/>
  <c r="X1133" i="2"/>
  <c r="Z1131" i="2"/>
  <c r="X1124" i="2"/>
  <c r="X1125" i="2"/>
  <c r="X1126" i="2" l="1"/>
  <c r="X1127" i="2"/>
  <c r="X1129" i="2" s="1"/>
  <c r="X1117" i="2"/>
  <c r="X1119" i="2" s="1"/>
  <c r="Y1120" i="2" s="1"/>
  <c r="X1135" i="2"/>
  <c r="X1136" i="2"/>
  <c r="X1144" i="2"/>
  <c r="Z1142" i="2"/>
  <c r="X1137" i="2" l="1"/>
  <c r="X1139" i="2" s="1"/>
  <c r="X1138" i="2"/>
  <c r="X1140" i="2" s="1"/>
  <c r="X1128" i="2"/>
  <c r="X1130" i="2" s="1"/>
  <c r="Y1131" i="2" s="1"/>
  <c r="Z1153" i="2"/>
  <c r="X1155" i="2"/>
  <c r="X1146" i="2"/>
  <c r="X1147" i="2"/>
  <c r="X1141" i="2" l="1"/>
  <c r="Y1142" i="2" s="1"/>
  <c r="X1166" i="2"/>
  <c r="X1158" i="2"/>
  <c r="X1157" i="2"/>
  <c r="Z1164" i="2"/>
  <c r="X1148" i="2"/>
  <c r="X1150" i="2" s="1"/>
  <c r="X1149" i="2"/>
  <c r="X1151" i="2" s="1"/>
  <c r="X1152" i="2" l="1"/>
  <c r="Y1153" i="2" s="1"/>
  <c r="Z1175" i="2"/>
  <c r="X1177" i="2"/>
  <c r="X1168" i="2"/>
  <c r="X1169" i="2"/>
  <c r="X1159" i="2"/>
  <c r="X1161" i="2" s="1"/>
  <c r="X1160" i="2"/>
  <c r="X1162" i="2" s="1"/>
  <c r="X1163" i="2" l="1"/>
  <c r="Y1164" i="2" s="1"/>
  <c r="X1180" i="2"/>
  <c r="Z1186" i="2"/>
  <c r="X1179" i="2"/>
  <c r="X1188" i="2"/>
  <c r="X1170" i="2"/>
  <c r="X1171" i="2"/>
  <c r="X1173" i="2" s="1"/>
  <c r="X1191" i="2" l="1"/>
  <c r="Z1197" i="2"/>
  <c r="X1190" i="2"/>
  <c r="X1199" i="2"/>
  <c r="X1172" i="2"/>
  <c r="X1174" i="2" s="1"/>
  <c r="Y1175" i="2" s="1"/>
  <c r="X1181" i="2"/>
  <c r="X1182" i="2"/>
  <c r="X1184" i="2" s="1"/>
  <c r="X1183" i="2" l="1"/>
  <c r="X1185" i="2" s="1"/>
  <c r="Y1186" i="2" s="1"/>
  <c r="X1210" i="2"/>
  <c r="X1202" i="2"/>
  <c r="X1201" i="2"/>
  <c r="Z1208" i="2"/>
  <c r="X1192" i="2"/>
  <c r="X1194" i="2" s="1"/>
  <c r="X1193" i="2"/>
  <c r="X1195" i="2" s="1"/>
  <c r="X1196" i="2" l="1"/>
  <c r="Y1197" i="2" s="1"/>
  <c r="X1203" i="2"/>
  <c r="X1205" i="2" s="1"/>
  <c r="X1204" i="2"/>
  <c r="X1206" i="2" s="1"/>
  <c r="X1212" i="2"/>
  <c r="X1213" i="2"/>
  <c r="X1221" i="2"/>
  <c r="Z1219" i="2"/>
  <c r="X1207" i="2" l="1"/>
  <c r="Y1208" i="2" s="1"/>
  <c r="Z1230" i="2"/>
  <c r="X1223" i="2"/>
  <c r="X1232" i="2"/>
  <c r="X1224" i="2"/>
  <c r="X1214" i="2"/>
  <c r="X1216" i="2" s="1"/>
  <c r="X1215" i="2"/>
  <c r="X1217" i="2" s="1"/>
  <c r="X1218" i="2" l="1"/>
  <c r="Y1219" i="2" s="1"/>
  <c r="X1225" i="2"/>
  <c r="X1227" i="2" s="1"/>
  <c r="X1226" i="2"/>
  <c r="X1228" i="2" s="1"/>
  <c r="X1234" i="2"/>
  <c r="Z1241" i="2"/>
  <c r="X1243" i="2"/>
  <c r="X1235" i="2"/>
  <c r="X1229" i="2" l="1"/>
  <c r="Y1230" i="2" s="1"/>
  <c r="X1246" i="2"/>
  <c r="X1245" i="2"/>
  <c r="X1254" i="2"/>
  <c r="Z1252" i="2"/>
  <c r="X1236" i="2"/>
  <c r="X1238" i="2" s="1"/>
  <c r="X1237" i="2"/>
  <c r="X1239" i="2" s="1"/>
  <c r="X1240" i="2" l="1"/>
  <c r="Y1241" i="2" s="1"/>
  <c r="X1247" i="2"/>
  <c r="X1249" i="2" s="1"/>
  <c r="X1248" i="2"/>
  <c r="X1250" i="2" s="1"/>
  <c r="X1256" i="2"/>
  <c r="X1257" i="2"/>
  <c r="X1265" i="2"/>
  <c r="Z1263" i="2"/>
  <c r="X1251" i="2" l="1"/>
  <c r="Y1252" i="2" s="1"/>
  <c r="Z1274" i="2"/>
  <c r="X1267" i="2"/>
  <c r="X1276" i="2"/>
  <c r="X1268" i="2"/>
  <c r="X1258" i="2"/>
  <c r="X1259" i="2"/>
  <c r="X1261" i="2" s="1"/>
  <c r="X1260" i="2" l="1"/>
  <c r="X1262" i="2" s="1"/>
  <c r="Y1263" i="2" s="1"/>
  <c r="X1269" i="2"/>
  <c r="X1270" i="2"/>
  <c r="X1272" i="2" s="1"/>
  <c r="Z1285" i="2"/>
  <c r="X1278" i="2"/>
  <c r="X1287" i="2"/>
  <c r="X1279" i="2"/>
  <c r="X1280" i="2" l="1"/>
  <c r="X1281" i="2"/>
  <c r="X1283" i="2" s="1"/>
  <c r="X1298" i="2"/>
  <c r="X1289" i="2"/>
  <c r="X1290" i="2"/>
  <c r="Z1296" i="2"/>
  <c r="X1271" i="2"/>
  <c r="X1273" i="2" s="1"/>
  <c r="Y1274" i="2" s="1"/>
  <c r="X1291" i="2" l="1"/>
  <c r="X1292" i="2"/>
  <c r="X1294" i="2" s="1"/>
  <c r="X1282" i="2"/>
  <c r="X1284" i="2" s="1"/>
  <c r="Y1285" i="2" s="1"/>
  <c r="Z1307" i="2"/>
  <c r="X1309" i="2"/>
  <c r="X1301" i="2"/>
  <c r="X1300" i="2"/>
  <c r="X1302" i="2" l="1"/>
  <c r="X1303" i="2"/>
  <c r="X1305" i="2" s="1"/>
  <c r="X1293" i="2"/>
  <c r="X1295" i="2" s="1"/>
  <c r="Y1296" i="2" s="1"/>
  <c r="Z1318" i="2"/>
  <c r="X1311" i="2"/>
  <c r="X1320" i="2"/>
  <c r="X1312" i="2"/>
  <c r="X1304" i="2" l="1"/>
  <c r="X1306" i="2" s="1"/>
  <c r="Y1307" i="2" s="1"/>
  <c r="X1313" i="2"/>
  <c r="X1315" i="2" s="1"/>
  <c r="X1314" i="2"/>
  <c r="X1316" i="2" s="1"/>
  <c r="X1323" i="2"/>
  <c r="X1322" i="2"/>
  <c r="Z1329" i="2"/>
  <c r="X1331" i="2"/>
  <c r="X1334" i="2" l="1"/>
  <c r="X1333" i="2"/>
  <c r="X1342" i="2"/>
  <c r="Z1340" i="2"/>
  <c r="X1324" i="2"/>
  <c r="X1326" i="2" s="1"/>
  <c r="X1325" i="2"/>
  <c r="X1327" i="2" s="1"/>
  <c r="X1317" i="2"/>
  <c r="Y1318" i="2" s="1"/>
  <c r="X1328" i="2" l="1"/>
  <c r="Y1329" i="2" s="1"/>
  <c r="X1335" i="2"/>
  <c r="X1336" i="2"/>
  <c r="X1338" i="2" s="1"/>
  <c r="X1344" i="2"/>
  <c r="X1353" i="2"/>
  <c r="X1345" i="2"/>
  <c r="Z1351" i="2"/>
  <c r="X1364" i="2" l="1"/>
  <c r="X1356" i="2"/>
  <c r="Z1362" i="2"/>
  <c r="X1355" i="2"/>
  <c r="X1337" i="2"/>
  <c r="X1339" i="2" s="1"/>
  <c r="Y1340" i="2" s="1"/>
  <c r="X1346" i="2"/>
  <c r="X1348" i="2" s="1"/>
  <c r="X1347" i="2"/>
  <c r="X1349" i="2" s="1"/>
  <c r="X1357" i="2" l="1"/>
  <c r="X1359" i="2" s="1"/>
  <c r="X1358" i="2"/>
  <c r="X1360" i="2" s="1"/>
  <c r="X1367" i="2"/>
  <c r="Z1373" i="2"/>
  <c r="X1366" i="2"/>
  <c r="X1375" i="2"/>
  <c r="X1350" i="2"/>
  <c r="Y1351" i="2" s="1"/>
  <c r="X1361" i="2" l="1"/>
  <c r="Y1362" i="2" s="1"/>
  <c r="X1368" i="2"/>
  <c r="X1370" i="2" s="1"/>
  <c r="X1369" i="2"/>
  <c r="X1371" i="2" s="1"/>
  <c r="X1386" i="2"/>
  <c r="X1378" i="2"/>
  <c r="X1377" i="2"/>
  <c r="Z1384" i="2"/>
  <c r="X1372" i="2" l="1"/>
  <c r="Y1373" i="2" s="1"/>
  <c r="X1379" i="2"/>
  <c r="X1381" i="2" s="1"/>
  <c r="X1380" i="2"/>
  <c r="X1382" i="2" s="1"/>
  <c r="X1388" i="2"/>
  <c r="X1397" i="2"/>
  <c r="Z1395" i="2"/>
  <c r="X1389" i="2"/>
  <c r="X1383" i="2" l="1"/>
  <c r="Y1384" i="2" s="1"/>
  <c r="Z1406" i="2"/>
  <c r="X1408" i="2"/>
  <c r="X1400" i="2"/>
  <c r="X1399" i="2"/>
  <c r="X1390" i="2"/>
  <c r="X1391" i="2"/>
  <c r="X1393" i="2" s="1"/>
  <c r="X1401" i="2" l="1"/>
  <c r="X1402" i="2"/>
  <c r="X1404" i="2" s="1"/>
  <c r="X1392" i="2"/>
  <c r="X1394" i="2" s="1"/>
  <c r="Y1395" i="2" s="1"/>
  <c r="Z1417" i="2"/>
  <c r="X1419" i="2"/>
  <c r="X1411" i="2"/>
  <c r="X1410" i="2"/>
  <c r="X1412" i="2" l="1"/>
  <c r="X1414" i="2" s="1"/>
  <c r="X1413" i="2"/>
  <c r="X1415" i="2" s="1"/>
  <c r="X1403" i="2"/>
  <c r="X1405" i="2" s="1"/>
  <c r="Y1406" i="2" s="1"/>
  <c r="X1421" i="2"/>
  <c r="X1430" i="2"/>
  <c r="Z1428" i="2"/>
  <c r="X1422" i="2"/>
  <c r="X1416" i="2" l="1"/>
  <c r="Y1417" i="2" s="1"/>
  <c r="X1423" i="2"/>
  <c r="X1425" i="2" s="1"/>
  <c r="X1424" i="2"/>
  <c r="X1426" i="2" s="1"/>
  <c r="X1441" i="2"/>
  <c r="X1432" i="2"/>
  <c r="X1433" i="2"/>
  <c r="Z1439" i="2"/>
  <c r="X1427" i="2" l="1"/>
  <c r="Y1428" i="2" s="1"/>
  <c r="X1434" i="2"/>
  <c r="X1436" i="2" s="1"/>
  <c r="X1435" i="2"/>
  <c r="X1437" i="2" s="1"/>
  <c r="X1444" i="2"/>
  <c r="Z1450" i="2"/>
  <c r="X1443" i="2"/>
  <c r="X1452" i="2"/>
  <c r="X1438" i="2" l="1"/>
  <c r="Y1439" i="2" s="1"/>
  <c r="X1445" i="2"/>
  <c r="X1446" i="2"/>
  <c r="X1448" i="2" s="1"/>
  <c r="Z1461" i="2"/>
  <c r="X1454" i="2"/>
  <c r="X1455" i="2"/>
  <c r="X1463" i="2"/>
  <c r="X1456" i="2" l="1"/>
  <c r="X1458" i="2" s="1"/>
  <c r="X1457" i="2"/>
  <c r="X1459" i="2" s="1"/>
  <c r="X1447" i="2"/>
  <c r="X1449" i="2" s="1"/>
  <c r="Y1450" i="2" s="1"/>
  <c r="X1466" i="2"/>
  <c r="X1474" i="2"/>
  <c r="X1465" i="2"/>
  <c r="Z1472" i="2"/>
  <c r="X1460" i="2" l="1"/>
  <c r="Y1461" i="2" s="1"/>
  <c r="X1477" i="2"/>
  <c r="Z1483" i="2"/>
  <c r="X1476" i="2"/>
  <c r="X1485" i="2"/>
  <c r="X1467" i="2"/>
  <c r="X1469" i="2" s="1"/>
  <c r="X1468" i="2"/>
  <c r="X1470" i="2" s="1"/>
  <c r="X1471" i="2" l="1"/>
  <c r="Y1472" i="2" s="1"/>
  <c r="X1488" i="2"/>
  <c r="Z1494" i="2"/>
  <c r="X1487" i="2"/>
  <c r="X1496" i="2"/>
  <c r="X1478" i="2"/>
  <c r="X1479" i="2"/>
  <c r="X1481" i="2" s="1"/>
  <c r="Z1505" i="2" l="1"/>
  <c r="X1507" i="2"/>
  <c r="X1499" i="2"/>
  <c r="X1498" i="2"/>
  <c r="X1480" i="2"/>
  <c r="X1482" i="2" s="1"/>
  <c r="Y1483" i="2" s="1"/>
  <c r="X1489" i="2"/>
  <c r="X1490" i="2"/>
  <c r="X1492" i="2" s="1"/>
  <c r="X1491" i="2" l="1"/>
  <c r="X1493" i="2" s="1"/>
  <c r="Y1494" i="2" s="1"/>
  <c r="X1500" i="2"/>
  <c r="X1502" i="2" s="1"/>
  <c r="X1501" i="2"/>
  <c r="X1503" i="2" s="1"/>
  <c r="Z1516" i="2"/>
  <c r="X1510" i="2"/>
  <c r="X1509" i="2"/>
  <c r="X1518" i="2"/>
  <c r="X1529" i="2" l="1"/>
  <c r="X1521" i="2"/>
  <c r="Z1527" i="2"/>
  <c r="X1520" i="2"/>
  <c r="X1511" i="2"/>
  <c r="X1512" i="2"/>
  <c r="X1514" i="2" s="1"/>
  <c r="X1504" i="2"/>
  <c r="Y1505" i="2" s="1"/>
  <c r="X1522" i="2" l="1"/>
  <c r="X1524" i="2" s="1"/>
  <c r="X1523" i="2"/>
  <c r="X1525" i="2" s="1"/>
  <c r="X1513" i="2"/>
  <c r="X1515" i="2" s="1"/>
  <c r="Y1516" i="2" s="1"/>
  <c r="X1532" i="2"/>
  <c r="X1540" i="2"/>
  <c r="Z1538" i="2"/>
  <c r="X1531" i="2"/>
  <c r="X1526" i="2" l="1"/>
  <c r="Y1527" i="2" s="1"/>
  <c r="X1533" i="2"/>
  <c r="X1535" i="2" s="1"/>
  <c r="X1534" i="2"/>
  <c r="X1536" i="2" s="1"/>
  <c r="X1543" i="2"/>
  <c r="X1542" i="2"/>
  <c r="X1551" i="2"/>
  <c r="Z1549" i="2"/>
  <c r="X1537" i="2" l="1"/>
  <c r="Y1538" i="2" s="1"/>
  <c r="X1544" i="2"/>
  <c r="X1546" i="2" s="1"/>
  <c r="X1545" i="2"/>
  <c r="X1547" i="2" s="1"/>
  <c r="X1553" i="2"/>
  <c r="Z1560" i="2"/>
  <c r="X1562" i="2"/>
  <c r="X1554" i="2"/>
  <c r="X1548" i="2" l="1"/>
  <c r="Y1549" i="2" s="1"/>
  <c r="X1565" i="2"/>
  <c r="Z1571" i="2"/>
  <c r="X1564" i="2"/>
  <c r="X1573" i="2"/>
  <c r="X1555" i="2"/>
  <c r="X1557" i="2" s="1"/>
  <c r="X1556" i="2"/>
  <c r="X1558" i="2" s="1"/>
  <c r="X1559" i="2" l="1"/>
  <c r="Y1560" i="2" s="1"/>
  <c r="X1576" i="2"/>
  <c r="X1575" i="2"/>
  <c r="Z1582" i="2"/>
  <c r="X1584" i="2"/>
  <c r="X1566" i="2"/>
  <c r="X1568" i="2" s="1"/>
  <c r="X1567" i="2"/>
  <c r="X1569" i="2" s="1"/>
  <c r="X1570" i="2" l="1"/>
  <c r="Y1571" i="2" s="1"/>
  <c r="X1586" i="2"/>
  <c r="X1595" i="2"/>
  <c r="X1587" i="2"/>
  <c r="Z1593" i="2"/>
  <c r="X1577" i="2"/>
  <c r="X1579" i="2" s="1"/>
  <c r="X1578" i="2"/>
  <c r="X1580" i="2" s="1"/>
  <c r="X1581" i="2" l="1"/>
  <c r="Y1582" i="2" s="1"/>
  <c r="X1588" i="2"/>
  <c r="X1590" i="2" s="1"/>
  <c r="X1589" i="2"/>
  <c r="X1591" i="2" s="1"/>
  <c r="X1606" i="2"/>
  <c r="X1598" i="2"/>
  <c r="X1597" i="2"/>
  <c r="Z1604" i="2"/>
  <c r="X1592" i="2" l="1"/>
  <c r="Y1593" i="2" s="1"/>
  <c r="X1599" i="2"/>
  <c r="X1600" i="2"/>
  <c r="X1602" i="2" s="1"/>
  <c r="X1609" i="2"/>
  <c r="Z1615" i="2"/>
  <c r="X1608" i="2"/>
  <c r="X1617" i="2"/>
  <c r="X1610" i="2" l="1"/>
  <c r="X1612" i="2" s="1"/>
  <c r="X1611" i="2"/>
  <c r="X1613" i="2" s="1"/>
  <c r="X1601" i="2"/>
  <c r="X1603" i="2" s="1"/>
  <c r="Y1604" i="2" s="1"/>
  <c r="X1628" i="2"/>
  <c r="X1620" i="2"/>
  <c r="Z1626" i="2"/>
  <c r="X1619" i="2"/>
  <c r="X1614" i="2" l="1"/>
  <c r="Y1615" i="2" s="1"/>
  <c r="X1621" i="2"/>
  <c r="X1622" i="2"/>
  <c r="X1624" i="2" s="1"/>
  <c r="X1639" i="2"/>
  <c r="Z1637" i="2"/>
  <c r="X1630" i="2"/>
  <c r="X1631" i="2"/>
  <c r="X1632" i="2" l="1"/>
  <c r="X1633" i="2"/>
  <c r="X1635" i="2" s="1"/>
  <c r="X1623" i="2"/>
  <c r="X1625" i="2" s="1"/>
  <c r="Y1626" i="2" s="1"/>
  <c r="X1642" i="2"/>
  <c r="Z1648" i="2"/>
  <c r="X1650" i="2"/>
  <c r="X1641" i="2"/>
  <c r="X1643" i="2" l="1"/>
  <c r="X1644" i="2"/>
  <c r="X1646" i="2" s="1"/>
  <c r="X1634" i="2"/>
  <c r="X1636" i="2" s="1"/>
  <c r="Y1637" i="2" s="1"/>
  <c r="X1661" i="2"/>
  <c r="Z1659" i="2"/>
  <c r="X1653" i="2"/>
  <c r="X1652" i="2"/>
  <c r="X1654" i="2" l="1"/>
  <c r="X1655" i="2"/>
  <c r="X1657" i="2" s="1"/>
  <c r="Z1670" i="2"/>
  <c r="X1664" i="2"/>
  <c r="X1663" i="2"/>
  <c r="X1672" i="2"/>
  <c r="X1645" i="2"/>
  <c r="X1647" i="2" s="1"/>
  <c r="Y1648" i="2" s="1"/>
  <c r="X1665" i="2" l="1"/>
  <c r="X1667" i="2" s="1"/>
  <c r="X1666" i="2"/>
  <c r="X1668" i="2" s="1"/>
  <c r="X1656" i="2"/>
  <c r="X1658" i="2" s="1"/>
  <c r="Y1659" i="2" s="1"/>
  <c r="X1683" i="2"/>
  <c r="X1675" i="2"/>
  <c r="X1674" i="2"/>
  <c r="Z1681" i="2"/>
  <c r="X1669" i="2" l="1"/>
  <c r="Y1670" i="2" s="1"/>
  <c r="Z1692" i="2"/>
  <c r="X1694" i="2"/>
  <c r="X1686" i="2"/>
  <c r="X1685" i="2"/>
  <c r="X1676" i="2"/>
  <c r="X1678" i="2" s="1"/>
  <c r="X1677" i="2"/>
  <c r="X1679" i="2" s="1"/>
  <c r="X1680" i="2" l="1"/>
  <c r="Y1681" i="2" s="1"/>
  <c r="X1687" i="2"/>
  <c r="X1688" i="2"/>
  <c r="X1690" i="2" s="1"/>
  <c r="Z1703" i="2"/>
  <c r="X1696" i="2"/>
  <c r="X1705" i="2"/>
  <c r="X1697" i="2"/>
  <c r="X1698" i="2" l="1"/>
  <c r="X1700" i="2" s="1"/>
  <c r="X1699" i="2"/>
  <c r="X1701" i="2" s="1"/>
  <c r="X1708" i="2"/>
  <c r="X1716" i="2"/>
  <c r="Z1714" i="2"/>
  <c r="X1707" i="2"/>
  <c r="X1689" i="2"/>
  <c r="X1691" i="2" s="1"/>
  <c r="Y1692" i="2" s="1"/>
  <c r="X1702" i="2" l="1"/>
  <c r="Y1703" i="2" s="1"/>
  <c r="X1718" i="2"/>
  <c r="X1719" i="2"/>
  <c r="Z1725" i="2"/>
  <c r="X1727" i="2"/>
  <c r="X1709" i="2"/>
  <c r="X1711" i="2" s="1"/>
  <c r="X1710" i="2"/>
  <c r="X1712" i="2" s="1"/>
  <c r="X1713" i="2" l="1"/>
  <c r="Y1714" i="2" s="1"/>
  <c r="X1730" i="2"/>
  <c r="X1729" i="2"/>
  <c r="Z1736" i="2"/>
  <c r="X1738" i="2"/>
  <c r="X1720" i="2"/>
  <c r="X1722" i="2" s="1"/>
  <c r="X1721" i="2"/>
  <c r="X1723" i="2" s="1"/>
  <c r="X1724" i="2" l="1"/>
  <c r="Y1725" i="2" s="1"/>
  <c r="X1741" i="2"/>
  <c r="X1749" i="2"/>
  <c r="Z1747" i="2"/>
  <c r="X1740" i="2"/>
  <c r="X1731" i="2"/>
  <c r="X1733" i="2" s="1"/>
  <c r="X1732" i="2"/>
  <c r="X1734" i="2" s="1"/>
  <c r="X1735" i="2" l="1"/>
  <c r="Y1736" i="2" s="1"/>
  <c r="X1742" i="2"/>
  <c r="X1744" i="2" s="1"/>
  <c r="X1743" i="2"/>
  <c r="X1745" i="2" s="1"/>
  <c r="X1752" i="2"/>
  <c r="X1751" i="2"/>
  <c r="Z1758" i="2"/>
  <c r="X1760" i="2"/>
  <c r="X1746" i="2" l="1"/>
  <c r="Y1747" i="2" s="1"/>
  <c r="X1753" i="2"/>
  <c r="X1755" i="2" s="1"/>
  <c r="X1754" i="2"/>
  <c r="X1756" i="2" s="1"/>
  <c r="X1763" i="2"/>
  <c r="X1771" i="2"/>
  <c r="Z1769" i="2"/>
  <c r="X1762" i="2"/>
  <c r="X1757" i="2" l="1"/>
  <c r="Y1758" i="2" s="1"/>
  <c r="Z1780" i="2"/>
  <c r="X1773" i="2"/>
  <c r="X1782" i="2"/>
  <c r="X1774" i="2"/>
  <c r="X1764" i="2"/>
  <c r="X1766" i="2" s="1"/>
  <c r="X1765" i="2"/>
  <c r="X1767" i="2" s="1"/>
  <c r="X1768" i="2" l="1"/>
  <c r="Y1769" i="2" s="1"/>
  <c r="X1775" i="2"/>
  <c r="X1777" i="2" s="1"/>
  <c r="X1776" i="2"/>
  <c r="X1778" i="2" s="1"/>
  <c r="Z1791" i="2"/>
  <c r="X1784" i="2"/>
  <c r="X1793" i="2"/>
  <c r="X1785" i="2"/>
  <c r="X1779" i="2" l="1"/>
  <c r="Y1780" i="2" s="1"/>
  <c r="X1786" i="2"/>
  <c r="X1787" i="2"/>
  <c r="X1789" i="2" s="1"/>
  <c r="X1796" i="2"/>
  <c r="X1804" i="2"/>
  <c r="Z1802" i="2"/>
  <c r="X1795" i="2"/>
  <c r="X1806" i="2" l="1"/>
  <c r="X1807" i="2"/>
  <c r="X1815" i="2"/>
  <c r="Z1813" i="2"/>
  <c r="X1788" i="2"/>
  <c r="X1790" i="2" s="1"/>
  <c r="Y1791" i="2" s="1"/>
  <c r="X1797" i="2"/>
  <c r="X1798" i="2"/>
  <c r="X1800" i="2" s="1"/>
  <c r="X1808" i="2" l="1"/>
  <c r="X1809" i="2"/>
  <c r="X1811" i="2" s="1"/>
  <c r="X1799" i="2"/>
  <c r="X1801" i="2" s="1"/>
  <c r="Y1802" i="2" s="1"/>
  <c r="X1826" i="2"/>
  <c r="X1817" i="2"/>
  <c r="X1818" i="2"/>
  <c r="Z1824" i="2"/>
  <c r="X1837" i="2" l="1"/>
  <c r="Z1835" i="2"/>
  <c r="X1829" i="2"/>
  <c r="X1828" i="2"/>
  <c r="X1810" i="2"/>
  <c r="X1812" i="2" s="1"/>
  <c r="Y1813" i="2" s="1"/>
  <c r="X1819" i="2"/>
  <c r="X1821" i="2" s="1"/>
  <c r="X1820" i="2"/>
  <c r="X1822" i="2" s="1"/>
  <c r="X1823" i="2" l="1"/>
  <c r="Y1824" i="2" s="1"/>
  <c r="X1830" i="2"/>
  <c r="X1832" i="2" s="1"/>
  <c r="X1831" i="2"/>
  <c r="X1833" i="2" s="1"/>
  <c r="X1840" i="2"/>
  <c r="Z1846" i="2"/>
  <c r="X1848" i="2"/>
  <c r="X1839" i="2"/>
  <c r="X1834" i="2" l="1"/>
  <c r="Y1835" i="2" s="1"/>
  <c r="X1859" i="2"/>
  <c r="X1850" i="2"/>
  <c r="X1851" i="2"/>
  <c r="Z1857" i="2"/>
  <c r="X1841" i="2"/>
  <c r="X1843" i="2" s="1"/>
  <c r="X1842" i="2"/>
  <c r="X1844" i="2" s="1"/>
  <c r="X1845" i="2" l="1"/>
  <c r="Y1846" i="2" s="1"/>
  <c r="X1861" i="2"/>
  <c r="X1862" i="2"/>
  <c r="X1870" i="2"/>
  <c r="Z1868" i="2"/>
  <c r="X1852" i="2"/>
  <c r="X1854" i="2" s="1"/>
  <c r="X1853" i="2"/>
  <c r="X1855" i="2" s="1"/>
  <c r="X1856" i="2" l="1"/>
  <c r="Y1857" i="2" s="1"/>
  <c r="X1863" i="2"/>
  <c r="X1865" i="2" s="1"/>
  <c r="X1864" i="2"/>
  <c r="X1866" i="2" s="1"/>
  <c r="X1881" i="2"/>
  <c r="X1873" i="2"/>
  <c r="Z1879" i="2"/>
  <c r="X1872" i="2"/>
  <c r="X1867" i="2" l="1"/>
  <c r="Y1868" i="2" s="1"/>
  <c r="X1874" i="2"/>
  <c r="X1875" i="2"/>
  <c r="X1877" i="2" s="1"/>
  <c r="X1884" i="2"/>
  <c r="X1892" i="2"/>
  <c r="Z1890" i="2"/>
  <c r="X1883" i="2"/>
  <c r="X1894" i="2" l="1"/>
  <c r="Z1901" i="2"/>
  <c r="X1895" i="2"/>
  <c r="X1903" i="2"/>
  <c r="X1876" i="2"/>
  <c r="X1878" i="2" s="1"/>
  <c r="Y1879" i="2" s="1"/>
  <c r="X1885" i="2"/>
  <c r="X1887" i="2" s="1"/>
  <c r="X1886" i="2"/>
  <c r="X1888" i="2" s="1"/>
  <c r="X1889" i="2" l="1"/>
  <c r="Y1890" i="2" s="1"/>
  <c r="X1905" i="2"/>
  <c r="X1906" i="2"/>
  <c r="Z1912" i="2"/>
  <c r="X1914" i="2"/>
  <c r="X1896" i="2"/>
  <c r="X1898" i="2" s="1"/>
  <c r="X1897" i="2"/>
  <c r="X1899" i="2" s="1"/>
  <c r="X1900" i="2" l="1"/>
  <c r="Y1901" i="2" s="1"/>
  <c r="Z1923" i="2"/>
  <c r="X1917" i="2"/>
  <c r="X1916" i="2"/>
  <c r="X1925" i="2"/>
  <c r="X1907" i="2"/>
  <c r="X1908" i="2"/>
  <c r="X1910" i="2" s="1"/>
  <c r="Z1934" i="2" l="1"/>
  <c r="X1936" i="2"/>
  <c r="X1927" i="2"/>
  <c r="X1928" i="2"/>
  <c r="X1909" i="2"/>
  <c r="X1911" i="2" s="1"/>
  <c r="Y1912" i="2" s="1"/>
  <c r="X1918" i="2"/>
  <c r="X1920" i="2" s="1"/>
  <c r="X1919" i="2"/>
  <c r="X1921" i="2" s="1"/>
  <c r="Z1945" i="2" l="1"/>
  <c r="X1939" i="2"/>
  <c r="X1938" i="2"/>
  <c r="X1947" i="2"/>
  <c r="X1929" i="2"/>
  <c r="X1931" i="2" s="1"/>
  <c r="X1930" i="2"/>
  <c r="X1932" i="2" s="1"/>
  <c r="X1922" i="2"/>
  <c r="Y1923" i="2" s="1"/>
  <c r="X1933" i="2" l="1"/>
  <c r="Y1934" i="2" s="1"/>
  <c r="X1958" i="2"/>
  <c r="X1950" i="2"/>
  <c r="X1949" i="2"/>
  <c r="Z1956" i="2"/>
  <c r="X1940" i="2"/>
  <c r="X1941" i="2"/>
  <c r="X1943" i="2" s="1"/>
  <c r="X1942" i="2" l="1"/>
  <c r="X1944" i="2" s="1"/>
  <c r="Y1945" i="2" s="1"/>
  <c r="X1969" i="2"/>
  <c r="Z1967" i="2"/>
  <c r="X1961" i="2"/>
  <c r="X1960" i="2"/>
  <c r="X1951" i="2"/>
  <c r="X1952" i="2"/>
  <c r="X1954" i="2" s="1"/>
  <c r="X1953" i="2" l="1"/>
  <c r="X1955" i="2" s="1"/>
  <c r="Y1956" i="2" s="1"/>
  <c r="X1962" i="2"/>
  <c r="X1964" i="2" s="1"/>
  <c r="X1963" i="2"/>
  <c r="X1965" i="2" s="1"/>
  <c r="X1980" i="2"/>
  <c r="Z1978" i="2"/>
  <c r="X1972" i="2"/>
  <c r="X1971" i="2"/>
  <c r="X1973" i="2" l="1"/>
  <c r="X1975" i="2" s="1"/>
  <c r="X1974" i="2"/>
  <c r="X1976" i="2" s="1"/>
  <c r="X1991" i="2"/>
  <c r="Z1989" i="2"/>
  <c r="X1982" i="2"/>
  <c r="X1983" i="2"/>
  <c r="X1966" i="2"/>
  <c r="Y1967" i="2" s="1"/>
  <c r="X1977" i="2" l="1"/>
  <c r="Y1978" i="2" s="1"/>
  <c r="X1984" i="2"/>
  <c r="X1986" i="2" s="1"/>
  <c r="X1985" i="2"/>
  <c r="X1987" i="2" s="1"/>
  <c r="X1994" i="2"/>
  <c r="X1993" i="2"/>
  <c r="Z2000" i="2"/>
  <c r="X2002" i="2"/>
  <c r="X1988" i="2" l="1"/>
  <c r="Y1989" i="2" s="1"/>
  <c r="X1995" i="2"/>
  <c r="X1996" i="2"/>
  <c r="X1998" i="2" s="1"/>
  <c r="Z2011" i="2"/>
  <c r="X2004" i="2"/>
  <c r="X2013" i="2"/>
  <c r="X2005" i="2"/>
  <c r="X2006" i="2" l="1"/>
  <c r="X2008" i="2" s="1"/>
  <c r="X2007" i="2"/>
  <c r="X2009" i="2" s="1"/>
  <c r="X2015" i="2"/>
  <c r="Z2022" i="2"/>
  <c r="X2024" i="2"/>
  <c r="X2016" i="2"/>
  <c r="X1997" i="2"/>
  <c r="X1999" i="2" s="1"/>
  <c r="Y2000" i="2" s="1"/>
  <c r="X2010" i="2" l="1"/>
  <c r="Y2011" i="2" s="1"/>
  <c r="X2026" i="2"/>
  <c r="X2035" i="2"/>
  <c r="X2027" i="2"/>
  <c r="Z2033" i="2"/>
  <c r="X2017" i="2"/>
  <c r="X2018" i="2"/>
  <c r="X2020" i="2" s="1"/>
  <c r="X2028" i="2" l="1"/>
  <c r="X2030" i="2" s="1"/>
  <c r="X2029" i="2"/>
  <c r="X2031" i="2" s="1"/>
  <c r="X2019" i="2"/>
  <c r="X2021" i="2" s="1"/>
  <c r="Y2022" i="2" s="1"/>
  <c r="X2046" i="2"/>
  <c r="X2038" i="2"/>
  <c r="Z2044" i="2"/>
  <c r="X2037" i="2"/>
  <c r="X2032" i="2" l="1"/>
  <c r="Y2033" i="2" s="1"/>
  <c r="X2039" i="2"/>
  <c r="X2040" i="2"/>
  <c r="X2042" i="2" s="1"/>
  <c r="X2048" i="2"/>
  <c r="X2057" i="2"/>
  <c r="X2049" i="2"/>
  <c r="Z2055" i="2"/>
  <c r="X2041" i="2" l="1"/>
  <c r="X2043" i="2" s="1"/>
  <c r="Y2044" i="2" s="1"/>
  <c r="X2050" i="2"/>
  <c r="X2052" i="2" s="1"/>
  <c r="X2051" i="2"/>
  <c r="X2053" i="2" s="1"/>
  <c r="Z2066" i="2"/>
  <c r="X2059" i="2"/>
  <c r="X2068" i="2"/>
  <c r="X2060" i="2"/>
  <c r="X2054" i="2" l="1"/>
  <c r="Y2055" i="2" s="1"/>
  <c r="X2071" i="2"/>
  <c r="X2079" i="2"/>
  <c r="Z2077" i="2"/>
  <c r="X2070" i="2"/>
  <c r="X2061" i="2"/>
  <c r="X2062" i="2"/>
  <c r="X2064" i="2" s="1"/>
  <c r="X2063" i="2" l="1"/>
  <c r="X2065" i="2" s="1"/>
  <c r="Y2066" i="2" s="1"/>
  <c r="Z2088" i="2"/>
  <c r="X2090" i="2"/>
  <c r="X2082" i="2"/>
  <c r="X2081" i="2"/>
  <c r="X2072" i="2"/>
  <c r="X2074" i="2" s="1"/>
  <c r="X2073" i="2"/>
  <c r="X2075" i="2" s="1"/>
  <c r="X2083" i="2" l="1"/>
  <c r="X2085" i="2" s="1"/>
  <c r="X2084" i="2"/>
  <c r="X2086" i="2" s="1"/>
  <c r="X2101" i="2"/>
  <c r="X2092" i="2"/>
  <c r="X2093" i="2"/>
  <c r="Z2099" i="2"/>
  <c r="X2076" i="2"/>
  <c r="Y2077" i="2" s="1"/>
  <c r="X2087" i="2" l="1"/>
  <c r="Y2088" i="2" s="1"/>
  <c r="X2104" i="2"/>
  <c r="Z2110" i="2"/>
  <c r="X2103" i="2"/>
  <c r="X2112" i="2"/>
  <c r="X2094" i="2"/>
  <c r="X2095" i="2"/>
  <c r="X2097" i="2" s="1"/>
  <c r="X2096" i="2" l="1"/>
  <c r="X2098" i="2" s="1"/>
  <c r="Y2099" i="2" s="1"/>
  <c r="X2105" i="2"/>
  <c r="X2106" i="2"/>
  <c r="X2108" i="2" s="1"/>
  <c r="X2123" i="2"/>
  <c r="Z2121" i="2"/>
  <c r="X2114" i="2"/>
  <c r="X2115" i="2"/>
  <c r="Z2132" i="2" l="1"/>
  <c r="X2125" i="2"/>
  <c r="X2134" i="2"/>
  <c r="X2126" i="2"/>
  <c r="X2116" i="2"/>
  <c r="X2118" i="2" s="1"/>
  <c r="X2117" i="2"/>
  <c r="X2119" i="2" s="1"/>
  <c r="X2107" i="2"/>
  <c r="X2109" i="2" s="1"/>
  <c r="Y2110" i="2" s="1"/>
  <c r="X2120" i="2" l="1"/>
  <c r="Y2121" i="2" s="1"/>
  <c r="Z2143" i="2"/>
  <c r="X2145" i="2"/>
  <c r="X2136" i="2"/>
  <c r="X2137" i="2"/>
  <c r="X2127" i="2"/>
  <c r="X2129" i="2" s="1"/>
  <c r="X2128" i="2"/>
  <c r="X2130" i="2" s="1"/>
  <c r="X2131" i="2" l="1"/>
  <c r="Y2132" i="2" s="1"/>
  <c r="X2138" i="2"/>
  <c r="X2140" i="2" s="1"/>
  <c r="X2139" i="2"/>
  <c r="X2141" i="2" s="1"/>
  <c r="Z2154" i="2"/>
  <c r="X2147" i="2"/>
  <c r="X2148" i="2"/>
  <c r="X2156" i="2"/>
  <c r="X2142" i="2" l="1"/>
  <c r="Y2143" i="2" s="1"/>
  <c r="Z2165" i="2"/>
  <c r="X2167" i="2"/>
  <c r="X2158" i="2"/>
  <c r="X2159" i="2"/>
  <c r="X2149" i="2"/>
  <c r="X2150" i="2"/>
  <c r="X2152" i="2" s="1"/>
  <c r="X2160" i="2" l="1"/>
  <c r="X2161" i="2"/>
  <c r="X2163" i="2" s="1"/>
  <c r="X2151" i="2"/>
  <c r="X2153" i="2" s="1"/>
  <c r="Y2154" i="2" s="1"/>
  <c r="X2169" i="2"/>
  <c r="X2178" i="2"/>
  <c r="Z2176" i="2"/>
  <c r="X2170" i="2"/>
  <c r="X2171" i="2" l="1"/>
  <c r="X2172" i="2"/>
  <c r="X2174" i="2" s="1"/>
  <c r="X2162" i="2"/>
  <c r="X2164" i="2" s="1"/>
  <c r="Y2165" i="2" s="1"/>
  <c r="X2180" i="2"/>
  <c r="X2189" i="2"/>
  <c r="Z2187" i="2"/>
  <c r="X2181" i="2"/>
  <c r="X2182" i="2" l="1"/>
  <c r="X2184" i="2" s="1"/>
  <c r="X2183" i="2"/>
  <c r="X2185" i="2" s="1"/>
  <c r="X2173" i="2"/>
  <c r="X2175" i="2" s="1"/>
  <c r="Y2176" i="2" s="1"/>
  <c r="X2192" i="2"/>
  <c r="X2191" i="2"/>
  <c r="Z2198" i="2"/>
  <c r="X2200" i="2"/>
  <c r="X2186" i="2" l="1"/>
  <c r="Y2187" i="2" s="1"/>
  <c r="X2193" i="2"/>
  <c r="X2194" i="2"/>
  <c r="X2196" i="2" s="1"/>
  <c r="X2203" i="2"/>
  <c r="X2211" i="2"/>
  <c r="Z2209" i="2"/>
  <c r="X2202" i="2"/>
  <c r="X2195" i="2" l="1"/>
  <c r="X2197" i="2" s="1"/>
  <c r="Y2198" i="2" s="1"/>
  <c r="X2204" i="2"/>
  <c r="X2205" i="2"/>
  <c r="X2207" i="2" s="1"/>
  <c r="X2222" i="2"/>
  <c r="X2214" i="2"/>
  <c r="X2213" i="2"/>
  <c r="Z2220" i="2"/>
  <c r="Z2231" i="2" l="1"/>
  <c r="X2224" i="2"/>
  <c r="X2225" i="2"/>
  <c r="X2233" i="2"/>
  <c r="X2215" i="2"/>
  <c r="X2216" i="2"/>
  <c r="X2218" i="2" s="1"/>
  <c r="X2206" i="2"/>
  <c r="X2208" i="2" s="1"/>
  <c r="Y2209" i="2" s="1"/>
  <c r="X2217" i="2" l="1"/>
  <c r="X2219" i="2" s="1"/>
  <c r="Y2220" i="2" s="1"/>
  <c r="X2226" i="2"/>
  <c r="X2227" i="2"/>
  <c r="X2229" i="2" s="1"/>
  <c r="Z2242" i="2"/>
  <c r="X2235" i="2"/>
  <c r="X2236" i="2"/>
  <c r="X2244" i="2"/>
  <c r="X2237" i="2" l="1"/>
  <c r="X2239" i="2" s="1"/>
  <c r="X2238" i="2"/>
  <c r="X2240" i="2" s="1"/>
  <c r="X2228" i="2"/>
  <c r="X2230" i="2" s="1"/>
  <c r="Y2231" i="2" s="1"/>
  <c r="X2246" i="2"/>
  <c r="X2247" i="2"/>
  <c r="X2255" i="2"/>
  <c r="Z2253" i="2"/>
  <c r="X2241" i="2" l="1"/>
  <c r="Y2242" i="2" s="1"/>
  <c r="X2248" i="2"/>
  <c r="X2250" i="2" s="1"/>
  <c r="X2249" i="2"/>
  <c r="X2251" i="2" s="1"/>
  <c r="X2257" i="2"/>
  <c r="X2258" i="2"/>
  <c r="Z2264" i="2"/>
  <c r="X2266" i="2"/>
  <c r="X2252" i="2" l="1"/>
  <c r="Y2253" i="2" s="1"/>
  <c r="Z2275" i="2"/>
  <c r="X2277" i="2"/>
  <c r="X2268" i="2"/>
  <c r="X2269" i="2"/>
  <c r="X2259" i="2"/>
  <c r="X2260" i="2"/>
  <c r="X2262" i="2" s="1"/>
  <c r="X2261" i="2" l="1"/>
  <c r="X2263" i="2" s="1"/>
  <c r="Y2264" i="2" s="1"/>
  <c r="X2279" i="2"/>
  <c r="X2288" i="2"/>
  <c r="Z2286" i="2"/>
  <c r="X2280" i="2"/>
  <c r="X2270" i="2"/>
  <c r="X2272" i="2" s="1"/>
  <c r="X2271" i="2"/>
  <c r="X2273" i="2" s="1"/>
  <c r="X2274" i="2" l="1"/>
  <c r="Y2275" i="2" s="1"/>
  <c r="X2281" i="2"/>
  <c r="X2283" i="2" s="1"/>
  <c r="X2282" i="2"/>
  <c r="X2284" i="2" s="1"/>
  <c r="Z2297" i="2"/>
  <c r="X2290" i="2"/>
  <c r="X2299" i="2"/>
  <c r="X2291" i="2"/>
  <c r="X2285" i="2" l="1"/>
  <c r="Y2286" i="2" s="1"/>
  <c r="Z2308" i="2"/>
  <c r="X2310" i="2"/>
  <c r="X2302" i="2"/>
  <c r="X2301" i="2"/>
  <c r="X2292" i="2"/>
  <c r="X2294" i="2" s="1"/>
  <c r="X2293" i="2"/>
  <c r="X2295" i="2" s="1"/>
  <c r="X2296" i="2" l="1"/>
  <c r="Y2297" i="2" s="1"/>
  <c r="X2313" i="2"/>
  <c r="Z2319" i="2"/>
  <c r="X2312" i="2"/>
  <c r="X2321" i="2"/>
  <c r="X2303" i="2"/>
  <c r="X2305" i="2" s="1"/>
  <c r="X2304" i="2"/>
  <c r="X2306" i="2" s="1"/>
  <c r="X2307" i="2" l="1"/>
  <c r="Y2308" i="2" s="1"/>
  <c r="X2314" i="2"/>
  <c r="X2316" i="2" s="1"/>
  <c r="X2315" i="2"/>
  <c r="X2317" i="2" s="1"/>
  <c r="X2332" i="2"/>
  <c r="X2324" i="2"/>
  <c r="Z2330" i="2"/>
  <c r="X2323" i="2"/>
  <c r="X2318" i="2" l="1"/>
  <c r="Y2319" i="2" s="1"/>
  <c r="X2325" i="2"/>
  <c r="X2326" i="2"/>
  <c r="X2328" i="2" s="1"/>
  <c r="X2335" i="2"/>
  <c r="Z2341" i="2"/>
  <c r="X2343" i="2"/>
  <c r="X2334" i="2"/>
  <c r="Z2352" i="2" l="1"/>
  <c r="X2354" i="2"/>
  <c r="X2346" i="2"/>
  <c r="X2345" i="2"/>
  <c r="X2327" i="2"/>
  <c r="X2329" i="2" s="1"/>
  <c r="Y2330" i="2" s="1"/>
  <c r="X2336" i="2"/>
  <c r="X2338" i="2" s="1"/>
  <c r="X2337" i="2"/>
  <c r="X2339" i="2" s="1"/>
  <c r="X2340" i="2" l="1"/>
  <c r="Y2341" i="2" s="1"/>
  <c r="X2365" i="2"/>
  <c r="Z2363" i="2"/>
  <c r="X2356" i="2"/>
  <c r="X2357" i="2"/>
  <c r="X2347" i="2"/>
  <c r="X2349" i="2" s="1"/>
  <c r="X2348" i="2"/>
  <c r="X2350" i="2" s="1"/>
  <c r="X2351" i="2" l="1"/>
  <c r="Y2352" i="2" s="1"/>
  <c r="Z2374" i="2"/>
  <c r="X2367" i="2"/>
  <c r="X2376" i="2"/>
  <c r="X2368" i="2"/>
  <c r="X2358" i="2"/>
  <c r="X2360" i="2" s="1"/>
  <c r="X2359" i="2"/>
  <c r="X2361" i="2" s="1"/>
  <c r="X2362" i="2" l="1"/>
  <c r="Y2363" i="2" s="1"/>
  <c r="X2369" i="2"/>
  <c r="X2371" i="2" s="1"/>
  <c r="X2370" i="2"/>
  <c r="X2372" i="2" s="1"/>
  <c r="X2379" i="2"/>
  <c r="X2378" i="2"/>
  <c r="Z2385" i="2"/>
  <c r="X2387" i="2"/>
  <c r="X2373" i="2" l="1"/>
  <c r="Y2374" i="2" s="1"/>
  <c r="X2398" i="2"/>
  <c r="X2390" i="2"/>
  <c r="X2389" i="2"/>
  <c r="Z2396" i="2"/>
  <c r="X2380" i="2"/>
  <c r="X2381" i="2"/>
  <c r="X2383" i="2" s="1"/>
  <c r="X2382" i="2" l="1"/>
  <c r="X2384" i="2" s="1"/>
  <c r="Y2385" i="2" s="1"/>
  <c r="X2401" i="2"/>
  <c r="X2400" i="2"/>
  <c r="Z2407" i="2"/>
  <c r="X2409" i="2"/>
  <c r="X2391" i="2"/>
  <c r="X2392" i="2"/>
  <c r="X2394" i="2" s="1"/>
  <c r="X2420" i="2" l="1"/>
  <c r="Z2418" i="2"/>
  <c r="X2411" i="2"/>
  <c r="X2412" i="2"/>
  <c r="X2393" i="2"/>
  <c r="X2395" i="2" s="1"/>
  <c r="Y2396" i="2" s="1"/>
  <c r="X2402" i="2"/>
  <c r="X2404" i="2" s="1"/>
  <c r="X2403" i="2"/>
  <c r="X2405" i="2" s="1"/>
  <c r="X2406" i="2" l="1"/>
  <c r="Y2407" i="2" s="1"/>
  <c r="Z2429" i="2"/>
  <c r="X2431" i="2"/>
  <c r="X2423" i="2"/>
  <c r="X2422" i="2"/>
  <c r="X2413" i="2"/>
  <c r="X2414" i="2"/>
  <c r="X2416" i="2" s="1"/>
  <c r="X2415" i="2" l="1"/>
  <c r="X2417" i="2" s="1"/>
  <c r="Y2418" i="2" s="1"/>
  <c r="X2434" i="2"/>
  <c r="X2442" i="2"/>
  <c r="X2433" i="2"/>
  <c r="Z2440" i="2"/>
  <c r="X2424" i="2"/>
  <c r="X2426" i="2" s="1"/>
  <c r="X2425" i="2"/>
  <c r="X2427" i="2" s="1"/>
  <c r="X2428" i="2" l="1"/>
  <c r="Y2429" i="2" s="1"/>
  <c r="X2435" i="2"/>
  <c r="X2437" i="2" s="1"/>
  <c r="X2436" i="2"/>
  <c r="X2438" i="2" s="1"/>
  <c r="Z2451" i="2"/>
  <c r="X2444" i="2"/>
  <c r="X2453" i="2"/>
  <c r="X2445" i="2"/>
  <c r="X2439" i="2" l="1"/>
  <c r="Y2440" i="2" s="1"/>
  <c r="X2464" i="2"/>
  <c r="Z2462" i="2"/>
  <c r="X2456" i="2"/>
  <c r="X2455" i="2"/>
  <c r="X2446" i="2"/>
  <c r="X2448" i="2" s="1"/>
  <c r="X2447" i="2"/>
  <c r="X2449" i="2" s="1"/>
  <c r="X2450" i="2" l="1"/>
  <c r="Y2451" i="2" s="1"/>
  <c r="X2467" i="2"/>
  <c r="X2466" i="2"/>
  <c r="Z2473" i="2"/>
  <c r="X2475" i="2"/>
  <c r="X2457" i="2"/>
  <c r="X2459" i="2" s="1"/>
  <c r="X2458" i="2"/>
  <c r="X2460" i="2" s="1"/>
  <c r="X2461" i="2" l="1"/>
  <c r="Y2462" i="2" s="1"/>
  <c r="X2468" i="2"/>
  <c r="X2470" i="2" s="1"/>
  <c r="X2469" i="2"/>
  <c r="X2471" i="2" s="1"/>
  <c r="Z2484" i="2"/>
  <c r="X2477" i="2"/>
  <c r="X2478" i="2"/>
  <c r="X2486" i="2"/>
  <c r="X2472" i="2" l="1"/>
  <c r="Y2473" i="2" s="1"/>
  <c r="Z2495" i="2"/>
  <c r="X2488" i="2"/>
  <c r="X2497" i="2"/>
  <c r="X2489" i="2"/>
  <c r="X2479" i="2"/>
  <c r="X2481" i="2" s="1"/>
  <c r="X2480" i="2"/>
  <c r="X2482" i="2" s="1"/>
  <c r="X2483" i="2" l="1"/>
  <c r="Y2484" i="2" s="1"/>
  <c r="X2490" i="2"/>
  <c r="X2492" i="2" s="1"/>
  <c r="X2491" i="2"/>
  <c r="X2493" i="2" s="1"/>
  <c r="X2508" i="2"/>
  <c r="X2500" i="2"/>
  <c r="Z2506" i="2"/>
  <c r="X2499" i="2"/>
  <c r="X2494" i="2" l="1"/>
  <c r="Y2495" i="2" s="1"/>
  <c r="X2501" i="2"/>
  <c r="X2502" i="2"/>
  <c r="X2504" i="2" s="1"/>
  <c r="X2519" i="2"/>
  <c r="X2511" i="2"/>
  <c r="Z2517" i="2"/>
  <c r="X2510" i="2"/>
  <c r="X2503" i="2" l="1"/>
  <c r="X2505" i="2" s="1"/>
  <c r="Y2506" i="2" s="1"/>
  <c r="X2512" i="2"/>
  <c r="X2514" i="2" s="1"/>
  <c r="X2513" i="2"/>
  <c r="X2515" i="2" s="1"/>
  <c r="X2522" i="2"/>
  <c r="X2521" i="2"/>
  <c r="X2530" i="2"/>
  <c r="Z2528" i="2"/>
  <c r="X2516" i="2" l="1"/>
  <c r="Y2517" i="2" s="1"/>
  <c r="X2523" i="2"/>
  <c r="X2524" i="2"/>
  <c r="X2526" i="2" s="1"/>
  <c r="X2541" i="2"/>
  <c r="X2532" i="2"/>
  <c r="Z2539" i="2"/>
  <c r="X2533" i="2"/>
  <c r="X2525" i="2" l="1"/>
  <c r="X2527" i="2" s="1"/>
  <c r="Y2528" i="2" s="1"/>
  <c r="X2552" i="2"/>
  <c r="X2543" i="2"/>
  <c r="X2544" i="2"/>
  <c r="Z2550" i="2"/>
  <c r="X2534" i="2"/>
  <c r="X2536" i="2" s="1"/>
  <c r="X2535" i="2"/>
  <c r="X2537" i="2" s="1"/>
  <c r="X2555" i="2" l="1"/>
  <c r="Z2561" i="2"/>
  <c r="X2563" i="2"/>
  <c r="X2554" i="2"/>
  <c r="X2545" i="2"/>
  <c r="X2547" i="2" s="1"/>
  <c r="X2546" i="2"/>
  <c r="X2548" i="2" s="1"/>
  <c r="X2538" i="2"/>
  <c r="Y2539" i="2" s="1"/>
  <c r="X2549" i="2" l="1"/>
  <c r="Y2550" i="2" s="1"/>
  <c r="X2574" i="2"/>
  <c r="X2566" i="2"/>
  <c r="Z2572" i="2"/>
  <c r="X2565" i="2"/>
  <c r="X2556" i="2"/>
  <c r="X2558" i="2" s="1"/>
  <c r="X2557" i="2"/>
  <c r="X2559" i="2" s="1"/>
  <c r="X2560" i="2" l="1"/>
  <c r="Y2561" i="2" s="1"/>
  <c r="Z2583" i="2"/>
  <c r="X2577" i="2"/>
  <c r="X2576" i="2"/>
  <c r="X2585" i="2"/>
  <c r="X2567" i="2"/>
  <c r="X2569" i="2" s="1"/>
  <c r="X2568" i="2"/>
  <c r="X2570" i="2" s="1"/>
  <c r="X2571" i="2" l="1"/>
  <c r="Y2572" i="2" s="1"/>
  <c r="X2578" i="2"/>
  <c r="X2580" i="2" s="1"/>
  <c r="X2579" i="2"/>
  <c r="X2581" i="2" s="1"/>
  <c r="Z2594" i="2"/>
  <c r="X2596" i="2"/>
  <c r="X2588" i="2"/>
  <c r="X2587" i="2"/>
  <c r="X2582" i="2" l="1"/>
  <c r="Y2583" i="2" s="1"/>
  <c r="X2589" i="2"/>
  <c r="X2590" i="2"/>
  <c r="X2592" i="2" s="1"/>
  <c r="X2599" i="2"/>
  <c r="Z2605" i="2"/>
  <c r="X2607" i="2"/>
  <c r="X2598" i="2"/>
  <c r="Z2616" i="2" l="1"/>
  <c r="X2609" i="2"/>
  <c r="X2610" i="2"/>
  <c r="X2618" i="2"/>
  <c r="X2591" i="2"/>
  <c r="X2593" i="2" s="1"/>
  <c r="Y2594" i="2" s="1"/>
  <c r="X2600" i="2"/>
  <c r="X2601" i="2"/>
  <c r="X2603" i="2" s="1"/>
  <c r="X2611" i="2" l="1"/>
  <c r="X2613" i="2" s="1"/>
  <c r="X2612" i="2"/>
  <c r="X2614" i="2" s="1"/>
  <c r="X2602" i="2"/>
  <c r="X2604" i="2" s="1"/>
  <c r="Y2605" i="2" s="1"/>
  <c r="X2621" i="2"/>
  <c r="Z2627" i="2"/>
  <c r="X2620" i="2"/>
  <c r="X2629" i="2"/>
  <c r="X2615" i="2" l="1"/>
  <c r="Y2616" i="2" s="1"/>
  <c r="X2622" i="2"/>
  <c r="X2624" i="2" s="1"/>
  <c r="X2623" i="2"/>
  <c r="X2625" i="2" s="1"/>
  <c r="X2631" i="2"/>
  <c r="Z2638" i="2"/>
  <c r="X2632" i="2"/>
  <c r="X2640" i="2"/>
  <c r="X2626" i="2" l="1"/>
  <c r="Y2627" i="2" s="1"/>
  <c r="Z2649" i="2"/>
  <c r="X2651" i="2"/>
  <c r="X2643" i="2"/>
  <c r="X2642" i="2"/>
  <c r="X2633" i="2"/>
  <c r="X2634" i="2"/>
  <c r="X2636" i="2" s="1"/>
  <c r="X2635" i="2" l="1"/>
  <c r="X2637" i="2" s="1"/>
  <c r="Y2638" i="2" s="1"/>
  <c r="X2654" i="2"/>
  <c r="X2653" i="2"/>
  <c r="X2662" i="2"/>
  <c r="Z2660" i="2"/>
  <c r="X2644" i="2"/>
  <c r="X2646" i="2" s="1"/>
  <c r="X2645" i="2"/>
  <c r="X2647" i="2" s="1"/>
  <c r="X2673" i="2" l="1"/>
  <c r="X2665" i="2"/>
  <c r="Z2671" i="2"/>
  <c r="X2664" i="2"/>
  <c r="X2655" i="2"/>
  <c r="X2656" i="2"/>
  <c r="X2658" i="2" s="1"/>
  <c r="X2648" i="2"/>
  <c r="Y2649" i="2" s="1"/>
  <c r="X2657" i="2" l="1"/>
  <c r="X2659" i="2" s="1"/>
  <c r="Y2660" i="2" s="1"/>
  <c r="X2684" i="2"/>
  <c r="Z2682" i="2"/>
  <c r="X2676" i="2"/>
  <c r="X2675" i="2"/>
  <c r="X2666" i="2"/>
  <c r="X2667" i="2"/>
  <c r="X2669" i="2" s="1"/>
  <c r="X2677" i="2" l="1"/>
  <c r="X2679" i="2" s="1"/>
  <c r="X2678" i="2"/>
  <c r="X2680" i="2" s="1"/>
  <c r="X2695" i="2"/>
  <c r="X2686" i="2"/>
  <c r="Z2693" i="2"/>
  <c r="X2687" i="2"/>
  <c r="X2668" i="2"/>
  <c r="X2670" i="2" s="1"/>
  <c r="Y2671" i="2" s="1"/>
  <c r="X2681" i="2" l="1"/>
  <c r="Y2682" i="2" s="1"/>
  <c r="X2698" i="2"/>
  <c r="X2706" i="2"/>
  <c r="Z2704" i="2"/>
  <c r="X2697" i="2"/>
  <c r="X2688" i="2"/>
  <c r="X2689" i="2"/>
  <c r="X2691" i="2" s="1"/>
  <c r="X2690" i="2" l="1"/>
  <c r="X2692" i="2" s="1"/>
  <c r="Y2693" i="2" s="1"/>
  <c r="X2717" i="2"/>
  <c r="Z2715" i="2"/>
  <c r="X2708" i="2"/>
  <c r="X2709" i="2"/>
  <c r="X2699" i="2"/>
  <c r="X2700" i="2"/>
  <c r="X2702" i="2" s="1"/>
  <c r="X2710" i="2" l="1"/>
  <c r="X2711" i="2"/>
  <c r="X2713" i="2" s="1"/>
  <c r="X2701" i="2"/>
  <c r="X2703" i="2" s="1"/>
  <c r="Y2704" i="2" s="1"/>
  <c r="Z2726" i="2"/>
  <c r="X2720" i="2"/>
  <c r="X2728" i="2"/>
  <c r="X2719" i="2"/>
  <c r="X2712" i="2" l="1"/>
  <c r="X2714" i="2" s="1"/>
  <c r="Y2715" i="2" s="1"/>
  <c r="X2739" i="2"/>
  <c r="Z2737" i="2"/>
  <c r="X2730" i="2"/>
  <c r="X2731" i="2"/>
  <c r="X2721" i="2"/>
  <c r="X2723" i="2" s="1"/>
  <c r="X2722" i="2"/>
  <c r="X2724" i="2" s="1"/>
  <c r="X2750" i="2" l="1"/>
  <c r="X2742" i="2"/>
  <c r="Z2748" i="2"/>
  <c r="X2741" i="2"/>
  <c r="X2732" i="2"/>
  <c r="X2734" i="2" s="1"/>
  <c r="X2733" i="2"/>
  <c r="X2735" i="2" s="1"/>
  <c r="X2725" i="2"/>
  <c r="Y2726" i="2" s="1"/>
  <c r="X2736" i="2" l="1"/>
  <c r="Y2737" i="2" s="1"/>
  <c r="X2753" i="2"/>
  <c r="X2752" i="2"/>
  <c r="X2761" i="2"/>
  <c r="Z2759" i="2"/>
  <c r="X2743" i="2"/>
  <c r="X2745" i="2" s="1"/>
  <c r="X2744" i="2"/>
  <c r="X2746" i="2" s="1"/>
  <c r="X2747" i="2" l="1"/>
  <c r="Y2748" i="2" s="1"/>
  <c r="X2754" i="2"/>
  <c r="X2756" i="2" s="1"/>
  <c r="X2755" i="2"/>
  <c r="X2757" i="2" s="1"/>
  <c r="X2763" i="2"/>
  <c r="Z2770" i="2"/>
  <c r="X2772" i="2"/>
  <c r="X2764" i="2"/>
  <c r="X2758" i="2" l="1"/>
  <c r="Y2759" i="2" s="1"/>
  <c r="X2775" i="2"/>
  <c r="X2774" i="2"/>
  <c r="X2783" i="2"/>
  <c r="Z2781" i="2"/>
  <c r="X2765" i="2"/>
  <c r="X2767" i="2" s="1"/>
  <c r="X2766" i="2"/>
  <c r="X2768" i="2" s="1"/>
  <c r="X2769" i="2" l="1"/>
  <c r="Y2770" i="2" s="1"/>
  <c r="X2794" i="2"/>
  <c r="X2786" i="2"/>
  <c r="Z2792" i="2"/>
  <c r="X2785" i="2"/>
  <c r="X2776" i="2"/>
  <c r="X2778" i="2" s="1"/>
  <c r="X2777" i="2"/>
  <c r="X2779" i="2" s="1"/>
  <c r="X2780" i="2" l="1"/>
  <c r="Y2781" i="2" s="1"/>
  <c r="X2805" i="2"/>
  <c r="X2797" i="2"/>
  <c r="X2796" i="2"/>
  <c r="Z2803" i="2"/>
  <c r="X2787" i="2"/>
  <c r="X2789" i="2" s="1"/>
  <c r="X2788" i="2"/>
  <c r="X2790" i="2" s="1"/>
  <c r="X2791" i="2" l="1"/>
  <c r="Y2792" i="2" s="1"/>
  <c r="X2808" i="2"/>
  <c r="X2807" i="2"/>
  <c r="Z2814" i="2"/>
  <c r="X2816" i="2"/>
  <c r="X2798" i="2"/>
  <c r="X2800" i="2" s="1"/>
  <c r="X2799" i="2"/>
  <c r="X2801" i="2" s="1"/>
  <c r="X2802" i="2" l="1"/>
  <c r="Y2803" i="2" s="1"/>
  <c r="X2809" i="2"/>
  <c r="X2811" i="2" s="1"/>
  <c r="X2810" i="2"/>
  <c r="X2812" i="2" s="1"/>
  <c r="X2819" i="2"/>
  <c r="Z2825" i="2"/>
  <c r="X2818" i="2"/>
  <c r="X2827" i="2"/>
  <c r="X2813" i="2" l="1"/>
  <c r="Y2814" i="2" s="1"/>
  <c r="X2830" i="2"/>
  <c r="Z2836" i="2"/>
  <c r="X2829" i="2"/>
  <c r="X2838" i="2"/>
  <c r="X2820" i="2"/>
  <c r="X2822" i="2" s="1"/>
  <c r="X2821" i="2"/>
  <c r="X2823" i="2" s="1"/>
  <c r="X2824" i="2" l="1"/>
  <c r="Y2825" i="2" s="1"/>
  <c r="X2831" i="2"/>
  <c r="X2832" i="2"/>
  <c r="X2834" i="2" s="1"/>
  <c r="Z2847" i="2"/>
  <c r="X2840" i="2"/>
  <c r="X2849" i="2"/>
  <c r="X2841" i="2"/>
  <c r="Z2858" i="2" l="1"/>
  <c r="X2851" i="2"/>
  <c r="X2860" i="2"/>
  <c r="X2852" i="2"/>
  <c r="X2833" i="2"/>
  <c r="X2835" i="2" s="1"/>
  <c r="Y2836" i="2" s="1"/>
  <c r="X2842" i="2"/>
  <c r="X2844" i="2" s="1"/>
  <c r="X2843" i="2"/>
  <c r="X2845" i="2" s="1"/>
  <c r="X2853" i="2" l="1"/>
  <c r="X2854" i="2"/>
  <c r="X2856" i="2" s="1"/>
  <c r="X2862" i="2"/>
  <c r="X2871" i="2"/>
  <c r="Z2869" i="2"/>
  <c r="X2863" i="2"/>
  <c r="X2846" i="2"/>
  <c r="Y2847" i="2" s="1"/>
  <c r="X2864" i="2" l="1"/>
  <c r="X2865" i="2"/>
  <c r="X2867" i="2" s="1"/>
  <c r="X2855" i="2"/>
  <c r="X2857" i="2" s="1"/>
  <c r="Y2858" i="2" s="1"/>
  <c r="X2873" i="2"/>
  <c r="X2882" i="2"/>
  <c r="Z2880" i="2"/>
  <c r="X2874" i="2"/>
  <c r="X2875" i="2" l="1"/>
  <c r="X2877" i="2" s="1"/>
  <c r="X2876" i="2"/>
  <c r="X2878" i="2" s="1"/>
  <c r="X2866" i="2"/>
  <c r="X2868" i="2" s="1"/>
  <c r="Y2869" i="2" s="1"/>
  <c r="Z2891" i="2"/>
  <c r="X2893" i="2"/>
  <c r="X2885" i="2"/>
  <c r="X2884" i="2"/>
  <c r="X2879" i="2" l="1"/>
  <c r="Y2880" i="2" s="1"/>
  <c r="X2896" i="2"/>
  <c r="X2895" i="2"/>
  <c r="X2904" i="2"/>
  <c r="Z2902" i="2"/>
  <c r="X2886" i="2"/>
  <c r="X2887" i="2"/>
  <c r="X2889" i="2" s="1"/>
  <c r="Z2913" i="2" l="1"/>
  <c r="X2906" i="2"/>
  <c r="X2915" i="2"/>
  <c r="X2907" i="2"/>
  <c r="X2888" i="2"/>
  <c r="X2890" i="2" s="1"/>
  <c r="Y2891" i="2" s="1"/>
  <c r="X2897" i="2"/>
  <c r="X2898" i="2"/>
  <c r="X2900" i="2" s="1"/>
  <c r="X2908" i="2" l="1"/>
  <c r="X2910" i="2" s="1"/>
  <c r="X2909" i="2"/>
  <c r="X2911" i="2" s="1"/>
  <c r="X2899" i="2"/>
  <c r="X2901" i="2" s="1"/>
  <c r="Y2902" i="2" s="1"/>
  <c r="X2918" i="2"/>
  <c r="Z2924" i="2"/>
  <c r="X2917" i="2"/>
  <c r="X2926" i="2"/>
  <c r="X2912" i="2" l="1"/>
  <c r="Y2913" i="2" s="1"/>
  <c r="X2919" i="2"/>
  <c r="X2921" i="2" s="1"/>
  <c r="X2920" i="2"/>
  <c r="X2922" i="2" s="1"/>
  <c r="X2929" i="2"/>
  <c r="Z2935" i="2"/>
  <c r="X2937" i="2"/>
  <c r="X2928" i="2"/>
  <c r="X2923" i="2" l="1"/>
  <c r="Y2924" i="2" s="1"/>
  <c r="X2948" i="2"/>
  <c r="X2940" i="2"/>
  <c r="X2939" i="2"/>
  <c r="Z2946" i="2"/>
  <c r="X2930" i="2"/>
  <c r="X2932" i="2" s="1"/>
  <c r="X2931" i="2"/>
  <c r="X2933" i="2" s="1"/>
  <c r="X2934" i="2" l="1"/>
  <c r="Y2935" i="2" s="1"/>
  <c r="Z2957" i="2"/>
  <c r="X2959" i="2"/>
  <c r="X2950" i="2"/>
  <c r="X2951" i="2"/>
  <c r="X2941" i="2"/>
  <c r="X2943" i="2" s="1"/>
  <c r="X2942" i="2"/>
  <c r="X2944" i="2" s="1"/>
  <c r="X2945" i="2" l="1"/>
  <c r="Y2946" i="2" s="1"/>
  <c r="X2961" i="2"/>
  <c r="X2970" i="2"/>
  <c r="X2962" i="2"/>
  <c r="Z2968" i="2"/>
  <c r="X2952" i="2"/>
  <c r="X2953" i="2"/>
  <c r="X2955" i="2" s="1"/>
  <c r="X2954" i="2" l="1"/>
  <c r="X2956" i="2" s="1"/>
  <c r="Y2957" i="2" s="1"/>
  <c r="X2963" i="2"/>
  <c r="X2964" i="2"/>
  <c r="X2966" i="2" s="1"/>
  <c r="X2972" i="2"/>
  <c r="X2981" i="2"/>
  <c r="X2973" i="2"/>
  <c r="Z2979" i="2"/>
  <c r="X2974" i="2" l="1"/>
  <c r="X2975" i="2"/>
  <c r="X2977" i="2" s="1"/>
  <c r="X2992" i="2"/>
  <c r="Z2990" i="2"/>
  <c r="X2983" i="2"/>
  <c r="X2984" i="2"/>
  <c r="X2965" i="2"/>
  <c r="X2967" i="2" s="1"/>
  <c r="Y2968" i="2" s="1"/>
  <c r="X2985" i="2" l="1"/>
  <c r="X2987" i="2" s="1"/>
  <c r="X2986" i="2"/>
  <c r="X2988" i="2" s="1"/>
  <c r="X2976" i="2"/>
  <c r="X2978" i="2" s="1"/>
  <c r="Y2979" i="2" s="1"/>
  <c r="Z3001" i="2"/>
  <c r="X2995" i="2"/>
  <c r="X3003" i="2"/>
  <c r="X2994" i="2"/>
  <c r="X2989" i="2" l="1"/>
  <c r="Y2990" i="2" s="1"/>
  <c r="X2996" i="2"/>
  <c r="X2998" i="2" s="1"/>
  <c r="X2997" i="2"/>
  <c r="X2999" i="2" s="1"/>
  <c r="X3005" i="2"/>
  <c r="X3014" i="2"/>
  <c r="X3006" i="2"/>
  <c r="Z3012" i="2"/>
  <c r="X3000" i="2" l="1"/>
  <c r="Y3001" i="2" s="1"/>
  <c r="Z3023" i="2"/>
  <c r="X3017" i="2"/>
  <c r="X3016" i="2"/>
  <c r="X3025" i="2"/>
  <c r="X3007" i="2"/>
  <c r="X3009" i="2" s="1"/>
  <c r="X3008" i="2"/>
  <c r="X3010" i="2" s="1"/>
  <c r="X3011" i="2" l="1"/>
  <c r="Y3012" i="2" s="1"/>
  <c r="X3036" i="2"/>
  <c r="Z3034" i="2"/>
  <c r="X3028" i="2"/>
  <c r="X3027" i="2"/>
  <c r="X3018" i="2"/>
  <c r="X3020" i="2" s="1"/>
  <c r="X3019" i="2"/>
  <c r="X3021" i="2" s="1"/>
  <c r="X3022" i="2" l="1"/>
  <c r="Y3023" i="2" s="1"/>
  <c r="X3029" i="2"/>
  <c r="X3030" i="2"/>
  <c r="X3032" i="2" s="1"/>
  <c r="X3047" i="2"/>
  <c r="X3039" i="2"/>
  <c r="X3038" i="2"/>
  <c r="Z3045" i="2"/>
  <c r="X3040" i="2" l="1"/>
  <c r="X3042" i="2" s="1"/>
  <c r="X3041" i="2"/>
  <c r="X3043" i="2" s="1"/>
  <c r="X3031" i="2"/>
  <c r="X3033" i="2" s="1"/>
  <c r="Y3034" i="2" s="1"/>
  <c r="X3050" i="2"/>
  <c r="Z3056" i="2"/>
  <c r="X3058" i="2"/>
  <c r="X3049" i="2"/>
  <c r="X3044" i="2" l="1"/>
  <c r="Y3045" i="2" s="1"/>
  <c r="X3051" i="2"/>
  <c r="X3053" i="2" s="1"/>
  <c r="X3052" i="2"/>
  <c r="X3054" i="2" s="1"/>
  <c r="Z3067" i="2"/>
  <c r="X3061" i="2"/>
  <c r="X3069" i="2"/>
  <c r="X3060" i="2"/>
  <c r="X3055" i="2" l="1"/>
  <c r="Y3056" i="2" s="1"/>
  <c r="X3071" i="2"/>
  <c r="X3080" i="2"/>
  <c r="X3072" i="2"/>
  <c r="Z3078" i="2"/>
  <c r="X3062" i="2"/>
  <c r="X3064" i="2" s="1"/>
  <c r="X3063" i="2"/>
  <c r="X3065" i="2" s="1"/>
  <c r="X3066" i="2" l="1"/>
  <c r="Y3067" i="2" s="1"/>
  <c r="X3073" i="2"/>
  <c r="X3074" i="2"/>
  <c r="X3076" i="2" s="1"/>
  <c r="Z3089" i="2"/>
  <c r="X3082" i="2"/>
  <c r="X3091" i="2"/>
  <c r="X3083" i="2"/>
  <c r="X3084" i="2" l="1"/>
  <c r="X3085" i="2"/>
  <c r="X3087" i="2" s="1"/>
  <c r="X3093" i="2"/>
  <c r="Z3100" i="2"/>
  <c r="X3102" i="2"/>
  <c r="X3094" i="2"/>
  <c r="X3075" i="2"/>
  <c r="X3077" i="2" s="1"/>
  <c r="Y3078" i="2" s="1"/>
  <c r="Z3111" i="2" l="1"/>
  <c r="X3105" i="2"/>
  <c r="X3104" i="2"/>
  <c r="X3113" i="2"/>
  <c r="X3086" i="2"/>
  <c r="X3088" i="2" s="1"/>
  <c r="Y3089" i="2" s="1"/>
  <c r="X3095" i="2"/>
  <c r="X3096" i="2"/>
  <c r="X3098" i="2" s="1"/>
  <c r="X3115" i="2" l="1"/>
  <c r="X3124" i="2"/>
  <c r="Z3122" i="2"/>
  <c r="X3116" i="2"/>
  <c r="X3097" i="2"/>
  <c r="X3099" i="2" s="1"/>
  <c r="Y3100" i="2" s="1"/>
  <c r="X3106" i="2"/>
  <c r="X3108" i="2" s="1"/>
  <c r="X3107" i="2"/>
  <c r="X3109" i="2" s="1"/>
  <c r="X3117" i="2" l="1"/>
  <c r="X3119" i="2" s="1"/>
  <c r="X3118" i="2"/>
  <c r="X3120" i="2" s="1"/>
  <c r="Z3133" i="2"/>
  <c r="X3127" i="2"/>
  <c r="X3126" i="2"/>
  <c r="X3135" i="2"/>
  <c r="X3110" i="2"/>
  <c r="Y3111" i="2" s="1"/>
  <c r="X3121" i="2" l="1"/>
  <c r="Y3122" i="2" s="1"/>
  <c r="X3128" i="2"/>
  <c r="X3129" i="2"/>
  <c r="X3131" i="2" s="1"/>
  <c r="Z3144" i="2"/>
  <c r="X3146" i="2"/>
  <c r="X3138" i="2"/>
  <c r="X3137" i="2"/>
  <c r="X3130" i="2" l="1"/>
  <c r="X3132" i="2" s="1"/>
  <c r="Y3133" i="2" s="1"/>
  <c r="X3139" i="2"/>
  <c r="X3141" i="2" s="1"/>
  <c r="X3140" i="2"/>
  <c r="X3142" i="2" s="1"/>
  <c r="X3149" i="2"/>
  <c r="X3157" i="2"/>
  <c r="X3148" i="2"/>
  <c r="Z3155" i="2"/>
  <c r="X3143" i="2" l="1"/>
  <c r="Y3144" i="2" s="1"/>
  <c r="X3159" i="2"/>
  <c r="X3168" i="2"/>
  <c r="Z3166" i="2"/>
  <c r="X3160" i="2"/>
  <c r="X3150" i="2"/>
  <c r="X3152" i="2" s="1"/>
  <c r="X3151" i="2"/>
  <c r="X3153" i="2" s="1"/>
  <c r="X3154" i="2" l="1"/>
  <c r="Y3155" i="2" s="1"/>
  <c r="Z3177" i="2"/>
  <c r="X3171" i="2"/>
  <c r="X3179" i="2"/>
  <c r="X3170" i="2"/>
  <c r="X3161" i="2"/>
  <c r="X3163" i="2" s="1"/>
  <c r="X3162" i="2"/>
  <c r="X3164" i="2" s="1"/>
  <c r="X3165" i="2" l="1"/>
  <c r="Y3166" i="2" s="1"/>
  <c r="Z3188" i="2"/>
  <c r="X3181" i="2"/>
  <c r="X3182" i="2"/>
  <c r="X3190" i="2"/>
  <c r="X3172" i="2"/>
  <c r="X3174" i="2" s="1"/>
  <c r="X3173" i="2"/>
  <c r="X3175" i="2" s="1"/>
  <c r="X3176" i="2" l="1"/>
  <c r="Y3177" i="2" s="1"/>
  <c r="X3183" i="2"/>
  <c r="X3185" i="2" s="1"/>
  <c r="X3184" i="2"/>
  <c r="X3186" i="2" s="1"/>
  <c r="Z3199" i="2"/>
  <c r="X3201" i="2"/>
  <c r="X3193" i="2"/>
  <c r="X3192" i="2"/>
  <c r="X3187" i="2" l="1"/>
  <c r="Y3188" i="2" s="1"/>
  <c r="X3194" i="2"/>
  <c r="X3196" i="2" s="1"/>
  <c r="X3195" i="2"/>
  <c r="X3197" i="2" s="1"/>
  <c r="X3204" i="2"/>
  <c r="Z3210" i="2"/>
  <c r="X3203" i="2"/>
  <c r="X3212" i="2"/>
  <c r="X3198" i="2" l="1"/>
  <c r="Y3199" i="2" s="1"/>
  <c r="X3205" i="2"/>
  <c r="X3206" i="2"/>
  <c r="X3208" i="2" s="1"/>
  <c r="X3215" i="2"/>
  <c r="X3214" i="2"/>
  <c r="X3223" i="2"/>
  <c r="Z3221" i="2"/>
  <c r="X3226" i="2" l="1"/>
  <c r="Z3232" i="2"/>
  <c r="X3225" i="2"/>
  <c r="X3234" i="2"/>
  <c r="X3207" i="2"/>
  <c r="X3209" i="2" s="1"/>
  <c r="Y3210" i="2" s="1"/>
  <c r="X3216" i="2"/>
  <c r="X3218" i="2" s="1"/>
  <c r="X3217" i="2"/>
  <c r="X3219" i="2" s="1"/>
  <c r="X3220" i="2" l="1"/>
  <c r="Y3221" i="2" s="1"/>
  <c r="X3227" i="2"/>
  <c r="X3228" i="2"/>
  <c r="X3230" i="2" s="1"/>
  <c r="X3237" i="2"/>
  <c r="X3236" i="2"/>
  <c r="Z3243" i="2"/>
  <c r="X3245" i="2"/>
  <c r="X3229" i="2" l="1"/>
  <c r="X3231" i="2" s="1"/>
  <c r="Y3232" i="2" s="1"/>
  <c r="X3256" i="2"/>
  <c r="X3248" i="2"/>
  <c r="X3247" i="2"/>
  <c r="Z3254" i="2"/>
  <c r="X3238" i="2"/>
  <c r="X3239" i="2"/>
  <c r="X3241" i="2" s="1"/>
  <c r="X3249" i="2" l="1"/>
  <c r="X3251" i="2" s="1"/>
  <c r="X3250" i="2"/>
  <c r="X3252" i="2" s="1"/>
  <c r="X3259" i="2"/>
  <c r="Z3265" i="2"/>
  <c r="X3258" i="2"/>
  <c r="X3267" i="2"/>
  <c r="X3240" i="2"/>
  <c r="X3242" i="2" s="1"/>
  <c r="Y3243" i="2" s="1"/>
  <c r="X3253" i="2" l="1"/>
  <c r="Y3254" i="2" s="1"/>
  <c r="X3260" i="2"/>
  <c r="X3262" i="2" s="1"/>
  <c r="X3261" i="2"/>
  <c r="X3263" i="2" s="1"/>
  <c r="Z3276" i="2"/>
  <c r="X3278" i="2"/>
  <c r="X3269" i="2"/>
  <c r="X3270" i="2"/>
  <c r="X3264" i="2" l="1"/>
  <c r="Y3265" i="2" s="1"/>
  <c r="X3271" i="2"/>
  <c r="X3272" i="2"/>
  <c r="X3274" i="2" s="1"/>
  <c r="X3289" i="2"/>
  <c r="X3281" i="2"/>
  <c r="X3280" i="2"/>
  <c r="Z3287" i="2"/>
  <c r="X3282" i="2" l="1"/>
  <c r="X3284" i="2" s="1"/>
  <c r="X3283" i="2"/>
  <c r="X3285" i="2" s="1"/>
  <c r="X3273" i="2"/>
  <c r="X3275" i="2" s="1"/>
  <c r="Y3276" i="2" s="1"/>
  <c r="X3291" i="2"/>
  <c r="Z3298" i="2"/>
  <c r="X3300" i="2"/>
  <c r="X3292" i="2"/>
  <c r="X3286" i="2" l="1"/>
  <c r="Y3287" i="2" s="1"/>
  <c r="X3293" i="2"/>
  <c r="X3295" i="2" s="1"/>
  <c r="X3294" i="2"/>
  <c r="X3296" i="2" s="1"/>
  <c r="X3311" i="2"/>
  <c r="X3303" i="2"/>
  <c r="X3302" i="2"/>
  <c r="Z3309" i="2"/>
  <c r="X3297" i="2" l="1"/>
  <c r="Y3298" i="2" s="1"/>
  <c r="X3304" i="2"/>
  <c r="X3306" i="2" s="1"/>
  <c r="X3305" i="2"/>
  <c r="X3307" i="2" s="1"/>
  <c r="X3313" i="2"/>
  <c r="Z3320" i="2"/>
  <c r="X3314" i="2"/>
  <c r="X3322" i="2"/>
  <c r="X3308" i="2" l="1"/>
  <c r="Y3309" i="2" s="1"/>
  <c r="X3325" i="2"/>
  <c r="X3324" i="2"/>
  <c r="X3333" i="2"/>
  <c r="Z3331" i="2"/>
  <c r="X3315" i="2"/>
  <c r="X3316" i="2"/>
  <c r="X3318" i="2" s="1"/>
  <c r="X3317" i="2" l="1"/>
  <c r="X3319" i="2" s="1"/>
  <c r="Y3320" i="2" s="1"/>
  <c r="X3326" i="2"/>
  <c r="X3327" i="2"/>
  <c r="X3329" i="2" s="1"/>
  <c r="X3336" i="2"/>
  <c r="Z3342" i="2"/>
  <c r="X3335" i="2"/>
  <c r="X3344" i="2"/>
  <c r="X3337" i="2" l="1"/>
  <c r="X3339" i="2" s="1"/>
  <c r="X3338" i="2"/>
  <c r="X3340" i="2" s="1"/>
  <c r="X3328" i="2"/>
  <c r="X3330" i="2" s="1"/>
  <c r="Y3331" i="2" s="1"/>
  <c r="X3355" i="2"/>
  <c r="X3347" i="2"/>
  <c r="Z3353" i="2"/>
  <c r="X3346" i="2"/>
  <c r="X3341" i="2" l="1"/>
  <c r="Y3342" i="2" s="1"/>
  <c r="X3357" i="2"/>
  <c r="Z3364" i="2"/>
  <c r="X3366" i="2"/>
  <c r="X3358" i="2"/>
  <c r="X3348" i="2"/>
  <c r="X3350" i="2" s="1"/>
  <c r="X3349" i="2"/>
  <c r="X3351" i="2" s="1"/>
  <c r="X3352" i="2" l="1"/>
  <c r="Y3353" i="2" s="1"/>
  <c r="X3359" i="2"/>
  <c r="X3361" i="2" s="1"/>
  <c r="X3360" i="2"/>
  <c r="X3362" i="2" s="1"/>
  <c r="Z3375" i="2"/>
  <c r="X3377" i="2"/>
  <c r="X3368" i="2"/>
  <c r="X3369" i="2"/>
  <c r="X3363" i="2" l="1"/>
  <c r="Y3364" i="2" s="1"/>
  <c r="X3370" i="2"/>
  <c r="X3372" i="2" s="1"/>
  <c r="X3371" i="2"/>
  <c r="X3373" i="2" s="1"/>
  <c r="X3388" i="2"/>
  <c r="X3380" i="2"/>
  <c r="Z3386" i="2"/>
  <c r="X3379" i="2"/>
  <c r="X3374" i="2" l="1"/>
  <c r="Y3375" i="2" s="1"/>
  <c r="X3381" i="2"/>
  <c r="X3383" i="2" s="1"/>
  <c r="X3382" i="2"/>
  <c r="X3384" i="2" s="1"/>
  <c r="X3391" i="2"/>
  <c r="X3399" i="2"/>
  <c r="X3390" i="2"/>
  <c r="Z3397" i="2"/>
  <c r="X3385" i="2" l="1"/>
  <c r="Y3386" i="2" s="1"/>
  <c r="X3392" i="2"/>
  <c r="X3393" i="2"/>
  <c r="X3395" i="2" s="1"/>
  <c r="Z3408" i="2"/>
  <c r="X3402" i="2"/>
  <c r="X3401" i="2"/>
  <c r="X3410" i="2"/>
  <c r="X3403" i="2" l="1"/>
  <c r="X3405" i="2" s="1"/>
  <c r="X3404" i="2"/>
  <c r="X3406" i="2" s="1"/>
  <c r="X3394" i="2"/>
  <c r="X3396" i="2" s="1"/>
  <c r="Y3397" i="2" s="1"/>
  <c r="X3421" i="2"/>
  <c r="X3413" i="2"/>
  <c r="Z3419" i="2"/>
  <c r="X3412" i="2"/>
  <c r="X3407" i="2" l="1"/>
  <c r="Y3408" i="2" s="1"/>
  <c r="X3432" i="2"/>
  <c r="Z3430" i="2"/>
  <c r="X3424" i="2"/>
  <c r="X3423" i="2"/>
  <c r="X3414" i="2"/>
  <c r="X3416" i="2" s="1"/>
  <c r="X3415" i="2"/>
  <c r="X3417" i="2" s="1"/>
  <c r="X3418" i="2" l="1"/>
  <c r="Y3419" i="2" s="1"/>
  <c r="X3434" i="2"/>
  <c r="X3443" i="2"/>
  <c r="X3435" i="2"/>
  <c r="Z3441" i="2"/>
  <c r="X3425" i="2"/>
  <c r="X3427" i="2" s="1"/>
  <c r="X3426" i="2"/>
  <c r="X3428" i="2" s="1"/>
  <c r="X3429" i="2" l="1"/>
  <c r="Y3430" i="2" s="1"/>
  <c r="X3436" i="2"/>
  <c r="X3438" i="2" s="1"/>
  <c r="X3437" i="2"/>
  <c r="X3439" i="2" s="1"/>
  <c r="X3454" i="2"/>
  <c r="Z3452" i="2"/>
  <c r="X3445" i="2"/>
  <c r="X3446" i="2"/>
  <c r="X3440" i="2" l="1"/>
  <c r="Y3441" i="2" s="1"/>
  <c r="X3447" i="2"/>
  <c r="X3448" i="2"/>
  <c r="X3450" i="2" s="1"/>
  <c r="X3456" i="2"/>
  <c r="Z3463" i="2"/>
  <c r="X3465" i="2"/>
  <c r="X3457" i="2"/>
  <c r="Z3474" i="2" l="1"/>
  <c r="X3467" i="2"/>
  <c r="X3476" i="2"/>
  <c r="X3468" i="2"/>
  <c r="X3449" i="2"/>
  <c r="X3451" i="2" s="1"/>
  <c r="Y3452" i="2" s="1"/>
  <c r="X3458" i="2"/>
  <c r="X3460" i="2" s="1"/>
  <c r="X3459" i="2"/>
  <c r="X3461" i="2" s="1"/>
  <c r="X3469" i="2" l="1"/>
  <c r="X3471" i="2" s="1"/>
  <c r="X3470" i="2"/>
  <c r="X3472" i="2" s="1"/>
  <c r="X3487" i="2"/>
  <c r="Z3485" i="2"/>
  <c r="X3478" i="2"/>
  <c r="X3479" i="2"/>
  <c r="X3462" i="2"/>
  <c r="Y3463" i="2" s="1"/>
  <c r="X3473" i="2" l="1"/>
  <c r="Y3474" i="2" s="1"/>
  <c r="X3480" i="2"/>
  <c r="X3482" i="2" s="1"/>
  <c r="X3481" i="2"/>
  <c r="X3483" i="2" s="1"/>
  <c r="X3489" i="2"/>
  <c r="X3490" i="2"/>
  <c r="Z3496" i="2"/>
  <c r="X3498" i="2"/>
  <c r="X3484" i="2" l="1"/>
  <c r="Y3485" i="2" s="1"/>
  <c r="Z3507" i="2"/>
  <c r="X3501" i="2"/>
  <c r="X3500" i="2"/>
  <c r="X3509" i="2"/>
  <c r="X3491" i="2"/>
  <c r="X3492" i="2"/>
  <c r="X3494" i="2" s="1"/>
  <c r="X3520" i="2" l="1"/>
  <c r="Z3518" i="2"/>
  <c r="X3512" i="2"/>
  <c r="X3511" i="2"/>
  <c r="X3493" i="2"/>
  <c r="X3495" i="2" s="1"/>
  <c r="Y3496" i="2" s="1"/>
  <c r="X3502" i="2"/>
  <c r="X3504" i="2" s="1"/>
  <c r="X3503" i="2"/>
  <c r="X3505" i="2" s="1"/>
  <c r="X3506" i="2" l="1"/>
  <c r="Y3507" i="2" s="1"/>
  <c r="Z3529" i="2"/>
  <c r="X3522" i="2"/>
  <c r="X3531" i="2"/>
  <c r="X3523" i="2"/>
  <c r="X3513" i="2"/>
  <c r="X3515" i="2" s="1"/>
  <c r="X3514" i="2"/>
  <c r="X3516" i="2" s="1"/>
  <c r="X3517" i="2" l="1"/>
  <c r="Y3518" i="2" s="1"/>
  <c r="X3533" i="2"/>
  <c r="Z3540" i="2"/>
  <c r="X3542" i="2"/>
  <c r="X3534" i="2"/>
  <c r="X3524" i="2"/>
  <c r="X3526" i="2" s="1"/>
  <c r="X3525" i="2"/>
  <c r="X3527" i="2" s="1"/>
  <c r="X3528" i="2" l="1"/>
  <c r="Y3529" i="2" s="1"/>
  <c r="X3544" i="2"/>
  <c r="Z3551" i="2"/>
  <c r="X3553" i="2"/>
  <c r="X3545" i="2"/>
  <c r="X3535" i="2"/>
  <c r="X3536" i="2"/>
  <c r="X3538" i="2" s="1"/>
  <c r="X3537" i="2" l="1"/>
  <c r="X3539" i="2" s="1"/>
  <c r="Y3540" i="2" s="1"/>
  <c r="X3546" i="2"/>
  <c r="X3547" i="2"/>
  <c r="X3549" i="2" s="1"/>
  <c r="X3556" i="2"/>
  <c r="X3564" i="2"/>
  <c r="X3555" i="2"/>
  <c r="Z3562" i="2"/>
  <c r="X3575" i="2" l="1"/>
  <c r="X3567" i="2"/>
  <c r="Z3573" i="2"/>
  <c r="X3566" i="2"/>
  <c r="X3557" i="2"/>
  <c r="X3558" i="2"/>
  <c r="X3560" i="2" s="1"/>
  <c r="X3548" i="2"/>
  <c r="X3550" i="2" s="1"/>
  <c r="Y3551" i="2" s="1"/>
  <c r="X3559" i="2" l="1"/>
  <c r="X3561" i="2" s="1"/>
  <c r="Y3562" i="2" s="1"/>
  <c r="X3577" i="2"/>
  <c r="X3578" i="2"/>
  <c r="X3586" i="2"/>
  <c r="Z3584" i="2"/>
  <c r="X3568" i="2"/>
  <c r="X3570" i="2" s="1"/>
  <c r="X3569" i="2"/>
  <c r="X3571" i="2" s="1"/>
  <c r="X3589" i="2" l="1"/>
  <c r="X3588" i="2"/>
  <c r="Z3595" i="2"/>
  <c r="X3597" i="2"/>
  <c r="X3579" i="2"/>
  <c r="X3581" i="2" s="1"/>
  <c r="X3580" i="2"/>
  <c r="X3582" i="2" s="1"/>
  <c r="X3572" i="2"/>
  <c r="Y3573" i="2" s="1"/>
  <c r="X3583" i="2" l="1"/>
  <c r="Y3584" i="2" s="1"/>
  <c r="X3590" i="2"/>
  <c r="X3592" i="2" s="1"/>
  <c r="X3591" i="2"/>
  <c r="X3593" i="2" s="1"/>
  <c r="X3600" i="2"/>
  <c r="X3599" i="2"/>
  <c r="Z3606" i="2"/>
  <c r="X3608" i="2"/>
  <c r="X3594" i="2" l="1"/>
  <c r="Y3595" i="2" s="1"/>
  <c r="X3619" i="2"/>
  <c r="Z3617" i="2"/>
  <c r="X3611" i="2"/>
  <c r="X3610" i="2"/>
  <c r="X3601" i="2"/>
  <c r="X3603" i="2" s="1"/>
  <c r="X3602" i="2"/>
  <c r="X3604" i="2" s="1"/>
  <c r="X3605" i="2" l="1"/>
  <c r="Y3606" i="2" s="1"/>
  <c r="X3630" i="2"/>
  <c r="X3622" i="2"/>
  <c r="X3621" i="2"/>
  <c r="Z3628" i="2"/>
  <c r="X3612" i="2"/>
  <c r="X3614" i="2" s="1"/>
  <c r="X3613" i="2"/>
  <c r="X3615" i="2" s="1"/>
  <c r="X3616" i="2" l="1"/>
  <c r="Y3617" i="2" s="1"/>
  <c r="X3623" i="2"/>
  <c r="X3624" i="2"/>
  <c r="X3626" i="2" s="1"/>
  <c r="X3641" i="2"/>
  <c r="X3632" i="2"/>
  <c r="X3633" i="2"/>
  <c r="Z3639" i="2"/>
  <c r="X3625" i="2" l="1"/>
  <c r="X3627" i="2" s="1"/>
  <c r="Y3628" i="2" s="1"/>
  <c r="Z3650" i="2"/>
  <c r="X3652" i="2"/>
  <c r="X3644" i="2"/>
  <c r="X3643" i="2"/>
  <c r="X3634" i="2"/>
  <c r="X3636" i="2" s="1"/>
  <c r="X3635" i="2"/>
  <c r="X3637" i="2" s="1"/>
  <c r="X3638" i="2" l="1"/>
  <c r="Y3639" i="2" s="1"/>
  <c r="X3645" i="2"/>
  <c r="X3647" i="2" s="1"/>
  <c r="X3646" i="2"/>
  <c r="X3648" i="2" s="1"/>
  <c r="X3663" i="2"/>
  <c r="X3654" i="2"/>
  <c r="X3655" i="2"/>
  <c r="Z3661" i="2"/>
  <c r="X3649" i="2" l="1"/>
  <c r="Y3650" i="2" s="1"/>
  <c r="X3666" i="2"/>
  <c r="Z3672" i="2"/>
  <c r="X3674" i="2"/>
  <c r="X3665" i="2"/>
  <c r="X3656" i="2"/>
  <c r="X3658" i="2" s="1"/>
  <c r="X3657" i="2"/>
  <c r="X3659" i="2" s="1"/>
  <c r="X3660" i="2" l="1"/>
  <c r="Y3661" i="2" s="1"/>
  <c r="X3676" i="2"/>
  <c r="X3677" i="2"/>
  <c r="Z3683" i="2"/>
  <c r="X3685" i="2"/>
  <c r="X3667" i="2"/>
  <c r="X3669" i="2" s="1"/>
  <c r="X3668" i="2"/>
  <c r="X3670" i="2" s="1"/>
  <c r="X3671" i="2" l="1"/>
  <c r="Y3672" i="2" s="1"/>
  <c r="X3678" i="2"/>
  <c r="X3680" i="2" s="1"/>
  <c r="X3679" i="2"/>
  <c r="X3681" i="2" s="1"/>
  <c r="Z3694" i="2"/>
  <c r="X3687" i="2"/>
  <c r="X3696" i="2"/>
  <c r="X3688" i="2"/>
  <c r="X3682" i="2" l="1"/>
  <c r="Y3683" i="2" s="1"/>
  <c r="X3699" i="2"/>
  <c r="X3707" i="2"/>
  <c r="X3698" i="2"/>
  <c r="Z3705" i="2"/>
  <c r="X3689" i="2"/>
  <c r="X3691" i="2" s="1"/>
  <c r="X3690" i="2"/>
  <c r="X3692" i="2" s="1"/>
  <c r="X3693" i="2" l="1"/>
  <c r="Y3694" i="2" s="1"/>
  <c r="X3710" i="2"/>
  <c r="X3718" i="2"/>
  <c r="Z3716" i="2"/>
  <c r="X3709" i="2"/>
  <c r="X3700" i="2"/>
  <c r="X3702" i="2" s="1"/>
  <c r="X3701" i="2"/>
  <c r="X3703" i="2" s="1"/>
  <c r="X3704" i="2" l="1"/>
  <c r="Y3705" i="2" s="1"/>
  <c r="X3729" i="2"/>
  <c r="Z3727" i="2"/>
  <c r="X3721" i="2"/>
  <c r="X3720" i="2"/>
  <c r="X3711" i="2"/>
  <c r="X3713" i="2" s="1"/>
  <c r="X3712" i="2"/>
  <c r="X3714" i="2" s="1"/>
  <c r="X3715" i="2" l="1"/>
  <c r="Y3716" i="2" s="1"/>
  <c r="Z3738" i="2"/>
  <c r="X3731" i="2"/>
  <c r="X3732" i="2"/>
  <c r="X3740" i="2"/>
  <c r="X3722" i="2"/>
  <c r="X3724" i="2" s="1"/>
  <c r="X3723" i="2"/>
  <c r="X3725" i="2" s="1"/>
  <c r="X3726" i="2" l="1"/>
  <c r="Y3727" i="2" s="1"/>
  <c r="X3733" i="2"/>
  <c r="X3735" i="2" s="1"/>
  <c r="X3734" i="2"/>
  <c r="X3736" i="2" s="1"/>
  <c r="X3742" i="2"/>
  <c r="X3743" i="2"/>
  <c r="Z3749" i="2"/>
  <c r="X3751" i="2"/>
  <c r="X3737" i="2" l="1"/>
  <c r="Y3738" i="2" s="1"/>
  <c r="X3762" i="2"/>
  <c r="X3754" i="2"/>
  <c r="X3753" i="2"/>
  <c r="Z3760" i="2"/>
  <c r="X3744" i="2"/>
  <c r="X3746" i="2" s="1"/>
  <c r="X3745" i="2"/>
  <c r="X3747" i="2" s="1"/>
  <c r="X3748" i="2" l="1"/>
  <c r="Y3749" i="2" s="1"/>
  <c r="X3764" i="2"/>
  <c r="X3765" i="2"/>
  <c r="Z3771" i="2"/>
  <c r="X3773" i="2"/>
  <c r="X3755" i="2"/>
  <c r="X3757" i="2" s="1"/>
  <c r="X3756" i="2"/>
  <c r="X3758" i="2" s="1"/>
  <c r="X3759" i="2" l="1"/>
  <c r="Y3760" i="2" s="1"/>
  <c r="X3766" i="2"/>
  <c r="X3768" i="2" s="1"/>
  <c r="X3767" i="2"/>
  <c r="X3769" i="2" s="1"/>
  <c r="Z3782" i="2"/>
  <c r="X3775" i="2"/>
  <c r="X3776" i="2"/>
  <c r="X3784" i="2"/>
  <c r="X3770" i="2" l="1"/>
  <c r="Y3771" i="2" s="1"/>
  <c r="Z3793" i="2"/>
  <c r="X3787" i="2"/>
  <c r="X3795" i="2"/>
  <c r="X3786" i="2"/>
  <c r="X3777" i="2"/>
  <c r="X3779" i="2" s="1"/>
  <c r="X3778" i="2"/>
  <c r="X3780" i="2" s="1"/>
  <c r="X3781" i="2" l="1"/>
  <c r="Y3782" i="2" s="1"/>
  <c r="X3806" i="2"/>
  <c r="Z3804" i="2"/>
  <c r="X3798" i="2"/>
  <c r="X3797" i="2"/>
  <c r="X3788" i="2"/>
  <c r="X3790" i="2" s="1"/>
  <c r="X3789" i="2"/>
  <c r="X3791" i="2" s="1"/>
  <c r="X3792" i="2" l="1"/>
  <c r="Y3793" i="2" s="1"/>
  <c r="X3809" i="2"/>
  <c r="X3817" i="2"/>
  <c r="Z3815" i="2"/>
  <c r="X3808" i="2"/>
  <c r="X3799" i="2"/>
  <c r="X3801" i="2" s="1"/>
  <c r="X3800" i="2"/>
  <c r="X3802" i="2" s="1"/>
  <c r="X3803" i="2" l="1"/>
  <c r="Y3804" i="2" s="1"/>
  <c r="X3828" i="2"/>
  <c r="Z3826" i="2"/>
  <c r="X3819" i="2"/>
  <c r="X3820" i="2"/>
  <c r="X3810" i="2"/>
  <c r="X3811" i="2"/>
  <c r="X3813" i="2" s="1"/>
  <c r="X3831" i="2" l="1"/>
  <c r="X3830" i="2"/>
  <c r="X3839" i="2"/>
  <c r="Z3837" i="2"/>
  <c r="X3812" i="2"/>
  <c r="X3814" i="2" s="1"/>
  <c r="Y3815" i="2" s="1"/>
  <c r="X3821" i="2"/>
  <c r="X3822" i="2"/>
  <c r="X3824" i="2" s="1"/>
  <c r="X3832" i="2" l="1"/>
  <c r="X3834" i="2" s="1"/>
  <c r="X3833" i="2"/>
  <c r="X3835" i="2" s="1"/>
  <c r="X3823" i="2"/>
  <c r="X3825" i="2" s="1"/>
  <c r="Y3826" i="2" s="1"/>
  <c r="Z3848" i="2"/>
  <c r="X3850" i="2"/>
  <c r="X3842" i="2"/>
  <c r="X3841" i="2"/>
  <c r="X3836" i="2" l="1"/>
  <c r="Y3837" i="2" s="1"/>
  <c r="X3853" i="2"/>
  <c r="X3861" i="2"/>
  <c r="X3852" i="2"/>
  <c r="Z3859" i="2"/>
  <c r="X3843" i="2"/>
  <c r="X3845" i="2" s="1"/>
  <c r="X3844" i="2"/>
  <c r="X3846" i="2" s="1"/>
  <c r="X3847" i="2" l="1"/>
  <c r="Y3848" i="2" s="1"/>
  <c r="X3864" i="2"/>
  <c r="X3872" i="2"/>
  <c r="X3863" i="2"/>
  <c r="Z3870" i="2"/>
  <c r="X3854" i="2"/>
  <c r="X3856" i="2" s="1"/>
  <c r="X3855" i="2"/>
  <c r="X3857" i="2" s="1"/>
  <c r="X3858" i="2" l="1"/>
  <c r="Y3859" i="2" s="1"/>
  <c r="X3875" i="2"/>
  <c r="X3874" i="2"/>
  <c r="Z3881" i="2"/>
  <c r="X3883" i="2"/>
  <c r="X3865" i="2"/>
  <c r="X3867" i="2" s="1"/>
  <c r="X3866" i="2"/>
  <c r="X3868" i="2" s="1"/>
  <c r="X3869" i="2" l="1"/>
  <c r="Y3870" i="2" s="1"/>
  <c r="X3876" i="2"/>
  <c r="X3878" i="2" s="1"/>
  <c r="X3877" i="2"/>
  <c r="X3879" i="2" s="1"/>
  <c r="Z3892" i="2"/>
  <c r="X3886" i="2"/>
  <c r="X3885" i="2"/>
  <c r="X3894" i="2"/>
  <c r="X3880" i="2" l="1"/>
  <c r="Y3881" i="2" s="1"/>
  <c r="X3887" i="2"/>
  <c r="X3889" i="2" s="1"/>
  <c r="X3888" i="2"/>
  <c r="X3890" i="2" s="1"/>
  <c r="Z3903" i="2"/>
  <c r="X3905" i="2"/>
  <c r="X3897" i="2"/>
  <c r="X3896" i="2"/>
  <c r="X3891" i="2" l="1"/>
  <c r="Y3892" i="2" s="1"/>
  <c r="X3898" i="2"/>
  <c r="X3899" i="2"/>
  <c r="X3901" i="2" s="1"/>
  <c r="Z3914" i="2"/>
  <c r="X3916" i="2"/>
  <c r="X3907" i="2"/>
  <c r="X3908" i="2"/>
  <c r="X3909" i="2" l="1"/>
  <c r="X3911" i="2" s="1"/>
  <c r="X3910" i="2"/>
  <c r="X3912" i="2" s="1"/>
  <c r="X3900" i="2"/>
  <c r="X3902" i="2" s="1"/>
  <c r="Y3903" i="2" s="1"/>
  <c r="X3918" i="2"/>
  <c r="X3927" i="2"/>
  <c r="X3919" i="2"/>
  <c r="Z3925" i="2"/>
  <c r="X3913" i="2" l="1"/>
  <c r="Y3914" i="2" s="1"/>
  <c r="X3920" i="2"/>
  <c r="X3922" i="2" s="1"/>
  <c r="X3921" i="2"/>
  <c r="X3923" i="2" s="1"/>
  <c r="Z3936" i="2"/>
  <c r="X3929" i="2"/>
  <c r="X3930" i="2"/>
  <c r="X3938" i="2"/>
  <c r="X3924" i="2" l="1"/>
  <c r="Y3925" i="2" s="1"/>
  <c r="X3949" i="2"/>
  <c r="X3940" i="2"/>
  <c r="X3941" i="2"/>
  <c r="Z3947" i="2"/>
  <c r="X3931" i="2"/>
  <c r="X3933" i="2" s="1"/>
  <c r="X3932" i="2"/>
  <c r="X3934" i="2" s="1"/>
  <c r="X3935" i="2" l="1"/>
  <c r="Y3936" i="2" s="1"/>
  <c r="X3952" i="2"/>
  <c r="Z3958" i="2"/>
  <c r="X3951" i="2"/>
  <c r="X3960" i="2"/>
  <c r="X3942" i="2"/>
  <c r="X3944" i="2" s="1"/>
  <c r="X3943" i="2"/>
  <c r="X3945" i="2" s="1"/>
  <c r="X3946" i="2" l="1"/>
  <c r="Y3947" i="2" s="1"/>
  <c r="X3953" i="2"/>
  <c r="X3955" i="2" s="1"/>
  <c r="X3954" i="2"/>
  <c r="X3956" i="2" s="1"/>
  <c r="Z3969" i="2"/>
  <c r="X3971" i="2"/>
  <c r="X3962" i="2"/>
  <c r="X3963" i="2"/>
  <c r="X3957" i="2" l="1"/>
  <c r="Y3958" i="2" s="1"/>
  <c r="X3964" i="2"/>
  <c r="X3965" i="2"/>
  <c r="X3967" i="2" s="1"/>
  <c r="X3974" i="2"/>
  <c r="Z3980" i="2"/>
  <c r="X3982" i="2"/>
  <c r="X3973" i="2"/>
  <c r="X3985" i="2" l="1"/>
  <c r="X3984" i="2"/>
  <c r="Z3991" i="2"/>
  <c r="X3993" i="2"/>
  <c r="X3966" i="2"/>
  <c r="X3968" i="2" s="1"/>
  <c r="Y3969" i="2" s="1"/>
  <c r="X3975" i="2"/>
  <c r="X3977" i="2" s="1"/>
  <c r="X3976" i="2"/>
  <c r="X3978" i="2" s="1"/>
  <c r="X3986" i="2" l="1"/>
  <c r="X3988" i="2" s="1"/>
  <c r="X3987" i="2"/>
  <c r="X3989" i="2" s="1"/>
  <c r="X3996" i="2"/>
  <c r="Z4002" i="2"/>
  <c r="X4004" i="2"/>
  <c r="X3995" i="2"/>
  <c r="X3979" i="2"/>
  <c r="Y3980" i="2" s="1"/>
  <c r="X3990" i="2" l="1"/>
  <c r="Y3991" i="2" s="1"/>
  <c r="X4006" i="2"/>
  <c r="X4015" i="2"/>
  <c r="X4007" i="2"/>
  <c r="Z4013" i="2"/>
  <c r="X3997" i="2"/>
  <c r="X3999" i="2" s="1"/>
  <c r="X3998" i="2"/>
  <c r="X4000" i="2" s="1"/>
  <c r="X4001" i="2" l="1"/>
  <c r="Y4002" i="2" s="1"/>
  <c r="X4008" i="2"/>
  <c r="X4010" i="2" s="1"/>
  <c r="X4009" i="2"/>
  <c r="X4011" i="2" s="1"/>
  <c r="X4026" i="2"/>
  <c r="Z4024" i="2"/>
  <c r="X4017" i="2"/>
  <c r="X4018" i="2"/>
  <c r="X4012" i="2" l="1"/>
  <c r="Y4013" i="2" s="1"/>
  <c r="X4019" i="2"/>
  <c r="X4021" i="2" s="1"/>
  <c r="X4020" i="2"/>
  <c r="X4022" i="2" s="1"/>
  <c r="X4037" i="2"/>
  <c r="X4029" i="2"/>
  <c r="Z4035" i="2"/>
  <c r="X4028" i="2"/>
  <c r="X4023" i="2" l="1"/>
  <c r="Y4024" i="2" s="1"/>
  <c r="X4030" i="2"/>
  <c r="X4032" i="2" s="1"/>
  <c r="X4031" i="2"/>
  <c r="X4033" i="2" s="1"/>
  <c r="X4048" i="2"/>
  <c r="X4039" i="2"/>
  <c r="X4040" i="2"/>
  <c r="Z4046" i="2"/>
  <c r="X4034" i="2" l="1"/>
  <c r="Y4035" i="2" s="1"/>
  <c r="Z4057" i="2"/>
  <c r="X4050" i="2"/>
  <c r="X4059" i="2"/>
  <c r="X4051" i="2"/>
  <c r="X4041" i="2"/>
  <c r="X4043" i="2" s="1"/>
  <c r="X4042" i="2"/>
  <c r="X4044" i="2" s="1"/>
  <c r="X4045" i="2" l="1"/>
  <c r="Y4046" i="2" s="1"/>
  <c r="X4052" i="2"/>
  <c r="X4054" i="2" s="1"/>
  <c r="X4053" i="2"/>
  <c r="X4055" i="2" s="1"/>
  <c r="X4070" i="2"/>
  <c r="X4061" i="2"/>
  <c r="X4062" i="2"/>
  <c r="Z4068" i="2"/>
  <c r="X4056" i="2" l="1"/>
  <c r="Y4057" i="2" s="1"/>
  <c r="Z4079" i="2"/>
  <c r="X4081" i="2"/>
  <c r="X4073" i="2"/>
  <c r="X4072" i="2"/>
  <c r="X4063" i="2"/>
  <c r="X4064" i="2"/>
  <c r="X4066" i="2" s="1"/>
  <c r="X4065" i="2" l="1"/>
  <c r="X4067" i="2" s="1"/>
  <c r="Y4068" i="2" s="1"/>
  <c r="X4083" i="2"/>
  <c r="Z4090" i="2"/>
  <c r="X4084" i="2"/>
  <c r="X4092" i="2"/>
  <c r="X4074" i="2"/>
  <c r="X4075" i="2"/>
  <c r="X4077" i="2" s="1"/>
  <c r="X4094" i="2" l="1"/>
  <c r="X4103" i="2"/>
  <c r="X4095" i="2"/>
  <c r="Z4101" i="2"/>
  <c r="X4076" i="2"/>
  <c r="X4078" i="2" s="1"/>
  <c r="Y4079" i="2" s="1"/>
  <c r="X4085" i="2"/>
  <c r="X4087" i="2" s="1"/>
  <c r="X4086" i="2"/>
  <c r="X4088" i="2" s="1"/>
  <c r="X4096" i="2" l="1"/>
  <c r="X4098" i="2" s="1"/>
  <c r="X4097" i="2"/>
  <c r="X4099" i="2" s="1"/>
  <c r="X4106" i="2"/>
  <c r="X4114" i="2"/>
  <c r="Z4112" i="2"/>
  <c r="X4105" i="2"/>
  <c r="X4089" i="2"/>
  <c r="Y4090" i="2" s="1"/>
  <c r="X4100" i="2" l="1"/>
  <c r="Y4101" i="2" s="1"/>
  <c r="X4107" i="2"/>
  <c r="X4108" i="2"/>
  <c r="X4110" i="2" s="1"/>
  <c r="X4117" i="2"/>
  <c r="X4116" i="2"/>
  <c r="X4125" i="2"/>
  <c r="Z4123" i="2"/>
  <c r="Z4134" i="2" l="1"/>
  <c r="X4127" i="2"/>
  <c r="X4136" i="2"/>
  <c r="X4128" i="2"/>
  <c r="X4109" i="2"/>
  <c r="X4111" i="2" s="1"/>
  <c r="Y4112" i="2" s="1"/>
  <c r="X4118" i="2"/>
  <c r="X4119" i="2"/>
  <c r="X4121" i="2" s="1"/>
  <c r="X4129" i="2" l="1"/>
  <c r="X4131" i="2" s="1"/>
  <c r="X4130" i="2"/>
  <c r="X4132" i="2" s="1"/>
  <c r="X4120" i="2"/>
  <c r="X4122" i="2" s="1"/>
  <c r="Y4123" i="2" s="1"/>
  <c r="X4147" i="2"/>
  <c r="X4139" i="2"/>
  <c r="Z4145" i="2"/>
  <c r="X4138" i="2"/>
  <c r="X4133" i="2" l="1"/>
  <c r="Y4134" i="2" s="1"/>
  <c r="X4149" i="2"/>
  <c r="X4158" i="2"/>
  <c r="X4150" i="2"/>
  <c r="Z4156" i="2"/>
  <c r="X4140" i="2"/>
  <c r="X4141" i="2"/>
  <c r="X4143" i="2" s="1"/>
  <c r="X4142" i="2" l="1"/>
  <c r="X4144" i="2" s="1"/>
  <c r="Y4145" i="2" s="1"/>
  <c r="X4151" i="2"/>
  <c r="X4153" i="2" s="1"/>
  <c r="X4152" i="2"/>
  <c r="X4154" i="2" s="1"/>
  <c r="X4161" i="2"/>
  <c r="X4160" i="2"/>
  <c r="Z4167" i="2"/>
  <c r="X4169" i="2"/>
  <c r="X4155" i="2" l="1"/>
  <c r="Y4156" i="2" s="1"/>
  <c r="X4162" i="2"/>
  <c r="X4164" i="2" s="1"/>
  <c r="X4163" i="2"/>
  <c r="X4165" i="2" s="1"/>
  <c r="Z4178" i="2"/>
  <c r="X4180" i="2"/>
  <c r="X4172" i="2"/>
  <c r="X4171" i="2"/>
  <c r="X4166" i="2" l="1"/>
  <c r="Y4167" i="2" s="1"/>
  <c r="X4173" i="2"/>
  <c r="X4175" i="2" s="1"/>
  <c r="X4174" i="2"/>
  <c r="X4176" i="2" s="1"/>
  <c r="X4191" i="2"/>
  <c r="Z4189" i="2"/>
  <c r="X4183" i="2"/>
  <c r="X4182" i="2"/>
  <c r="X4177" i="2" l="1"/>
  <c r="Y4178" i="2" s="1"/>
  <c r="X4184" i="2"/>
  <c r="X4186" i="2" s="1"/>
  <c r="X4185" i="2"/>
  <c r="X4187" i="2" s="1"/>
  <c r="X4194" i="2"/>
  <c r="Z4200" i="2"/>
  <c r="X4193" i="2"/>
  <c r="X4202" i="2"/>
  <c r="X4188" i="2" l="1"/>
  <c r="Y4189" i="2" s="1"/>
  <c r="X4195" i="2"/>
  <c r="X4197" i="2" s="1"/>
  <c r="X4196" i="2"/>
  <c r="X4198" i="2" s="1"/>
  <c r="Z4211" i="2"/>
  <c r="X4204" i="2"/>
  <c r="X4205" i="2"/>
  <c r="X4213" i="2"/>
  <c r="X4199" i="2" l="1"/>
  <c r="Y4200" i="2" s="1"/>
  <c r="X4224" i="2"/>
  <c r="X4216" i="2"/>
  <c r="Z4222" i="2"/>
  <c r="X4215" i="2"/>
  <c r="X4206" i="2"/>
  <c r="X4208" i="2" s="1"/>
  <c r="X4207" i="2"/>
  <c r="X4209" i="2" s="1"/>
  <c r="X4210" i="2" l="1"/>
  <c r="Y4211" i="2" s="1"/>
  <c r="X4226" i="2"/>
  <c r="Z4233" i="2"/>
  <c r="X4235" i="2"/>
  <c r="X4227" i="2"/>
  <c r="X4217" i="2"/>
  <c r="X4218" i="2"/>
  <c r="X4220" i="2" s="1"/>
  <c r="X4228" i="2" l="1"/>
  <c r="X4230" i="2" s="1"/>
  <c r="X4229" i="2"/>
  <c r="X4231" i="2" s="1"/>
  <c r="X4219" i="2"/>
  <c r="X4221" i="2" s="1"/>
  <c r="Y4222" i="2" s="1"/>
  <c r="X4246" i="2"/>
  <c r="X4238" i="2"/>
  <c r="Z4244" i="2"/>
  <c r="X4237" i="2"/>
  <c r="X4232" i="2" l="1"/>
  <c r="Y4233" i="2" s="1"/>
  <c r="X4249" i="2"/>
  <c r="Z4255" i="2"/>
  <c r="X4257" i="2"/>
  <c r="X4248" i="2"/>
  <c r="X4239" i="2"/>
  <c r="X4240" i="2"/>
  <c r="X4242" i="2" s="1"/>
  <c r="X4241" i="2" l="1"/>
  <c r="X4243" i="2" s="1"/>
  <c r="Y4244" i="2" s="1"/>
  <c r="X4268" i="2"/>
  <c r="Z4266" i="2"/>
  <c r="X4260" i="2"/>
  <c r="X4259" i="2"/>
  <c r="X4250" i="2"/>
  <c r="X4252" i="2" s="1"/>
  <c r="X4251" i="2"/>
  <c r="X4253" i="2" s="1"/>
  <c r="X4261" i="2" l="1"/>
  <c r="X4263" i="2" s="1"/>
  <c r="X4262" i="2"/>
  <c r="X4264" i="2" s="1"/>
  <c r="X4270" i="2"/>
  <c r="X4279" i="2"/>
  <c r="X4271" i="2"/>
  <c r="Z4277" i="2"/>
  <c r="X4254" i="2"/>
  <c r="Y4255" i="2" s="1"/>
  <c r="X4265" i="2" l="1"/>
  <c r="Y4266" i="2" s="1"/>
  <c r="X4272" i="2"/>
  <c r="X4274" i="2" s="1"/>
  <c r="X4273" i="2"/>
  <c r="X4275" i="2" s="1"/>
  <c r="X4281" i="2"/>
  <c r="X4290" i="2"/>
  <c r="X4282" i="2"/>
  <c r="Z4288" i="2"/>
  <c r="X4276" i="2" l="1"/>
  <c r="Y4277" i="2" s="1"/>
  <c r="X4283" i="2"/>
  <c r="X4285" i="2" s="1"/>
  <c r="X4284" i="2"/>
  <c r="X4286" i="2" s="1"/>
  <c r="X4292" i="2"/>
  <c r="X4301" i="2"/>
  <c r="X4293" i="2"/>
  <c r="Z4299" i="2"/>
  <c r="X4287" i="2" l="1"/>
  <c r="Y4288" i="2" s="1"/>
  <c r="X4294" i="2"/>
  <c r="X4296" i="2" s="1"/>
  <c r="X4295" i="2"/>
  <c r="X4297" i="2" s="1"/>
  <c r="X4312" i="2"/>
  <c r="X4304" i="2"/>
  <c r="X4303" i="2"/>
  <c r="Z4310" i="2"/>
  <c r="X4298" i="2" l="1"/>
  <c r="Y4299" i="2" s="1"/>
  <c r="X4305" i="2"/>
  <c r="X4307" i="2" s="1"/>
  <c r="X4306" i="2"/>
  <c r="X4308" i="2" s="1"/>
  <c r="Z4321" i="2"/>
  <c r="X4314" i="2"/>
  <c r="X4323" i="2"/>
  <c r="X4315" i="2"/>
  <c r="X4309" i="2" l="1"/>
  <c r="Y4310" i="2" s="1"/>
  <c r="X4326" i="2"/>
  <c r="X4334" i="2"/>
  <c r="Z4332" i="2"/>
  <c r="X4325" i="2"/>
  <c r="X4316" i="2"/>
  <c r="X4318" i="2" s="1"/>
  <c r="X4317" i="2"/>
  <c r="X4319" i="2" s="1"/>
  <c r="X4320" i="2" l="1"/>
  <c r="Y4321" i="2" s="1"/>
  <c r="Z4343" i="2"/>
  <c r="X4345" i="2"/>
  <c r="X4336" i="2"/>
  <c r="X4337" i="2"/>
  <c r="X4327" i="2"/>
  <c r="X4328" i="2"/>
  <c r="X4330" i="2" s="1"/>
  <c r="X4329" i="2" l="1"/>
  <c r="X4331" i="2" s="1"/>
  <c r="Y4332" i="2" s="1"/>
  <c r="Z4354" i="2"/>
  <c r="X4347" i="2"/>
  <c r="X4356" i="2"/>
  <c r="X4348" i="2"/>
  <c r="X4338" i="2"/>
  <c r="X4340" i="2" s="1"/>
  <c r="X4339" i="2"/>
  <c r="X4341" i="2" s="1"/>
  <c r="X4359" i="2" l="1"/>
  <c r="X4358" i="2"/>
  <c r="X4367" i="2"/>
  <c r="Z4365" i="2"/>
  <c r="X4349" i="2"/>
  <c r="X4351" i="2" s="1"/>
  <c r="X4350" i="2"/>
  <c r="X4352" i="2" s="1"/>
  <c r="X4342" i="2"/>
  <c r="Y4343" i="2" s="1"/>
  <c r="X4353" i="2" l="1"/>
  <c r="Y4354" i="2" s="1"/>
  <c r="X4360" i="2"/>
  <c r="X4361" i="2"/>
  <c r="X4363" i="2" s="1"/>
  <c r="X4370" i="2"/>
  <c r="Z4376" i="2"/>
  <c r="X4369" i="2"/>
  <c r="X4378" i="2"/>
  <c r="X4371" i="2" l="1"/>
  <c r="X4373" i="2" s="1"/>
  <c r="X4372" i="2"/>
  <c r="X4374" i="2" s="1"/>
  <c r="X4362" i="2"/>
  <c r="X4364" i="2" s="1"/>
  <c r="Y4365" i="2" s="1"/>
  <c r="Z4387" i="2"/>
  <c r="X4380" i="2"/>
  <c r="X4389" i="2"/>
  <c r="X4381" i="2"/>
  <c r="X4375" i="2" l="1"/>
  <c r="Y4376" i="2" s="1"/>
  <c r="X4382" i="2"/>
  <c r="X4383" i="2"/>
  <c r="X4385" i="2" s="1"/>
  <c r="X4400" i="2"/>
  <c r="X4391" i="2"/>
  <c r="X4392" i="2"/>
  <c r="Z4398" i="2"/>
  <c r="X4384" i="2" l="1"/>
  <c r="X4386" i="2" s="1"/>
  <c r="Y4387" i="2" s="1"/>
  <c r="X4411" i="2"/>
  <c r="X4403" i="2"/>
  <c r="Z4409" i="2"/>
  <c r="X4402" i="2"/>
  <c r="X4393" i="2"/>
  <c r="X4394" i="2"/>
  <c r="X4396" i="2" s="1"/>
  <c r="X4404" i="2" l="1"/>
  <c r="X4406" i="2" s="1"/>
  <c r="X4405" i="2"/>
  <c r="X4407" i="2" s="1"/>
  <c r="X4413" i="2"/>
  <c r="X4414" i="2"/>
  <c r="X4422" i="2"/>
  <c r="Z4420" i="2"/>
  <c r="X4395" i="2"/>
  <c r="X4397" i="2" s="1"/>
  <c r="Y4398" i="2" s="1"/>
  <c r="X4408" i="2" l="1"/>
  <c r="Y4409" i="2" s="1"/>
  <c r="X4433" i="2"/>
  <c r="X4424" i="2"/>
  <c r="Z4431" i="2"/>
  <c r="X4425" i="2"/>
  <c r="X4415" i="2"/>
  <c r="X4416" i="2"/>
  <c r="X4418" i="2" s="1"/>
  <c r="X4444" i="2" l="1"/>
  <c r="X4435" i="2"/>
  <c r="X4436" i="2"/>
  <c r="Z4442" i="2"/>
  <c r="X4417" i="2"/>
  <c r="X4419" i="2" s="1"/>
  <c r="Y4420" i="2" s="1"/>
  <c r="X4426" i="2"/>
  <c r="X4428" i="2" s="1"/>
  <c r="X4427" i="2"/>
  <c r="X4429" i="2" s="1"/>
  <c r="X4447" i="2" l="1"/>
  <c r="Z4453" i="2"/>
  <c r="X4446" i="2"/>
  <c r="X4455" i="2"/>
  <c r="X4437" i="2"/>
  <c r="X4439" i="2" s="1"/>
  <c r="X4438" i="2"/>
  <c r="X4440" i="2" s="1"/>
  <c r="X4430" i="2"/>
  <c r="Y4431" i="2" s="1"/>
  <c r="X4441" i="2" l="1"/>
  <c r="Y4442" i="2" s="1"/>
  <c r="X4448" i="2"/>
  <c r="X4450" i="2" s="1"/>
  <c r="X4449" i="2"/>
  <c r="X4451" i="2" s="1"/>
  <c r="X4458" i="2"/>
  <c r="X4466" i="2"/>
  <c r="Z4464" i="2"/>
  <c r="X4457" i="2"/>
  <c r="X4452" i="2" l="1"/>
  <c r="Y4453" i="2" s="1"/>
  <c r="X4459" i="2"/>
  <c r="X4461" i="2" s="1"/>
  <c r="X4460" i="2"/>
  <c r="X4462" i="2" s="1"/>
  <c r="X4477" i="2"/>
  <c r="X4468" i="2"/>
  <c r="X4469" i="2"/>
  <c r="Z4475" i="2"/>
  <c r="X4463" i="2" l="1"/>
  <c r="Y4464" i="2" s="1"/>
  <c r="X4480" i="2"/>
  <c r="X4488" i="2"/>
  <c r="Z4486" i="2"/>
  <c r="X4479" i="2"/>
  <c r="X4470" i="2"/>
  <c r="X4471" i="2"/>
  <c r="X4473" i="2" s="1"/>
  <c r="X4472" i="2" l="1"/>
  <c r="X4474" i="2" s="1"/>
  <c r="Y4475" i="2" s="1"/>
  <c r="X4490" i="2"/>
  <c r="X4499" i="2"/>
  <c r="X4491" i="2"/>
  <c r="Z4497" i="2"/>
  <c r="X4481" i="2"/>
  <c r="X4482" i="2"/>
  <c r="X4484" i="2" s="1"/>
  <c r="X4492" i="2" l="1"/>
  <c r="X4494" i="2" s="1"/>
  <c r="X4493" i="2"/>
  <c r="X4495" i="2" s="1"/>
  <c r="X4483" i="2"/>
  <c r="X4485" i="2" s="1"/>
  <c r="Y4486" i="2" s="1"/>
  <c r="X4510" i="2"/>
  <c r="X4502" i="2"/>
  <c r="Z4508" i="2"/>
  <c r="X4501" i="2"/>
  <c r="X4496" i="2" l="1"/>
  <c r="Y4497" i="2" s="1"/>
  <c r="Z4519" i="2"/>
  <c r="X4521" i="2"/>
  <c r="X4513" i="2"/>
  <c r="X4512" i="2"/>
  <c r="X4503" i="2"/>
  <c r="X4505" i="2" s="1"/>
  <c r="X4504" i="2"/>
  <c r="X4506" i="2" s="1"/>
  <c r="X4507" i="2" l="1"/>
  <c r="Y4508" i="2" s="1"/>
  <c r="Z4530" i="2"/>
  <c r="X4524" i="2"/>
  <c r="X4532" i="2"/>
  <c r="X4523" i="2"/>
  <c r="X4514" i="2"/>
  <c r="X4516" i="2" s="1"/>
  <c r="X4515" i="2"/>
  <c r="X4517" i="2" s="1"/>
  <c r="X4518" i="2" l="1"/>
  <c r="Y4519" i="2" s="1"/>
  <c r="X4534" i="2"/>
  <c r="Z4541" i="2"/>
  <c r="X4543" i="2"/>
  <c r="X4535" i="2"/>
  <c r="X4525" i="2"/>
  <c r="X4527" i="2" s="1"/>
  <c r="X4526" i="2"/>
  <c r="X4528" i="2" s="1"/>
  <c r="X4529" i="2" l="1"/>
  <c r="Y4530" i="2" s="1"/>
  <c r="X4536" i="2"/>
  <c r="X4537" i="2"/>
  <c r="X4539" i="2" s="1"/>
  <c r="X4554" i="2"/>
  <c r="X4546" i="2"/>
  <c r="Z4552" i="2"/>
  <c r="X4545" i="2"/>
  <c r="X4538" i="2" l="1"/>
  <c r="X4540" i="2" s="1"/>
  <c r="Y4541" i="2" s="1"/>
  <c r="X4547" i="2"/>
  <c r="X4549" i="2" s="1"/>
  <c r="X4548" i="2"/>
  <c r="X4550" i="2" s="1"/>
  <c r="X4565" i="2"/>
  <c r="X4557" i="2"/>
  <c r="Z4563" i="2"/>
  <c r="X4556" i="2"/>
  <c r="X4551" i="2" l="1"/>
  <c r="Y4552" i="2" s="1"/>
  <c r="Z4574" i="2"/>
  <c r="X4567" i="2"/>
  <c r="X4576" i="2"/>
  <c r="X4568" i="2"/>
  <c r="X4558" i="2"/>
  <c r="X4560" i="2" s="1"/>
  <c r="X4559" i="2"/>
  <c r="X4561" i="2" s="1"/>
  <c r="X4562" i="2" l="1"/>
  <c r="Y4563" i="2" s="1"/>
  <c r="X4569" i="2"/>
  <c r="X4570" i="2"/>
  <c r="X4572" i="2" s="1"/>
  <c r="X4587" i="2"/>
  <c r="X4579" i="2"/>
  <c r="Z4585" i="2"/>
  <c r="X4578" i="2"/>
  <c r="X4571" i="2" l="1"/>
  <c r="X4573" i="2" s="1"/>
  <c r="Y4574" i="2" s="1"/>
  <c r="X4580" i="2"/>
  <c r="X4582" i="2" s="1"/>
  <c r="X4581" i="2"/>
  <c r="X4583" i="2" s="1"/>
  <c r="Z4596" i="2"/>
  <c r="X4589" i="2"/>
  <c r="X4598" i="2"/>
  <c r="X4590" i="2"/>
  <c r="X4584" i="2" l="1"/>
  <c r="Y4585" i="2" s="1"/>
  <c r="X4591" i="2"/>
  <c r="X4593" i="2" s="1"/>
  <c r="X4592" i="2"/>
  <c r="X4594" i="2" s="1"/>
  <c r="X4601" i="2"/>
  <c r="X4600" i="2"/>
  <c r="X4609" i="2"/>
  <c r="Z4607" i="2"/>
  <c r="X4595" i="2" l="1"/>
  <c r="Y4596" i="2" s="1"/>
  <c r="X4611" i="2"/>
  <c r="Z4618" i="2"/>
  <c r="X4620" i="2"/>
  <c r="X4612" i="2"/>
  <c r="X4602" i="2"/>
  <c r="X4603" i="2"/>
  <c r="X4605" i="2" s="1"/>
  <c r="X4604" i="2" l="1"/>
  <c r="X4606" i="2" s="1"/>
  <c r="Y4607" i="2" s="1"/>
  <c r="X4613" i="2"/>
  <c r="X4615" i="2" s="1"/>
  <c r="X4614" i="2"/>
  <c r="X4616" i="2" s="1"/>
  <c r="X4631" i="2"/>
  <c r="X4623" i="2"/>
  <c r="Z4629" i="2"/>
  <c r="X4622" i="2"/>
  <c r="X4617" i="2" l="1"/>
  <c r="Y4618" i="2" s="1"/>
  <c r="Z4640" i="2"/>
  <c r="X4642" i="2"/>
  <c r="X4634" i="2"/>
  <c r="X4633" i="2"/>
  <c r="X4624" i="2"/>
  <c r="X4626" i="2" s="1"/>
  <c r="X4625" i="2"/>
  <c r="X4627" i="2" s="1"/>
  <c r="X4628" i="2" l="1"/>
  <c r="Y4629" i="2" s="1"/>
  <c r="X4653" i="2"/>
  <c r="X4644" i="2"/>
  <c r="X4645" i="2"/>
  <c r="Z4651" i="2"/>
  <c r="X4635" i="2"/>
  <c r="X4637" i="2" s="1"/>
  <c r="X4636" i="2"/>
  <c r="X4638" i="2" s="1"/>
  <c r="X4639" i="2" l="1"/>
  <c r="Y4640" i="2" s="1"/>
  <c r="Z4662" i="2"/>
  <c r="X4655" i="2"/>
  <c r="X4656" i="2"/>
  <c r="X4646" i="2"/>
  <c r="X4647" i="2"/>
  <c r="X4649" i="2" s="1"/>
  <c r="X4657" i="2" l="1"/>
  <c r="X4659" i="2" s="1"/>
  <c r="X4658" i="2"/>
  <c r="X4660" i="2" s="1"/>
  <c r="X4648" i="2"/>
  <c r="X4650" i="2" s="1"/>
  <c r="Y4651" i="2" s="1"/>
  <c r="X4661" i="2" l="1"/>
  <c r="Y4662" i="2" s="1"/>
  <c r="Z18" i="2" s="1"/>
  <c r="Z20" i="2" l="1"/>
  <c r="Z19" i="2"/>
  <c r="AA33" i="2" s="1"/>
  <c r="AA35" i="2" l="1"/>
  <c r="AA36" i="2"/>
  <c r="H40" i="3"/>
  <c r="AC42" i="2"/>
  <c r="AA37" i="2" l="1"/>
  <c r="AA38" i="2"/>
  <c r="AA40" i="2" s="1"/>
  <c r="G40" i="3"/>
  <c r="F44" i="3" s="1"/>
  <c r="F41" i="3" s="1"/>
  <c r="G44" i="3"/>
  <c r="AA44" i="2"/>
  <c r="AA47" i="2" s="1"/>
  <c r="AA39" i="2" l="1"/>
  <c r="AA41" i="2" s="1"/>
  <c r="AB42" i="2" s="1"/>
  <c r="G41" i="3"/>
  <c r="AA46" i="2"/>
  <c r="AA48" i="2" s="1"/>
  <c r="AA55" i="2"/>
  <c r="AA57" i="2" s="1"/>
  <c r="AC53" i="2"/>
  <c r="AC64" i="2" l="1"/>
  <c r="AA49" i="2"/>
  <c r="AA51" i="2" s="1"/>
  <c r="AA58" i="2"/>
  <c r="AA59" i="2" s="1"/>
  <c r="AA61" i="2" s="1"/>
  <c r="AA66" i="2"/>
  <c r="AC75" i="2" s="1"/>
  <c r="AA50" i="2"/>
  <c r="AA60" i="2"/>
  <c r="AA62" i="2" s="1"/>
  <c r="AA69" i="2" l="1"/>
  <c r="AA77" i="2"/>
  <c r="AA79" i="2" s="1"/>
  <c r="AA63" i="2"/>
  <c r="AB64" i="2" s="1"/>
  <c r="AA52" i="2"/>
  <c r="AB53" i="2" s="1"/>
  <c r="AA68" i="2"/>
  <c r="AA80" i="2" l="1"/>
  <c r="AA81" i="2" s="1"/>
  <c r="AA70" i="2"/>
  <c r="AA72" i="2" s="1"/>
  <c r="AC86" i="2"/>
  <c r="AA88" i="2"/>
  <c r="AC97" i="2" s="1"/>
  <c r="AA71" i="2"/>
  <c r="AA73" i="2" s="1"/>
  <c r="AA82" i="2"/>
  <c r="AA84" i="2" s="1"/>
  <c r="AA91" i="2" l="1"/>
  <c r="AA90" i="2"/>
  <c r="AA93" i="2" s="1"/>
  <c r="AA95" i="2" s="1"/>
  <c r="AA99" i="2"/>
  <c r="AC108" i="2" s="1"/>
  <c r="AA74" i="2"/>
  <c r="AB75" i="2" s="1"/>
  <c r="AA83" i="2"/>
  <c r="AA85" i="2" s="1"/>
  <c r="AB86" i="2" s="1"/>
  <c r="AA102" i="2" l="1"/>
  <c r="AA92" i="2"/>
  <c r="AA94" i="2" s="1"/>
  <c r="AA96" i="2" s="1"/>
  <c r="AB97" i="2" s="1"/>
  <c r="AA110" i="2"/>
  <c r="AA113" i="2" s="1"/>
  <c r="AA101" i="2"/>
  <c r="AA103" i="2" l="1"/>
  <c r="AA105" i="2" s="1"/>
  <c r="AA112" i="2"/>
  <c r="AA115" i="2" s="1"/>
  <c r="AA117" i="2" s="1"/>
  <c r="AA121" i="2"/>
  <c r="AA124" i="2" s="1"/>
  <c r="AC119" i="2"/>
  <c r="AA104" i="2"/>
  <c r="AA106" i="2" s="1"/>
  <c r="AA132" i="2" l="1"/>
  <c r="AA134" i="2" s="1"/>
  <c r="AA107" i="2"/>
  <c r="AB108" i="2" s="1"/>
  <c r="AA114" i="2"/>
  <c r="AA116" i="2" s="1"/>
  <c r="AA118" i="2" s="1"/>
  <c r="AB119" i="2" s="1"/>
  <c r="AA123" i="2"/>
  <c r="AA126" i="2" s="1"/>
  <c r="AA128" i="2" s="1"/>
  <c r="AC130" i="2"/>
  <c r="AA135" i="2" l="1"/>
  <c r="AA136" i="2" s="1"/>
  <c r="AA143" i="2"/>
  <c r="AA146" i="2" s="1"/>
  <c r="AC141" i="2"/>
  <c r="AA125" i="2"/>
  <c r="AA127" i="2" s="1"/>
  <c r="AA129" i="2" s="1"/>
  <c r="AB130" i="2" s="1"/>
  <c r="AA137" i="2"/>
  <c r="AA139" i="2" s="1"/>
  <c r="AC152" i="2" l="1"/>
  <c r="AA154" i="2"/>
  <c r="AC163" i="2" s="1"/>
  <c r="AA145" i="2"/>
  <c r="AA148" i="2" s="1"/>
  <c r="AA150" i="2" s="1"/>
  <c r="AA138" i="2"/>
  <c r="AA140" i="2" s="1"/>
  <c r="AB141" i="2" s="1"/>
  <c r="AA156" i="2" l="1"/>
  <c r="AA159" i="2" s="1"/>
  <c r="AA161" i="2" s="1"/>
  <c r="AA157" i="2"/>
  <c r="AA165" i="2"/>
  <c r="AC174" i="2" s="1"/>
  <c r="AA147" i="2"/>
  <c r="AA149" i="2" s="1"/>
  <c r="AA151" i="2" s="1"/>
  <c r="AB152" i="2" s="1"/>
  <c r="AA158" i="2" l="1"/>
  <c r="AA160" i="2" s="1"/>
  <c r="AA162" i="2" s="1"/>
  <c r="AB163" i="2" s="1"/>
  <c r="AA168" i="2"/>
  <c r="AA176" i="2"/>
  <c r="AA178" i="2" s="1"/>
  <c r="AA167" i="2"/>
  <c r="AA187" i="2" l="1"/>
  <c r="AA198" i="2" s="1"/>
  <c r="AA179" i="2"/>
  <c r="AA180" i="2" s="1"/>
  <c r="AC185" i="2"/>
  <c r="AA169" i="2"/>
  <c r="AA171" i="2" s="1"/>
  <c r="AA170" i="2"/>
  <c r="AA172" i="2" s="1"/>
  <c r="AA181" i="2"/>
  <c r="AA183" i="2" s="1"/>
  <c r="AC196" i="2" l="1"/>
  <c r="AA189" i="2"/>
  <c r="AA192" i="2" s="1"/>
  <c r="AA194" i="2" s="1"/>
  <c r="AA190" i="2"/>
  <c r="AA173" i="2"/>
  <c r="AB174" i="2" s="1"/>
  <c r="AA182" i="2"/>
  <c r="AA184" i="2" s="1"/>
  <c r="AB185" i="2" s="1"/>
  <c r="AC207" i="2"/>
  <c r="AA201" i="2"/>
  <c r="AA209" i="2"/>
  <c r="AA200" i="2"/>
  <c r="AA191" i="2" l="1"/>
  <c r="AA193" i="2" s="1"/>
  <c r="AA195" i="2" s="1"/>
  <c r="AB196" i="2" s="1"/>
  <c r="AA211" i="2"/>
  <c r="AC218" i="2"/>
  <c r="AA212" i="2"/>
  <c r="AA220" i="2"/>
  <c r="AA203" i="2"/>
  <c r="AA205" i="2" s="1"/>
  <c r="AA202" i="2"/>
  <c r="AA204" i="2" l="1"/>
  <c r="AA206" i="2" s="1"/>
  <c r="AB207" i="2" s="1"/>
  <c r="AA214" i="2"/>
  <c r="AA216" i="2" s="1"/>
  <c r="AA213" i="2"/>
  <c r="AA231" i="2"/>
  <c r="AC229" i="2"/>
  <c r="AA222" i="2"/>
  <c r="AA223" i="2"/>
  <c r="AA233" i="2" l="1"/>
  <c r="AC240" i="2"/>
  <c r="AA234" i="2"/>
  <c r="AA242" i="2"/>
  <c r="AA225" i="2"/>
  <c r="AA227" i="2" s="1"/>
  <c r="AA224" i="2"/>
  <c r="AA215" i="2"/>
  <c r="AA217" i="2" s="1"/>
  <c r="AB218" i="2" s="1"/>
  <c r="AA226" i="2" l="1"/>
  <c r="AA228" i="2" s="1"/>
  <c r="AB229" i="2" s="1"/>
  <c r="AA236" i="2"/>
  <c r="AA238" i="2" s="1"/>
  <c r="AA235" i="2"/>
  <c r="AA253" i="2"/>
  <c r="AA244" i="2"/>
  <c r="AC251" i="2"/>
  <c r="AA245" i="2"/>
  <c r="AA255" i="2" l="1"/>
  <c r="AC262" i="2"/>
  <c r="AA256" i="2"/>
  <c r="AA264" i="2"/>
  <c r="AA247" i="2"/>
  <c r="AA249" i="2" s="1"/>
  <c r="AA246" i="2"/>
  <c r="AA237" i="2"/>
  <c r="AA239" i="2" s="1"/>
  <c r="AB240" i="2" s="1"/>
  <c r="AA258" i="2" l="1"/>
  <c r="AA260" i="2" s="1"/>
  <c r="AA257" i="2"/>
  <c r="AA248" i="2"/>
  <c r="AA250" i="2" s="1"/>
  <c r="AB251" i="2" s="1"/>
  <c r="AA275" i="2"/>
  <c r="AC273" i="2"/>
  <c r="AA266" i="2"/>
  <c r="AA267" i="2"/>
  <c r="AA277" i="2" l="1"/>
  <c r="AC284" i="2"/>
  <c r="AA278" i="2"/>
  <c r="AA286" i="2"/>
  <c r="AA259" i="2"/>
  <c r="AA261" i="2" s="1"/>
  <c r="AB262" i="2" s="1"/>
  <c r="AA269" i="2"/>
  <c r="AA271" i="2" s="1"/>
  <c r="AA268" i="2"/>
  <c r="AA270" i="2" s="1"/>
  <c r="AA272" i="2" l="1"/>
  <c r="AB273" i="2" s="1"/>
  <c r="AA280" i="2"/>
  <c r="AA282" i="2" s="1"/>
  <c r="AA279" i="2"/>
  <c r="AA288" i="2"/>
  <c r="AC295" i="2"/>
  <c r="AA289" i="2"/>
  <c r="AA297" i="2"/>
  <c r="AA299" i="2" l="1"/>
  <c r="AC306" i="2"/>
  <c r="AA300" i="2"/>
  <c r="AA308" i="2"/>
  <c r="AA281" i="2"/>
  <c r="AA283" i="2" s="1"/>
  <c r="AB284" i="2" s="1"/>
  <c r="AA291" i="2"/>
  <c r="AA293" i="2" s="1"/>
  <c r="AA290" i="2"/>
  <c r="AA292" i="2" l="1"/>
  <c r="AA294" i="2" s="1"/>
  <c r="AB295" i="2" s="1"/>
  <c r="AA302" i="2"/>
  <c r="AA304" i="2" s="1"/>
  <c r="AA301" i="2"/>
  <c r="AA303" i="2" s="1"/>
  <c r="AA310" i="2"/>
  <c r="AA311" i="2"/>
  <c r="AA319" i="2"/>
  <c r="AC317" i="2"/>
  <c r="AA313" i="2" l="1"/>
  <c r="AA315" i="2" s="1"/>
  <c r="AA312" i="2"/>
  <c r="AA330" i="2"/>
  <c r="AA321" i="2"/>
  <c r="AC328" i="2"/>
  <c r="AA322" i="2"/>
  <c r="AA305" i="2"/>
  <c r="AB306" i="2" s="1"/>
  <c r="AA314" i="2" l="1"/>
  <c r="AA316" i="2" s="1"/>
  <c r="AB317" i="2" s="1"/>
  <c r="AC339" i="2"/>
  <c r="AA333" i="2"/>
  <c r="AA341" i="2"/>
  <c r="AA332" i="2"/>
  <c r="AA324" i="2"/>
  <c r="AA326" i="2" s="1"/>
  <c r="AA323" i="2"/>
  <c r="AA325" i="2" s="1"/>
  <c r="AA327" i="2" l="1"/>
  <c r="AB328" i="2" s="1"/>
  <c r="AA343" i="2"/>
  <c r="AC350" i="2"/>
  <c r="AA344" i="2"/>
  <c r="AA352" i="2"/>
  <c r="AA334" i="2"/>
  <c r="AA335" i="2"/>
  <c r="AA337" i="2" s="1"/>
  <c r="AA346" i="2" l="1"/>
  <c r="AA348" i="2" s="1"/>
  <c r="AA345" i="2"/>
  <c r="AA336" i="2"/>
  <c r="AA338" i="2" s="1"/>
  <c r="AB339" i="2" s="1"/>
  <c r="AA363" i="2"/>
  <c r="AC361" i="2"/>
  <c r="AA354" i="2"/>
  <c r="AA355" i="2"/>
  <c r="AC372" i="2" l="1"/>
  <c r="AA366" i="2"/>
  <c r="AA374" i="2"/>
  <c r="AA365" i="2"/>
  <c r="AA347" i="2"/>
  <c r="AA349" i="2" s="1"/>
  <c r="AB350" i="2" s="1"/>
  <c r="AA357" i="2"/>
  <c r="AA359" i="2" s="1"/>
  <c r="AA356" i="2"/>
  <c r="AA367" i="2" l="1"/>
  <c r="AA368" i="2"/>
  <c r="AA370" i="2" s="1"/>
  <c r="AA358" i="2"/>
  <c r="AA360" i="2" s="1"/>
  <c r="AB361" i="2" s="1"/>
  <c r="AA385" i="2"/>
  <c r="AA376" i="2"/>
  <c r="AC383" i="2"/>
  <c r="AA377" i="2"/>
  <c r="AA388" i="2" l="1"/>
  <c r="AA396" i="2"/>
  <c r="AA387" i="2"/>
  <c r="AC394" i="2"/>
  <c r="AA369" i="2"/>
  <c r="AA371" i="2" s="1"/>
  <c r="AB372" i="2" s="1"/>
  <c r="AA379" i="2"/>
  <c r="AA381" i="2" s="1"/>
  <c r="AA378" i="2"/>
  <c r="AA380" i="2" l="1"/>
  <c r="AA382" i="2" s="1"/>
  <c r="AB383" i="2" s="1"/>
  <c r="AA407" i="2"/>
  <c r="AC405" i="2"/>
  <c r="AA398" i="2"/>
  <c r="AA399" i="2"/>
  <c r="AA390" i="2"/>
  <c r="AA392" i="2" s="1"/>
  <c r="AA389" i="2"/>
  <c r="AA391" i="2" s="1"/>
  <c r="AA393" i="2" l="1"/>
  <c r="AB394" i="2" s="1"/>
  <c r="AA401" i="2"/>
  <c r="AA403" i="2" s="1"/>
  <c r="AA400" i="2"/>
  <c r="AA418" i="2"/>
  <c r="AA409" i="2"/>
  <c r="AC416" i="2"/>
  <c r="AA410" i="2"/>
  <c r="AA402" i="2" l="1"/>
  <c r="AA404" i="2" s="1"/>
  <c r="AB405" i="2" s="1"/>
  <c r="AA429" i="2"/>
  <c r="AA420" i="2"/>
  <c r="AC427" i="2"/>
  <c r="AA421" i="2"/>
  <c r="AA412" i="2"/>
  <c r="AA414" i="2" s="1"/>
  <c r="AA411" i="2"/>
  <c r="AA413" i="2" l="1"/>
  <c r="AA415" i="2" s="1"/>
  <c r="AB416" i="2" s="1"/>
  <c r="AC438" i="2"/>
  <c r="AA432" i="2"/>
  <c r="AA440" i="2"/>
  <c r="AA431" i="2"/>
  <c r="AA422" i="2"/>
  <c r="AA424" i="2" s="1"/>
  <c r="AA423" i="2"/>
  <c r="AA425" i="2" s="1"/>
  <c r="AA442" i="2" l="1"/>
  <c r="AA443" i="2"/>
  <c r="AA451" i="2"/>
  <c r="AC449" i="2"/>
  <c r="AA434" i="2"/>
  <c r="AA436" i="2" s="1"/>
  <c r="AA433" i="2"/>
  <c r="AA435" i="2" s="1"/>
  <c r="AA426" i="2"/>
  <c r="AB427" i="2" s="1"/>
  <c r="AA445" i="2" l="1"/>
  <c r="AA447" i="2" s="1"/>
  <c r="AA444" i="2"/>
  <c r="AA454" i="2"/>
  <c r="AA462" i="2"/>
  <c r="AA453" i="2"/>
  <c r="AC460" i="2"/>
  <c r="AA437" i="2"/>
  <c r="AB438" i="2" s="1"/>
  <c r="AA456" i="2" l="1"/>
  <c r="AA458" i="2" s="1"/>
  <c r="AA455" i="2"/>
  <c r="AA446" i="2"/>
  <c r="AA448" i="2" s="1"/>
  <c r="AB449" i="2" s="1"/>
  <c r="AA473" i="2"/>
  <c r="AA464" i="2"/>
  <c r="AC471" i="2"/>
  <c r="AA465" i="2"/>
  <c r="AA476" i="2" l="1"/>
  <c r="AA484" i="2"/>
  <c r="AA475" i="2"/>
  <c r="AC482" i="2"/>
  <c r="AA467" i="2"/>
  <c r="AA469" i="2" s="1"/>
  <c r="AA466" i="2"/>
  <c r="AA457" i="2"/>
  <c r="AA459" i="2" s="1"/>
  <c r="AB460" i="2" s="1"/>
  <c r="AA486" i="2" l="1"/>
  <c r="AA487" i="2"/>
  <c r="AA495" i="2"/>
  <c r="AC493" i="2"/>
  <c r="AA468" i="2"/>
  <c r="AA470" i="2" s="1"/>
  <c r="AB471" i="2" s="1"/>
  <c r="AA478" i="2"/>
  <c r="AA480" i="2" s="1"/>
  <c r="AA477" i="2"/>
  <c r="AA479" i="2" l="1"/>
  <c r="AA481" i="2" s="1"/>
  <c r="AB482" i="2" s="1"/>
  <c r="AA489" i="2"/>
  <c r="AA491" i="2" s="1"/>
  <c r="AA488" i="2"/>
  <c r="AA498" i="2"/>
  <c r="AA506" i="2"/>
  <c r="AA497" i="2"/>
  <c r="AC504" i="2"/>
  <c r="AC515" i="2" l="1"/>
  <c r="AA509" i="2"/>
  <c r="AA517" i="2"/>
  <c r="AA508" i="2"/>
  <c r="AA500" i="2"/>
  <c r="AA502" i="2" s="1"/>
  <c r="AA499" i="2"/>
  <c r="AA490" i="2"/>
  <c r="AA492" i="2" s="1"/>
  <c r="AB493" i="2" s="1"/>
  <c r="AA501" i="2" l="1"/>
  <c r="AA503" i="2" s="1"/>
  <c r="AB504" i="2" s="1"/>
  <c r="AA520" i="2"/>
  <c r="AA528" i="2"/>
  <c r="AA519" i="2"/>
  <c r="AC526" i="2"/>
  <c r="AA511" i="2"/>
  <c r="AA513" i="2" s="1"/>
  <c r="AA510" i="2"/>
  <c r="AA512" i="2" l="1"/>
  <c r="AA514" i="2" s="1"/>
  <c r="AB515" i="2" s="1"/>
  <c r="AA522" i="2"/>
  <c r="AA524" i="2" s="1"/>
  <c r="AA521" i="2"/>
  <c r="AA530" i="2"/>
  <c r="AA531" i="2"/>
  <c r="AA539" i="2"/>
  <c r="AC537" i="2"/>
  <c r="AA533" i="2" l="1"/>
  <c r="AA535" i="2" s="1"/>
  <c r="AA532" i="2"/>
  <c r="AA541" i="2"/>
  <c r="AC548" i="2"/>
  <c r="AA542" i="2"/>
  <c r="AA550" i="2"/>
  <c r="AA523" i="2"/>
  <c r="AA525" i="2" s="1"/>
  <c r="AB526" i="2" s="1"/>
  <c r="AA561" i="2" l="1"/>
  <c r="AA552" i="2"/>
  <c r="AC559" i="2"/>
  <c r="AA553" i="2"/>
  <c r="AA534" i="2"/>
  <c r="AA536" i="2" s="1"/>
  <c r="AB537" i="2" s="1"/>
  <c r="AA544" i="2"/>
  <c r="AA546" i="2" s="1"/>
  <c r="AA543" i="2"/>
  <c r="AA545" i="2" l="1"/>
  <c r="AA547" i="2" s="1"/>
  <c r="AB548" i="2" s="1"/>
  <c r="AA563" i="2"/>
  <c r="AC570" i="2"/>
  <c r="AA564" i="2"/>
  <c r="AA572" i="2"/>
  <c r="AA555" i="2"/>
  <c r="AA557" i="2" s="1"/>
  <c r="AA554" i="2"/>
  <c r="AA556" i="2" l="1"/>
  <c r="AA558" i="2" s="1"/>
  <c r="AB559" i="2" s="1"/>
  <c r="AA583" i="2"/>
  <c r="AC581" i="2"/>
  <c r="AA574" i="2"/>
  <c r="AA575" i="2"/>
  <c r="AA566" i="2"/>
  <c r="AA568" i="2" s="1"/>
  <c r="AA565" i="2"/>
  <c r="AA567" i="2" l="1"/>
  <c r="AA569" i="2" s="1"/>
  <c r="AB570" i="2" s="1"/>
  <c r="AA577" i="2"/>
  <c r="AA579" i="2" s="1"/>
  <c r="AA576" i="2"/>
  <c r="AA586" i="2"/>
  <c r="AA594" i="2"/>
  <c r="AA585" i="2"/>
  <c r="AC592" i="2"/>
  <c r="AC603" i="2" l="1"/>
  <c r="AA597" i="2"/>
  <c r="AA605" i="2"/>
  <c r="AA596" i="2"/>
  <c r="AA588" i="2"/>
  <c r="AA590" i="2" s="1"/>
  <c r="AA587" i="2"/>
  <c r="AA578" i="2"/>
  <c r="AA580" i="2" s="1"/>
  <c r="AB581" i="2" s="1"/>
  <c r="AA589" i="2" l="1"/>
  <c r="AA591" i="2" s="1"/>
  <c r="AB592" i="2" s="1"/>
  <c r="AA608" i="2"/>
  <c r="AA616" i="2"/>
  <c r="AA607" i="2"/>
  <c r="AC614" i="2"/>
  <c r="AA599" i="2"/>
  <c r="AA601" i="2" s="1"/>
  <c r="AA598" i="2"/>
  <c r="AA600" i="2" l="1"/>
  <c r="AA602" i="2" s="1"/>
  <c r="AB603" i="2" s="1"/>
  <c r="AA610" i="2"/>
  <c r="AA612" i="2" s="1"/>
  <c r="AA609" i="2"/>
  <c r="AA618" i="2"/>
  <c r="AA619" i="2"/>
  <c r="AA627" i="2"/>
  <c r="AC625" i="2"/>
  <c r="AA621" i="2" l="1"/>
  <c r="AA623" i="2" s="1"/>
  <c r="AA620" i="2"/>
  <c r="AA630" i="2"/>
  <c r="AA638" i="2"/>
  <c r="AA629" i="2"/>
  <c r="AC636" i="2"/>
  <c r="AA611" i="2"/>
  <c r="AA613" i="2" s="1"/>
  <c r="AB614" i="2" s="1"/>
  <c r="AA632" i="2" l="1"/>
  <c r="AA634" i="2" s="1"/>
  <c r="AA631" i="2"/>
  <c r="AA622" i="2"/>
  <c r="AA624" i="2" s="1"/>
  <c r="AB625" i="2" s="1"/>
  <c r="AC647" i="2"/>
  <c r="AA641" i="2"/>
  <c r="AA649" i="2"/>
  <c r="AA640" i="2"/>
  <c r="AA633" i="2" l="1"/>
  <c r="AA635" i="2" s="1"/>
  <c r="AB636" i="2" s="1"/>
  <c r="AA651" i="2"/>
  <c r="AC658" i="2"/>
  <c r="AA652" i="2"/>
  <c r="AA660" i="2"/>
  <c r="AA643" i="2"/>
  <c r="AA645" i="2" s="1"/>
  <c r="AA642" i="2"/>
  <c r="AA644" i="2" l="1"/>
  <c r="AA646" i="2" s="1"/>
  <c r="AB647" i="2" s="1"/>
  <c r="AA671" i="2"/>
  <c r="AC669" i="2"/>
  <c r="AA662" i="2"/>
  <c r="AA663" i="2"/>
  <c r="AA654" i="2"/>
  <c r="AA656" i="2" s="1"/>
  <c r="AA653" i="2"/>
  <c r="AA655" i="2" l="1"/>
  <c r="AA657" i="2" s="1"/>
  <c r="AB658" i="2" s="1"/>
  <c r="AA665" i="2"/>
  <c r="AA667" i="2" s="1"/>
  <c r="AA664" i="2"/>
  <c r="AA666" i="2" s="1"/>
  <c r="AA674" i="2"/>
  <c r="AA682" i="2"/>
  <c r="AA673" i="2"/>
  <c r="AC680" i="2"/>
  <c r="AA684" i="2" l="1"/>
  <c r="AC691" i="2"/>
  <c r="AA685" i="2"/>
  <c r="AA693" i="2"/>
  <c r="AA676" i="2"/>
  <c r="AA678" i="2" s="1"/>
  <c r="AA675" i="2"/>
  <c r="AA677" i="2" s="1"/>
  <c r="AA668" i="2"/>
  <c r="AB669" i="2" s="1"/>
  <c r="AA687" i="2" l="1"/>
  <c r="AA689" i="2" s="1"/>
  <c r="AA686" i="2"/>
  <c r="AA696" i="2"/>
  <c r="AA704" i="2"/>
  <c r="AA695" i="2"/>
  <c r="AC702" i="2"/>
  <c r="AA679" i="2"/>
  <c r="AB680" i="2" s="1"/>
  <c r="AA697" i="2" l="1"/>
  <c r="AA698" i="2"/>
  <c r="AA700" i="2" s="1"/>
  <c r="AA688" i="2"/>
  <c r="AA690" i="2" s="1"/>
  <c r="AB691" i="2" s="1"/>
  <c r="AA707" i="2"/>
  <c r="AA715" i="2"/>
  <c r="AC713" i="2"/>
  <c r="AA706" i="2"/>
  <c r="AA699" i="2" l="1"/>
  <c r="AA701" i="2" s="1"/>
  <c r="AB702" i="2" s="1"/>
  <c r="AC724" i="2"/>
  <c r="AA718" i="2"/>
  <c r="AA726" i="2"/>
  <c r="AA717" i="2"/>
  <c r="AA709" i="2"/>
  <c r="AA711" i="2" s="1"/>
  <c r="AA708" i="2"/>
  <c r="AA710" i="2" s="1"/>
  <c r="AA712" i="2" l="1"/>
  <c r="AB713" i="2" s="1"/>
  <c r="AA729" i="2"/>
  <c r="AA737" i="2"/>
  <c r="AC735" i="2"/>
  <c r="AA728" i="2"/>
  <c r="AA720" i="2"/>
  <c r="AA722" i="2" s="1"/>
  <c r="AA719" i="2"/>
  <c r="AC746" i="2" l="1"/>
  <c r="AA740" i="2"/>
  <c r="AA748" i="2"/>
  <c r="AA739" i="2"/>
  <c r="AA721" i="2"/>
  <c r="AA723" i="2" s="1"/>
  <c r="AB724" i="2" s="1"/>
  <c r="AA730" i="2"/>
  <c r="AA731" i="2"/>
  <c r="AA733" i="2" s="1"/>
  <c r="AA750" i="2" l="1"/>
  <c r="AC757" i="2"/>
  <c r="AA751" i="2"/>
  <c r="AA759" i="2"/>
  <c r="AA732" i="2"/>
  <c r="AA734" i="2" s="1"/>
  <c r="AB735" i="2" s="1"/>
  <c r="AA741" i="2"/>
  <c r="AA742" i="2"/>
  <c r="AA744" i="2" s="1"/>
  <c r="AA753" i="2" l="1"/>
  <c r="AA755" i="2" s="1"/>
  <c r="AA752" i="2"/>
  <c r="AA743" i="2"/>
  <c r="AA745" i="2" s="1"/>
  <c r="AB746" i="2" s="1"/>
  <c r="AA761" i="2"/>
  <c r="AC768" i="2"/>
  <c r="AA762" i="2"/>
  <c r="AA770" i="2"/>
  <c r="AA763" i="2" l="1"/>
  <c r="AA764" i="2"/>
  <c r="AA766" i="2" s="1"/>
  <c r="AA754" i="2"/>
  <c r="AA756" i="2" s="1"/>
  <c r="AB757" i="2" s="1"/>
  <c r="AA773" i="2"/>
  <c r="AA781" i="2"/>
  <c r="AA772" i="2"/>
  <c r="AC779" i="2"/>
  <c r="AA765" i="2" l="1"/>
  <c r="AA767" i="2" s="1"/>
  <c r="AB768" i="2" s="1"/>
  <c r="AA783" i="2"/>
  <c r="AC790" i="2"/>
  <c r="AA784" i="2"/>
  <c r="AA792" i="2"/>
  <c r="AA775" i="2"/>
  <c r="AA777" i="2" s="1"/>
  <c r="AA774" i="2"/>
  <c r="AA776" i="2" l="1"/>
  <c r="AA778" i="2" s="1"/>
  <c r="AB779" i="2" s="1"/>
  <c r="AA803" i="2"/>
  <c r="AC801" i="2"/>
  <c r="AA794" i="2"/>
  <c r="AA795" i="2"/>
  <c r="AA786" i="2"/>
  <c r="AA788" i="2" s="1"/>
  <c r="AA785" i="2"/>
  <c r="AA787" i="2" s="1"/>
  <c r="AA789" i="2" l="1"/>
  <c r="AB790" i="2" s="1"/>
  <c r="AA797" i="2"/>
  <c r="AA799" i="2" s="1"/>
  <c r="AA796" i="2"/>
  <c r="AA806" i="2"/>
  <c r="AA814" i="2"/>
  <c r="AA805" i="2"/>
  <c r="AC812" i="2"/>
  <c r="AA807" i="2" l="1"/>
  <c r="AA808" i="2"/>
  <c r="AA810" i="2" s="1"/>
  <c r="AA798" i="2"/>
  <c r="AA800" i="2" s="1"/>
  <c r="AB801" i="2" s="1"/>
  <c r="AA817" i="2"/>
  <c r="AA825" i="2"/>
  <c r="AA816" i="2"/>
  <c r="AC823" i="2"/>
  <c r="AA809" i="2" l="1"/>
  <c r="AA811" i="2" s="1"/>
  <c r="AB812" i="2" s="1"/>
  <c r="AA827" i="2"/>
  <c r="AC834" i="2"/>
  <c r="AA828" i="2"/>
  <c r="AA836" i="2"/>
  <c r="AA819" i="2"/>
  <c r="AA821" i="2" s="1"/>
  <c r="AA818" i="2"/>
  <c r="AA820" i="2" l="1"/>
  <c r="AA822" i="2" s="1"/>
  <c r="AB823" i="2" s="1"/>
  <c r="AC845" i="2"/>
  <c r="AA839" i="2"/>
  <c r="AA847" i="2"/>
  <c r="AA838" i="2"/>
  <c r="AA830" i="2"/>
  <c r="AA832" i="2" s="1"/>
  <c r="AA829" i="2"/>
  <c r="AA831" i="2" s="1"/>
  <c r="AA833" i="2" l="1"/>
  <c r="AB834" i="2" s="1"/>
  <c r="AC856" i="2"/>
  <c r="AA850" i="2"/>
  <c r="AA858" i="2"/>
  <c r="AA849" i="2"/>
  <c r="AA841" i="2"/>
  <c r="AA843" i="2" s="1"/>
  <c r="AA840" i="2"/>
  <c r="AA842" i="2" s="1"/>
  <c r="AA861" i="2" l="1"/>
  <c r="AA869" i="2"/>
  <c r="AC867" i="2"/>
  <c r="AA860" i="2"/>
  <c r="AA852" i="2"/>
  <c r="AA854" i="2" s="1"/>
  <c r="AA851" i="2"/>
  <c r="AA844" i="2"/>
  <c r="AB845" i="2" s="1"/>
  <c r="AA880" i="2" l="1"/>
  <c r="AA871" i="2"/>
  <c r="AC878" i="2"/>
  <c r="AA872" i="2"/>
  <c r="AA853" i="2"/>
  <c r="AA855" i="2" s="1"/>
  <c r="AB856" i="2" s="1"/>
  <c r="AA862" i="2"/>
  <c r="AA864" i="2" s="1"/>
  <c r="AA863" i="2"/>
  <c r="AA865" i="2" s="1"/>
  <c r="AA883" i="2" l="1"/>
  <c r="AA891" i="2"/>
  <c r="AA882" i="2"/>
  <c r="AC889" i="2"/>
  <c r="AA874" i="2"/>
  <c r="AA876" i="2" s="1"/>
  <c r="AA873" i="2"/>
  <c r="AA866" i="2"/>
  <c r="AB867" i="2" s="1"/>
  <c r="AA894" i="2" l="1"/>
  <c r="AA902" i="2"/>
  <c r="AA893" i="2"/>
  <c r="AC900" i="2"/>
  <c r="AA875" i="2"/>
  <c r="AA877" i="2" s="1"/>
  <c r="AB878" i="2" s="1"/>
  <c r="AA885" i="2"/>
  <c r="AA887" i="2" s="1"/>
  <c r="AA884" i="2"/>
  <c r="AA886" i="2" l="1"/>
  <c r="AA888" i="2" s="1"/>
  <c r="AB889" i="2" s="1"/>
  <c r="AA913" i="2"/>
  <c r="AC911" i="2"/>
  <c r="AA904" i="2"/>
  <c r="AA905" i="2"/>
  <c r="AA896" i="2"/>
  <c r="AA898" i="2" s="1"/>
  <c r="AA895" i="2"/>
  <c r="AA897" i="2" l="1"/>
  <c r="AA899" i="2" s="1"/>
  <c r="AB900" i="2" s="1"/>
  <c r="AA906" i="2"/>
  <c r="AA907" i="2"/>
  <c r="AA909" i="2" s="1"/>
  <c r="AA924" i="2"/>
  <c r="AA915" i="2"/>
  <c r="AC922" i="2"/>
  <c r="AA916" i="2"/>
  <c r="AA927" i="2" l="1"/>
  <c r="AC933" i="2"/>
  <c r="AA935" i="2"/>
  <c r="AA926" i="2"/>
  <c r="AA917" i="2"/>
  <c r="AA918" i="2"/>
  <c r="AA920" i="2" s="1"/>
  <c r="AA908" i="2"/>
  <c r="AA910" i="2" s="1"/>
  <c r="AB911" i="2" s="1"/>
  <c r="AA919" i="2" l="1"/>
  <c r="AA921" i="2" s="1"/>
  <c r="AB922" i="2" s="1"/>
  <c r="AA938" i="2"/>
  <c r="AA946" i="2"/>
  <c r="AA937" i="2"/>
  <c r="AC944" i="2"/>
  <c r="AA929" i="2"/>
  <c r="AA931" i="2" s="1"/>
  <c r="AA928" i="2"/>
  <c r="AA930" i="2" l="1"/>
  <c r="AA932" i="2" s="1"/>
  <c r="AB933" i="2" s="1"/>
  <c r="AA939" i="2"/>
  <c r="AA940" i="2"/>
  <c r="AA942" i="2" s="1"/>
  <c r="AA949" i="2"/>
  <c r="AA957" i="2"/>
  <c r="AC955" i="2"/>
  <c r="AA948" i="2"/>
  <c r="AA968" i="2" l="1"/>
  <c r="AA959" i="2"/>
  <c r="AC966" i="2"/>
  <c r="AA960" i="2"/>
  <c r="AA941" i="2"/>
  <c r="AA943" i="2" s="1"/>
  <c r="AB944" i="2" s="1"/>
  <c r="AA950" i="2"/>
  <c r="AA952" i="2" s="1"/>
  <c r="AA951" i="2"/>
  <c r="AA953" i="2" s="1"/>
  <c r="AA979" i="2" l="1"/>
  <c r="AA970" i="2"/>
  <c r="AC977" i="2"/>
  <c r="AA971" i="2"/>
  <c r="AA961" i="2"/>
  <c r="AA962" i="2"/>
  <c r="AA964" i="2" s="1"/>
  <c r="AA954" i="2"/>
  <c r="AB955" i="2" s="1"/>
  <c r="AA990" i="2" l="1"/>
  <c r="AA981" i="2"/>
  <c r="AC988" i="2"/>
  <c r="AA982" i="2"/>
  <c r="AA963" i="2"/>
  <c r="AA965" i="2" s="1"/>
  <c r="AB966" i="2" s="1"/>
  <c r="AA972" i="2"/>
  <c r="AA973" i="2"/>
  <c r="AA975" i="2" s="1"/>
  <c r="AA993" i="2" l="1"/>
  <c r="AA1001" i="2"/>
  <c r="AC999" i="2"/>
  <c r="AA992" i="2"/>
  <c r="AA984" i="2"/>
  <c r="AA986" i="2" s="1"/>
  <c r="AA983" i="2"/>
  <c r="AA974" i="2"/>
  <c r="AA976" i="2" s="1"/>
  <c r="AB977" i="2" s="1"/>
  <c r="AA1012" i="2" l="1"/>
  <c r="AA1003" i="2"/>
  <c r="AA1004" i="2"/>
  <c r="AC1010" i="2"/>
  <c r="AA985" i="2"/>
  <c r="AA987" i="2" s="1"/>
  <c r="AB988" i="2" s="1"/>
  <c r="AA995" i="2"/>
  <c r="AA997" i="2" s="1"/>
  <c r="AA994" i="2"/>
  <c r="AA996" i="2" l="1"/>
  <c r="AA998" i="2" s="1"/>
  <c r="AB999" i="2" s="1"/>
  <c r="AA1023" i="2"/>
  <c r="AA1014" i="2"/>
  <c r="AC1021" i="2"/>
  <c r="AA1015" i="2"/>
  <c r="AA1006" i="2"/>
  <c r="AA1008" i="2" s="1"/>
  <c r="AA1005" i="2"/>
  <c r="AA1007" i="2" l="1"/>
  <c r="AA1009" i="2" s="1"/>
  <c r="AB1010" i="2" s="1"/>
  <c r="AA1034" i="2"/>
  <c r="AA1025" i="2"/>
  <c r="AC1032" i="2"/>
  <c r="AA1026" i="2"/>
  <c r="AA1016" i="2"/>
  <c r="AA1017" i="2"/>
  <c r="AA1019" i="2" s="1"/>
  <c r="AA1037" i="2" l="1"/>
  <c r="AA1045" i="2"/>
  <c r="AC1043" i="2"/>
  <c r="AA1036" i="2"/>
  <c r="AA1018" i="2"/>
  <c r="AA1020" i="2" s="1"/>
  <c r="AB1021" i="2" s="1"/>
  <c r="AA1028" i="2"/>
  <c r="AA1030" i="2" s="1"/>
  <c r="AA1027" i="2"/>
  <c r="AA1029" i="2" s="1"/>
  <c r="AA1031" i="2" l="1"/>
  <c r="AB1032" i="2" s="1"/>
  <c r="AA1048" i="2"/>
  <c r="AA1056" i="2"/>
  <c r="AA1047" i="2"/>
  <c r="AC1054" i="2"/>
  <c r="AA1039" i="2"/>
  <c r="AA1041" i="2" s="1"/>
  <c r="AA1038" i="2"/>
  <c r="AA1040" i="2" s="1"/>
  <c r="AA1059" i="2" l="1"/>
  <c r="AA1067" i="2"/>
  <c r="AA1058" i="2"/>
  <c r="AC1065" i="2"/>
  <c r="AA1049" i="2"/>
  <c r="AA1051" i="2" s="1"/>
  <c r="AA1050" i="2"/>
  <c r="AA1052" i="2" s="1"/>
  <c r="AA1042" i="2"/>
  <c r="AB1043" i="2" s="1"/>
  <c r="AA1053" i="2" l="1"/>
  <c r="AB1054" i="2" s="1"/>
  <c r="AA1069" i="2"/>
  <c r="AC1076" i="2"/>
  <c r="AA1070" i="2"/>
  <c r="AA1078" i="2"/>
  <c r="AA1060" i="2"/>
  <c r="AA1061" i="2"/>
  <c r="AA1063" i="2" s="1"/>
  <c r="AA1072" i="2" l="1"/>
  <c r="AA1074" i="2" s="1"/>
  <c r="AA1071" i="2"/>
  <c r="AA1062" i="2"/>
  <c r="AA1064" i="2" s="1"/>
  <c r="AB1065" i="2" s="1"/>
  <c r="AA1089" i="2"/>
  <c r="AC1087" i="2"/>
  <c r="AA1080" i="2"/>
  <c r="AA1081" i="2"/>
  <c r="AA1091" i="2" l="1"/>
  <c r="AC1098" i="2"/>
  <c r="AA1092" i="2"/>
  <c r="AA1100" i="2"/>
  <c r="AA1073" i="2"/>
  <c r="AA1075" i="2" s="1"/>
  <c r="AB1076" i="2" s="1"/>
  <c r="AA1083" i="2"/>
  <c r="AA1085" i="2" s="1"/>
  <c r="AA1082" i="2"/>
  <c r="AA1084" i="2" l="1"/>
  <c r="AA1086" i="2" s="1"/>
  <c r="AB1087" i="2" s="1"/>
  <c r="AA1093" i="2"/>
  <c r="AA1094" i="2"/>
  <c r="AA1096" i="2" s="1"/>
  <c r="AA1102" i="2"/>
  <c r="AC1109" i="2"/>
  <c r="AA1103" i="2"/>
  <c r="AA1111" i="2"/>
  <c r="AA1105" i="2" l="1"/>
  <c r="AA1107" i="2" s="1"/>
  <c r="AA1104" i="2"/>
  <c r="AA1095" i="2"/>
  <c r="AA1097" i="2" s="1"/>
  <c r="AB1098" i="2" s="1"/>
  <c r="AA1113" i="2"/>
  <c r="AC1120" i="2"/>
  <c r="AA1114" i="2"/>
  <c r="AA1122" i="2"/>
  <c r="AA1116" i="2" l="1"/>
  <c r="AA1118" i="2" s="1"/>
  <c r="AA1115" i="2"/>
  <c r="AA1117" i="2" s="1"/>
  <c r="AA1106" i="2"/>
  <c r="AA1108" i="2" s="1"/>
  <c r="AB1109" i="2" s="1"/>
  <c r="AA1125" i="2"/>
  <c r="AA1133" i="2"/>
  <c r="AA1124" i="2"/>
  <c r="AC1131" i="2"/>
  <c r="AC1142" i="2" l="1"/>
  <c r="AA1136" i="2"/>
  <c r="AA1144" i="2"/>
  <c r="AA1135" i="2"/>
  <c r="AA1127" i="2"/>
  <c r="AA1129" i="2" s="1"/>
  <c r="AA1126" i="2"/>
  <c r="AA1119" i="2"/>
  <c r="AB1120" i="2" s="1"/>
  <c r="AA1128" i="2" l="1"/>
  <c r="AA1130" i="2" s="1"/>
  <c r="AB1131" i="2" s="1"/>
  <c r="AC1153" i="2"/>
  <c r="AA1155" i="2"/>
  <c r="AA1147" i="2"/>
  <c r="AA1146" i="2"/>
  <c r="AA1137" i="2"/>
  <c r="AA1138" i="2"/>
  <c r="AA1140" i="2" s="1"/>
  <c r="AA1149" i="2" l="1"/>
  <c r="AA1151" i="2" s="1"/>
  <c r="AA1148" i="2"/>
  <c r="AA1139" i="2"/>
  <c r="AA1141" i="2" s="1"/>
  <c r="AB1142" i="2" s="1"/>
  <c r="AA1157" i="2"/>
  <c r="AA1158" i="2"/>
  <c r="AA1166" i="2"/>
  <c r="AC1164" i="2"/>
  <c r="AA1159" i="2" l="1"/>
  <c r="AA1160" i="2"/>
  <c r="AA1162" i="2" s="1"/>
  <c r="AA1150" i="2"/>
  <c r="AA1152" i="2" s="1"/>
  <c r="AB1153" i="2" s="1"/>
  <c r="AA1169" i="2"/>
  <c r="AA1177" i="2"/>
  <c r="AA1168" i="2"/>
  <c r="AC1175" i="2"/>
  <c r="AA1161" i="2" l="1"/>
  <c r="AA1163" i="2" s="1"/>
  <c r="AB1164" i="2" s="1"/>
  <c r="AA1179" i="2"/>
  <c r="AA1180" i="2"/>
  <c r="AA1188" i="2"/>
  <c r="AC1186" i="2"/>
  <c r="AA1171" i="2"/>
  <c r="AA1173" i="2" s="1"/>
  <c r="AA1170" i="2"/>
  <c r="AA1172" i="2" l="1"/>
  <c r="AA1174" i="2" s="1"/>
  <c r="AB1175" i="2" s="1"/>
  <c r="AA1191" i="2"/>
  <c r="AA1199" i="2"/>
  <c r="AC1197" i="2"/>
  <c r="AA1190" i="2"/>
  <c r="AA1181" i="2"/>
  <c r="AA1183" i="2" s="1"/>
  <c r="AA1182" i="2"/>
  <c r="AA1184" i="2" s="1"/>
  <c r="AA1192" i="2" l="1"/>
  <c r="AA1193" i="2"/>
  <c r="AA1195" i="2" s="1"/>
  <c r="AA1201" i="2"/>
  <c r="AA1210" i="2"/>
  <c r="AA1202" i="2"/>
  <c r="AC1208" i="2"/>
  <c r="AA1185" i="2"/>
  <c r="AB1186" i="2" s="1"/>
  <c r="AA1194" i="2" l="1"/>
  <c r="AA1196" i="2" s="1"/>
  <c r="AB1197" i="2" s="1"/>
  <c r="AA1203" i="2"/>
  <c r="AA1204" i="2"/>
  <c r="AA1206" i="2" s="1"/>
  <c r="AC1219" i="2"/>
  <c r="AA1212" i="2"/>
  <c r="AA1213" i="2"/>
  <c r="AA1221" i="2"/>
  <c r="AA1215" i="2" l="1"/>
  <c r="AA1217" i="2" s="1"/>
  <c r="AA1214" i="2"/>
  <c r="AA1205" i="2"/>
  <c r="AA1207" i="2" s="1"/>
  <c r="AB1208" i="2" s="1"/>
  <c r="AA1223" i="2"/>
  <c r="AA1232" i="2"/>
  <c r="AC1230" i="2"/>
  <c r="AA1224" i="2"/>
  <c r="AA1225" i="2" l="1"/>
  <c r="AA1226" i="2"/>
  <c r="AA1228" i="2" s="1"/>
  <c r="AA1235" i="2"/>
  <c r="AA1243" i="2"/>
  <c r="AA1234" i="2"/>
  <c r="AC1241" i="2"/>
  <c r="AA1216" i="2"/>
  <c r="AA1218" i="2" s="1"/>
  <c r="AB1219" i="2" s="1"/>
  <c r="AA1236" i="2" l="1"/>
  <c r="AA1237" i="2"/>
  <c r="AA1239" i="2" s="1"/>
  <c r="AA1227" i="2"/>
  <c r="AA1229" i="2" s="1"/>
  <c r="AB1230" i="2" s="1"/>
  <c r="AA1246" i="2"/>
  <c r="AA1254" i="2"/>
  <c r="AA1245" i="2"/>
  <c r="AC1252" i="2"/>
  <c r="AA1238" i="2" l="1"/>
  <c r="AA1240" i="2" s="1"/>
  <c r="AB1241" i="2" s="1"/>
  <c r="AA1256" i="2"/>
  <c r="AC1263" i="2"/>
  <c r="AA1257" i="2"/>
  <c r="AA1265" i="2"/>
  <c r="AA1248" i="2"/>
  <c r="AA1250" i="2" s="1"/>
  <c r="AA1247" i="2"/>
  <c r="AA1249" i="2" l="1"/>
  <c r="AA1251" i="2" s="1"/>
  <c r="AB1252" i="2" s="1"/>
  <c r="AC1274" i="2"/>
  <c r="AA1268" i="2"/>
  <c r="AA1276" i="2"/>
  <c r="AA1267" i="2"/>
  <c r="AA1259" i="2"/>
  <c r="AA1261" i="2" s="1"/>
  <c r="AA1258" i="2"/>
  <c r="AA1260" i="2" l="1"/>
  <c r="AA1262" i="2" s="1"/>
  <c r="AB1263" i="2" s="1"/>
  <c r="AA1278" i="2"/>
  <c r="AC1285" i="2"/>
  <c r="AA1279" i="2"/>
  <c r="AA1287" i="2"/>
  <c r="AA1270" i="2"/>
  <c r="AA1272" i="2" s="1"/>
  <c r="AA1269" i="2"/>
  <c r="AA1271" i="2" l="1"/>
  <c r="AA1273" i="2" s="1"/>
  <c r="AB1274" i="2" s="1"/>
  <c r="AA1290" i="2"/>
  <c r="AA1298" i="2"/>
  <c r="AA1289" i="2"/>
  <c r="AC1296" i="2"/>
  <c r="AA1280" i="2"/>
  <c r="AA1281" i="2"/>
  <c r="AA1283" i="2" s="1"/>
  <c r="AA1292" i="2" l="1"/>
  <c r="AA1294" i="2" s="1"/>
  <c r="AA1291" i="2"/>
  <c r="AA1282" i="2"/>
  <c r="AA1284" i="2" s="1"/>
  <c r="AB1285" i="2" s="1"/>
  <c r="AA1300" i="2"/>
  <c r="AC1307" i="2"/>
  <c r="AA1301" i="2"/>
  <c r="AA1309" i="2"/>
  <c r="AA1303" i="2" l="1"/>
  <c r="AA1305" i="2" s="1"/>
  <c r="AA1302" i="2"/>
  <c r="AA1293" i="2"/>
  <c r="AA1295" i="2" s="1"/>
  <c r="AB1296" i="2" s="1"/>
  <c r="AA1311" i="2"/>
  <c r="AC1318" i="2"/>
  <c r="AA1312" i="2"/>
  <c r="AA1320" i="2"/>
  <c r="AA1314" i="2" l="1"/>
  <c r="AA1316" i="2" s="1"/>
  <c r="AA1313" i="2"/>
  <c r="AA1315" i="2" s="1"/>
  <c r="AA1304" i="2"/>
  <c r="AA1306" i="2" s="1"/>
  <c r="AB1307" i="2" s="1"/>
  <c r="AA1323" i="2"/>
  <c r="AA1331" i="2"/>
  <c r="AA1322" i="2"/>
  <c r="AC1329" i="2"/>
  <c r="AC1340" i="2" l="1"/>
  <c r="AA1334" i="2"/>
  <c r="AA1342" i="2"/>
  <c r="AA1333" i="2"/>
  <c r="AA1324" i="2"/>
  <c r="AA1326" i="2" s="1"/>
  <c r="AA1325" i="2"/>
  <c r="AA1327" i="2" s="1"/>
  <c r="AA1317" i="2"/>
  <c r="AB1318" i="2" s="1"/>
  <c r="AA1328" i="2" l="1"/>
  <c r="AB1329" i="2" s="1"/>
  <c r="AA1344" i="2"/>
  <c r="AC1351" i="2"/>
  <c r="AA1345" i="2"/>
  <c r="AA1353" i="2"/>
  <c r="AA1336" i="2"/>
  <c r="AA1338" i="2" s="1"/>
  <c r="AA1335" i="2"/>
  <c r="AA1347" i="2" l="1"/>
  <c r="AA1349" i="2" s="1"/>
  <c r="AA1346" i="2"/>
  <c r="AA1337" i="2"/>
  <c r="AA1339" i="2" s="1"/>
  <c r="AB1340" i="2" s="1"/>
  <c r="AA1355" i="2"/>
  <c r="AC1362" i="2"/>
  <c r="AA1356" i="2"/>
  <c r="AA1364" i="2"/>
  <c r="AA1358" i="2" l="1"/>
  <c r="AA1360" i="2" s="1"/>
  <c r="AA1357" i="2"/>
  <c r="AA1348" i="2"/>
  <c r="AA1350" i="2" s="1"/>
  <c r="AB1351" i="2" s="1"/>
  <c r="AA1366" i="2"/>
  <c r="AC1373" i="2"/>
  <c r="AA1367" i="2"/>
  <c r="AA1375" i="2"/>
  <c r="AA1368" i="2" l="1"/>
  <c r="AA1369" i="2"/>
  <c r="AA1371" i="2" s="1"/>
  <c r="AA1359" i="2"/>
  <c r="AA1361" i="2" s="1"/>
  <c r="AB1362" i="2" s="1"/>
  <c r="AA1378" i="2"/>
  <c r="AA1386" i="2"/>
  <c r="AA1377" i="2"/>
  <c r="AC1384" i="2"/>
  <c r="AA1370" i="2" l="1"/>
  <c r="AA1372" i="2" s="1"/>
  <c r="AB1373" i="2" s="1"/>
  <c r="AA1388" i="2"/>
  <c r="AC1395" i="2"/>
  <c r="AA1389" i="2"/>
  <c r="AA1397" i="2"/>
  <c r="AA1380" i="2"/>
  <c r="AA1382" i="2" s="1"/>
  <c r="AA1379" i="2"/>
  <c r="AA1381" i="2" l="1"/>
  <c r="AA1383" i="2" s="1"/>
  <c r="AB1384" i="2" s="1"/>
  <c r="AA1400" i="2"/>
  <c r="AA1408" i="2"/>
  <c r="AA1399" i="2"/>
  <c r="AC1406" i="2"/>
  <c r="AA1390" i="2"/>
  <c r="AA1391" i="2"/>
  <c r="AA1393" i="2" s="1"/>
  <c r="AA1402" i="2" l="1"/>
  <c r="AA1404" i="2" s="1"/>
  <c r="AA1401" i="2"/>
  <c r="AA1392" i="2"/>
  <c r="AA1394" i="2" s="1"/>
  <c r="AB1395" i="2" s="1"/>
  <c r="AA1411" i="2"/>
  <c r="AA1419" i="2"/>
  <c r="AA1410" i="2"/>
  <c r="AC1417" i="2"/>
  <c r="AA1422" i="2" l="1"/>
  <c r="AA1430" i="2"/>
  <c r="AA1421" i="2"/>
  <c r="AC1428" i="2"/>
  <c r="AA1403" i="2"/>
  <c r="AA1405" i="2" s="1"/>
  <c r="AB1406" i="2" s="1"/>
  <c r="AA1412" i="2"/>
  <c r="AA1413" i="2"/>
  <c r="AA1415" i="2" s="1"/>
  <c r="AA1432" i="2" l="1"/>
  <c r="AC1439" i="2"/>
  <c r="AA1433" i="2"/>
  <c r="AA1441" i="2"/>
  <c r="AA1424" i="2"/>
  <c r="AA1426" i="2" s="1"/>
  <c r="AA1423" i="2"/>
  <c r="AA1414" i="2"/>
  <c r="AA1416" i="2" s="1"/>
  <c r="AB1417" i="2" s="1"/>
  <c r="AA1434" i="2" l="1"/>
  <c r="AA1435" i="2"/>
  <c r="AA1437" i="2" s="1"/>
  <c r="AA1425" i="2"/>
  <c r="AA1427" i="2" s="1"/>
  <c r="AB1428" i="2" s="1"/>
  <c r="AA1444" i="2"/>
  <c r="AA1452" i="2"/>
  <c r="AC1450" i="2"/>
  <c r="AA1443" i="2"/>
  <c r="AA1436" i="2" l="1"/>
  <c r="AA1438" i="2" s="1"/>
  <c r="AB1439" i="2" s="1"/>
  <c r="AA1454" i="2"/>
  <c r="AC1461" i="2"/>
  <c r="AA1455" i="2"/>
  <c r="AA1463" i="2"/>
  <c r="AA1446" i="2"/>
  <c r="AA1448" i="2" s="1"/>
  <c r="AA1445" i="2"/>
  <c r="AA1447" i="2" l="1"/>
  <c r="AA1449" i="2" s="1"/>
  <c r="AB1450" i="2" s="1"/>
  <c r="AA1466" i="2"/>
  <c r="AA1474" i="2"/>
  <c r="AC1472" i="2"/>
  <c r="AA1465" i="2"/>
  <c r="AA1456" i="2"/>
  <c r="AA1457" i="2"/>
  <c r="AA1459" i="2" s="1"/>
  <c r="AA1468" i="2" l="1"/>
  <c r="AA1470" i="2" s="1"/>
  <c r="AA1467" i="2"/>
  <c r="AA1458" i="2"/>
  <c r="AA1460" i="2" s="1"/>
  <c r="AB1461" i="2" s="1"/>
  <c r="AA1476" i="2"/>
  <c r="AC1483" i="2"/>
  <c r="AA1477" i="2"/>
  <c r="AA1485" i="2"/>
  <c r="AA1478" i="2" l="1"/>
  <c r="AA1479" i="2"/>
  <c r="AA1481" i="2" s="1"/>
  <c r="AA1469" i="2"/>
  <c r="AA1471" i="2" s="1"/>
  <c r="AB1472" i="2" s="1"/>
  <c r="AA1488" i="2"/>
  <c r="AA1496" i="2"/>
  <c r="AA1487" i="2"/>
  <c r="AC1494" i="2"/>
  <c r="AA1480" i="2" l="1"/>
  <c r="AA1482" i="2" s="1"/>
  <c r="AB1483" i="2" s="1"/>
  <c r="AA1499" i="2"/>
  <c r="AA1507" i="2"/>
  <c r="AA1498" i="2"/>
  <c r="AC1505" i="2"/>
  <c r="AA1490" i="2"/>
  <c r="AA1492" i="2" s="1"/>
  <c r="AA1489" i="2"/>
  <c r="AA1491" i="2" l="1"/>
  <c r="AA1493" i="2" s="1"/>
  <c r="AB1494" i="2" s="1"/>
  <c r="AA1500" i="2"/>
  <c r="AA1502" i="2" s="1"/>
  <c r="AA1501" i="2"/>
  <c r="AA1503" i="2" s="1"/>
  <c r="AA1510" i="2"/>
  <c r="AA1518" i="2"/>
  <c r="AA1509" i="2"/>
  <c r="AC1516" i="2"/>
  <c r="AA1504" i="2" l="1"/>
  <c r="AB1505" i="2" s="1"/>
  <c r="AA1520" i="2"/>
  <c r="AC1527" i="2"/>
  <c r="AA1521" i="2"/>
  <c r="AA1529" i="2"/>
  <c r="AA1512" i="2"/>
  <c r="AA1514" i="2" s="1"/>
  <c r="AA1511" i="2"/>
  <c r="AA1522" i="2" l="1"/>
  <c r="AA1523" i="2"/>
  <c r="AA1525" i="2" s="1"/>
  <c r="AA1513" i="2"/>
  <c r="AA1515" i="2" s="1"/>
  <c r="AB1516" i="2" s="1"/>
  <c r="AA1532" i="2"/>
  <c r="AA1540" i="2"/>
  <c r="AC1538" i="2"/>
  <c r="AA1531" i="2"/>
  <c r="AA1524" i="2" l="1"/>
  <c r="AA1526" i="2" s="1"/>
  <c r="AB1527" i="2" s="1"/>
  <c r="AA1542" i="2"/>
  <c r="AC1549" i="2"/>
  <c r="AA1543" i="2"/>
  <c r="AA1551" i="2"/>
  <c r="AA1534" i="2"/>
  <c r="AA1536" i="2" s="1"/>
  <c r="AA1533" i="2"/>
  <c r="AA1535" i="2" l="1"/>
  <c r="AA1537" i="2" s="1"/>
  <c r="AB1538" i="2" s="1"/>
  <c r="AA1554" i="2"/>
  <c r="AA1562" i="2"/>
  <c r="AC1560" i="2"/>
  <c r="AA1553" i="2"/>
  <c r="AA1544" i="2"/>
  <c r="AA1545" i="2"/>
  <c r="AA1547" i="2" s="1"/>
  <c r="AA1556" i="2" l="1"/>
  <c r="AA1558" i="2" s="1"/>
  <c r="AA1555" i="2"/>
  <c r="AA1546" i="2"/>
  <c r="AA1548" i="2" s="1"/>
  <c r="AB1549" i="2" s="1"/>
  <c r="AA1564" i="2"/>
  <c r="AC1571" i="2"/>
  <c r="AA1565" i="2"/>
  <c r="AA1573" i="2"/>
  <c r="AA1566" i="2" l="1"/>
  <c r="AA1567" i="2"/>
  <c r="AA1569" i="2" s="1"/>
  <c r="AA1557" i="2"/>
  <c r="AA1559" i="2" s="1"/>
  <c r="AB1560" i="2" s="1"/>
  <c r="AA1576" i="2"/>
  <c r="AA1584" i="2"/>
  <c r="AA1575" i="2"/>
  <c r="AC1582" i="2"/>
  <c r="AA1568" i="2" l="1"/>
  <c r="AA1570" i="2" s="1"/>
  <c r="AB1571" i="2" s="1"/>
  <c r="AA1587" i="2"/>
  <c r="AA1595" i="2"/>
  <c r="AA1586" i="2"/>
  <c r="AC1593" i="2"/>
  <c r="AA1578" i="2"/>
  <c r="AA1580" i="2" s="1"/>
  <c r="AA1577" i="2"/>
  <c r="AA1579" i="2" l="1"/>
  <c r="AA1581" i="2" s="1"/>
  <c r="AB1582" i="2" s="1"/>
  <c r="AA1588" i="2"/>
  <c r="AA1589" i="2"/>
  <c r="AA1591" i="2" s="1"/>
  <c r="AA1597" i="2"/>
  <c r="AC1604" i="2"/>
  <c r="AA1598" i="2"/>
  <c r="AA1606" i="2"/>
  <c r="AA1600" i="2" l="1"/>
  <c r="AA1602" i="2" s="1"/>
  <c r="AA1599" i="2"/>
  <c r="AA1590" i="2"/>
  <c r="AA1592" i="2" s="1"/>
  <c r="AB1593" i="2" s="1"/>
  <c r="AA1609" i="2"/>
  <c r="AA1617" i="2"/>
  <c r="AA1608" i="2"/>
  <c r="AC1615" i="2"/>
  <c r="AA1620" i="2" l="1"/>
  <c r="AA1628" i="2"/>
  <c r="AC1626" i="2"/>
  <c r="AA1619" i="2"/>
  <c r="AA1601" i="2"/>
  <c r="AA1603" i="2" s="1"/>
  <c r="AB1604" i="2" s="1"/>
  <c r="AA1610" i="2"/>
  <c r="AA1612" i="2" s="1"/>
  <c r="AA1611" i="2"/>
  <c r="AA1613" i="2" s="1"/>
  <c r="AA1630" i="2" l="1"/>
  <c r="AC1637" i="2"/>
  <c r="AA1631" i="2"/>
  <c r="AA1639" i="2"/>
  <c r="AA1622" i="2"/>
  <c r="AA1624" i="2" s="1"/>
  <c r="AA1621" i="2"/>
  <c r="AA1614" i="2"/>
  <c r="AB1615" i="2" s="1"/>
  <c r="AA1632" i="2" l="1"/>
  <c r="AA1633" i="2"/>
  <c r="AA1635" i="2" s="1"/>
  <c r="AA1623" i="2"/>
  <c r="AA1625" i="2" s="1"/>
  <c r="AB1626" i="2" s="1"/>
  <c r="AA1642" i="2"/>
  <c r="AA1650" i="2"/>
  <c r="AC1648" i="2"/>
  <c r="AA1641" i="2"/>
  <c r="AA1634" i="2" l="1"/>
  <c r="AA1636" i="2" s="1"/>
  <c r="AB1637" i="2" s="1"/>
  <c r="AA1652" i="2"/>
  <c r="AC1659" i="2"/>
  <c r="AA1653" i="2"/>
  <c r="AA1661" i="2"/>
  <c r="AA1644" i="2"/>
  <c r="AA1646" i="2" s="1"/>
  <c r="AA1643" i="2"/>
  <c r="AA1645" i="2" l="1"/>
  <c r="AA1647" i="2" s="1"/>
  <c r="AB1648" i="2" s="1"/>
  <c r="AA1664" i="2"/>
  <c r="AA1672" i="2"/>
  <c r="AA1663" i="2"/>
  <c r="AC1670" i="2"/>
  <c r="AA1654" i="2"/>
  <c r="AA1655" i="2"/>
  <c r="AA1657" i="2" s="1"/>
  <c r="AA1666" i="2" l="1"/>
  <c r="AA1668" i="2" s="1"/>
  <c r="AA1665" i="2"/>
  <c r="AA1667" i="2" s="1"/>
  <c r="AA1656" i="2"/>
  <c r="AA1658" i="2" s="1"/>
  <c r="AB1659" i="2" s="1"/>
  <c r="AA1675" i="2"/>
  <c r="AA1683" i="2"/>
  <c r="AA1674" i="2"/>
  <c r="AC1681" i="2"/>
  <c r="AC1692" i="2" l="1"/>
  <c r="AA1686" i="2"/>
  <c r="AA1694" i="2"/>
  <c r="AA1685" i="2"/>
  <c r="AA1676" i="2"/>
  <c r="AA1677" i="2"/>
  <c r="AA1679" i="2" s="1"/>
  <c r="AA1669" i="2"/>
  <c r="AB1670" i="2" s="1"/>
  <c r="AA1678" i="2" l="1"/>
  <c r="AA1680" i="2" s="1"/>
  <c r="AB1681" i="2" s="1"/>
  <c r="AA1696" i="2"/>
  <c r="AC1703" i="2"/>
  <c r="AA1697" i="2"/>
  <c r="AA1705" i="2"/>
  <c r="AA1688" i="2"/>
  <c r="AA1690" i="2" s="1"/>
  <c r="AA1687" i="2"/>
  <c r="AA1689" i="2" l="1"/>
  <c r="AA1691" i="2" s="1"/>
  <c r="AB1692" i="2" s="1"/>
  <c r="AA1708" i="2"/>
  <c r="AA1716" i="2"/>
  <c r="AC1714" i="2"/>
  <c r="AA1707" i="2"/>
  <c r="AA1698" i="2"/>
  <c r="AA1699" i="2"/>
  <c r="AA1701" i="2" s="1"/>
  <c r="AA1709" i="2" l="1"/>
  <c r="AA1710" i="2"/>
  <c r="AA1712" i="2" s="1"/>
  <c r="AA1700" i="2"/>
  <c r="AA1702" i="2" s="1"/>
  <c r="AB1703" i="2" s="1"/>
  <c r="AC1725" i="2"/>
  <c r="AA1719" i="2"/>
  <c r="AA1727" i="2"/>
  <c r="AA1718" i="2"/>
  <c r="AA1711" i="2" l="1"/>
  <c r="AA1713" i="2" s="1"/>
  <c r="AB1714" i="2" s="1"/>
  <c r="AA1730" i="2"/>
  <c r="AA1738" i="2"/>
  <c r="AC1736" i="2"/>
  <c r="AA1729" i="2"/>
  <c r="AA1720" i="2"/>
  <c r="AA1721" i="2"/>
  <c r="AA1723" i="2" s="1"/>
  <c r="AA1732" i="2" l="1"/>
  <c r="AA1734" i="2" s="1"/>
  <c r="AA1731" i="2"/>
  <c r="AA1722" i="2"/>
  <c r="AA1724" i="2" s="1"/>
  <c r="AB1725" i="2" s="1"/>
  <c r="AA1749" i="2"/>
  <c r="AA1740" i="2"/>
  <c r="AC1747" i="2"/>
  <c r="AA1741" i="2"/>
  <c r="AC1758" i="2" l="1"/>
  <c r="AA1752" i="2"/>
  <c r="AA1760" i="2"/>
  <c r="AA1751" i="2"/>
  <c r="AA1743" i="2"/>
  <c r="AA1745" i="2" s="1"/>
  <c r="AA1742" i="2"/>
  <c r="AA1733" i="2"/>
  <c r="AA1735" i="2" s="1"/>
  <c r="AB1736" i="2" s="1"/>
  <c r="AA1744" i="2" l="1"/>
  <c r="AA1746" i="2" s="1"/>
  <c r="AB1747" i="2" s="1"/>
  <c r="AC1769" i="2"/>
  <c r="AA1771" i="2"/>
  <c r="AA1763" i="2"/>
  <c r="AA1762" i="2"/>
  <c r="AA1753" i="2"/>
  <c r="AA1754" i="2"/>
  <c r="AA1756" i="2" s="1"/>
  <c r="AA1764" i="2" l="1"/>
  <c r="AA1765" i="2"/>
  <c r="AA1767" i="2" s="1"/>
  <c r="AA1755" i="2"/>
  <c r="AA1757" i="2" s="1"/>
  <c r="AB1758" i="2" s="1"/>
  <c r="AA1774" i="2"/>
  <c r="AA1782" i="2"/>
  <c r="AA1773" i="2"/>
  <c r="AC1780" i="2"/>
  <c r="AA1766" i="2" l="1"/>
  <c r="AA1768" i="2" s="1"/>
  <c r="AB1769" i="2" s="1"/>
  <c r="AA1793" i="2"/>
  <c r="AA1784" i="2"/>
  <c r="AC1791" i="2"/>
  <c r="AA1785" i="2"/>
  <c r="AA1776" i="2"/>
  <c r="AA1778" i="2" s="1"/>
  <c r="AA1775" i="2"/>
  <c r="AA1777" i="2" s="1"/>
  <c r="AA1779" i="2" l="1"/>
  <c r="AB1780" i="2" s="1"/>
  <c r="AC1802" i="2"/>
  <c r="AA1795" i="2"/>
  <c r="AA1796" i="2"/>
  <c r="AA1804" i="2"/>
  <c r="AA1786" i="2"/>
  <c r="AA1787" i="2"/>
  <c r="AA1789" i="2" s="1"/>
  <c r="AA1788" i="2" l="1"/>
  <c r="AA1790" i="2" s="1"/>
  <c r="AB1791" i="2" s="1"/>
  <c r="AA1798" i="2"/>
  <c r="AA1800" i="2" s="1"/>
  <c r="AA1797" i="2"/>
  <c r="AA1815" i="2"/>
  <c r="AC1813" i="2"/>
  <c r="AA1806" i="2"/>
  <c r="AA1807" i="2"/>
  <c r="AA1817" i="2" l="1"/>
  <c r="AA1826" i="2"/>
  <c r="AC1824" i="2"/>
  <c r="AA1818" i="2"/>
  <c r="AA1809" i="2"/>
  <c r="AA1811" i="2" s="1"/>
  <c r="AA1808" i="2"/>
  <c r="AA1799" i="2"/>
  <c r="AA1801" i="2" s="1"/>
  <c r="AB1802" i="2" s="1"/>
  <c r="AA1819" i="2" l="1"/>
  <c r="AA1820" i="2"/>
  <c r="AA1822" i="2" s="1"/>
  <c r="AA1837" i="2"/>
  <c r="AC1835" i="2"/>
  <c r="AA1829" i="2"/>
  <c r="AA1828" i="2"/>
  <c r="AA1810" i="2"/>
  <c r="AA1812" i="2" s="1"/>
  <c r="AB1813" i="2" s="1"/>
  <c r="AA1821" i="2" l="1"/>
  <c r="AA1823" i="2" s="1"/>
  <c r="AB1824" i="2" s="1"/>
  <c r="AA1831" i="2"/>
  <c r="AA1833" i="2" s="1"/>
  <c r="AA1830" i="2"/>
  <c r="AC1846" i="2"/>
  <c r="AA1839" i="2"/>
  <c r="AA1840" i="2"/>
  <c r="AA1848" i="2"/>
  <c r="AA1842" i="2" l="1"/>
  <c r="AA1844" i="2" s="1"/>
  <c r="AA1841" i="2"/>
  <c r="AC1857" i="2"/>
  <c r="AA1850" i="2"/>
  <c r="AA1851" i="2"/>
  <c r="AA1859" i="2"/>
  <c r="AA1832" i="2"/>
  <c r="AA1834" i="2" s="1"/>
  <c r="AB1835" i="2" s="1"/>
  <c r="AC1868" i="2" l="1"/>
  <c r="AA1862" i="2"/>
  <c r="AA1870" i="2"/>
  <c r="AA1861" i="2"/>
  <c r="AA1843" i="2"/>
  <c r="AA1845" i="2" s="1"/>
  <c r="AB1846" i="2" s="1"/>
  <c r="AA1853" i="2"/>
  <c r="AA1855" i="2" s="1"/>
  <c r="AA1852" i="2"/>
  <c r="AA1854" i="2" s="1"/>
  <c r="AA1856" i="2" l="1"/>
  <c r="AB1857" i="2" s="1"/>
  <c r="AA1881" i="2"/>
  <c r="AC1879" i="2"/>
  <c r="AA1873" i="2"/>
  <c r="AA1872" i="2"/>
  <c r="AA1863" i="2"/>
  <c r="AA1864" i="2"/>
  <c r="AA1866" i="2" s="1"/>
  <c r="AA1875" i="2" l="1"/>
  <c r="AA1877" i="2" s="1"/>
  <c r="AA1874" i="2"/>
  <c r="AA1883" i="2"/>
  <c r="AA1892" i="2"/>
  <c r="AA1884" i="2"/>
  <c r="AC1890" i="2"/>
  <c r="AA1865" i="2"/>
  <c r="AA1867" i="2" s="1"/>
  <c r="AB1868" i="2" s="1"/>
  <c r="AA1876" i="2" l="1"/>
  <c r="AA1878" i="2" s="1"/>
  <c r="AB1879" i="2" s="1"/>
  <c r="AA1886" i="2"/>
  <c r="AA1888" i="2" s="1"/>
  <c r="AA1885" i="2"/>
  <c r="AA1903" i="2"/>
  <c r="AA1895" i="2"/>
  <c r="AA1894" i="2"/>
  <c r="AC1901" i="2"/>
  <c r="AA1887" i="2" l="1"/>
  <c r="AA1889" i="2" s="1"/>
  <c r="AB1890" i="2" s="1"/>
  <c r="AA1905" i="2"/>
  <c r="AA1914" i="2"/>
  <c r="AC1912" i="2"/>
  <c r="AA1906" i="2"/>
  <c r="AA1897" i="2"/>
  <c r="AA1899" i="2" s="1"/>
  <c r="AA1896" i="2"/>
  <c r="AA1898" i="2" s="1"/>
  <c r="AA1925" i="2" l="1"/>
  <c r="AC1923" i="2"/>
  <c r="AA1916" i="2"/>
  <c r="AA1917" i="2"/>
  <c r="AA1907" i="2"/>
  <c r="AA1908" i="2"/>
  <c r="AA1910" i="2" s="1"/>
  <c r="AA1900" i="2"/>
  <c r="AB1901" i="2" s="1"/>
  <c r="AC1934" i="2" l="1"/>
  <c r="AA1936" i="2"/>
  <c r="AA1928" i="2"/>
  <c r="AA1927" i="2"/>
  <c r="AA1909" i="2"/>
  <c r="AA1911" i="2" s="1"/>
  <c r="AB1912" i="2" s="1"/>
  <c r="AA1919" i="2"/>
  <c r="AA1921" i="2" s="1"/>
  <c r="AA1918" i="2"/>
  <c r="AA1929" i="2" l="1"/>
  <c r="AA1930" i="2"/>
  <c r="AA1932" i="2" s="1"/>
  <c r="AA1920" i="2"/>
  <c r="AA1922" i="2" s="1"/>
  <c r="AB1923" i="2" s="1"/>
  <c r="AC1945" i="2"/>
  <c r="AA1939" i="2"/>
  <c r="AA1947" i="2"/>
  <c r="AA1938" i="2"/>
  <c r="AA1941" i="2" l="1"/>
  <c r="AA1943" i="2" s="1"/>
  <c r="AA1940" i="2"/>
  <c r="AA1931" i="2"/>
  <c r="AA1933" i="2" s="1"/>
  <c r="AB1934" i="2" s="1"/>
  <c r="AA1958" i="2"/>
  <c r="AC1956" i="2"/>
  <c r="AA1949" i="2"/>
  <c r="AA1950" i="2"/>
  <c r="AC1967" i="2" l="1"/>
  <c r="AA1969" i="2"/>
  <c r="AA1961" i="2"/>
  <c r="AA1960" i="2"/>
  <c r="AA1942" i="2"/>
  <c r="AA1944" i="2" s="1"/>
  <c r="AB1945" i="2" s="1"/>
  <c r="AA1951" i="2"/>
  <c r="AA1952" i="2"/>
  <c r="AA1954" i="2" s="1"/>
  <c r="AA1953" i="2" l="1"/>
  <c r="AA1955" i="2" s="1"/>
  <c r="AB1956" i="2" s="1"/>
  <c r="AA1963" i="2"/>
  <c r="AA1965" i="2" s="1"/>
  <c r="AA1962" i="2"/>
  <c r="AA1971" i="2"/>
  <c r="AA1980" i="2"/>
  <c r="AC1978" i="2"/>
  <c r="AA1972" i="2"/>
  <c r="AA1964" i="2" l="1"/>
  <c r="AA1966" i="2" s="1"/>
  <c r="AB1967" i="2" s="1"/>
  <c r="AA1973" i="2"/>
  <c r="AA1974" i="2"/>
  <c r="AA1976" i="2" s="1"/>
  <c r="AA1991" i="2"/>
  <c r="AC1989" i="2"/>
  <c r="AA1982" i="2"/>
  <c r="AA1983" i="2"/>
  <c r="AA1993" i="2" l="1"/>
  <c r="AA2002" i="2"/>
  <c r="AA1994" i="2"/>
  <c r="AC2000" i="2"/>
  <c r="AA1985" i="2"/>
  <c r="AA1987" i="2" s="1"/>
  <c r="AA1984" i="2"/>
  <c r="AA1975" i="2"/>
  <c r="AA1977" i="2" s="1"/>
  <c r="AB1978" i="2" s="1"/>
  <c r="AA1996" i="2" l="1"/>
  <c r="AA1998" i="2" s="1"/>
  <c r="AA1995" i="2"/>
  <c r="AA2013" i="2"/>
  <c r="AA2005" i="2"/>
  <c r="AA2004" i="2"/>
  <c r="AC2011" i="2"/>
  <c r="AA1986" i="2"/>
  <c r="AA1988" i="2" s="1"/>
  <c r="AB1989" i="2" s="1"/>
  <c r="AA2007" i="2" l="1"/>
  <c r="AA2009" i="2" s="1"/>
  <c r="AA2006" i="2"/>
  <c r="AA1997" i="2"/>
  <c r="AA1999" i="2" s="1"/>
  <c r="AB2000" i="2" s="1"/>
  <c r="AC2022" i="2"/>
  <c r="AA2024" i="2"/>
  <c r="AA2016" i="2"/>
  <c r="AA2015" i="2"/>
  <c r="AA2017" i="2" l="1"/>
  <c r="AA2018" i="2"/>
  <c r="AA2020" i="2" s="1"/>
  <c r="AC2033" i="2"/>
  <c r="AA2035" i="2"/>
  <c r="AA2027" i="2"/>
  <c r="AA2026" i="2"/>
  <c r="AA2008" i="2"/>
  <c r="AA2010" i="2" s="1"/>
  <c r="AB2011" i="2" s="1"/>
  <c r="AC2044" i="2" l="1"/>
  <c r="AA2046" i="2"/>
  <c r="AA2038" i="2"/>
  <c r="AA2037" i="2"/>
  <c r="AA2019" i="2"/>
  <c r="AA2021" i="2" s="1"/>
  <c r="AB2022" i="2" s="1"/>
  <c r="AA2029" i="2"/>
  <c r="AA2031" i="2" s="1"/>
  <c r="AA2028" i="2"/>
  <c r="AA2040" i="2" l="1"/>
  <c r="AA2042" i="2" s="1"/>
  <c r="AA2039" i="2"/>
  <c r="AA2030" i="2"/>
  <c r="AA2032" i="2" s="1"/>
  <c r="AB2033" i="2" s="1"/>
  <c r="AA2057" i="2"/>
  <c r="AA2049" i="2"/>
  <c r="AA2048" i="2"/>
  <c r="AC2055" i="2"/>
  <c r="AA2059" i="2" l="1"/>
  <c r="AA2060" i="2"/>
  <c r="AA2068" i="2"/>
  <c r="AC2066" i="2"/>
  <c r="AA2041" i="2"/>
  <c r="AA2043" i="2" s="1"/>
  <c r="AB2044" i="2" s="1"/>
  <c r="AA2051" i="2"/>
  <c r="AA2053" i="2" s="1"/>
  <c r="AA2050" i="2"/>
  <c r="AA2052" i="2" l="1"/>
  <c r="AA2054" i="2" s="1"/>
  <c r="AB2055" i="2" s="1"/>
  <c r="AA2061" i="2"/>
  <c r="AA2062" i="2"/>
  <c r="AA2064" i="2" s="1"/>
  <c r="AA2079" i="2"/>
  <c r="AC2077" i="2"/>
  <c r="AA2071" i="2"/>
  <c r="AA2070" i="2"/>
  <c r="AA2073" i="2" l="1"/>
  <c r="AA2075" i="2" s="1"/>
  <c r="AA2072" i="2"/>
  <c r="AA2081" i="2"/>
  <c r="AC2088" i="2"/>
  <c r="AA2082" i="2"/>
  <c r="AA2090" i="2"/>
  <c r="AA2063" i="2"/>
  <c r="AA2065" i="2" s="1"/>
  <c r="AB2066" i="2" s="1"/>
  <c r="AA2101" i="2" l="1"/>
  <c r="AC2099" i="2"/>
  <c r="AA2092" i="2"/>
  <c r="AA2093" i="2"/>
  <c r="AA2074" i="2"/>
  <c r="AA2076" i="2" s="1"/>
  <c r="AB2077" i="2" s="1"/>
  <c r="AA2083" i="2"/>
  <c r="AA2084" i="2"/>
  <c r="AA2086" i="2" s="1"/>
  <c r="AA2085" i="2" l="1"/>
  <c r="AA2087" i="2" s="1"/>
  <c r="AB2088" i="2" s="1"/>
  <c r="AC2110" i="2"/>
  <c r="AA2112" i="2"/>
  <c r="AA2104" i="2"/>
  <c r="AA2103" i="2"/>
  <c r="AA2095" i="2"/>
  <c r="AA2097" i="2" s="1"/>
  <c r="AA2094" i="2"/>
  <c r="AC2121" i="2" l="1"/>
  <c r="AA2115" i="2"/>
  <c r="AA2123" i="2"/>
  <c r="AA2114" i="2"/>
  <c r="AA2096" i="2"/>
  <c r="AA2098" i="2" s="1"/>
  <c r="AB2099" i="2" s="1"/>
  <c r="AA2106" i="2"/>
  <c r="AA2108" i="2" s="1"/>
  <c r="AA2105" i="2"/>
  <c r="AA2107" i="2" s="1"/>
  <c r="AA2117" i="2" l="1"/>
  <c r="AA2119" i="2" s="1"/>
  <c r="AA2116" i="2"/>
  <c r="AA2118" i="2" s="1"/>
  <c r="AA2125" i="2"/>
  <c r="AA2126" i="2"/>
  <c r="AC2132" i="2"/>
  <c r="AA2134" i="2"/>
  <c r="AA2109" i="2"/>
  <c r="AB2110" i="2" s="1"/>
  <c r="AA2145" i="2" l="1"/>
  <c r="AC2143" i="2"/>
  <c r="AA2136" i="2"/>
  <c r="AA2137" i="2"/>
  <c r="AA2128" i="2"/>
  <c r="AA2130" i="2" s="1"/>
  <c r="AA2127" i="2"/>
  <c r="AA2120" i="2"/>
  <c r="AB2121" i="2" s="1"/>
  <c r="AA2147" i="2" l="1"/>
  <c r="AC2154" i="2"/>
  <c r="AA2148" i="2"/>
  <c r="AA2156" i="2"/>
  <c r="AA2129" i="2"/>
  <c r="AA2131" i="2" s="1"/>
  <c r="AB2132" i="2" s="1"/>
  <c r="AA2139" i="2"/>
  <c r="AA2141" i="2" s="1"/>
  <c r="AA2138" i="2"/>
  <c r="AA2167" i="2" l="1"/>
  <c r="AA2158" i="2"/>
  <c r="AC2165" i="2"/>
  <c r="AA2159" i="2"/>
  <c r="AA2140" i="2"/>
  <c r="AA2142" i="2" s="1"/>
  <c r="AB2143" i="2" s="1"/>
  <c r="AA2149" i="2"/>
  <c r="AA2150" i="2"/>
  <c r="AA2152" i="2" s="1"/>
  <c r="AA2151" i="2" l="1"/>
  <c r="AA2153" i="2" s="1"/>
  <c r="AB2154" i="2" s="1"/>
  <c r="AA2170" i="2"/>
  <c r="AC2176" i="2"/>
  <c r="AA2169" i="2"/>
  <c r="AA2178" i="2"/>
  <c r="AA2161" i="2"/>
  <c r="AA2163" i="2" s="1"/>
  <c r="AA2160" i="2"/>
  <c r="AA2162" i="2" l="1"/>
  <c r="AA2164" i="2" s="1"/>
  <c r="AB2165" i="2" s="1"/>
  <c r="AA2172" i="2"/>
  <c r="AA2174" i="2" s="1"/>
  <c r="AA2171" i="2"/>
  <c r="AA2173" i="2" s="1"/>
  <c r="AC2187" i="2"/>
  <c r="AA2180" i="2"/>
  <c r="AA2181" i="2"/>
  <c r="AA2189" i="2"/>
  <c r="AA2175" i="2" l="1"/>
  <c r="AB2176" i="2" s="1"/>
  <c r="AA2192" i="2"/>
  <c r="AA2200" i="2"/>
  <c r="AA2191" i="2"/>
  <c r="AC2198" i="2"/>
  <c r="AA2183" i="2"/>
  <c r="AA2185" i="2" s="1"/>
  <c r="AA2182" i="2"/>
  <c r="AC2209" i="2" l="1"/>
  <c r="AA2203" i="2"/>
  <c r="AA2211" i="2"/>
  <c r="AA2202" i="2"/>
  <c r="AA2184" i="2"/>
  <c r="AA2186" i="2" s="1"/>
  <c r="AB2187" i="2" s="1"/>
  <c r="AA2193" i="2"/>
  <c r="AA2195" i="2" s="1"/>
  <c r="AA2194" i="2"/>
  <c r="AA2196" i="2" s="1"/>
  <c r="AA2214" i="2" l="1"/>
  <c r="AA2213" i="2"/>
  <c r="AA2222" i="2"/>
  <c r="AC2220" i="2"/>
  <c r="AA2204" i="2"/>
  <c r="AA2205" i="2"/>
  <c r="AA2207" i="2" s="1"/>
  <c r="AA2197" i="2"/>
  <c r="AB2198" i="2" s="1"/>
  <c r="AA2206" i="2" l="1"/>
  <c r="AA2208" i="2" s="1"/>
  <c r="AB2209" i="2" s="1"/>
  <c r="AA2215" i="2"/>
  <c r="AA2216" i="2"/>
  <c r="AA2218" i="2" s="1"/>
  <c r="AA2233" i="2"/>
  <c r="AC2231" i="2"/>
  <c r="AA2224" i="2"/>
  <c r="AA2225" i="2"/>
  <c r="AA2244" i="2" l="1"/>
  <c r="AC2242" i="2"/>
  <c r="AA2235" i="2"/>
  <c r="AA2236" i="2"/>
  <c r="AA2226" i="2"/>
  <c r="AA2228" i="2" s="1"/>
  <c r="AA2227" i="2"/>
  <c r="AA2229" i="2" s="1"/>
  <c r="AA2217" i="2"/>
  <c r="AA2219" i="2" s="1"/>
  <c r="AB2220" i="2" s="1"/>
  <c r="AA2230" i="2" l="1"/>
  <c r="AB2231" i="2" s="1"/>
  <c r="AA2255" i="2"/>
  <c r="AC2253" i="2"/>
  <c r="AA2247" i="2"/>
  <c r="AA2246" i="2"/>
  <c r="AA2237" i="2"/>
  <c r="AA2238" i="2"/>
  <c r="AA2240" i="2" s="1"/>
  <c r="AA2248" i="2" l="1"/>
  <c r="AA2249" i="2"/>
  <c r="AA2251" i="2" s="1"/>
  <c r="AA2266" i="2"/>
  <c r="AC2264" i="2"/>
  <c r="AA2257" i="2"/>
  <c r="AA2258" i="2"/>
  <c r="AA2239" i="2"/>
  <c r="AA2241" i="2" s="1"/>
  <c r="AB2242" i="2" s="1"/>
  <c r="AA2259" i="2" l="1"/>
  <c r="AA2261" i="2" s="1"/>
  <c r="AA2260" i="2"/>
  <c r="AA2262" i="2" s="1"/>
  <c r="AA2250" i="2"/>
  <c r="AA2252" i="2" s="1"/>
  <c r="AB2253" i="2" s="1"/>
  <c r="AA2277" i="2"/>
  <c r="AA2269" i="2"/>
  <c r="AA2268" i="2"/>
  <c r="AC2275" i="2"/>
  <c r="AA2263" i="2" l="1"/>
  <c r="AB2264" i="2" s="1"/>
  <c r="AA2280" i="2"/>
  <c r="AA2288" i="2"/>
  <c r="AA2279" i="2"/>
  <c r="AC2286" i="2"/>
  <c r="AA2271" i="2"/>
  <c r="AA2273" i="2" s="1"/>
  <c r="AA2270" i="2"/>
  <c r="AA2272" i="2" s="1"/>
  <c r="AA2299" i="2" l="1"/>
  <c r="AC2297" i="2"/>
  <c r="AA2291" i="2"/>
  <c r="AA2290" i="2"/>
  <c r="AA2281" i="2"/>
  <c r="AA2283" i="2" s="1"/>
  <c r="AA2282" i="2"/>
  <c r="AA2284" i="2" s="1"/>
  <c r="AA2274" i="2"/>
  <c r="AB2275" i="2" s="1"/>
  <c r="AA2285" i="2" l="1"/>
  <c r="AB2286" i="2" s="1"/>
  <c r="AA2293" i="2"/>
  <c r="AA2295" i="2" s="1"/>
  <c r="AA2292" i="2"/>
  <c r="AA2294" i="2" s="1"/>
  <c r="AA2301" i="2"/>
  <c r="AC2308" i="2"/>
  <c r="AA2302" i="2"/>
  <c r="AA2310" i="2"/>
  <c r="AA2313" i="2" l="1"/>
  <c r="AA2321" i="2"/>
  <c r="AA2312" i="2"/>
  <c r="AC2319" i="2"/>
  <c r="AA2304" i="2"/>
  <c r="AA2306" i="2" s="1"/>
  <c r="AA2303" i="2"/>
  <c r="AA2296" i="2"/>
  <c r="AB2297" i="2" s="1"/>
  <c r="AA2332" i="2" l="1"/>
  <c r="AC2330" i="2"/>
  <c r="AA2324" i="2"/>
  <c r="AA2323" i="2"/>
  <c r="AA2305" i="2"/>
  <c r="AA2307" i="2" s="1"/>
  <c r="AB2308" i="2" s="1"/>
  <c r="AA2315" i="2"/>
  <c r="AA2317" i="2" s="1"/>
  <c r="AA2314" i="2"/>
  <c r="AA2316" i="2" s="1"/>
  <c r="AA2326" i="2" l="1"/>
  <c r="AA2328" i="2" s="1"/>
  <c r="AA2325" i="2"/>
  <c r="AA2327" i="2" s="1"/>
  <c r="AA2335" i="2"/>
  <c r="AC2341" i="2"/>
  <c r="AA2343" i="2"/>
  <c r="AA2334" i="2"/>
  <c r="AA2318" i="2"/>
  <c r="AB2319" i="2" s="1"/>
  <c r="AA2345" i="2" l="1"/>
  <c r="AA2354" i="2"/>
  <c r="AC2352" i="2"/>
  <c r="AA2346" i="2"/>
  <c r="AA2337" i="2"/>
  <c r="AA2339" i="2" s="1"/>
  <c r="AA2336" i="2"/>
  <c r="AA2329" i="2"/>
  <c r="AB2330" i="2" s="1"/>
  <c r="AA2347" i="2" l="1"/>
  <c r="AA2348" i="2"/>
  <c r="AA2350" i="2" s="1"/>
  <c r="AA2365" i="2"/>
  <c r="AC2363" i="2"/>
  <c r="AA2356" i="2"/>
  <c r="AA2357" i="2"/>
  <c r="AA2338" i="2"/>
  <c r="AA2340" i="2" s="1"/>
  <c r="AB2341" i="2" s="1"/>
  <c r="AA2358" i="2" l="1"/>
  <c r="AA2359" i="2"/>
  <c r="AA2361" i="2" s="1"/>
  <c r="AA2349" i="2"/>
  <c r="AA2351" i="2" s="1"/>
  <c r="AB2352" i="2" s="1"/>
  <c r="AC2374" i="2"/>
  <c r="AA2368" i="2"/>
  <c r="AA2376" i="2"/>
  <c r="AA2367" i="2"/>
  <c r="AA2369" i="2" l="1"/>
  <c r="AA2370" i="2"/>
  <c r="AA2372" i="2" s="1"/>
  <c r="AA2360" i="2"/>
  <c r="AA2362" i="2" s="1"/>
  <c r="AB2363" i="2" s="1"/>
  <c r="AA2379" i="2"/>
  <c r="AC2385" i="2"/>
  <c r="AA2378" i="2"/>
  <c r="AA2387" i="2"/>
  <c r="AC2396" i="2" l="1"/>
  <c r="AA2398" i="2"/>
  <c r="AA2390" i="2"/>
  <c r="AA2389" i="2"/>
  <c r="AA2371" i="2"/>
  <c r="AA2373" i="2" s="1"/>
  <c r="AB2374" i="2" s="1"/>
  <c r="AA2381" i="2"/>
  <c r="AA2383" i="2" s="1"/>
  <c r="AA2380" i="2"/>
  <c r="AA2391" i="2" l="1"/>
  <c r="AA2393" i="2" s="1"/>
  <c r="AA2392" i="2"/>
  <c r="AA2394" i="2" s="1"/>
  <c r="AA2382" i="2"/>
  <c r="AA2384" i="2" s="1"/>
  <c r="AB2385" i="2" s="1"/>
  <c r="AA2409" i="2"/>
  <c r="AC2407" i="2"/>
  <c r="AA2400" i="2"/>
  <c r="AA2401" i="2"/>
  <c r="AA2395" i="2" l="1"/>
  <c r="AB2396" i="2" s="1"/>
  <c r="AA2420" i="2"/>
  <c r="AA2412" i="2"/>
  <c r="AA2411" i="2"/>
  <c r="AC2418" i="2"/>
  <c r="AA2403" i="2"/>
  <c r="AA2405" i="2" s="1"/>
  <c r="AA2402" i="2"/>
  <c r="AA2404" i="2" s="1"/>
  <c r="AA2422" i="2" l="1"/>
  <c r="AA2431" i="2"/>
  <c r="AC2429" i="2"/>
  <c r="AA2423" i="2"/>
  <c r="AA2413" i="2"/>
  <c r="AA2415" i="2" s="1"/>
  <c r="AA2414" i="2"/>
  <c r="AA2416" i="2" s="1"/>
  <c r="AA2406" i="2"/>
  <c r="AB2407" i="2" s="1"/>
  <c r="AA2417" i="2" l="1"/>
  <c r="AB2418" i="2" s="1"/>
  <c r="AA2424" i="2"/>
  <c r="AA2426" i="2" s="1"/>
  <c r="AA2425" i="2"/>
  <c r="AA2427" i="2" s="1"/>
  <c r="AA2433" i="2"/>
  <c r="AC2440" i="2"/>
  <c r="AA2434" i="2"/>
  <c r="AA2442" i="2"/>
  <c r="AA2428" i="2" l="1"/>
  <c r="AB2429" i="2" s="1"/>
  <c r="AA2453" i="2"/>
  <c r="AA2444" i="2"/>
  <c r="AC2451" i="2"/>
  <c r="AA2445" i="2"/>
  <c r="AA2436" i="2"/>
  <c r="AA2438" i="2" s="1"/>
  <c r="AA2435" i="2"/>
  <c r="AC2462" i="2" l="1"/>
  <c r="AA2456" i="2"/>
  <c r="AA2464" i="2"/>
  <c r="AA2455" i="2"/>
  <c r="AA2447" i="2"/>
  <c r="AA2449" i="2" s="1"/>
  <c r="AA2446" i="2"/>
  <c r="AA2448" i="2" s="1"/>
  <c r="AA2437" i="2"/>
  <c r="AA2439" i="2" s="1"/>
  <c r="AB2440" i="2" s="1"/>
  <c r="AA2458" i="2" l="1"/>
  <c r="AA2460" i="2" s="1"/>
  <c r="AA2457" i="2"/>
  <c r="AA2459" i="2" s="1"/>
  <c r="AA2467" i="2"/>
  <c r="AA2475" i="2"/>
  <c r="AA2466" i="2"/>
  <c r="AC2473" i="2"/>
  <c r="AA2450" i="2"/>
  <c r="AB2451" i="2" s="1"/>
  <c r="AA2477" i="2" l="1"/>
  <c r="AC2484" i="2"/>
  <c r="AA2478" i="2"/>
  <c r="AA2486" i="2"/>
  <c r="AA2468" i="2"/>
  <c r="AA2470" i="2" s="1"/>
  <c r="AA2469" i="2"/>
  <c r="AA2471" i="2" s="1"/>
  <c r="AA2461" i="2"/>
  <c r="AB2462" i="2" s="1"/>
  <c r="AA2472" i="2" l="1"/>
  <c r="AB2473" i="2" s="1"/>
  <c r="AA2488" i="2"/>
  <c r="AC2495" i="2"/>
  <c r="AA2497" i="2"/>
  <c r="AA2489" i="2"/>
  <c r="AA2480" i="2"/>
  <c r="AA2482" i="2" s="1"/>
  <c r="AA2479" i="2"/>
  <c r="AA2481" i="2" s="1"/>
  <c r="AA2490" i="2" l="1"/>
  <c r="AA2492" i="2" s="1"/>
  <c r="AA2491" i="2"/>
  <c r="AA2493" i="2" s="1"/>
  <c r="AA2500" i="2"/>
  <c r="AA2508" i="2"/>
  <c r="AA2499" i="2"/>
  <c r="AC2506" i="2"/>
  <c r="AA2483" i="2"/>
  <c r="AB2484" i="2" s="1"/>
  <c r="AA2494" i="2" l="1"/>
  <c r="AB2495" i="2" s="1"/>
  <c r="AA2511" i="2"/>
  <c r="AC2517" i="2"/>
  <c r="AA2510" i="2"/>
  <c r="AA2519" i="2"/>
  <c r="AA2501" i="2"/>
  <c r="AA2502" i="2"/>
  <c r="AA2504" i="2" s="1"/>
  <c r="AC2528" i="2" l="1"/>
  <c r="AA2522" i="2"/>
  <c r="AA2530" i="2"/>
  <c r="AA2521" i="2"/>
  <c r="AA2503" i="2"/>
  <c r="AA2505" i="2" s="1"/>
  <c r="AB2506" i="2" s="1"/>
  <c r="AA2513" i="2"/>
  <c r="AA2515" i="2" s="1"/>
  <c r="AA2512" i="2"/>
  <c r="AA2514" i="2" s="1"/>
  <c r="AA2524" i="2" l="1"/>
  <c r="AA2526" i="2" s="1"/>
  <c r="AA2523" i="2"/>
  <c r="AA2525" i="2" s="1"/>
  <c r="AA2541" i="2"/>
  <c r="AA2532" i="2"/>
  <c r="AC2539" i="2"/>
  <c r="AA2533" i="2"/>
  <c r="AA2516" i="2"/>
  <c r="AB2517" i="2" s="1"/>
  <c r="AA2534" i="2" l="1"/>
  <c r="AA2536" i="2" s="1"/>
  <c r="AA2535" i="2"/>
  <c r="AA2537" i="2" s="1"/>
  <c r="AA2543" i="2"/>
  <c r="AC2550" i="2"/>
  <c r="AA2544" i="2"/>
  <c r="AA2552" i="2"/>
  <c r="AA2527" i="2"/>
  <c r="AB2528" i="2" s="1"/>
  <c r="AA2538" i="2" l="1"/>
  <c r="AB2539" i="2" s="1"/>
  <c r="AA2563" i="2"/>
  <c r="AC2561" i="2"/>
  <c r="AA2555" i="2"/>
  <c r="AA2554" i="2"/>
  <c r="AA2545" i="2"/>
  <c r="AA2546" i="2"/>
  <c r="AA2548" i="2" s="1"/>
  <c r="AA2557" i="2" l="1"/>
  <c r="AA2559" i="2" s="1"/>
  <c r="AA2556" i="2"/>
  <c r="AC2572" i="2"/>
  <c r="AA2566" i="2"/>
  <c r="AA2574" i="2"/>
  <c r="AA2565" i="2"/>
  <c r="AA2547" i="2"/>
  <c r="AA2549" i="2" s="1"/>
  <c r="AB2550" i="2" s="1"/>
  <c r="AC2583" i="2" l="1"/>
  <c r="AA2577" i="2"/>
  <c r="AA2585" i="2"/>
  <c r="AA2576" i="2"/>
  <c r="AA2568" i="2"/>
  <c r="AA2570" i="2" s="1"/>
  <c r="AA2567" i="2"/>
  <c r="AA2558" i="2"/>
  <c r="AA2560" i="2" s="1"/>
  <c r="AB2561" i="2" s="1"/>
  <c r="AA2578" i="2" l="1"/>
  <c r="AA2579" i="2"/>
  <c r="AA2581" i="2" s="1"/>
  <c r="AA2569" i="2"/>
  <c r="AA2571" i="2" s="1"/>
  <c r="AB2572" i="2" s="1"/>
  <c r="AC2594" i="2"/>
  <c r="AA2596" i="2"/>
  <c r="AA2587" i="2"/>
  <c r="AA2588" i="2"/>
  <c r="AA2580" i="2" l="1"/>
  <c r="AA2582" i="2" s="1"/>
  <c r="AB2583" i="2" s="1"/>
  <c r="AA2607" i="2"/>
  <c r="AA2599" i="2"/>
  <c r="AA2598" i="2"/>
  <c r="AC2605" i="2"/>
  <c r="AA2590" i="2"/>
  <c r="AA2592" i="2" s="1"/>
  <c r="AA2589" i="2"/>
  <c r="AA2591" i="2" s="1"/>
  <c r="AA2601" i="2" l="1"/>
  <c r="AA2603" i="2" s="1"/>
  <c r="AA2600" i="2"/>
  <c r="AA2609" i="2"/>
  <c r="AC2616" i="2"/>
  <c r="AA2610" i="2"/>
  <c r="AA2618" i="2"/>
  <c r="AA2593" i="2"/>
  <c r="AB2594" i="2" s="1"/>
  <c r="AA2629" i="2" l="1"/>
  <c r="AA2620" i="2"/>
  <c r="AC2627" i="2"/>
  <c r="AA2621" i="2"/>
  <c r="AA2602" i="2"/>
  <c r="AA2604" i="2" s="1"/>
  <c r="AB2605" i="2" s="1"/>
  <c r="AA2612" i="2"/>
  <c r="AA2614" i="2" s="1"/>
  <c r="AA2611" i="2"/>
  <c r="AA2613" i="2" s="1"/>
  <c r="AA2640" i="2" l="1"/>
  <c r="AA2632" i="2"/>
  <c r="AA2631" i="2"/>
  <c r="AC2638" i="2"/>
  <c r="AA2623" i="2"/>
  <c r="AA2625" i="2" s="1"/>
  <c r="AA2622" i="2"/>
  <c r="AA2624" i="2" s="1"/>
  <c r="AA2615" i="2"/>
  <c r="AB2616" i="2" s="1"/>
  <c r="AA2643" i="2" l="1"/>
  <c r="AA2651" i="2"/>
  <c r="AA2642" i="2"/>
  <c r="AC2649" i="2"/>
  <c r="AA2634" i="2"/>
  <c r="AA2636" i="2" s="1"/>
  <c r="AA2633" i="2"/>
  <c r="AA2626" i="2"/>
  <c r="AB2627" i="2" s="1"/>
  <c r="AC2660" i="2" l="1"/>
  <c r="AA2662" i="2"/>
  <c r="AA2654" i="2"/>
  <c r="AA2653" i="2"/>
  <c r="AA2635" i="2"/>
  <c r="AA2637" i="2" s="1"/>
  <c r="AB2638" i="2" s="1"/>
  <c r="AA2645" i="2"/>
  <c r="AA2647" i="2" s="1"/>
  <c r="AA2644" i="2"/>
  <c r="AA2646" i="2" s="1"/>
  <c r="AA2655" i="2" l="1"/>
  <c r="AA2656" i="2"/>
  <c r="AA2658" i="2" s="1"/>
  <c r="AC2671" i="2"/>
  <c r="AA2673" i="2"/>
  <c r="AA2665" i="2"/>
  <c r="AA2664" i="2"/>
  <c r="AA2648" i="2"/>
  <c r="AB2649" i="2" s="1"/>
  <c r="AC2682" i="2" l="1"/>
  <c r="AA2676" i="2"/>
  <c r="AA2684" i="2"/>
  <c r="AA2675" i="2"/>
  <c r="AA2657" i="2"/>
  <c r="AA2659" i="2" s="1"/>
  <c r="AB2660" i="2" s="1"/>
  <c r="AA2667" i="2"/>
  <c r="AA2669" i="2" s="1"/>
  <c r="AA2666" i="2"/>
  <c r="AA2668" i="2" s="1"/>
  <c r="AA2678" i="2" l="1"/>
  <c r="AA2680" i="2" s="1"/>
  <c r="AA2677" i="2"/>
  <c r="AA2695" i="2"/>
  <c r="AA2686" i="2"/>
  <c r="AC2693" i="2"/>
  <c r="AA2687" i="2"/>
  <c r="AA2670" i="2"/>
  <c r="AB2671" i="2" s="1"/>
  <c r="AA2689" i="2" l="1"/>
  <c r="AA2691" i="2" s="1"/>
  <c r="AA2688" i="2"/>
  <c r="AA2679" i="2"/>
  <c r="AA2681" i="2" s="1"/>
  <c r="AB2682" i="2" s="1"/>
  <c r="AC2704" i="2"/>
  <c r="AA2698" i="2"/>
  <c r="AA2706" i="2"/>
  <c r="AA2697" i="2"/>
  <c r="AA2699" i="2" l="1"/>
  <c r="AA2700" i="2"/>
  <c r="AA2702" i="2" s="1"/>
  <c r="AA2690" i="2"/>
  <c r="AA2692" i="2" s="1"/>
  <c r="AB2693" i="2" s="1"/>
  <c r="AA2717" i="2"/>
  <c r="AC2715" i="2"/>
  <c r="AA2708" i="2"/>
  <c r="AA2709" i="2"/>
  <c r="AA2728" i="2" l="1"/>
  <c r="AA2719" i="2"/>
  <c r="AC2726" i="2"/>
  <c r="AA2720" i="2"/>
  <c r="AA2701" i="2"/>
  <c r="AA2703" i="2" s="1"/>
  <c r="AB2704" i="2" s="1"/>
  <c r="AA2711" i="2"/>
  <c r="AA2713" i="2" s="1"/>
  <c r="AA2710" i="2"/>
  <c r="AA2712" i="2" s="1"/>
  <c r="AC2737" i="2" l="1"/>
  <c r="AA2731" i="2"/>
  <c r="AA2739" i="2"/>
  <c r="AA2730" i="2"/>
  <c r="AA2721" i="2"/>
  <c r="AA2722" i="2"/>
  <c r="AA2724" i="2" s="1"/>
  <c r="AA2714" i="2"/>
  <c r="AB2715" i="2" s="1"/>
  <c r="AA2732" i="2" l="1"/>
  <c r="AA2733" i="2"/>
  <c r="AA2735" i="2" s="1"/>
  <c r="AA2723" i="2"/>
  <c r="AA2725" i="2" s="1"/>
  <c r="AB2726" i="2" s="1"/>
  <c r="AA2750" i="2"/>
  <c r="AA2742" i="2"/>
  <c r="AA2741" i="2"/>
  <c r="AC2748" i="2"/>
  <c r="AC2759" i="2" l="1"/>
  <c r="AA2761" i="2"/>
  <c r="AA2753" i="2"/>
  <c r="AA2752" i="2"/>
  <c r="AA2734" i="2"/>
  <c r="AA2736" i="2" s="1"/>
  <c r="AB2737" i="2" s="1"/>
  <c r="AA2744" i="2"/>
  <c r="AA2746" i="2" s="1"/>
  <c r="AA2743" i="2"/>
  <c r="AA2754" i="2" l="1"/>
  <c r="AA2755" i="2"/>
  <c r="AA2757" i="2" s="1"/>
  <c r="AA2745" i="2"/>
  <c r="AA2747" i="2" s="1"/>
  <c r="AB2748" i="2" s="1"/>
  <c r="AA2772" i="2"/>
  <c r="AC2770" i="2"/>
  <c r="AA2764" i="2"/>
  <c r="AA2763" i="2"/>
  <c r="AA2765" i="2" l="1"/>
  <c r="AA2767" i="2" s="1"/>
  <c r="AA2766" i="2"/>
  <c r="AA2768" i="2" s="1"/>
  <c r="AA2775" i="2"/>
  <c r="AC2781" i="2"/>
  <c r="AA2774" i="2"/>
  <c r="AA2783" i="2"/>
  <c r="AA2756" i="2"/>
  <c r="AA2758" i="2" s="1"/>
  <c r="AB2759" i="2" s="1"/>
  <c r="AA2769" i="2" l="1"/>
  <c r="AB2770" i="2" s="1"/>
  <c r="AA2777" i="2"/>
  <c r="AA2779" i="2" s="1"/>
  <c r="AA2776" i="2"/>
  <c r="AA2794" i="2"/>
  <c r="AA2785" i="2"/>
  <c r="AC2792" i="2"/>
  <c r="AA2786" i="2"/>
  <c r="AA2788" i="2" l="1"/>
  <c r="AA2790" i="2" s="1"/>
  <c r="AA2787" i="2"/>
  <c r="AA2789" i="2" s="1"/>
  <c r="AA2778" i="2"/>
  <c r="AA2780" i="2" s="1"/>
  <c r="AB2781" i="2" s="1"/>
  <c r="AA2805" i="2"/>
  <c r="AA2796" i="2"/>
  <c r="AC2803" i="2"/>
  <c r="AA2797" i="2"/>
  <c r="AA2807" i="2" l="1"/>
  <c r="AA2808" i="2"/>
  <c r="AC2814" i="2"/>
  <c r="AA2816" i="2"/>
  <c r="AA2798" i="2"/>
  <c r="AA2800" i="2" s="1"/>
  <c r="AA2799" i="2"/>
  <c r="AA2801" i="2" s="1"/>
  <c r="AA2791" i="2"/>
  <c r="AB2792" i="2" s="1"/>
  <c r="AA2802" i="2" l="1"/>
  <c r="AB2803" i="2" s="1"/>
  <c r="AC2825" i="2"/>
  <c r="AA2827" i="2"/>
  <c r="AA2819" i="2"/>
  <c r="AA2818" i="2"/>
  <c r="AA2809" i="2"/>
  <c r="AA2810" i="2"/>
  <c r="AA2812" i="2" s="1"/>
  <c r="AA2820" i="2" l="1"/>
  <c r="AA2821" i="2"/>
  <c r="AA2823" i="2" s="1"/>
  <c r="AA2811" i="2"/>
  <c r="AA2813" i="2" s="1"/>
  <c r="AB2814" i="2" s="1"/>
  <c r="AA2830" i="2"/>
  <c r="AC2836" i="2"/>
  <c r="AA2829" i="2"/>
  <c r="AA2838" i="2"/>
  <c r="AA2849" i="2" l="1"/>
  <c r="AA2841" i="2"/>
  <c r="AA2840" i="2"/>
  <c r="AC2847" i="2"/>
  <c r="AA2822" i="2"/>
  <c r="AA2824" i="2" s="1"/>
  <c r="AB2825" i="2" s="1"/>
  <c r="AA2831" i="2"/>
  <c r="AA2833" i="2" s="1"/>
  <c r="AA2832" i="2"/>
  <c r="AA2834" i="2" s="1"/>
  <c r="AA2835" i="2" l="1"/>
  <c r="AB2836" i="2" s="1"/>
  <c r="AA2860" i="2"/>
  <c r="AA2852" i="2"/>
  <c r="AA2851" i="2"/>
  <c r="AC2858" i="2"/>
  <c r="AA2842" i="2"/>
  <c r="AA2843" i="2"/>
  <c r="AA2845" i="2" s="1"/>
  <c r="AA2862" i="2" l="1"/>
  <c r="AC2869" i="2"/>
  <c r="AA2863" i="2"/>
  <c r="AA2871" i="2"/>
  <c r="AA2844" i="2"/>
  <c r="AA2846" i="2" s="1"/>
  <c r="AB2847" i="2" s="1"/>
  <c r="AA2854" i="2"/>
  <c r="AA2856" i="2" s="1"/>
  <c r="AA2853" i="2"/>
  <c r="AA2882" i="2" l="1"/>
  <c r="AA2873" i="2"/>
  <c r="AC2880" i="2"/>
  <c r="AA2874" i="2"/>
  <c r="AA2855" i="2"/>
  <c r="AA2857" i="2" s="1"/>
  <c r="AB2858" i="2" s="1"/>
  <c r="AA2864" i="2"/>
  <c r="AA2865" i="2"/>
  <c r="AA2867" i="2" s="1"/>
  <c r="AA2866" i="2" l="1"/>
  <c r="AA2868" i="2" s="1"/>
  <c r="AB2869" i="2" s="1"/>
  <c r="AA2893" i="2"/>
  <c r="AC2891" i="2"/>
  <c r="AA2884" i="2"/>
  <c r="AA2885" i="2"/>
  <c r="AA2876" i="2"/>
  <c r="AA2878" i="2" s="1"/>
  <c r="AA2875" i="2"/>
  <c r="AA2877" i="2" l="1"/>
  <c r="AA2879" i="2" s="1"/>
  <c r="AB2880" i="2" s="1"/>
  <c r="AA2887" i="2"/>
  <c r="AA2889" i="2" s="1"/>
  <c r="AA2886" i="2"/>
  <c r="AA2895" i="2"/>
  <c r="AC2902" i="2"/>
  <c r="AA2896" i="2"/>
  <c r="AA2904" i="2"/>
  <c r="AA2897" i="2" l="1"/>
  <c r="AA2898" i="2"/>
  <c r="AA2900" i="2" s="1"/>
  <c r="AA2906" i="2"/>
  <c r="AA2915" i="2"/>
  <c r="AA2907" i="2"/>
  <c r="AC2913" i="2"/>
  <c r="AA2888" i="2"/>
  <c r="AA2890" i="2" s="1"/>
  <c r="AB2891" i="2" s="1"/>
  <c r="AA2899" i="2" l="1"/>
  <c r="AA2901" i="2" s="1"/>
  <c r="AB2902" i="2" s="1"/>
  <c r="AA2909" i="2"/>
  <c r="AA2911" i="2" s="1"/>
  <c r="AA2908" i="2"/>
  <c r="AA2910" i="2" s="1"/>
  <c r="AA2917" i="2"/>
  <c r="AC2924" i="2"/>
  <c r="AA2926" i="2"/>
  <c r="AA2918" i="2"/>
  <c r="AA2912" i="2" l="1"/>
  <c r="AB2913" i="2" s="1"/>
  <c r="AA2920" i="2"/>
  <c r="AA2922" i="2" s="1"/>
  <c r="AA2919" i="2"/>
  <c r="AA2929" i="2"/>
  <c r="AA2928" i="2"/>
  <c r="AC2935" i="2"/>
  <c r="AA2937" i="2"/>
  <c r="AA2939" i="2" l="1"/>
  <c r="AC2946" i="2"/>
  <c r="AA2948" i="2"/>
  <c r="AA2940" i="2"/>
  <c r="AA2921" i="2"/>
  <c r="AA2923" i="2" s="1"/>
  <c r="AB2924" i="2" s="1"/>
  <c r="AA2931" i="2"/>
  <c r="AA2933" i="2" s="1"/>
  <c r="AA2930" i="2"/>
  <c r="AA2942" i="2" l="1"/>
  <c r="AA2944" i="2" s="1"/>
  <c r="AA2941" i="2"/>
  <c r="AA2943" i="2" s="1"/>
  <c r="AA2959" i="2"/>
  <c r="AA2950" i="2"/>
  <c r="AC2957" i="2"/>
  <c r="AA2951" i="2"/>
  <c r="AA2932" i="2"/>
  <c r="AA2934" i="2" s="1"/>
  <c r="AB2935" i="2" s="1"/>
  <c r="AA2970" i="2" l="1"/>
  <c r="AA2961" i="2"/>
  <c r="AC2968" i="2"/>
  <c r="AA2962" i="2"/>
  <c r="AA2945" i="2"/>
  <c r="AB2946" i="2" s="1"/>
  <c r="AA2952" i="2"/>
  <c r="AA2954" i="2" s="1"/>
  <c r="AA2953" i="2"/>
  <c r="AA2955" i="2" s="1"/>
  <c r="AA2956" i="2" l="1"/>
  <c r="AB2957" i="2" s="1"/>
  <c r="AA2973" i="2"/>
  <c r="AA2981" i="2"/>
  <c r="AC2979" i="2"/>
  <c r="AA2972" i="2"/>
  <c r="AA2964" i="2"/>
  <c r="AA2966" i="2" s="1"/>
  <c r="AA2963" i="2"/>
  <c r="AA2983" i="2" l="1"/>
  <c r="AC2990" i="2"/>
  <c r="AA2984" i="2"/>
  <c r="AA2992" i="2"/>
  <c r="AA2965" i="2"/>
  <c r="AA2967" i="2" s="1"/>
  <c r="AB2968" i="2" s="1"/>
  <c r="AA2975" i="2"/>
  <c r="AA2977" i="2" s="1"/>
  <c r="AA2974" i="2"/>
  <c r="AA2976" i="2" s="1"/>
  <c r="AA2978" i="2" l="1"/>
  <c r="AB2979" i="2" s="1"/>
  <c r="AA2985" i="2"/>
  <c r="AA2987" i="2" s="1"/>
  <c r="AA2986" i="2"/>
  <c r="AA2988" i="2" s="1"/>
  <c r="AC3001" i="2"/>
  <c r="AA2994" i="2"/>
  <c r="AA3003" i="2"/>
  <c r="AA2995" i="2"/>
  <c r="AA2989" i="2" l="1"/>
  <c r="AB2990" i="2" s="1"/>
  <c r="AC3012" i="2"/>
  <c r="AA3014" i="2"/>
  <c r="AA3006" i="2"/>
  <c r="AA3005" i="2"/>
  <c r="AA2996" i="2"/>
  <c r="AA2998" i="2" s="1"/>
  <c r="AA2997" i="2"/>
  <c r="AA2999" i="2" s="1"/>
  <c r="AA3000" i="2" l="1"/>
  <c r="AB3001" i="2" s="1"/>
  <c r="AA3025" i="2"/>
  <c r="AA3017" i="2"/>
  <c r="AA3016" i="2"/>
  <c r="AC3023" i="2"/>
  <c r="AA3007" i="2"/>
  <c r="AA3008" i="2"/>
  <c r="AA3010" i="2" s="1"/>
  <c r="AA3027" i="2" l="1"/>
  <c r="AC3034" i="2"/>
  <c r="AA3036" i="2"/>
  <c r="AA3028" i="2"/>
  <c r="AA3009" i="2"/>
  <c r="AA3011" i="2" s="1"/>
  <c r="AB3012" i="2" s="1"/>
  <c r="AA3019" i="2"/>
  <c r="AA3021" i="2" s="1"/>
  <c r="AA3018" i="2"/>
  <c r="AA3020" i="2" l="1"/>
  <c r="AA3022" i="2" s="1"/>
  <c r="AB3023" i="2" s="1"/>
  <c r="AA3030" i="2"/>
  <c r="AA3032" i="2" s="1"/>
  <c r="AA3029" i="2"/>
  <c r="AA3031" i="2" s="1"/>
  <c r="AA3047" i="2"/>
  <c r="AA3038" i="2"/>
  <c r="AC3045" i="2"/>
  <c r="AA3039" i="2"/>
  <c r="AA3058" i="2" l="1"/>
  <c r="AA3049" i="2"/>
  <c r="AC3056" i="2"/>
  <c r="AA3050" i="2"/>
  <c r="AA3040" i="2"/>
  <c r="AA3041" i="2"/>
  <c r="AA3043" i="2" s="1"/>
  <c r="AA3033" i="2"/>
  <c r="AB3034" i="2" s="1"/>
  <c r="AA3069" i="2" l="1"/>
  <c r="AC3067" i="2"/>
  <c r="AA3060" i="2"/>
  <c r="AA3061" i="2"/>
  <c r="AA3042" i="2"/>
  <c r="AA3044" i="2" s="1"/>
  <c r="AB3045" i="2" s="1"/>
  <c r="AA3052" i="2"/>
  <c r="AA3054" i="2" s="1"/>
  <c r="AA3051" i="2"/>
  <c r="AA3053" i="2" l="1"/>
  <c r="AA3055" i="2" s="1"/>
  <c r="AB3056" i="2" s="1"/>
  <c r="AA3071" i="2"/>
  <c r="AC3078" i="2"/>
  <c r="AA3072" i="2"/>
  <c r="AA3080" i="2"/>
  <c r="AA3063" i="2"/>
  <c r="AA3065" i="2" s="1"/>
  <c r="AA3062" i="2"/>
  <c r="AA3064" i="2" l="1"/>
  <c r="AA3066" i="2" s="1"/>
  <c r="AB3067" i="2" s="1"/>
  <c r="AA3082" i="2"/>
  <c r="AA3091" i="2"/>
  <c r="AA3083" i="2"/>
  <c r="AC3089" i="2"/>
  <c r="AA3073" i="2"/>
  <c r="AA3074" i="2"/>
  <c r="AA3076" i="2" s="1"/>
  <c r="AA3085" i="2" l="1"/>
  <c r="AA3087" i="2" s="1"/>
  <c r="AA3084" i="2"/>
  <c r="AA3086" i="2" s="1"/>
  <c r="AA3075" i="2"/>
  <c r="AA3077" i="2" s="1"/>
  <c r="AB3078" i="2" s="1"/>
  <c r="AA3093" i="2"/>
  <c r="AC3100" i="2"/>
  <c r="AA3102" i="2"/>
  <c r="AA3094" i="2"/>
  <c r="AA3096" i="2" l="1"/>
  <c r="AA3098" i="2" s="1"/>
  <c r="AA3095" i="2"/>
  <c r="AA3105" i="2"/>
  <c r="AA3104" i="2"/>
  <c r="AC3111" i="2"/>
  <c r="AA3113" i="2"/>
  <c r="AA3088" i="2"/>
  <c r="AB3089" i="2" s="1"/>
  <c r="AA3115" i="2" l="1"/>
  <c r="AC3122" i="2"/>
  <c r="AA3124" i="2"/>
  <c r="AA3116" i="2"/>
  <c r="AA3097" i="2"/>
  <c r="AA3099" i="2" s="1"/>
  <c r="AB3100" i="2" s="1"/>
  <c r="AA3107" i="2"/>
  <c r="AA3109" i="2" s="1"/>
  <c r="AA3106" i="2"/>
  <c r="AA3108" i="2" l="1"/>
  <c r="AA3110" i="2" s="1"/>
  <c r="AB3111" i="2" s="1"/>
  <c r="AA3118" i="2"/>
  <c r="AA3120" i="2" s="1"/>
  <c r="AA3117" i="2"/>
  <c r="AC3133" i="2"/>
  <c r="AA3127" i="2"/>
  <c r="AA3135" i="2"/>
  <c r="AA3126" i="2"/>
  <c r="AA3138" i="2" l="1"/>
  <c r="AA3146" i="2"/>
  <c r="AA3137" i="2"/>
  <c r="AC3144" i="2"/>
  <c r="AA3129" i="2"/>
  <c r="AA3131" i="2" s="1"/>
  <c r="AA3128" i="2"/>
  <c r="AA3119" i="2"/>
  <c r="AA3121" i="2" s="1"/>
  <c r="AB3122" i="2" s="1"/>
  <c r="AA3157" i="2" l="1"/>
  <c r="AC3155" i="2"/>
  <c r="AA3148" i="2"/>
  <c r="AA3149" i="2"/>
  <c r="AA3130" i="2"/>
  <c r="AA3132" i="2" s="1"/>
  <c r="AB3133" i="2" s="1"/>
  <c r="AA3140" i="2"/>
  <c r="AA3142" i="2" s="1"/>
  <c r="AA3139" i="2"/>
  <c r="AA3141" i="2" l="1"/>
  <c r="AA3143" i="2" s="1"/>
  <c r="AB3144" i="2" s="1"/>
  <c r="AA3160" i="2"/>
  <c r="AA3168" i="2"/>
  <c r="AA3159" i="2"/>
  <c r="AC3166" i="2"/>
  <c r="AA3151" i="2"/>
  <c r="AA3153" i="2" s="1"/>
  <c r="AA3150" i="2"/>
  <c r="AA3152" i="2" l="1"/>
  <c r="AA3154" i="2" s="1"/>
  <c r="AB3155" i="2" s="1"/>
  <c r="AA3161" i="2"/>
  <c r="AA3163" i="2" s="1"/>
  <c r="AA3162" i="2"/>
  <c r="AA3164" i="2" s="1"/>
  <c r="AA3170" i="2"/>
  <c r="AA3179" i="2"/>
  <c r="AA3171" i="2"/>
  <c r="AC3177" i="2"/>
  <c r="AA3165" i="2" l="1"/>
  <c r="AB3166" i="2" s="1"/>
  <c r="AA3172" i="2"/>
  <c r="AA3173" i="2"/>
  <c r="AA3175" i="2" s="1"/>
  <c r="AA3181" i="2"/>
  <c r="AC3188" i="2"/>
  <c r="AA3190" i="2"/>
  <c r="AA3182" i="2"/>
  <c r="AA3193" i="2" l="1"/>
  <c r="AA3192" i="2"/>
  <c r="AC3199" i="2"/>
  <c r="AA3201" i="2"/>
  <c r="AA3174" i="2"/>
  <c r="AA3176" i="2" s="1"/>
  <c r="AB3177" i="2" s="1"/>
  <c r="AA3183" i="2"/>
  <c r="AA3185" i="2" s="1"/>
  <c r="AA3184" i="2"/>
  <c r="AA3186" i="2" s="1"/>
  <c r="AA3195" i="2" l="1"/>
  <c r="AA3197" i="2" s="1"/>
  <c r="AA3194" i="2"/>
  <c r="AA3204" i="2"/>
  <c r="AA3203" i="2"/>
  <c r="AC3210" i="2"/>
  <c r="AA3212" i="2"/>
  <c r="AA3187" i="2"/>
  <c r="AB3188" i="2" s="1"/>
  <c r="AA3215" i="2" l="1"/>
  <c r="AA3223" i="2"/>
  <c r="AA3214" i="2"/>
  <c r="AC3221" i="2"/>
  <c r="AA3196" i="2"/>
  <c r="AA3198" i="2" s="1"/>
  <c r="AB3199" i="2" s="1"/>
  <c r="AA3206" i="2"/>
  <c r="AA3208" i="2" s="1"/>
  <c r="AA3205" i="2"/>
  <c r="AA3207" i="2" l="1"/>
  <c r="AA3209" i="2" s="1"/>
  <c r="AB3210" i="2" s="1"/>
  <c r="AA3225" i="2"/>
  <c r="AC3232" i="2"/>
  <c r="AA3234" i="2"/>
  <c r="AA3226" i="2"/>
  <c r="AA3217" i="2"/>
  <c r="AA3219" i="2" s="1"/>
  <c r="AA3216" i="2"/>
  <c r="AA3218" i="2" l="1"/>
  <c r="AA3220" i="2" s="1"/>
  <c r="AB3221" i="2" s="1"/>
  <c r="AA3236" i="2"/>
  <c r="AC3243" i="2"/>
  <c r="AA3237" i="2"/>
  <c r="AA3245" i="2"/>
  <c r="AA3228" i="2"/>
  <c r="AA3230" i="2" s="1"/>
  <c r="AA3227" i="2"/>
  <c r="AA3229" i="2" s="1"/>
  <c r="AA3231" i="2" l="1"/>
  <c r="AB3232" i="2" s="1"/>
  <c r="AA3248" i="2"/>
  <c r="AA3247" i="2"/>
  <c r="AC3254" i="2"/>
  <c r="AA3256" i="2"/>
  <c r="AA3238" i="2"/>
  <c r="AA3239" i="2"/>
  <c r="AA3241" i="2" s="1"/>
  <c r="AA3240" i="2" l="1"/>
  <c r="AA3242" i="2" s="1"/>
  <c r="AB3243" i="2" s="1"/>
  <c r="AA3250" i="2"/>
  <c r="AA3252" i="2" s="1"/>
  <c r="AA3249" i="2"/>
  <c r="AA3251" i="2" s="1"/>
  <c r="AA3259" i="2"/>
  <c r="AA3267" i="2"/>
  <c r="AA3258" i="2"/>
  <c r="AC3265" i="2"/>
  <c r="AA3278" i="2" l="1"/>
  <c r="AA3269" i="2"/>
  <c r="AC3276" i="2"/>
  <c r="AA3270" i="2"/>
  <c r="AA3260" i="2"/>
  <c r="AA3262" i="2" s="1"/>
  <c r="AA3261" i="2"/>
  <c r="AA3263" i="2" s="1"/>
  <c r="AA3253" i="2"/>
  <c r="AB3254" i="2" s="1"/>
  <c r="AA3264" i="2" l="1"/>
  <c r="AB3265" i="2" s="1"/>
  <c r="AA3289" i="2"/>
  <c r="AA3280" i="2"/>
  <c r="AC3287" i="2"/>
  <c r="AA3281" i="2"/>
  <c r="AA3272" i="2"/>
  <c r="AA3274" i="2" s="1"/>
  <c r="AA3271" i="2"/>
  <c r="AA3273" i="2" s="1"/>
  <c r="AA3300" i="2" l="1"/>
  <c r="AA3291" i="2"/>
  <c r="AC3298" i="2"/>
  <c r="AA3292" i="2"/>
  <c r="AA3282" i="2"/>
  <c r="AA3283" i="2"/>
  <c r="AA3285" i="2" s="1"/>
  <c r="AA3275" i="2"/>
  <c r="AB3276" i="2" s="1"/>
  <c r="AA3302" i="2" l="1"/>
  <c r="AC3309" i="2"/>
  <c r="AA3303" i="2"/>
  <c r="AA3311" i="2"/>
  <c r="AA3284" i="2"/>
  <c r="AA3286" i="2" s="1"/>
  <c r="AB3287" i="2" s="1"/>
  <c r="AA3294" i="2"/>
  <c r="AA3296" i="2" s="1"/>
  <c r="AA3293" i="2"/>
  <c r="AA3295" i="2" s="1"/>
  <c r="AA3297" i="2" l="1"/>
  <c r="AB3298" i="2" s="1"/>
  <c r="AA3304" i="2"/>
  <c r="AA3305" i="2"/>
  <c r="AA3307" i="2" s="1"/>
  <c r="AA3314" i="2"/>
  <c r="AA3313" i="2"/>
  <c r="AC3320" i="2"/>
  <c r="AA3322" i="2"/>
  <c r="AA3306" i="2" l="1"/>
  <c r="AA3308" i="2" s="1"/>
  <c r="AB3309" i="2" s="1"/>
  <c r="AA3324" i="2"/>
  <c r="AC3331" i="2"/>
  <c r="AA3325" i="2"/>
  <c r="AA3333" i="2"/>
  <c r="AA3316" i="2"/>
  <c r="AA3318" i="2" s="1"/>
  <c r="AA3315" i="2"/>
  <c r="AA3317" i="2" l="1"/>
  <c r="AA3319" i="2" s="1"/>
  <c r="AB3320" i="2" s="1"/>
  <c r="AA3335" i="2"/>
  <c r="AC3342" i="2"/>
  <c r="AA3344" i="2"/>
  <c r="AA3336" i="2"/>
  <c r="AA3327" i="2"/>
  <c r="AA3329" i="2" s="1"/>
  <c r="AA3326" i="2"/>
  <c r="AA3328" i="2" l="1"/>
  <c r="AA3330" i="2" s="1"/>
  <c r="AB3331" i="2" s="1"/>
  <c r="AA3346" i="2"/>
  <c r="AC3353" i="2"/>
  <c r="AA3347" i="2"/>
  <c r="AA3355" i="2"/>
  <c r="AA3338" i="2"/>
  <c r="AA3340" i="2" s="1"/>
  <c r="AA3337" i="2"/>
  <c r="AA3339" i="2" l="1"/>
  <c r="AA3341" i="2" s="1"/>
  <c r="AB3342" i="2" s="1"/>
  <c r="AA3357" i="2"/>
  <c r="AC3364" i="2"/>
  <c r="AA3358" i="2"/>
  <c r="AA3366" i="2"/>
  <c r="AA3349" i="2"/>
  <c r="AA3351" i="2" s="1"/>
  <c r="AA3348" i="2"/>
  <c r="AA3350" i="2" l="1"/>
  <c r="AA3352" i="2" s="1"/>
  <c r="AB3353" i="2" s="1"/>
  <c r="AA3368" i="2"/>
  <c r="AC3375" i="2"/>
  <c r="AA3369" i="2"/>
  <c r="AA3377" i="2"/>
  <c r="AA3360" i="2"/>
  <c r="AA3362" i="2" s="1"/>
  <c r="AA3359" i="2"/>
  <c r="AA3361" i="2" l="1"/>
  <c r="AA3363" i="2" s="1"/>
  <c r="AB3364" i="2" s="1"/>
  <c r="AA3379" i="2"/>
  <c r="AC3386" i="2"/>
  <c r="AA3380" i="2"/>
  <c r="AA3388" i="2"/>
  <c r="AA3371" i="2"/>
  <c r="AA3373" i="2" s="1"/>
  <c r="AA3370" i="2"/>
  <c r="AA3372" i="2" l="1"/>
  <c r="AA3374" i="2" s="1"/>
  <c r="AB3375" i="2" s="1"/>
  <c r="AA3390" i="2"/>
  <c r="AC3397" i="2"/>
  <c r="AA3391" i="2"/>
  <c r="AA3399" i="2"/>
  <c r="AA3382" i="2"/>
  <c r="AA3384" i="2" s="1"/>
  <c r="AA3381" i="2"/>
  <c r="AA3383" i="2" l="1"/>
  <c r="AA3385" i="2" s="1"/>
  <c r="AB3386" i="2" s="1"/>
  <c r="AA3401" i="2"/>
  <c r="AC3408" i="2"/>
  <c r="AA3410" i="2"/>
  <c r="AA3402" i="2"/>
  <c r="AA3393" i="2"/>
  <c r="AA3395" i="2" s="1"/>
  <c r="AA3392" i="2"/>
  <c r="AA3394" i="2" s="1"/>
  <c r="AA3396" i="2" l="1"/>
  <c r="AB3397" i="2" s="1"/>
  <c r="AA3412" i="2"/>
  <c r="AC3419" i="2"/>
  <c r="AA3413" i="2"/>
  <c r="AA3421" i="2"/>
  <c r="AA3404" i="2"/>
  <c r="AA3406" i="2" s="1"/>
  <c r="AA3403" i="2"/>
  <c r="AA3415" i="2" l="1"/>
  <c r="AA3417" i="2" s="1"/>
  <c r="AA3414" i="2"/>
  <c r="AA3416" i="2" s="1"/>
  <c r="AA3405" i="2"/>
  <c r="AA3407" i="2" s="1"/>
  <c r="AB3408" i="2" s="1"/>
  <c r="AA3423" i="2"/>
  <c r="AC3430" i="2"/>
  <c r="AA3432" i="2"/>
  <c r="AA3424" i="2"/>
  <c r="AA3426" i="2" l="1"/>
  <c r="AA3428" i="2" s="1"/>
  <c r="AA3425" i="2"/>
  <c r="AA3434" i="2"/>
  <c r="AC3441" i="2"/>
  <c r="AA3435" i="2"/>
  <c r="AA3443" i="2"/>
  <c r="AA3418" i="2"/>
  <c r="AB3419" i="2" s="1"/>
  <c r="AA3445" i="2" l="1"/>
  <c r="AC3452" i="2"/>
  <c r="AA3446" i="2"/>
  <c r="AA3454" i="2"/>
  <c r="AA3427" i="2"/>
  <c r="AA3429" i="2" s="1"/>
  <c r="AB3430" i="2" s="1"/>
  <c r="AA3437" i="2"/>
  <c r="AA3439" i="2" s="1"/>
  <c r="AA3436" i="2"/>
  <c r="AA3438" i="2" l="1"/>
  <c r="AA3440" i="2" s="1"/>
  <c r="AB3441" i="2" s="1"/>
  <c r="AA3448" i="2"/>
  <c r="AA3450" i="2" s="1"/>
  <c r="AA3447" i="2"/>
  <c r="AA3449" i="2" s="1"/>
  <c r="AA3456" i="2"/>
  <c r="AC3463" i="2"/>
  <c r="AA3457" i="2"/>
  <c r="AA3465" i="2"/>
  <c r="AA3459" i="2" l="1"/>
  <c r="AA3461" i="2" s="1"/>
  <c r="AA3458" i="2"/>
  <c r="AC3474" i="2"/>
  <c r="AA3468" i="2"/>
  <c r="AA3476" i="2"/>
  <c r="AA3467" i="2"/>
  <c r="AA3451" i="2"/>
  <c r="AB3452" i="2" s="1"/>
  <c r="AA3478" i="2" l="1"/>
  <c r="AC3485" i="2"/>
  <c r="AA3479" i="2"/>
  <c r="AA3487" i="2"/>
  <c r="AA3470" i="2"/>
  <c r="AA3472" i="2" s="1"/>
  <c r="AA3469" i="2"/>
  <c r="AA3460" i="2"/>
  <c r="AA3462" i="2" s="1"/>
  <c r="AB3463" i="2" s="1"/>
  <c r="AA3481" i="2" l="1"/>
  <c r="AA3483" i="2" s="1"/>
  <c r="AA3480" i="2"/>
  <c r="AA3482" i="2" s="1"/>
  <c r="AA3471" i="2"/>
  <c r="AA3473" i="2" s="1"/>
  <c r="AB3474" i="2" s="1"/>
  <c r="AA3489" i="2"/>
  <c r="AC3496" i="2"/>
  <c r="AA3498" i="2"/>
  <c r="AA3490" i="2"/>
  <c r="AA3492" i="2" l="1"/>
  <c r="AA3494" i="2" s="1"/>
  <c r="AA3491" i="2"/>
  <c r="AA3500" i="2"/>
  <c r="AC3507" i="2"/>
  <c r="AA3501" i="2"/>
  <c r="AA3509" i="2"/>
  <c r="AA3484" i="2"/>
  <c r="AB3485" i="2" s="1"/>
  <c r="AA3511" i="2" l="1"/>
  <c r="AC3518" i="2"/>
  <c r="AA3520" i="2"/>
  <c r="AA3512" i="2"/>
  <c r="AA3493" i="2"/>
  <c r="AA3495" i="2" s="1"/>
  <c r="AB3496" i="2" s="1"/>
  <c r="AA3503" i="2"/>
  <c r="AA3505" i="2" s="1"/>
  <c r="AA3502" i="2"/>
  <c r="AA3504" i="2" l="1"/>
  <c r="AA3506" i="2" s="1"/>
  <c r="AB3507" i="2" s="1"/>
  <c r="AA3514" i="2"/>
  <c r="AA3516" i="2" s="1"/>
  <c r="AA3513" i="2"/>
  <c r="AA3523" i="2"/>
  <c r="AA3531" i="2"/>
  <c r="AA3522" i="2"/>
  <c r="AC3529" i="2"/>
  <c r="AA3542" i="2" l="1"/>
  <c r="AC3540" i="2"/>
  <c r="AA3534" i="2"/>
  <c r="AA3533" i="2"/>
  <c r="AA3525" i="2"/>
  <c r="AA3527" i="2" s="1"/>
  <c r="AA3524" i="2"/>
  <c r="AA3526" i="2" s="1"/>
  <c r="AA3515" i="2"/>
  <c r="AA3517" i="2" s="1"/>
  <c r="AB3518" i="2" s="1"/>
  <c r="AA3545" i="2" l="1"/>
  <c r="AA3553" i="2"/>
  <c r="AA3544" i="2"/>
  <c r="AC3551" i="2"/>
  <c r="AA3536" i="2"/>
  <c r="AA3538" i="2" s="1"/>
  <c r="AA3535" i="2"/>
  <c r="AA3528" i="2"/>
  <c r="AB3529" i="2" s="1"/>
  <c r="AA3564" i="2" l="1"/>
  <c r="AC3562" i="2"/>
  <c r="AA3556" i="2"/>
  <c r="AA3555" i="2"/>
  <c r="AA3537" i="2"/>
  <c r="AA3539" i="2" s="1"/>
  <c r="AB3540" i="2" s="1"/>
  <c r="AA3547" i="2"/>
  <c r="AA3549" i="2" s="1"/>
  <c r="AA3546" i="2"/>
  <c r="AA3548" i="2" l="1"/>
  <c r="AA3550" i="2" s="1"/>
  <c r="AB3551" i="2" s="1"/>
  <c r="AA3575" i="2"/>
  <c r="AA3566" i="2"/>
  <c r="AC3573" i="2"/>
  <c r="AA3567" i="2"/>
  <c r="AA3558" i="2"/>
  <c r="AA3560" i="2" s="1"/>
  <c r="AA3557" i="2"/>
  <c r="AA3559" i="2" l="1"/>
  <c r="AA3561" i="2" s="1"/>
  <c r="AB3562" i="2" s="1"/>
  <c r="AA3577" i="2"/>
  <c r="AA3586" i="2"/>
  <c r="AC3584" i="2"/>
  <c r="AA3578" i="2"/>
  <c r="AA3568" i="2"/>
  <c r="AA3570" i="2" s="1"/>
  <c r="AA3569" i="2"/>
  <c r="AA3571" i="2" s="1"/>
  <c r="AA3579" i="2" l="1"/>
  <c r="AA3580" i="2"/>
  <c r="AA3582" i="2" s="1"/>
  <c r="AC3595" i="2"/>
  <c r="AA3597" i="2"/>
  <c r="AA3589" i="2"/>
  <c r="AA3588" i="2"/>
  <c r="AA3572" i="2"/>
  <c r="AB3573" i="2" s="1"/>
  <c r="AA3581" i="2" l="1"/>
  <c r="AA3583" i="2" s="1"/>
  <c r="AB3584" i="2" s="1"/>
  <c r="AA3591" i="2"/>
  <c r="AA3593" i="2" s="1"/>
  <c r="AA3590" i="2"/>
  <c r="AA3592" i="2" s="1"/>
  <c r="AC3606" i="2"/>
  <c r="AA3600" i="2"/>
  <c r="AA3599" i="2"/>
  <c r="AA3608" i="2"/>
  <c r="AA3602" i="2" l="1"/>
  <c r="AA3604" i="2" s="1"/>
  <c r="AA3601" i="2"/>
  <c r="AA3611" i="2"/>
  <c r="AA3610" i="2"/>
  <c r="AC3617" i="2"/>
  <c r="AA3619" i="2"/>
  <c r="AA3594" i="2"/>
  <c r="AB3595" i="2" s="1"/>
  <c r="AC3628" i="2" l="1"/>
  <c r="AA3622" i="2"/>
  <c r="AA3621" i="2"/>
  <c r="AA3630" i="2"/>
  <c r="AA3603" i="2"/>
  <c r="AA3605" i="2" s="1"/>
  <c r="AB3606" i="2" s="1"/>
  <c r="AA3613" i="2"/>
  <c r="AA3615" i="2" s="1"/>
  <c r="AA3612" i="2"/>
  <c r="AA3614" i="2" s="1"/>
  <c r="AA3616" i="2" l="1"/>
  <c r="AB3617" i="2" s="1"/>
  <c r="AA3624" i="2"/>
  <c r="AA3626" i="2" s="1"/>
  <c r="AA3623" i="2"/>
  <c r="AA3632" i="2"/>
  <c r="AC3639" i="2"/>
  <c r="AA3633" i="2"/>
  <c r="AA3641" i="2"/>
  <c r="AA3644" i="2" l="1"/>
  <c r="AA3643" i="2"/>
  <c r="AA3652" i="2"/>
  <c r="AC3650" i="2"/>
  <c r="AA3625" i="2"/>
  <c r="AA3627" i="2" s="1"/>
  <c r="AB3628" i="2" s="1"/>
  <c r="AA3635" i="2"/>
  <c r="AA3637" i="2" s="1"/>
  <c r="AA3634" i="2"/>
  <c r="AA3636" i="2" s="1"/>
  <c r="AA3638" i="2" l="1"/>
  <c r="AB3639" i="2" s="1"/>
  <c r="AA3646" i="2"/>
  <c r="AA3648" i="2" s="1"/>
  <c r="AA3645" i="2"/>
  <c r="AC3661" i="2"/>
  <c r="AA3655" i="2"/>
  <c r="AA3663" i="2"/>
  <c r="AA3654" i="2"/>
  <c r="AC3672" i="2" l="1"/>
  <c r="AA3666" i="2"/>
  <c r="AA3665" i="2"/>
  <c r="AA3674" i="2"/>
  <c r="AA3656" i="2"/>
  <c r="AA3657" i="2"/>
  <c r="AA3659" i="2" s="1"/>
  <c r="AA3647" i="2"/>
  <c r="AA3649" i="2" s="1"/>
  <c r="AB3650" i="2" s="1"/>
  <c r="AA3658" i="2" l="1"/>
  <c r="AA3660" i="2" s="1"/>
  <c r="AB3661" i="2" s="1"/>
  <c r="AA3668" i="2"/>
  <c r="AA3670" i="2" s="1"/>
  <c r="AA3667" i="2"/>
  <c r="AA3676" i="2"/>
  <c r="AC3683" i="2"/>
  <c r="AA3685" i="2"/>
  <c r="AA3677" i="2"/>
  <c r="AA3679" i="2" l="1"/>
  <c r="AA3681" i="2" s="1"/>
  <c r="AA3678" i="2"/>
  <c r="AA3680" i="2" s="1"/>
  <c r="AC3694" i="2"/>
  <c r="AA3688" i="2"/>
  <c r="AA3687" i="2"/>
  <c r="AA3696" i="2"/>
  <c r="AA3669" i="2"/>
  <c r="AA3671" i="2" s="1"/>
  <c r="AB3672" i="2" s="1"/>
  <c r="AA3689" i="2" l="1"/>
  <c r="AA3690" i="2"/>
  <c r="AA3692" i="2" s="1"/>
  <c r="AC3705" i="2"/>
  <c r="AA3707" i="2"/>
  <c r="AA3699" i="2"/>
  <c r="AA3698" i="2"/>
  <c r="AA3682" i="2"/>
  <c r="AB3683" i="2" s="1"/>
  <c r="AA3691" i="2" l="1"/>
  <c r="AA3693" i="2" s="1"/>
  <c r="AB3694" i="2" s="1"/>
  <c r="AA3701" i="2"/>
  <c r="AA3703" i="2" s="1"/>
  <c r="AA3700" i="2"/>
  <c r="AC3716" i="2"/>
  <c r="AA3710" i="2"/>
  <c r="AA3709" i="2"/>
  <c r="AA3718" i="2"/>
  <c r="AA3712" i="2" l="1"/>
  <c r="AA3714" i="2" s="1"/>
  <c r="AA3711" i="2"/>
  <c r="AA3729" i="2"/>
  <c r="AA3720" i="2"/>
  <c r="AC3727" i="2"/>
  <c r="AA3721" i="2"/>
  <c r="AA3702" i="2"/>
  <c r="AA3704" i="2" s="1"/>
  <c r="AB3705" i="2" s="1"/>
  <c r="AA3713" i="2" l="1"/>
  <c r="AA3715" i="2" s="1"/>
  <c r="AB3716" i="2" s="1"/>
  <c r="AA3731" i="2"/>
  <c r="AC3738" i="2"/>
  <c r="AA3732" i="2"/>
  <c r="AA3740" i="2"/>
  <c r="AA3723" i="2"/>
  <c r="AA3725" i="2" s="1"/>
  <c r="AA3722" i="2"/>
  <c r="AA3724" i="2" l="1"/>
  <c r="AA3726" i="2" s="1"/>
  <c r="AB3727" i="2" s="1"/>
  <c r="AA3742" i="2"/>
  <c r="AC3749" i="2"/>
  <c r="AA3743" i="2"/>
  <c r="AA3751" i="2"/>
  <c r="AA3734" i="2"/>
  <c r="AA3736" i="2" s="1"/>
  <c r="AA3733" i="2"/>
  <c r="AA3735" i="2" l="1"/>
  <c r="AA3737" i="2" s="1"/>
  <c r="AB3738" i="2" s="1"/>
  <c r="AA3754" i="2"/>
  <c r="AA3762" i="2"/>
  <c r="AA3753" i="2"/>
  <c r="AC3760" i="2"/>
  <c r="AA3745" i="2"/>
  <c r="AA3747" i="2" s="1"/>
  <c r="AA3744" i="2"/>
  <c r="AA3746" i="2" s="1"/>
  <c r="AA3748" i="2" l="1"/>
  <c r="AB3749" i="2" s="1"/>
  <c r="AA3755" i="2"/>
  <c r="AA3756" i="2"/>
  <c r="AA3758" i="2" s="1"/>
  <c r="AC3771" i="2"/>
  <c r="AA3765" i="2"/>
  <c r="AA3773" i="2"/>
  <c r="AA3764" i="2"/>
  <c r="AA3775" i="2" l="1"/>
  <c r="AC3782" i="2"/>
  <c r="AA3776" i="2"/>
  <c r="AA3784" i="2"/>
  <c r="AA3757" i="2"/>
  <c r="AA3759" i="2" s="1"/>
  <c r="AB3760" i="2" s="1"/>
  <c r="AA3767" i="2"/>
  <c r="AA3769" i="2" s="1"/>
  <c r="AA3766" i="2"/>
  <c r="AA3768" i="2" l="1"/>
  <c r="AA3770" i="2" s="1"/>
  <c r="AB3771" i="2" s="1"/>
  <c r="AA3778" i="2"/>
  <c r="AA3780" i="2" s="1"/>
  <c r="AA3777" i="2"/>
  <c r="AA3779" i="2" s="1"/>
  <c r="AA3786" i="2"/>
  <c r="AC3793" i="2"/>
  <c r="AA3787" i="2"/>
  <c r="AA3795" i="2"/>
  <c r="AA3788" i="2" l="1"/>
  <c r="AA3790" i="2" s="1"/>
  <c r="AA3789" i="2"/>
  <c r="AA3791" i="2" s="1"/>
  <c r="AA3797" i="2"/>
  <c r="AC3804" i="2"/>
  <c r="AA3798" i="2"/>
  <c r="AA3806" i="2"/>
  <c r="AA3781" i="2"/>
  <c r="AB3782" i="2" s="1"/>
  <c r="AA3792" i="2" l="1"/>
  <c r="AB3793" i="2" s="1"/>
  <c r="AC3815" i="2"/>
  <c r="AA3809" i="2"/>
  <c r="AA3817" i="2"/>
  <c r="AA3808" i="2"/>
  <c r="AA3799" i="2"/>
  <c r="AA3801" i="2" s="1"/>
  <c r="AA3800" i="2"/>
  <c r="AA3802" i="2" s="1"/>
  <c r="AA3803" i="2" l="1"/>
  <c r="AB3804" i="2" s="1"/>
  <c r="AA3828" i="2"/>
  <c r="AA3819" i="2"/>
  <c r="AC3826" i="2"/>
  <c r="AA3820" i="2"/>
  <c r="AA3810" i="2"/>
  <c r="AA3811" i="2"/>
  <c r="AA3813" i="2" s="1"/>
  <c r="AA3830" i="2" l="1"/>
  <c r="AC3837" i="2"/>
  <c r="AA3831" i="2"/>
  <c r="AA3839" i="2"/>
  <c r="AA3812" i="2"/>
  <c r="AA3814" i="2" s="1"/>
  <c r="AB3815" i="2" s="1"/>
  <c r="AA3822" i="2"/>
  <c r="AA3824" i="2" s="1"/>
  <c r="AA3821" i="2"/>
  <c r="AA3823" i="2" l="1"/>
  <c r="AA3825" i="2" s="1"/>
  <c r="AB3826" i="2" s="1"/>
  <c r="AA3833" i="2"/>
  <c r="AA3835" i="2" s="1"/>
  <c r="AA3832" i="2"/>
  <c r="AA3834" i="2" s="1"/>
  <c r="AA3850" i="2"/>
  <c r="AA3842" i="2"/>
  <c r="AA3841" i="2"/>
  <c r="AC3848" i="2"/>
  <c r="AC3859" i="2" l="1"/>
  <c r="AA3853" i="2"/>
  <c r="AA3861" i="2"/>
  <c r="AA3852" i="2"/>
  <c r="AA3844" i="2"/>
  <c r="AA3846" i="2" s="1"/>
  <c r="AA3843" i="2"/>
  <c r="AA3836" i="2"/>
  <c r="AB3837" i="2" s="1"/>
  <c r="AA3845" i="2" l="1"/>
  <c r="AA3847" i="2" s="1"/>
  <c r="AB3848" i="2" s="1"/>
  <c r="AA3863" i="2"/>
  <c r="AC3870" i="2"/>
  <c r="AA3864" i="2"/>
  <c r="AA3872" i="2"/>
  <c r="AA3855" i="2"/>
  <c r="AA3857" i="2" s="1"/>
  <c r="AA3854" i="2"/>
  <c r="AA3856" i="2" l="1"/>
  <c r="AA3858" i="2" s="1"/>
  <c r="AB3859" i="2" s="1"/>
  <c r="AA3874" i="2"/>
  <c r="AC3881" i="2"/>
  <c r="AA3875" i="2"/>
  <c r="AA3883" i="2"/>
  <c r="AA3866" i="2"/>
  <c r="AA3868" i="2" s="1"/>
  <c r="AA3865" i="2"/>
  <c r="AA3867" i="2" s="1"/>
  <c r="AA3869" i="2" l="1"/>
  <c r="AB3870" i="2" s="1"/>
  <c r="AA3894" i="2"/>
  <c r="AA3885" i="2"/>
  <c r="AC3892" i="2"/>
  <c r="AA3886" i="2"/>
  <c r="AA3876" i="2"/>
  <c r="AA3878" i="2" s="1"/>
  <c r="AA3877" i="2"/>
  <c r="AA3879" i="2" s="1"/>
  <c r="AA3880" i="2" l="1"/>
  <c r="AB3881" i="2" s="1"/>
  <c r="AA3905" i="2"/>
  <c r="AA3896" i="2"/>
  <c r="AC3903" i="2"/>
  <c r="AA3897" i="2"/>
  <c r="AA3888" i="2"/>
  <c r="AA3890" i="2" s="1"/>
  <c r="AA3887" i="2"/>
  <c r="AA3889" i="2" s="1"/>
  <c r="AC3914" i="2" l="1"/>
  <c r="AA3916" i="2"/>
  <c r="AA3908" i="2"/>
  <c r="AA3907" i="2"/>
  <c r="AA3899" i="2"/>
  <c r="AA3901" i="2" s="1"/>
  <c r="AA3898" i="2"/>
  <c r="AA3891" i="2"/>
  <c r="AB3892" i="2" s="1"/>
  <c r="AA3919" i="2" l="1"/>
  <c r="AA3927" i="2"/>
  <c r="AA3918" i="2"/>
  <c r="AC3925" i="2"/>
  <c r="AA3900" i="2"/>
  <c r="AA3902" i="2" s="1"/>
  <c r="AB3903" i="2" s="1"/>
  <c r="AA3910" i="2"/>
  <c r="AA3912" i="2" s="1"/>
  <c r="AA3909" i="2"/>
  <c r="AA3911" i="2" s="1"/>
  <c r="AA3913" i="2" l="1"/>
  <c r="AB3914" i="2" s="1"/>
  <c r="AC3936" i="2"/>
  <c r="AA3938" i="2"/>
  <c r="AA3930" i="2"/>
  <c r="AA3929" i="2"/>
  <c r="AA3921" i="2"/>
  <c r="AA3923" i="2" s="1"/>
  <c r="AA3920" i="2"/>
  <c r="AA3922" i="2" s="1"/>
  <c r="AA3940" i="2" l="1"/>
  <c r="AC3947" i="2"/>
  <c r="AA3941" i="2"/>
  <c r="AA3949" i="2"/>
  <c r="AA3932" i="2"/>
  <c r="AA3934" i="2" s="1"/>
  <c r="AA3931" i="2"/>
  <c r="AA3924" i="2"/>
  <c r="AB3925" i="2" s="1"/>
  <c r="AA3943" i="2" l="1"/>
  <c r="AA3945" i="2" s="1"/>
  <c r="AA3942" i="2"/>
  <c r="AA3933" i="2"/>
  <c r="AA3935" i="2" s="1"/>
  <c r="AB3936" i="2" s="1"/>
  <c r="AA3952" i="2"/>
  <c r="AA3960" i="2"/>
  <c r="AA3951" i="2"/>
  <c r="AC3958" i="2"/>
  <c r="AA3962" i="2" l="1"/>
  <c r="AC3969" i="2"/>
  <c r="AA3963" i="2"/>
  <c r="AA3971" i="2"/>
  <c r="AA3944" i="2"/>
  <c r="AA3946" i="2" s="1"/>
  <c r="AB3947" i="2" s="1"/>
  <c r="AA3954" i="2"/>
  <c r="AA3956" i="2" s="1"/>
  <c r="AA3953" i="2"/>
  <c r="AA3955" i="2" s="1"/>
  <c r="AA3957" i="2" l="1"/>
  <c r="AB3958" i="2" s="1"/>
  <c r="AA3965" i="2"/>
  <c r="AA3967" i="2" s="1"/>
  <c r="AA3964" i="2"/>
  <c r="AA3966" i="2" s="1"/>
  <c r="AA3973" i="2"/>
  <c r="AC3980" i="2"/>
  <c r="AA3974" i="2"/>
  <c r="AA3982" i="2"/>
  <c r="AA3984" i="2" l="1"/>
  <c r="AC3991" i="2"/>
  <c r="AA3985" i="2"/>
  <c r="AA3993" i="2"/>
  <c r="AA3975" i="2"/>
  <c r="AA3976" i="2"/>
  <c r="AA3978" i="2" s="1"/>
  <c r="AA3968" i="2"/>
  <c r="AB3969" i="2" s="1"/>
  <c r="AA3987" i="2" l="1"/>
  <c r="AA3989" i="2" s="1"/>
  <c r="AA3986" i="2"/>
  <c r="AA3977" i="2"/>
  <c r="AA3979" i="2" s="1"/>
  <c r="AB3980" i="2" s="1"/>
  <c r="AA3995" i="2"/>
  <c r="AC4002" i="2"/>
  <c r="AA4004" i="2"/>
  <c r="AA3996" i="2"/>
  <c r="AA3998" i="2" l="1"/>
  <c r="AA4000" i="2" s="1"/>
  <c r="AA3997" i="2"/>
  <c r="AA3988" i="2"/>
  <c r="AA3990" i="2" s="1"/>
  <c r="AB3991" i="2" s="1"/>
  <c r="AA4006" i="2"/>
  <c r="AC4013" i="2"/>
  <c r="AA4007" i="2"/>
  <c r="AA4015" i="2"/>
  <c r="AA4008" i="2" l="1"/>
  <c r="AA4009" i="2"/>
  <c r="AA4011" i="2" s="1"/>
  <c r="AA3999" i="2"/>
  <c r="AA4001" i="2" s="1"/>
  <c r="AB4002" i="2" s="1"/>
  <c r="AA4018" i="2"/>
  <c r="AA4017" i="2"/>
  <c r="AC4024" i="2"/>
  <c r="AA4026" i="2"/>
  <c r="AA4010" i="2" l="1"/>
  <c r="AA4012" i="2" s="1"/>
  <c r="AB4013" i="2" s="1"/>
  <c r="AA4020" i="2"/>
  <c r="AA4022" i="2" s="1"/>
  <c r="AA4019" i="2"/>
  <c r="AA4028" i="2"/>
  <c r="AC4035" i="2"/>
  <c r="AA4029" i="2"/>
  <c r="AA4037" i="2"/>
  <c r="AA4031" i="2" l="1"/>
  <c r="AA4033" i="2" s="1"/>
  <c r="AA4030" i="2"/>
  <c r="AA4039" i="2"/>
  <c r="AC4046" i="2"/>
  <c r="AA4040" i="2"/>
  <c r="AA4048" i="2"/>
  <c r="AA4021" i="2"/>
  <c r="AA4023" i="2" s="1"/>
  <c r="AB4024" i="2" s="1"/>
  <c r="AA4051" i="2" l="1"/>
  <c r="AA4059" i="2"/>
  <c r="AA4050" i="2"/>
  <c r="AC4057" i="2"/>
  <c r="AA4032" i="2"/>
  <c r="AA4034" i="2" s="1"/>
  <c r="AB4035" i="2" s="1"/>
  <c r="AA4042" i="2"/>
  <c r="AA4044" i="2" s="1"/>
  <c r="AA4041" i="2"/>
  <c r="AA4043" i="2" l="1"/>
  <c r="AA4045" i="2" s="1"/>
  <c r="AB4046" i="2" s="1"/>
  <c r="AA4061" i="2"/>
  <c r="AC4068" i="2"/>
  <c r="AA4062" i="2"/>
  <c r="AA4070" i="2"/>
  <c r="AA4053" i="2"/>
  <c r="AA4055" i="2" s="1"/>
  <c r="AA4052" i="2"/>
  <c r="AA4054" i="2" l="1"/>
  <c r="AA4056" i="2" s="1"/>
  <c r="AB4057" i="2" s="1"/>
  <c r="AA4073" i="2"/>
  <c r="AA4081" i="2"/>
  <c r="AA4072" i="2"/>
  <c r="AC4079" i="2"/>
  <c r="AA4064" i="2"/>
  <c r="AA4066" i="2" s="1"/>
  <c r="AA4063" i="2"/>
  <c r="AA4065" i="2" l="1"/>
  <c r="AA4067" i="2" s="1"/>
  <c r="AB4068" i="2" s="1"/>
  <c r="AA4075" i="2"/>
  <c r="AA4077" i="2" s="1"/>
  <c r="AA4074" i="2"/>
  <c r="AA4076" i="2" s="1"/>
  <c r="AA4092" i="2"/>
  <c r="AA4084" i="2"/>
  <c r="AA4083" i="2"/>
  <c r="AC4090" i="2"/>
  <c r="AA4094" i="2" l="1"/>
  <c r="AC4101" i="2"/>
  <c r="AA4095" i="2"/>
  <c r="AA4103" i="2"/>
  <c r="AA4086" i="2"/>
  <c r="AA4088" i="2" s="1"/>
  <c r="AA4085" i="2"/>
  <c r="AA4087" i="2" s="1"/>
  <c r="AA4078" i="2"/>
  <c r="AB4079" i="2" s="1"/>
  <c r="AA4097" i="2" l="1"/>
  <c r="AA4099" i="2" s="1"/>
  <c r="AA4096" i="2"/>
  <c r="AA4098" i="2" s="1"/>
  <c r="AC4112" i="2"/>
  <c r="AA4114" i="2"/>
  <c r="AA4106" i="2"/>
  <c r="AA4105" i="2"/>
  <c r="AA4089" i="2"/>
  <c r="AB4090" i="2" s="1"/>
  <c r="AA4108" i="2" l="1"/>
  <c r="AA4110" i="2" s="1"/>
  <c r="AA4107" i="2"/>
  <c r="AA4116" i="2"/>
  <c r="AC4123" i="2"/>
  <c r="AA4117" i="2"/>
  <c r="AA4125" i="2"/>
  <c r="AA4100" i="2"/>
  <c r="AB4101" i="2" s="1"/>
  <c r="AA4127" i="2" l="1"/>
  <c r="AC4134" i="2"/>
  <c r="AA4128" i="2"/>
  <c r="AA4136" i="2"/>
  <c r="AA4109" i="2"/>
  <c r="AA4111" i="2" s="1"/>
  <c r="AB4112" i="2" s="1"/>
  <c r="AA4119" i="2"/>
  <c r="AA4121" i="2" s="1"/>
  <c r="AA4118" i="2"/>
  <c r="AA4120" i="2" s="1"/>
  <c r="AA4122" i="2" l="1"/>
  <c r="AB4123" i="2" s="1"/>
  <c r="AA4130" i="2"/>
  <c r="AA4132" i="2" s="1"/>
  <c r="AA4129" i="2"/>
  <c r="AA4147" i="2"/>
  <c r="AA4138" i="2"/>
  <c r="AC4145" i="2"/>
  <c r="AA4139" i="2"/>
  <c r="AA4131" i="2" l="1"/>
  <c r="AA4133" i="2" s="1"/>
  <c r="AB4134" i="2" s="1"/>
  <c r="AA4149" i="2"/>
  <c r="AC4156" i="2"/>
  <c r="AA4150" i="2"/>
  <c r="AA4158" i="2"/>
  <c r="AA4141" i="2"/>
  <c r="AA4143" i="2" s="1"/>
  <c r="AA4140" i="2"/>
  <c r="AA4142" i="2" l="1"/>
  <c r="AA4144" i="2" s="1"/>
  <c r="AB4145" i="2" s="1"/>
  <c r="AA4160" i="2"/>
  <c r="AC4167" i="2"/>
  <c r="AA4161" i="2"/>
  <c r="AA4169" i="2"/>
  <c r="AA4152" i="2"/>
  <c r="AA4154" i="2" s="1"/>
  <c r="AA4151" i="2"/>
  <c r="AA4153" i="2" l="1"/>
  <c r="AA4155" i="2" s="1"/>
  <c r="AB4156" i="2" s="1"/>
  <c r="AA4171" i="2"/>
  <c r="AC4178" i="2"/>
  <c r="AA4180" i="2"/>
  <c r="AA4172" i="2"/>
  <c r="AA4163" i="2"/>
  <c r="AA4165" i="2" s="1"/>
  <c r="AA4162" i="2"/>
  <c r="AA4164" i="2" l="1"/>
  <c r="AA4166" i="2" s="1"/>
  <c r="AB4167" i="2" s="1"/>
  <c r="AA4182" i="2"/>
  <c r="AC4189" i="2"/>
  <c r="AA4183" i="2"/>
  <c r="AA4191" i="2"/>
  <c r="AA4174" i="2"/>
  <c r="AA4176" i="2" s="1"/>
  <c r="AA4173" i="2"/>
  <c r="AA4175" i="2" l="1"/>
  <c r="AA4177" i="2" s="1"/>
  <c r="AB4178" i="2" s="1"/>
  <c r="AA4193" i="2"/>
  <c r="AC4200" i="2"/>
  <c r="AA4202" i="2"/>
  <c r="AA4194" i="2"/>
  <c r="AA4185" i="2"/>
  <c r="AA4187" i="2" s="1"/>
  <c r="AA4184" i="2"/>
  <c r="AA4186" i="2" l="1"/>
  <c r="AA4188" i="2" s="1"/>
  <c r="AB4189" i="2" s="1"/>
  <c r="AA4204" i="2"/>
  <c r="AC4211" i="2"/>
  <c r="AA4205" i="2"/>
  <c r="AA4213" i="2"/>
  <c r="AA4196" i="2"/>
  <c r="AA4198" i="2" s="1"/>
  <c r="AA4195" i="2"/>
  <c r="AA4197" i="2" l="1"/>
  <c r="AA4199" i="2" s="1"/>
  <c r="AB4200" i="2" s="1"/>
  <c r="AA4216" i="2"/>
  <c r="AA4224" i="2"/>
  <c r="AA4215" i="2"/>
  <c r="AC4222" i="2"/>
  <c r="AA4207" i="2"/>
  <c r="AA4209" i="2" s="1"/>
  <c r="AA4206" i="2"/>
  <c r="AA4208" i="2" l="1"/>
  <c r="AA4210" i="2" s="1"/>
  <c r="AB4211" i="2" s="1"/>
  <c r="AA4218" i="2"/>
  <c r="AA4220" i="2" s="1"/>
  <c r="AA4217" i="2"/>
  <c r="AA4226" i="2"/>
  <c r="AC4233" i="2"/>
  <c r="AA4227" i="2"/>
  <c r="AA4235" i="2"/>
  <c r="AA4229" i="2" l="1"/>
  <c r="AA4231" i="2" s="1"/>
  <c r="AA4228" i="2"/>
  <c r="AA4238" i="2"/>
  <c r="AA4246" i="2"/>
  <c r="AA4237" i="2"/>
  <c r="AC4244" i="2"/>
  <c r="AA4219" i="2"/>
  <c r="AA4221" i="2" s="1"/>
  <c r="AB4222" i="2" s="1"/>
  <c r="AA4240" i="2" l="1"/>
  <c r="AA4242" i="2" s="1"/>
  <c r="AA4239" i="2"/>
  <c r="AA4241" i="2" s="1"/>
  <c r="AA4230" i="2"/>
  <c r="AA4232" i="2" s="1"/>
  <c r="AB4233" i="2" s="1"/>
  <c r="AA4249" i="2"/>
  <c r="AA4257" i="2"/>
  <c r="AA4248" i="2"/>
  <c r="AC4255" i="2"/>
  <c r="AA4260" i="2" l="1"/>
  <c r="AA4259" i="2"/>
  <c r="AC4266" i="2"/>
  <c r="AA4268" i="2"/>
  <c r="AA4250" i="2"/>
  <c r="AA4252" i="2" s="1"/>
  <c r="AA4251" i="2"/>
  <c r="AA4253" i="2" s="1"/>
  <c r="AA4243" i="2"/>
  <c r="AB4244" i="2" s="1"/>
  <c r="AA4254" i="2" l="1"/>
  <c r="AB4255" i="2" s="1"/>
  <c r="AA4262" i="2"/>
  <c r="AA4264" i="2" s="1"/>
  <c r="AA4261" i="2"/>
  <c r="AA4279" i="2"/>
  <c r="AA4270" i="2"/>
  <c r="AC4277" i="2"/>
  <c r="AA4271" i="2"/>
  <c r="AA4263" i="2" l="1"/>
  <c r="AA4265" i="2" s="1"/>
  <c r="AB4266" i="2" s="1"/>
  <c r="AA4281" i="2"/>
  <c r="AC4288" i="2"/>
  <c r="AA4290" i="2"/>
  <c r="AA4282" i="2"/>
  <c r="AA4273" i="2"/>
  <c r="AA4275" i="2" s="1"/>
  <c r="AA4272" i="2"/>
  <c r="AA4274" i="2" l="1"/>
  <c r="AA4276" i="2" s="1"/>
  <c r="AB4277" i="2" s="1"/>
  <c r="AA4292" i="2"/>
  <c r="AC4299" i="2"/>
  <c r="AA4293" i="2"/>
  <c r="AA4301" i="2"/>
  <c r="AA4284" i="2"/>
  <c r="AA4286" i="2" s="1"/>
  <c r="AA4283" i="2"/>
  <c r="AA4285" i="2" s="1"/>
  <c r="AC4310" i="2" l="1"/>
  <c r="AA4304" i="2"/>
  <c r="AA4312" i="2"/>
  <c r="AA4303" i="2"/>
  <c r="AA4295" i="2"/>
  <c r="AA4297" i="2" s="1"/>
  <c r="AA4294" i="2"/>
  <c r="AA4287" i="2"/>
  <c r="AB4288" i="2" s="1"/>
  <c r="AA4306" i="2" l="1"/>
  <c r="AA4308" i="2" s="1"/>
  <c r="AA4305" i="2"/>
  <c r="AA4296" i="2"/>
  <c r="AA4298" i="2" s="1"/>
  <c r="AB4299" i="2" s="1"/>
  <c r="AA4314" i="2"/>
  <c r="AC4321" i="2"/>
  <c r="AA4315" i="2"/>
  <c r="AA4323" i="2"/>
  <c r="AA4326" i="2" l="1"/>
  <c r="AA4334" i="2"/>
  <c r="AA4325" i="2"/>
  <c r="AC4332" i="2"/>
  <c r="AA4317" i="2"/>
  <c r="AA4319" i="2" s="1"/>
  <c r="AA4316" i="2"/>
  <c r="AA4307" i="2"/>
  <c r="AA4309" i="2" s="1"/>
  <c r="AB4310" i="2" s="1"/>
  <c r="AA4336" i="2" l="1"/>
  <c r="AC4343" i="2"/>
  <c r="AA4337" i="2"/>
  <c r="AA4345" i="2"/>
  <c r="AA4318" i="2"/>
  <c r="AA4320" i="2" s="1"/>
  <c r="AB4321" i="2" s="1"/>
  <c r="AA4328" i="2"/>
  <c r="AA4330" i="2" s="1"/>
  <c r="AA4327" i="2"/>
  <c r="AA4329" i="2" s="1"/>
  <c r="AA4348" i="2" l="1"/>
  <c r="AA4347" i="2"/>
  <c r="AC4354" i="2"/>
  <c r="AA4356" i="2"/>
  <c r="AA4339" i="2"/>
  <c r="AA4341" i="2" s="1"/>
  <c r="AA4338" i="2"/>
  <c r="AA4331" i="2"/>
  <c r="AB4332" i="2" s="1"/>
  <c r="AA4359" i="2" l="1"/>
  <c r="AA4367" i="2"/>
  <c r="AA4358" i="2"/>
  <c r="AC4365" i="2"/>
  <c r="AA4350" i="2"/>
  <c r="AA4352" i="2" s="1"/>
  <c r="AA4349" i="2"/>
  <c r="AA4351" i="2" s="1"/>
  <c r="AA4340" i="2"/>
  <c r="AA4342" i="2" s="1"/>
  <c r="AB4343" i="2" s="1"/>
  <c r="AA4378" i="2" l="1"/>
  <c r="AA4370" i="2"/>
  <c r="AA4369" i="2"/>
  <c r="AC4376" i="2"/>
  <c r="AA4361" i="2"/>
  <c r="AA4363" i="2" s="1"/>
  <c r="AA4360" i="2"/>
  <c r="AA4353" i="2"/>
  <c r="AB4354" i="2" s="1"/>
  <c r="AA4389" i="2" l="1"/>
  <c r="AA4380" i="2"/>
  <c r="AC4387" i="2"/>
  <c r="AA4381" i="2"/>
  <c r="AA4362" i="2"/>
  <c r="AA4364" i="2" s="1"/>
  <c r="AB4365" i="2" s="1"/>
  <c r="AA4372" i="2"/>
  <c r="AA4374" i="2" s="1"/>
  <c r="AA4371" i="2"/>
  <c r="AA4373" i="2" s="1"/>
  <c r="AA4392" i="2" l="1"/>
  <c r="AA4400" i="2"/>
  <c r="AA4391" i="2"/>
  <c r="AC4398" i="2"/>
  <c r="AA4383" i="2"/>
  <c r="AA4385" i="2" s="1"/>
  <c r="AA4382" i="2"/>
  <c r="AA4384" i="2" s="1"/>
  <c r="AA4375" i="2"/>
  <c r="AB4376" i="2" s="1"/>
  <c r="AA4403" i="2" l="1"/>
  <c r="AA4411" i="2"/>
  <c r="AA4402" i="2"/>
  <c r="AC4409" i="2"/>
  <c r="AA4394" i="2"/>
  <c r="AA4396" i="2" s="1"/>
  <c r="AA4393" i="2"/>
  <c r="AA4386" i="2"/>
  <c r="AB4387" i="2" s="1"/>
  <c r="AA4422" i="2" l="1"/>
  <c r="AA4413" i="2"/>
  <c r="AC4420" i="2"/>
  <c r="AA4414" i="2"/>
  <c r="AA4395" i="2"/>
  <c r="AA4397" i="2" s="1"/>
  <c r="AB4398" i="2" s="1"/>
  <c r="AA4404" i="2"/>
  <c r="AA4405" i="2"/>
  <c r="AA4407" i="2" s="1"/>
  <c r="AA4406" i="2" l="1"/>
  <c r="AA4408" i="2" s="1"/>
  <c r="AB4409" i="2" s="1"/>
  <c r="AA4424" i="2"/>
  <c r="AC4431" i="2"/>
  <c r="AA4425" i="2"/>
  <c r="AA4433" i="2"/>
  <c r="AA4416" i="2"/>
  <c r="AA4418" i="2" s="1"/>
  <c r="AA4415" i="2"/>
  <c r="AA4417" i="2" s="1"/>
  <c r="AA4436" i="2" l="1"/>
  <c r="AA4435" i="2"/>
  <c r="AC4442" i="2"/>
  <c r="AA4444" i="2"/>
  <c r="AA4426" i="2"/>
  <c r="AA4428" i="2" s="1"/>
  <c r="AA4427" i="2"/>
  <c r="AA4429" i="2" s="1"/>
  <c r="AA4419" i="2"/>
  <c r="AB4420" i="2" s="1"/>
  <c r="AA4430" i="2" l="1"/>
  <c r="AB4431" i="2" s="1"/>
  <c r="AA4447" i="2"/>
  <c r="AA4455" i="2"/>
  <c r="AA4446" i="2"/>
  <c r="AC4453" i="2"/>
  <c r="AA4438" i="2"/>
  <c r="AA4440" i="2" s="1"/>
  <c r="AA4437" i="2"/>
  <c r="AA4458" i="2" l="1"/>
  <c r="AC4464" i="2"/>
  <c r="AA4466" i="2"/>
  <c r="AA4457" i="2"/>
  <c r="AA4439" i="2"/>
  <c r="AA4441" i="2" s="1"/>
  <c r="AB4442" i="2" s="1"/>
  <c r="AA4448" i="2"/>
  <c r="AA4449" i="2"/>
  <c r="AA4451" i="2" s="1"/>
  <c r="AA4450" i="2" l="1"/>
  <c r="AA4452" i="2" s="1"/>
  <c r="AB4453" i="2" s="1"/>
  <c r="AA4459" i="2"/>
  <c r="AA4460" i="2"/>
  <c r="AA4462" i="2" s="1"/>
  <c r="AC4475" i="2"/>
  <c r="AA4469" i="2"/>
  <c r="AA4477" i="2"/>
  <c r="AA4468" i="2"/>
  <c r="AA4471" i="2" l="1"/>
  <c r="AA4473" i="2" s="1"/>
  <c r="AA4470" i="2"/>
  <c r="AA4472" i="2" s="1"/>
  <c r="AC4486" i="2"/>
  <c r="AA4480" i="2"/>
  <c r="AA4479" i="2"/>
  <c r="AA4488" i="2"/>
  <c r="AA4461" i="2"/>
  <c r="AA4463" i="2" s="1"/>
  <c r="AB4464" i="2" s="1"/>
  <c r="AA4481" i="2" l="1"/>
  <c r="AA4482" i="2"/>
  <c r="AA4484" i="2" s="1"/>
  <c r="AA4490" i="2"/>
  <c r="AC4497" i="2"/>
  <c r="AA4491" i="2"/>
  <c r="AA4499" i="2"/>
  <c r="AA4474" i="2"/>
  <c r="AB4475" i="2" s="1"/>
  <c r="AA4483" i="2" l="1"/>
  <c r="AA4485" i="2" s="1"/>
  <c r="AB4486" i="2" s="1"/>
  <c r="AA4510" i="2"/>
  <c r="AA4501" i="2"/>
  <c r="AC4508" i="2"/>
  <c r="AA4502" i="2"/>
  <c r="AA4492" i="2"/>
  <c r="AA4493" i="2"/>
  <c r="AA4495" i="2" s="1"/>
  <c r="AA4494" i="2" l="1"/>
  <c r="AA4496" i="2" s="1"/>
  <c r="AB4497" i="2" s="1"/>
  <c r="AA4504" i="2"/>
  <c r="AA4506" i="2" s="1"/>
  <c r="AA4503" i="2"/>
  <c r="AA4521" i="2"/>
  <c r="AA4512" i="2"/>
  <c r="AC4519" i="2"/>
  <c r="AA4513" i="2"/>
  <c r="AA4505" i="2" l="1"/>
  <c r="AA4507" i="2" s="1"/>
  <c r="AB4508" i="2" s="1"/>
  <c r="AA4524" i="2"/>
  <c r="AA4523" i="2"/>
  <c r="AC4530" i="2"/>
  <c r="AA4532" i="2"/>
  <c r="AA4514" i="2"/>
  <c r="AA4515" i="2"/>
  <c r="AA4517" i="2" s="1"/>
  <c r="AA4516" i="2" l="1"/>
  <c r="AA4518" i="2" s="1"/>
  <c r="AB4519" i="2" s="1"/>
  <c r="AA4526" i="2"/>
  <c r="AA4528" i="2" s="1"/>
  <c r="AA4525" i="2"/>
  <c r="AA4534" i="2"/>
  <c r="AC4541" i="2"/>
  <c r="AA4535" i="2"/>
  <c r="AA4543" i="2"/>
  <c r="AA4545" i="2" l="1"/>
  <c r="AC4552" i="2"/>
  <c r="AA4554" i="2"/>
  <c r="AA4546" i="2"/>
  <c r="AA4527" i="2"/>
  <c r="AA4529" i="2" s="1"/>
  <c r="AB4530" i="2" s="1"/>
  <c r="AA4537" i="2"/>
  <c r="AA4539" i="2" s="1"/>
  <c r="AA4536" i="2"/>
  <c r="AA4538" i="2" l="1"/>
  <c r="AA4540" i="2" s="1"/>
  <c r="AB4541" i="2" s="1"/>
  <c r="AA4548" i="2"/>
  <c r="AA4550" i="2" s="1"/>
  <c r="AA4547" i="2"/>
  <c r="AA4565" i="2"/>
  <c r="AA4556" i="2"/>
  <c r="AC4563" i="2"/>
  <c r="AA4557" i="2"/>
  <c r="AA4549" i="2" l="1"/>
  <c r="AA4551" i="2" s="1"/>
  <c r="AB4552" i="2" s="1"/>
  <c r="AA4568" i="2"/>
  <c r="AA4567" i="2"/>
  <c r="AC4574" i="2"/>
  <c r="AA4576" i="2"/>
  <c r="AA4559" i="2"/>
  <c r="AA4561" i="2" s="1"/>
  <c r="AA4558" i="2"/>
  <c r="AA4560" i="2" s="1"/>
  <c r="AA4570" i="2" l="1"/>
  <c r="AA4572" i="2" s="1"/>
  <c r="AA4569" i="2"/>
  <c r="AA4587" i="2"/>
  <c r="AC4585" i="2"/>
  <c r="AA4579" i="2"/>
  <c r="AA4578" i="2"/>
  <c r="AA4562" i="2"/>
  <c r="AB4563" i="2" s="1"/>
  <c r="AA4581" i="2" l="1"/>
  <c r="AA4583" i="2" s="1"/>
  <c r="AA4580" i="2"/>
  <c r="AA4571" i="2"/>
  <c r="AA4573" i="2" s="1"/>
  <c r="AB4574" i="2" s="1"/>
  <c r="AA4589" i="2"/>
  <c r="AA4590" i="2"/>
  <c r="AC4596" i="2"/>
  <c r="AA4598" i="2"/>
  <c r="AA4600" i="2" l="1"/>
  <c r="AC4607" i="2"/>
  <c r="AA4601" i="2"/>
  <c r="AA4609" i="2"/>
  <c r="AA4592" i="2"/>
  <c r="AA4594" i="2" s="1"/>
  <c r="AA4591" i="2"/>
  <c r="AA4582" i="2"/>
  <c r="AA4584" i="2" s="1"/>
  <c r="AB4585" i="2" s="1"/>
  <c r="AA4612" i="2" l="1"/>
  <c r="AA4620" i="2"/>
  <c r="AA4611" i="2"/>
  <c r="AC4618" i="2"/>
  <c r="AA4602" i="2"/>
  <c r="AA4603" i="2"/>
  <c r="AA4605" i="2" s="1"/>
  <c r="AA4593" i="2"/>
  <c r="AA4595" i="2" s="1"/>
  <c r="AB4596" i="2" s="1"/>
  <c r="AA4604" i="2" l="1"/>
  <c r="AA4606" i="2" s="1"/>
  <c r="AB4607" i="2" s="1"/>
  <c r="AC4629" i="2"/>
  <c r="AA4623" i="2"/>
  <c r="AA4631" i="2"/>
  <c r="AA4622" i="2"/>
  <c r="AA4613" i="2"/>
  <c r="AA4614" i="2"/>
  <c r="AA4616" i="2" s="1"/>
  <c r="AA4615" i="2" l="1"/>
  <c r="AA4617" i="2" s="1"/>
  <c r="AB4618" i="2" s="1"/>
  <c r="AA4634" i="2"/>
  <c r="AA4633" i="2"/>
  <c r="AC4640" i="2"/>
  <c r="AA4642" i="2"/>
  <c r="AA4624" i="2"/>
  <c r="AA4625" i="2"/>
  <c r="AA4627" i="2" s="1"/>
  <c r="AA4626" i="2" l="1"/>
  <c r="AA4628" i="2" s="1"/>
  <c r="AB4629" i="2" s="1"/>
  <c r="AA4636" i="2"/>
  <c r="AA4638" i="2" s="1"/>
  <c r="AA4635" i="2"/>
  <c r="AA4653" i="2"/>
  <c r="AA4644" i="2"/>
  <c r="AC4651" i="2"/>
  <c r="AA4645" i="2"/>
  <c r="AA4637" i="2" l="1"/>
  <c r="AA4639" i="2" s="1"/>
  <c r="AB4640" i="2" s="1"/>
  <c r="AA4656" i="2"/>
  <c r="AA4655" i="2"/>
  <c r="AC4662" i="2"/>
  <c r="AA4646" i="2"/>
  <c r="AA4648" i="2" s="1"/>
  <c r="AA4647" i="2"/>
  <c r="AA4649" i="2" s="1"/>
  <c r="AA4657" i="2" l="1"/>
  <c r="AA4659" i="2" s="1"/>
  <c r="AA4658" i="2"/>
  <c r="AA4660" i="2" s="1"/>
  <c r="AA4650" i="2"/>
  <c r="AB4651" i="2" s="1"/>
  <c r="AA4661" i="2" l="1"/>
  <c r="AB4662" i="2" s="1"/>
  <c r="AC18" i="2" s="1"/>
  <c r="AC19" i="2" s="1"/>
  <c r="AD33" i="2" s="1"/>
  <c r="AD36" i="2" l="1"/>
  <c r="AD35" i="2"/>
  <c r="J40" i="3"/>
  <c r="AC20" i="2"/>
  <c r="AD44" i="2"/>
  <c r="AD37" i="2" l="1"/>
  <c r="AD38" i="2"/>
  <c r="AD40" i="2" s="1"/>
  <c r="I40" i="3"/>
  <c r="H44" i="3" s="1"/>
  <c r="H41" i="3" s="1"/>
  <c r="I44" i="3"/>
  <c r="AF42" i="2"/>
  <c r="AD55" i="2"/>
  <c r="AD46" i="2"/>
  <c r="AD49" i="2" s="1"/>
  <c r="AD51" i="2" s="1"/>
  <c r="AF53" i="2"/>
  <c r="AD47" i="2"/>
  <c r="AD39" i="2" l="1"/>
  <c r="AD41" i="2" s="1"/>
  <c r="AE42" i="2" s="1"/>
  <c r="I41" i="3"/>
  <c r="AD58" i="2"/>
  <c r="AD57" i="2"/>
  <c r="AF64" i="2"/>
  <c r="AD66" i="2"/>
  <c r="AD48" i="2"/>
  <c r="AD50" i="2" l="1"/>
  <c r="AD52" i="2" s="1"/>
  <c r="AE53" i="2" s="1"/>
  <c r="AD59" i="2"/>
  <c r="AD61" i="2" s="1"/>
  <c r="AD60" i="2"/>
  <c r="AD62" i="2" s="1"/>
  <c r="AD69" i="2"/>
  <c r="AF75" i="2"/>
  <c r="AD77" i="2"/>
  <c r="AD68" i="2"/>
  <c r="AD70" i="2" l="1"/>
  <c r="AD72" i="2" s="1"/>
  <c r="AD71" i="2"/>
  <c r="AD73" i="2" s="1"/>
  <c r="AD79" i="2"/>
  <c r="AD88" i="2"/>
  <c r="AD80" i="2"/>
  <c r="AF86" i="2"/>
  <c r="AD63" i="2"/>
  <c r="AE64" i="2" s="1"/>
  <c r="AD74" i="2" l="1"/>
  <c r="AE75" i="2" s="1"/>
  <c r="AD81" i="2"/>
  <c r="AD82" i="2"/>
  <c r="AD84" i="2" s="1"/>
  <c r="AD91" i="2"/>
  <c r="AD90" i="2"/>
  <c r="AF97" i="2"/>
  <c r="AD99" i="2"/>
  <c r="AD92" i="2" l="1"/>
  <c r="AD93" i="2"/>
  <c r="AD95" i="2" s="1"/>
  <c r="AD83" i="2"/>
  <c r="AD85" i="2" s="1"/>
  <c r="AE86" i="2" s="1"/>
  <c r="AD102" i="2"/>
  <c r="AD101" i="2"/>
  <c r="AF108" i="2"/>
  <c r="AD110" i="2"/>
  <c r="AD113" i="2" l="1"/>
  <c r="AD121" i="2"/>
  <c r="AD112" i="2"/>
  <c r="AF119" i="2"/>
  <c r="AD94" i="2"/>
  <c r="AD96" i="2" s="1"/>
  <c r="AE97" i="2" s="1"/>
  <c r="AD103" i="2"/>
  <c r="AD104" i="2"/>
  <c r="AD106" i="2" s="1"/>
  <c r="AD105" i="2" l="1"/>
  <c r="AD107" i="2" s="1"/>
  <c r="AE108" i="2" s="1"/>
  <c r="AD123" i="2"/>
  <c r="AF130" i="2"/>
  <c r="AD132" i="2"/>
  <c r="AD124" i="2"/>
  <c r="AD114" i="2"/>
  <c r="AD116" i="2" s="1"/>
  <c r="AD115" i="2"/>
  <c r="AD117" i="2" s="1"/>
  <c r="AD118" i="2" l="1"/>
  <c r="AE119" i="2" s="1"/>
  <c r="AF141" i="2"/>
  <c r="AD135" i="2"/>
  <c r="AD143" i="2"/>
  <c r="AD134" i="2"/>
  <c r="AD125" i="2"/>
  <c r="AD127" i="2" s="1"/>
  <c r="AD126" i="2"/>
  <c r="AD128" i="2" s="1"/>
  <c r="AD129" i="2" l="1"/>
  <c r="AE130" i="2" s="1"/>
  <c r="AD136" i="2"/>
  <c r="AD138" i="2" s="1"/>
  <c r="AD137" i="2"/>
  <c r="AD139" i="2" s="1"/>
  <c r="AF152" i="2"/>
  <c r="AD154" i="2"/>
  <c r="AD146" i="2"/>
  <c r="AD145" i="2"/>
  <c r="AD140" i="2" l="1"/>
  <c r="AE141" i="2" s="1"/>
  <c r="AD165" i="2"/>
  <c r="AD156" i="2"/>
  <c r="AF163" i="2"/>
  <c r="AD157" i="2"/>
  <c r="AD147" i="2"/>
  <c r="AD149" i="2" s="1"/>
  <c r="AD148" i="2"/>
  <c r="AD150" i="2" s="1"/>
  <c r="AD151" i="2" l="1"/>
  <c r="AE152" i="2" s="1"/>
  <c r="AD168" i="2"/>
  <c r="AD167" i="2"/>
  <c r="AF174" i="2"/>
  <c r="AD176" i="2"/>
  <c r="AD158" i="2"/>
  <c r="AD159" i="2"/>
  <c r="AD161" i="2" s="1"/>
  <c r="AD178" i="2" l="1"/>
  <c r="AF185" i="2"/>
  <c r="AD179" i="2"/>
  <c r="AD187" i="2"/>
  <c r="AD160" i="2"/>
  <c r="AD162" i="2" s="1"/>
  <c r="AE163" i="2" s="1"/>
  <c r="AD169" i="2"/>
  <c r="AD171" i="2" s="1"/>
  <c r="AD170" i="2"/>
  <c r="AD172" i="2" s="1"/>
  <c r="AD173" i="2" l="1"/>
  <c r="AE174" i="2" s="1"/>
  <c r="AD180" i="2"/>
  <c r="AD181" i="2"/>
  <c r="AD183" i="2" s="1"/>
  <c r="AF196" i="2"/>
  <c r="AD190" i="2"/>
  <c r="AD198" i="2"/>
  <c r="AD189" i="2"/>
  <c r="AF207" i="2" l="1"/>
  <c r="AD200" i="2"/>
  <c r="AD201" i="2"/>
  <c r="AD209" i="2"/>
  <c r="AD182" i="2"/>
  <c r="AD184" i="2" s="1"/>
  <c r="AE185" i="2" s="1"/>
  <c r="AD191" i="2"/>
  <c r="AD193" i="2" s="1"/>
  <c r="AD192" i="2"/>
  <c r="AD194" i="2" s="1"/>
  <c r="AD202" i="2" l="1"/>
  <c r="AD203" i="2"/>
  <c r="AD205" i="2" s="1"/>
  <c r="AD212" i="2"/>
  <c r="AD211" i="2"/>
  <c r="AF218" i="2"/>
  <c r="AD220" i="2"/>
  <c r="AD195" i="2"/>
  <c r="AE196" i="2" s="1"/>
  <c r="AD204" i="2" l="1"/>
  <c r="AD206" i="2" s="1"/>
  <c r="AE207" i="2" s="1"/>
  <c r="AD231" i="2"/>
  <c r="AF229" i="2"/>
  <c r="AD223" i="2"/>
  <c r="AD222" i="2"/>
  <c r="AD213" i="2"/>
  <c r="AD215" i="2" s="1"/>
  <c r="AD214" i="2"/>
  <c r="AD216" i="2" s="1"/>
  <c r="AD224" i="2" l="1"/>
  <c r="AD226" i="2" s="1"/>
  <c r="AD225" i="2"/>
  <c r="AD227" i="2" s="1"/>
  <c r="AD233" i="2"/>
  <c r="AF240" i="2"/>
  <c r="AD234" i="2"/>
  <c r="AD242" i="2"/>
  <c r="AD217" i="2"/>
  <c r="AE218" i="2" s="1"/>
  <c r="AD228" i="2" l="1"/>
  <c r="AE229" i="2" s="1"/>
  <c r="AD245" i="2"/>
  <c r="AD244" i="2"/>
  <c r="AD253" i="2"/>
  <c r="AF251" i="2"/>
  <c r="AD235" i="2"/>
  <c r="AD236" i="2"/>
  <c r="AD238" i="2" s="1"/>
  <c r="AF262" i="2" l="1"/>
  <c r="AD264" i="2"/>
  <c r="AD256" i="2"/>
  <c r="AD255" i="2"/>
  <c r="AD237" i="2"/>
  <c r="AD239" i="2" s="1"/>
  <c r="AE240" i="2" s="1"/>
  <c r="AD246" i="2"/>
  <c r="AD247" i="2"/>
  <c r="AD249" i="2" s="1"/>
  <c r="AF273" i="2" l="1"/>
  <c r="AD267" i="2"/>
  <c r="AD266" i="2"/>
  <c r="AD275" i="2"/>
  <c r="AD248" i="2"/>
  <c r="AD250" i="2" s="1"/>
  <c r="AE251" i="2" s="1"/>
  <c r="AD257" i="2"/>
  <c r="AD258" i="2"/>
  <c r="AD260" i="2" s="1"/>
  <c r="AD268" i="2" l="1"/>
  <c r="AD269" i="2"/>
  <c r="AD271" i="2" s="1"/>
  <c r="AD259" i="2"/>
  <c r="AD261" i="2" s="1"/>
  <c r="AE262" i="2" s="1"/>
  <c r="AD277" i="2"/>
  <c r="AF284" i="2"/>
  <c r="AD286" i="2"/>
  <c r="AD278" i="2"/>
  <c r="AD279" i="2" l="1"/>
  <c r="AD280" i="2"/>
  <c r="AD282" i="2" s="1"/>
  <c r="AD270" i="2"/>
  <c r="AD272" i="2" s="1"/>
  <c r="AE273" i="2" s="1"/>
  <c r="AF295" i="2"/>
  <c r="AD289" i="2"/>
  <c r="AD288" i="2"/>
  <c r="AD297" i="2"/>
  <c r="AD308" i="2" l="1"/>
  <c r="AD299" i="2"/>
  <c r="AF306" i="2"/>
  <c r="AD300" i="2"/>
  <c r="AD281" i="2"/>
  <c r="AD283" i="2" s="1"/>
  <c r="AE284" i="2" s="1"/>
  <c r="AD290" i="2"/>
  <c r="AD291" i="2"/>
  <c r="AD293" i="2" s="1"/>
  <c r="AD310" i="2" l="1"/>
  <c r="AD319" i="2"/>
  <c r="AF317" i="2"/>
  <c r="AD311" i="2"/>
  <c r="AD301" i="2"/>
  <c r="AD302" i="2"/>
  <c r="AD304" i="2" s="1"/>
  <c r="AD292" i="2"/>
  <c r="AD294" i="2" s="1"/>
  <c r="AE295" i="2" s="1"/>
  <c r="AD312" i="2" l="1"/>
  <c r="AD313" i="2"/>
  <c r="AD315" i="2" s="1"/>
  <c r="AD303" i="2"/>
  <c r="AD305" i="2" s="1"/>
  <c r="AE306" i="2" s="1"/>
  <c r="AD322" i="2"/>
  <c r="AD330" i="2"/>
  <c r="AD321" i="2"/>
  <c r="AF328" i="2"/>
  <c r="AD314" i="2" l="1"/>
  <c r="AD316" i="2" s="1"/>
  <c r="AE317" i="2" s="1"/>
  <c r="AD332" i="2"/>
  <c r="AD341" i="2"/>
  <c r="AF339" i="2"/>
  <c r="AD333" i="2"/>
  <c r="AD323" i="2"/>
  <c r="AD324" i="2"/>
  <c r="AD326" i="2" s="1"/>
  <c r="AD325" i="2" l="1"/>
  <c r="AD327" i="2" s="1"/>
  <c r="AE328" i="2" s="1"/>
  <c r="AD344" i="2"/>
  <c r="AD343" i="2"/>
  <c r="AF350" i="2"/>
  <c r="AD352" i="2"/>
  <c r="AD334" i="2"/>
  <c r="AD335" i="2"/>
  <c r="AD337" i="2" s="1"/>
  <c r="AD336" i="2" l="1"/>
  <c r="AD338" i="2" s="1"/>
  <c r="AE339" i="2" s="1"/>
  <c r="AD345" i="2"/>
  <c r="AD346" i="2"/>
  <c r="AD348" i="2" s="1"/>
  <c r="AF361" i="2"/>
  <c r="AD355" i="2"/>
  <c r="AD354" i="2"/>
  <c r="AD363" i="2"/>
  <c r="AD365" i="2" l="1"/>
  <c r="AF372" i="2"/>
  <c r="AD374" i="2"/>
  <c r="AD366" i="2"/>
  <c r="AD356" i="2"/>
  <c r="AD357" i="2"/>
  <c r="AD359" i="2" s="1"/>
  <c r="AD347" i="2"/>
  <c r="AD349" i="2" s="1"/>
  <c r="AE350" i="2" s="1"/>
  <c r="AD367" i="2" l="1"/>
  <c r="AD368" i="2"/>
  <c r="AD370" i="2" s="1"/>
  <c r="AD358" i="2"/>
  <c r="AD360" i="2" s="1"/>
  <c r="AE361" i="2" s="1"/>
  <c r="AD377" i="2"/>
  <c r="AD376" i="2"/>
  <c r="AD385" i="2"/>
  <c r="AF383" i="2"/>
  <c r="AD369" i="2" l="1"/>
  <c r="AD371" i="2" s="1"/>
  <c r="AE372" i="2" s="1"/>
  <c r="AD378" i="2"/>
  <c r="AD379" i="2"/>
  <c r="AD381" i="2" s="1"/>
  <c r="AF394" i="2"/>
  <c r="AD396" i="2"/>
  <c r="AD388" i="2"/>
  <c r="AD387" i="2"/>
  <c r="AD389" i="2" l="1"/>
  <c r="AD390" i="2"/>
  <c r="AD392" i="2" s="1"/>
  <c r="AD399" i="2"/>
  <c r="AF405" i="2"/>
  <c r="AD398" i="2"/>
  <c r="AD407" i="2"/>
  <c r="AD380" i="2"/>
  <c r="AD382" i="2" s="1"/>
  <c r="AE383" i="2" s="1"/>
  <c r="AD400" i="2" l="1"/>
  <c r="AD401" i="2"/>
  <c r="AD403" i="2" s="1"/>
  <c r="AD391" i="2"/>
  <c r="AD393" i="2" s="1"/>
  <c r="AE394" i="2" s="1"/>
  <c r="AF416" i="2"/>
  <c r="AD409" i="2"/>
  <c r="AD410" i="2"/>
  <c r="AD418" i="2"/>
  <c r="AD421" i="2" l="1"/>
  <c r="AD429" i="2"/>
  <c r="AF427" i="2"/>
  <c r="AD420" i="2"/>
  <c r="AD402" i="2"/>
  <c r="AD404" i="2" s="1"/>
  <c r="AE405" i="2" s="1"/>
  <c r="AD411" i="2"/>
  <c r="AD412" i="2"/>
  <c r="AD414" i="2" s="1"/>
  <c r="AD413" i="2" l="1"/>
  <c r="AD415" i="2" s="1"/>
  <c r="AE416" i="2" s="1"/>
  <c r="AD422" i="2"/>
  <c r="AD423" i="2"/>
  <c r="AD425" i="2" s="1"/>
  <c r="AD432" i="2"/>
  <c r="AD431" i="2"/>
  <c r="AF438" i="2"/>
  <c r="AD440" i="2"/>
  <c r="AD443" i="2" l="1"/>
  <c r="AF449" i="2"/>
  <c r="AD442" i="2"/>
  <c r="AD451" i="2"/>
  <c r="AD433" i="2"/>
  <c r="AD434" i="2"/>
  <c r="AD436" i="2" s="1"/>
  <c r="AD424" i="2"/>
  <c r="AD426" i="2" s="1"/>
  <c r="AE427" i="2" s="1"/>
  <c r="AD453" i="2" l="1"/>
  <c r="AF460" i="2"/>
  <c r="AD462" i="2"/>
  <c r="AD454" i="2"/>
  <c r="AD435" i="2"/>
  <c r="AD437" i="2" s="1"/>
  <c r="AE438" i="2" s="1"/>
  <c r="AD444" i="2"/>
  <c r="AD445" i="2"/>
  <c r="AD447" i="2" s="1"/>
  <c r="AD446" i="2" l="1"/>
  <c r="AD448" i="2" s="1"/>
  <c r="AE449" i="2" s="1"/>
  <c r="AD455" i="2"/>
  <c r="AD456" i="2"/>
  <c r="AD458" i="2" s="1"/>
  <c r="AD465" i="2"/>
  <c r="AD464" i="2"/>
  <c r="AF471" i="2"/>
  <c r="AD473" i="2"/>
  <c r="AF482" i="2" l="1"/>
  <c r="AD476" i="2"/>
  <c r="AD484" i="2"/>
  <c r="AD475" i="2"/>
  <c r="AD466" i="2"/>
  <c r="AD467" i="2"/>
  <c r="AD469" i="2" s="1"/>
  <c r="AD457" i="2"/>
  <c r="AD459" i="2" s="1"/>
  <c r="AE460" i="2" s="1"/>
  <c r="AD477" i="2" l="1"/>
  <c r="AD478" i="2"/>
  <c r="AD480" i="2" s="1"/>
  <c r="AD468" i="2"/>
  <c r="AD470" i="2" s="1"/>
  <c r="AE471" i="2" s="1"/>
  <c r="AD486" i="2"/>
  <c r="AF493" i="2"/>
  <c r="AD487" i="2"/>
  <c r="AD495" i="2"/>
  <c r="AD497" i="2" l="1"/>
  <c r="AF504" i="2"/>
  <c r="AD498" i="2"/>
  <c r="AD506" i="2"/>
  <c r="AD488" i="2"/>
  <c r="AD489" i="2"/>
  <c r="AD491" i="2" s="1"/>
  <c r="AD479" i="2"/>
  <c r="AD481" i="2" s="1"/>
  <c r="AE482" i="2" s="1"/>
  <c r="AD508" i="2" l="1"/>
  <c r="AD509" i="2"/>
  <c r="AD517" i="2"/>
  <c r="AF515" i="2"/>
  <c r="AD499" i="2"/>
  <c r="AD500" i="2"/>
  <c r="AD502" i="2" s="1"/>
  <c r="AD490" i="2"/>
  <c r="AD492" i="2" s="1"/>
  <c r="AE493" i="2" s="1"/>
  <c r="AD510" i="2" l="1"/>
  <c r="AD511" i="2"/>
  <c r="AD513" i="2" s="1"/>
  <c r="AD501" i="2"/>
  <c r="AD503" i="2" s="1"/>
  <c r="AE504" i="2" s="1"/>
  <c r="AD520" i="2"/>
  <c r="AF526" i="2"/>
  <c r="AD519" i="2"/>
  <c r="AD528" i="2"/>
  <c r="AD531" i="2" l="1"/>
  <c r="AF537" i="2"/>
  <c r="AD530" i="2"/>
  <c r="AD539" i="2"/>
  <c r="AD512" i="2"/>
  <c r="AD514" i="2" s="1"/>
  <c r="AE515" i="2" s="1"/>
  <c r="AD521" i="2"/>
  <c r="AD522" i="2"/>
  <c r="AD524" i="2" s="1"/>
  <c r="AD523" i="2" l="1"/>
  <c r="AD525" i="2" s="1"/>
  <c r="AE526" i="2" s="1"/>
  <c r="AF548" i="2"/>
  <c r="AD541" i="2"/>
  <c r="AD550" i="2"/>
  <c r="AD542" i="2"/>
  <c r="AD532" i="2"/>
  <c r="AD533" i="2"/>
  <c r="AD535" i="2" s="1"/>
  <c r="AD534" i="2" l="1"/>
  <c r="AD536" i="2" s="1"/>
  <c r="AE537" i="2" s="1"/>
  <c r="AD543" i="2"/>
  <c r="AD544" i="2"/>
  <c r="AD546" i="2" s="1"/>
  <c r="AD561" i="2"/>
  <c r="AD553" i="2"/>
  <c r="AD552" i="2"/>
  <c r="AF559" i="2"/>
  <c r="AD572" i="2" l="1"/>
  <c r="AD563" i="2"/>
  <c r="AF570" i="2"/>
  <c r="AD564" i="2"/>
  <c r="AD554" i="2"/>
  <c r="AD555" i="2"/>
  <c r="AD557" i="2" s="1"/>
  <c r="AD545" i="2"/>
  <c r="AD547" i="2" s="1"/>
  <c r="AE548" i="2" s="1"/>
  <c r="AD574" i="2" l="1"/>
  <c r="AD583" i="2"/>
  <c r="AF581" i="2"/>
  <c r="AD575" i="2"/>
  <c r="AD556" i="2"/>
  <c r="AD558" i="2" s="1"/>
  <c r="AE559" i="2" s="1"/>
  <c r="AD565" i="2"/>
  <c r="AD566" i="2"/>
  <c r="AD568" i="2" s="1"/>
  <c r="AD567" i="2" l="1"/>
  <c r="AD569" i="2" s="1"/>
  <c r="AE570" i="2" s="1"/>
  <c r="AD576" i="2"/>
  <c r="AD577" i="2"/>
  <c r="AD579" i="2" s="1"/>
  <c r="AF592" i="2"/>
  <c r="AD586" i="2"/>
  <c r="AD594" i="2"/>
  <c r="AD585" i="2"/>
  <c r="AD587" i="2" l="1"/>
  <c r="AD588" i="2"/>
  <c r="AD590" i="2" s="1"/>
  <c r="AD597" i="2"/>
  <c r="AD605" i="2"/>
  <c r="AD596" i="2"/>
  <c r="AF603" i="2"/>
  <c r="AD578" i="2"/>
  <c r="AD580" i="2" s="1"/>
  <c r="AE581" i="2" s="1"/>
  <c r="AD607" i="2" l="1"/>
  <c r="AD608" i="2"/>
  <c r="AD616" i="2"/>
  <c r="AF614" i="2"/>
  <c r="AD598" i="2"/>
  <c r="AD599" i="2"/>
  <c r="AD601" i="2" s="1"/>
  <c r="AD589" i="2"/>
  <c r="AD591" i="2" s="1"/>
  <c r="AE592" i="2" s="1"/>
  <c r="AD609" i="2" l="1"/>
  <c r="AD610" i="2"/>
  <c r="AD612" i="2" s="1"/>
  <c r="AD600" i="2"/>
  <c r="AD602" i="2" s="1"/>
  <c r="AE603" i="2" s="1"/>
  <c r="AD618" i="2"/>
  <c r="AD627" i="2"/>
  <c r="AD619" i="2"/>
  <c r="AF625" i="2"/>
  <c r="AD620" i="2" l="1"/>
  <c r="AD621" i="2"/>
  <c r="AD623" i="2" s="1"/>
  <c r="AD611" i="2"/>
  <c r="AD613" i="2" s="1"/>
  <c r="AE614" i="2" s="1"/>
  <c r="AF636" i="2"/>
  <c r="AD630" i="2"/>
  <c r="AD629" i="2"/>
  <c r="AD638" i="2"/>
  <c r="AD641" i="2" l="1"/>
  <c r="AF647" i="2"/>
  <c r="AD649" i="2"/>
  <c r="AD640" i="2"/>
  <c r="AD622" i="2"/>
  <c r="AD624" i="2" s="1"/>
  <c r="AE625" i="2" s="1"/>
  <c r="AD631" i="2"/>
  <c r="AD632" i="2"/>
  <c r="AD634" i="2" s="1"/>
  <c r="AD633" i="2" l="1"/>
  <c r="AD635" i="2" s="1"/>
  <c r="AE636" i="2" s="1"/>
  <c r="AD642" i="2"/>
  <c r="AD643" i="2"/>
  <c r="AD645" i="2" s="1"/>
  <c r="AD651" i="2"/>
  <c r="AF658" i="2"/>
  <c r="AD652" i="2"/>
  <c r="AD660" i="2"/>
  <c r="AD662" i="2" l="1"/>
  <c r="AD663" i="2"/>
  <c r="AD671" i="2"/>
  <c r="AF669" i="2"/>
  <c r="AD653" i="2"/>
  <c r="AD654" i="2"/>
  <c r="AD656" i="2" s="1"/>
  <c r="AD644" i="2"/>
  <c r="AD646" i="2" s="1"/>
  <c r="AE647" i="2" s="1"/>
  <c r="AD664" i="2" l="1"/>
  <c r="AD665" i="2"/>
  <c r="AD667" i="2" s="1"/>
  <c r="AD655" i="2"/>
  <c r="AD657" i="2" s="1"/>
  <c r="AE658" i="2" s="1"/>
  <c r="AD673" i="2"/>
  <c r="AF680" i="2"/>
  <c r="AD682" i="2"/>
  <c r="AD674" i="2"/>
  <c r="AD675" i="2" l="1"/>
  <c r="AD676" i="2"/>
  <c r="AD678" i="2" s="1"/>
  <c r="AD666" i="2"/>
  <c r="AD668" i="2" s="1"/>
  <c r="AE669" i="2" s="1"/>
  <c r="AD693" i="2"/>
  <c r="AD684" i="2"/>
  <c r="AF691" i="2"/>
  <c r="AD685" i="2"/>
  <c r="AD695" i="2" l="1"/>
  <c r="AF702" i="2"/>
  <c r="AD696" i="2"/>
  <c r="AD704" i="2"/>
  <c r="AD677" i="2"/>
  <c r="AD679" i="2" s="1"/>
  <c r="AE680" i="2" s="1"/>
  <c r="AD686" i="2"/>
  <c r="AD687" i="2"/>
  <c r="AD689" i="2" s="1"/>
  <c r="AD688" i="2" l="1"/>
  <c r="AD690" i="2" s="1"/>
  <c r="AE691" i="2" s="1"/>
  <c r="AF713" i="2"/>
  <c r="AD707" i="2"/>
  <c r="AD715" i="2"/>
  <c r="AD706" i="2"/>
  <c r="AD697" i="2"/>
  <c r="AD698" i="2"/>
  <c r="AD700" i="2" s="1"/>
  <c r="AD699" i="2" l="1"/>
  <c r="AD701" i="2" s="1"/>
  <c r="AE702" i="2" s="1"/>
  <c r="AD717" i="2"/>
  <c r="AF724" i="2"/>
  <c r="AD718" i="2"/>
  <c r="AD726" i="2"/>
  <c r="AD708" i="2"/>
  <c r="AD709" i="2"/>
  <c r="AD711" i="2" s="1"/>
  <c r="AD710" i="2" l="1"/>
  <c r="AD712" i="2" s="1"/>
  <c r="AE713" i="2" s="1"/>
  <c r="AD737" i="2"/>
  <c r="AD729" i="2"/>
  <c r="AF735" i="2"/>
  <c r="AD728" i="2"/>
  <c r="AD719" i="2"/>
  <c r="AD720" i="2"/>
  <c r="AD722" i="2" s="1"/>
  <c r="AD721" i="2" l="1"/>
  <c r="AD723" i="2" s="1"/>
  <c r="AE724" i="2" s="1"/>
  <c r="AD730" i="2"/>
  <c r="AD731" i="2"/>
  <c r="AD733" i="2" s="1"/>
  <c r="AD739" i="2"/>
  <c r="AD740" i="2"/>
  <c r="AD748" i="2"/>
  <c r="AF746" i="2"/>
  <c r="AD741" i="2" l="1"/>
  <c r="AD742" i="2"/>
  <c r="AD744" i="2" s="1"/>
  <c r="AD751" i="2"/>
  <c r="AD750" i="2"/>
  <c r="AD759" i="2"/>
  <c r="AF757" i="2"/>
  <c r="AD732" i="2"/>
  <c r="AD734" i="2" s="1"/>
  <c r="AE735" i="2" s="1"/>
  <c r="AD752" i="2" l="1"/>
  <c r="AD753" i="2"/>
  <c r="AD755" i="2" s="1"/>
  <c r="AD770" i="2"/>
  <c r="AF768" i="2"/>
  <c r="AD762" i="2"/>
  <c r="AD761" i="2"/>
  <c r="AD743" i="2"/>
  <c r="AD745" i="2" s="1"/>
  <c r="AE746" i="2" s="1"/>
  <c r="AD754" i="2" l="1"/>
  <c r="AD756" i="2" s="1"/>
  <c r="AE757" i="2" s="1"/>
  <c r="AD763" i="2"/>
  <c r="AD764" i="2"/>
  <c r="AD766" i="2" s="1"/>
  <c r="AD781" i="2"/>
  <c r="AD772" i="2"/>
  <c r="AF779" i="2"/>
  <c r="AD773" i="2"/>
  <c r="AD792" i="2" l="1"/>
  <c r="AD783" i="2"/>
  <c r="AF790" i="2"/>
  <c r="AD784" i="2"/>
  <c r="AD774" i="2"/>
  <c r="AD775" i="2"/>
  <c r="AD777" i="2" s="1"/>
  <c r="AD765" i="2"/>
  <c r="AD767" i="2" s="1"/>
  <c r="AE768" i="2" s="1"/>
  <c r="AD803" i="2" l="1"/>
  <c r="AF801" i="2"/>
  <c r="AD795" i="2"/>
  <c r="AD794" i="2"/>
  <c r="AD776" i="2"/>
  <c r="AD778" i="2" s="1"/>
  <c r="AE779" i="2" s="1"/>
  <c r="AD785" i="2"/>
  <c r="AD786" i="2"/>
  <c r="AD788" i="2" s="1"/>
  <c r="AD787" i="2" l="1"/>
  <c r="AD789" i="2" s="1"/>
  <c r="AE790" i="2" s="1"/>
  <c r="AD796" i="2"/>
  <c r="AD797" i="2"/>
  <c r="AD799" i="2" s="1"/>
  <c r="AD806" i="2"/>
  <c r="AD805" i="2"/>
  <c r="AF812" i="2"/>
  <c r="AD814" i="2"/>
  <c r="AD825" i="2" l="1"/>
  <c r="AD817" i="2"/>
  <c r="AF823" i="2"/>
  <c r="AD816" i="2"/>
  <c r="AD807" i="2"/>
  <c r="AD808" i="2"/>
  <c r="AD810" i="2" s="1"/>
  <c r="AD798" i="2"/>
  <c r="AD800" i="2" s="1"/>
  <c r="AE801" i="2" s="1"/>
  <c r="AD818" i="2" l="1"/>
  <c r="AD820" i="2" s="1"/>
  <c r="AD819" i="2"/>
  <c r="AD821" i="2" s="1"/>
  <c r="AD828" i="2"/>
  <c r="AF834" i="2"/>
  <c r="AD836" i="2"/>
  <c r="AD827" i="2"/>
  <c r="AD809" i="2"/>
  <c r="AD811" i="2" s="1"/>
  <c r="AE812" i="2" s="1"/>
  <c r="AD822" i="2" l="1"/>
  <c r="AE823" i="2" s="1"/>
  <c r="AD839" i="2"/>
  <c r="AD838" i="2"/>
  <c r="AF845" i="2"/>
  <c r="AD847" i="2"/>
  <c r="AD829" i="2"/>
  <c r="AD830" i="2"/>
  <c r="AD832" i="2" s="1"/>
  <c r="AD858" i="2" l="1"/>
  <c r="AF856" i="2"/>
  <c r="AD850" i="2"/>
  <c r="AD849" i="2"/>
  <c r="AD831" i="2"/>
  <c r="AD833" i="2" s="1"/>
  <c r="AE834" i="2" s="1"/>
  <c r="AD840" i="2"/>
  <c r="AD841" i="2"/>
  <c r="AD843" i="2" s="1"/>
  <c r="AD842" i="2" l="1"/>
  <c r="AD844" i="2" s="1"/>
  <c r="AE845" i="2" s="1"/>
  <c r="AD851" i="2"/>
  <c r="AD852" i="2"/>
  <c r="AD854" i="2" s="1"/>
  <c r="AF867" i="2"/>
  <c r="AD860" i="2"/>
  <c r="AD861" i="2"/>
  <c r="AD869" i="2"/>
  <c r="AD880" i="2" l="1"/>
  <c r="AD871" i="2"/>
  <c r="AF878" i="2"/>
  <c r="AD872" i="2"/>
  <c r="AD862" i="2"/>
  <c r="AD864" i="2" s="1"/>
  <c r="AD863" i="2"/>
  <c r="AD865" i="2" s="1"/>
  <c r="AD853" i="2"/>
  <c r="AD855" i="2" s="1"/>
  <c r="AE856" i="2" s="1"/>
  <c r="AD866" i="2" l="1"/>
  <c r="AE867" i="2" s="1"/>
  <c r="AD891" i="2"/>
  <c r="AD882" i="2"/>
  <c r="AF889" i="2"/>
  <c r="AD883" i="2"/>
  <c r="AD873" i="2"/>
  <c r="AD875" i="2" s="1"/>
  <c r="AD874" i="2"/>
  <c r="AD876" i="2" s="1"/>
  <c r="AD877" i="2" l="1"/>
  <c r="AE878" i="2" s="1"/>
  <c r="AF900" i="2"/>
  <c r="AD894" i="2"/>
  <c r="AD902" i="2"/>
  <c r="AD893" i="2"/>
  <c r="AD884" i="2"/>
  <c r="AD885" i="2"/>
  <c r="AD887" i="2" s="1"/>
  <c r="AD895" i="2" l="1"/>
  <c r="AD896" i="2"/>
  <c r="AD898" i="2" s="1"/>
  <c r="AD886" i="2"/>
  <c r="AD888" i="2" s="1"/>
  <c r="AE889" i="2" s="1"/>
  <c r="AF911" i="2"/>
  <c r="AD904" i="2"/>
  <c r="AD905" i="2"/>
  <c r="AD913" i="2"/>
  <c r="AF922" i="2" l="1"/>
  <c r="AD916" i="2"/>
  <c r="AD924" i="2"/>
  <c r="AD915" i="2"/>
  <c r="AD897" i="2"/>
  <c r="AD899" i="2" s="1"/>
  <c r="AE900" i="2" s="1"/>
  <c r="AD906" i="2"/>
  <c r="AD908" i="2" s="1"/>
  <c r="AD907" i="2"/>
  <c r="AD909" i="2" s="1"/>
  <c r="AD910" i="2" l="1"/>
  <c r="AE911" i="2" s="1"/>
  <c r="AD917" i="2"/>
  <c r="AD918" i="2"/>
  <c r="AD920" i="2" s="1"/>
  <c r="AF933" i="2"/>
  <c r="AD927" i="2"/>
  <c r="AD935" i="2"/>
  <c r="AD926" i="2"/>
  <c r="AD946" i="2" l="1"/>
  <c r="AD937" i="2"/>
  <c r="AF944" i="2"/>
  <c r="AD938" i="2"/>
  <c r="AD919" i="2"/>
  <c r="AD921" i="2" s="1"/>
  <c r="AE922" i="2" s="1"/>
  <c r="AD928" i="2"/>
  <c r="AD929" i="2"/>
  <c r="AD931" i="2" s="1"/>
  <c r="AD930" i="2" l="1"/>
  <c r="AD932" i="2" s="1"/>
  <c r="AE933" i="2" s="1"/>
  <c r="AD949" i="2"/>
  <c r="AD957" i="2"/>
  <c r="AF955" i="2"/>
  <c r="AD948" i="2"/>
  <c r="AD939" i="2"/>
  <c r="AD940" i="2"/>
  <c r="AD942" i="2" s="1"/>
  <c r="AD941" i="2" l="1"/>
  <c r="AD943" i="2" s="1"/>
  <c r="AE944" i="2" s="1"/>
  <c r="AD960" i="2"/>
  <c r="AD968" i="2"/>
  <c r="AD959" i="2"/>
  <c r="AF966" i="2"/>
  <c r="AD950" i="2"/>
  <c r="AD951" i="2"/>
  <c r="AD953" i="2" s="1"/>
  <c r="AD952" i="2" l="1"/>
  <c r="AD954" i="2" s="1"/>
  <c r="AE955" i="2" s="1"/>
  <c r="AD970" i="2"/>
  <c r="AF977" i="2"/>
  <c r="AD971" i="2"/>
  <c r="AD979" i="2"/>
  <c r="AD961" i="2"/>
  <c r="AD962" i="2"/>
  <c r="AD964" i="2" s="1"/>
  <c r="AD963" i="2" l="1"/>
  <c r="AD965" i="2" s="1"/>
  <c r="AE966" i="2" s="1"/>
  <c r="AD990" i="2"/>
  <c r="AD981" i="2"/>
  <c r="AF988" i="2"/>
  <c r="AD982" i="2"/>
  <c r="AD972" i="2"/>
  <c r="AD973" i="2"/>
  <c r="AD975" i="2" s="1"/>
  <c r="AD974" i="2" l="1"/>
  <c r="AD976" i="2" s="1"/>
  <c r="AE977" i="2" s="1"/>
  <c r="AD983" i="2"/>
  <c r="AD984" i="2"/>
  <c r="AD986" i="2" s="1"/>
  <c r="AD993" i="2"/>
  <c r="AD1001" i="2"/>
  <c r="AD992" i="2"/>
  <c r="AF999" i="2"/>
  <c r="AD1012" i="2" l="1"/>
  <c r="AD1003" i="2"/>
  <c r="AF1010" i="2"/>
  <c r="AD1004" i="2"/>
  <c r="AD994" i="2"/>
  <c r="AD995" i="2"/>
  <c r="AD997" i="2" s="1"/>
  <c r="AD985" i="2"/>
  <c r="AD987" i="2" s="1"/>
  <c r="AE988" i="2" s="1"/>
  <c r="AF1021" i="2" l="1"/>
  <c r="AD1015" i="2"/>
  <c r="AD1023" i="2"/>
  <c r="AD1014" i="2"/>
  <c r="AD996" i="2"/>
  <c r="AD998" i="2" s="1"/>
  <c r="AE999" i="2" s="1"/>
  <c r="AD1005" i="2"/>
  <c r="AD1006" i="2"/>
  <c r="AD1008" i="2" s="1"/>
  <c r="AD1034" i="2" l="1"/>
  <c r="AD1025" i="2"/>
  <c r="AF1032" i="2"/>
  <c r="AD1026" i="2"/>
  <c r="AD1007" i="2"/>
  <c r="AD1009" i="2" s="1"/>
  <c r="AE1010" i="2" s="1"/>
  <c r="AD1016" i="2"/>
  <c r="AD1017" i="2"/>
  <c r="AD1019" i="2" s="1"/>
  <c r="AD1037" i="2" l="1"/>
  <c r="AD1045" i="2"/>
  <c r="AF1043" i="2"/>
  <c r="AD1036" i="2"/>
  <c r="AD1027" i="2"/>
  <c r="AD1028" i="2"/>
  <c r="AD1030" i="2" s="1"/>
  <c r="AD1018" i="2"/>
  <c r="AD1020" i="2" s="1"/>
  <c r="AE1021" i="2" s="1"/>
  <c r="AD1038" i="2" l="1"/>
  <c r="AD1039" i="2"/>
  <c r="AD1041" i="2" s="1"/>
  <c r="AD1029" i="2"/>
  <c r="AD1031" i="2" s="1"/>
  <c r="AE1032" i="2" s="1"/>
  <c r="AD1047" i="2"/>
  <c r="AF1054" i="2"/>
  <c r="AD1048" i="2"/>
  <c r="AD1056" i="2"/>
  <c r="AD1049" i="2" l="1"/>
  <c r="AD1050" i="2"/>
  <c r="AD1052" i="2" s="1"/>
  <c r="AD1040" i="2"/>
  <c r="AD1042" i="2" s="1"/>
  <c r="AE1043" i="2" s="1"/>
  <c r="AF1065" i="2"/>
  <c r="AD1059" i="2"/>
  <c r="AD1067" i="2"/>
  <c r="AD1058" i="2"/>
  <c r="AD1051" i="2" l="1"/>
  <c r="AD1053" i="2" s="1"/>
  <c r="AE1054" i="2" s="1"/>
  <c r="AF1076" i="2"/>
  <c r="AD1078" i="2"/>
  <c r="AD1070" i="2"/>
  <c r="AD1069" i="2"/>
  <c r="AD1060" i="2"/>
  <c r="AD1061" i="2"/>
  <c r="AD1063" i="2" s="1"/>
  <c r="AD1071" i="2" l="1"/>
  <c r="AD1072" i="2"/>
  <c r="AD1074" i="2" s="1"/>
  <c r="AD1062" i="2"/>
  <c r="AD1064" i="2" s="1"/>
  <c r="AE1065" i="2" s="1"/>
  <c r="AD1080" i="2"/>
  <c r="AD1081" i="2"/>
  <c r="AD1089" i="2"/>
  <c r="AF1087" i="2"/>
  <c r="AD1082" i="2" l="1"/>
  <c r="AD1083" i="2"/>
  <c r="AD1085" i="2" s="1"/>
  <c r="AD1073" i="2"/>
  <c r="AD1075" i="2" s="1"/>
  <c r="AE1076" i="2" s="1"/>
  <c r="AD1100" i="2"/>
  <c r="AD1091" i="2"/>
  <c r="AF1098" i="2"/>
  <c r="AD1092" i="2"/>
  <c r="AD1111" i="2" l="1"/>
  <c r="AD1102" i="2"/>
  <c r="AF1109" i="2"/>
  <c r="AD1103" i="2"/>
  <c r="AD1084" i="2"/>
  <c r="AD1086" i="2" s="1"/>
  <c r="AE1087" i="2" s="1"/>
  <c r="AD1093" i="2"/>
  <c r="AD1094" i="2"/>
  <c r="AD1096" i="2" s="1"/>
  <c r="AD1114" i="2" l="1"/>
  <c r="AD1122" i="2"/>
  <c r="AD1113" i="2"/>
  <c r="AF1120" i="2"/>
  <c r="AD1104" i="2"/>
  <c r="AD1105" i="2"/>
  <c r="AD1107" i="2" s="1"/>
  <c r="AD1095" i="2"/>
  <c r="AD1097" i="2" s="1"/>
  <c r="AE1098" i="2" s="1"/>
  <c r="AD1106" i="2" l="1"/>
  <c r="AD1108" i="2" s="1"/>
  <c r="AE1109" i="2" s="1"/>
  <c r="AD1124" i="2"/>
  <c r="AF1131" i="2"/>
  <c r="AD1125" i="2"/>
  <c r="AD1133" i="2"/>
  <c r="AD1115" i="2"/>
  <c r="AD1116" i="2"/>
  <c r="AD1118" i="2" s="1"/>
  <c r="AD1136" i="2" l="1"/>
  <c r="AD1144" i="2"/>
  <c r="AD1135" i="2"/>
  <c r="AF1142" i="2"/>
  <c r="AD1126" i="2"/>
  <c r="AD1127" i="2"/>
  <c r="AD1129" i="2" s="1"/>
  <c r="AD1117" i="2"/>
  <c r="AD1119" i="2" s="1"/>
  <c r="AE1120" i="2" s="1"/>
  <c r="AD1128" i="2" l="1"/>
  <c r="AD1130" i="2" s="1"/>
  <c r="AE1131" i="2" s="1"/>
  <c r="AF1153" i="2"/>
  <c r="AD1147" i="2"/>
  <c r="AD1155" i="2"/>
  <c r="AD1146" i="2"/>
  <c r="AD1137" i="2"/>
  <c r="AD1138" i="2"/>
  <c r="AD1140" i="2" s="1"/>
  <c r="AD1139" i="2" l="1"/>
  <c r="AD1141" i="2" s="1"/>
  <c r="AE1142" i="2" s="1"/>
  <c r="AF1164" i="2"/>
  <c r="AD1158" i="2"/>
  <c r="AD1166" i="2"/>
  <c r="AD1157" i="2"/>
  <c r="AD1148" i="2"/>
  <c r="AD1149" i="2"/>
  <c r="AD1151" i="2" s="1"/>
  <c r="AD1150" i="2" l="1"/>
  <c r="AD1152" i="2" s="1"/>
  <c r="AE1153" i="2" s="1"/>
  <c r="AD1177" i="2"/>
  <c r="AF1175" i="2"/>
  <c r="AD1168" i="2"/>
  <c r="AD1169" i="2"/>
  <c r="AD1159" i="2"/>
  <c r="AD1160" i="2"/>
  <c r="AD1162" i="2" s="1"/>
  <c r="AD1170" i="2" l="1"/>
  <c r="AD1171" i="2"/>
  <c r="AD1173" i="2" s="1"/>
  <c r="AD1180" i="2"/>
  <c r="AD1188" i="2"/>
  <c r="AD1179" i="2"/>
  <c r="AF1186" i="2"/>
  <c r="AD1161" i="2"/>
  <c r="AD1163" i="2" s="1"/>
  <c r="AE1164" i="2" s="1"/>
  <c r="AD1181" i="2" l="1"/>
  <c r="AD1182" i="2"/>
  <c r="AD1184" i="2" s="1"/>
  <c r="AD1172" i="2"/>
  <c r="AD1174" i="2" s="1"/>
  <c r="AE1175" i="2" s="1"/>
  <c r="AD1191" i="2"/>
  <c r="AD1199" i="2"/>
  <c r="AD1190" i="2"/>
  <c r="AF1197" i="2"/>
  <c r="AD1183" i="2" l="1"/>
  <c r="AD1185" i="2" s="1"/>
  <c r="AE1186" i="2" s="1"/>
  <c r="AD1202" i="2"/>
  <c r="AD1210" i="2"/>
  <c r="AD1201" i="2"/>
  <c r="AF1208" i="2"/>
  <c r="AD1192" i="2"/>
  <c r="AD1193" i="2"/>
  <c r="AD1195" i="2" s="1"/>
  <c r="AD1203" i="2" l="1"/>
  <c r="AD1204" i="2"/>
  <c r="AD1206" i="2" s="1"/>
  <c r="AD1194" i="2"/>
  <c r="AD1196" i="2" s="1"/>
  <c r="AE1197" i="2" s="1"/>
  <c r="AF1219" i="2"/>
  <c r="AD1213" i="2"/>
  <c r="AD1221" i="2"/>
  <c r="AD1212" i="2"/>
  <c r="AD1205" i="2" l="1"/>
  <c r="AD1207" i="2" s="1"/>
  <c r="AE1208" i="2" s="1"/>
  <c r="AD1232" i="2"/>
  <c r="AD1223" i="2"/>
  <c r="AF1230" i="2"/>
  <c r="AD1224" i="2"/>
  <c r="AD1214" i="2"/>
  <c r="AD1215" i="2"/>
  <c r="AD1217" i="2" s="1"/>
  <c r="AD1216" i="2" l="1"/>
  <c r="AD1218" i="2" s="1"/>
  <c r="AE1219" i="2" s="1"/>
  <c r="AD1225" i="2"/>
  <c r="AD1226" i="2"/>
  <c r="AD1228" i="2" s="1"/>
  <c r="AD1234" i="2"/>
  <c r="AF1241" i="2"/>
  <c r="AD1235" i="2"/>
  <c r="AD1243" i="2"/>
  <c r="AF1252" i="2" l="1"/>
  <c r="AD1246" i="2"/>
  <c r="AD1254" i="2"/>
  <c r="AD1245" i="2"/>
  <c r="AD1236" i="2"/>
  <c r="AD1237" i="2"/>
  <c r="AD1239" i="2" s="1"/>
  <c r="AD1227" i="2"/>
  <c r="AD1229" i="2" s="1"/>
  <c r="AE1230" i="2" s="1"/>
  <c r="AD1247" i="2" l="1"/>
  <c r="AD1248" i="2"/>
  <c r="AD1250" i="2" s="1"/>
  <c r="AD1238" i="2"/>
  <c r="AD1240" i="2" s="1"/>
  <c r="AE1241" i="2" s="1"/>
  <c r="AD1257" i="2"/>
  <c r="AD1265" i="2"/>
  <c r="AF1263" i="2"/>
  <c r="AD1256" i="2"/>
  <c r="AD1258" i="2" l="1"/>
  <c r="AD1259" i="2"/>
  <c r="AD1261" i="2" s="1"/>
  <c r="AD1249" i="2"/>
  <c r="AD1251" i="2" s="1"/>
  <c r="AE1252" i="2" s="1"/>
  <c r="AD1276" i="2"/>
  <c r="AD1267" i="2"/>
  <c r="AF1274" i="2"/>
  <c r="AD1268" i="2"/>
  <c r="AF1285" i="2" l="1"/>
  <c r="AD1279" i="2"/>
  <c r="AD1287" i="2"/>
  <c r="AD1278" i="2"/>
  <c r="AD1260" i="2"/>
  <c r="AD1262" i="2" s="1"/>
  <c r="AE1263" i="2" s="1"/>
  <c r="AD1269" i="2"/>
  <c r="AD1270" i="2"/>
  <c r="AD1272" i="2" s="1"/>
  <c r="AD1271" i="2" l="1"/>
  <c r="AD1273" i="2" s="1"/>
  <c r="AE1274" i="2" s="1"/>
  <c r="AD1280" i="2"/>
  <c r="AD1281" i="2"/>
  <c r="AD1283" i="2" s="1"/>
  <c r="AD1289" i="2"/>
  <c r="AF1296" i="2"/>
  <c r="AD1298" i="2"/>
  <c r="AD1290" i="2"/>
  <c r="AD1291" i="2" l="1"/>
  <c r="AD1292" i="2"/>
  <c r="AD1294" i="2" s="1"/>
  <c r="AD1301" i="2"/>
  <c r="AD1309" i="2"/>
  <c r="AD1300" i="2"/>
  <c r="AF1307" i="2"/>
  <c r="AD1282" i="2"/>
  <c r="AD1284" i="2" s="1"/>
  <c r="AE1285" i="2" s="1"/>
  <c r="AD1320" i="2" l="1"/>
  <c r="AD1311" i="2"/>
  <c r="AF1318" i="2"/>
  <c r="AD1312" i="2"/>
  <c r="AD1302" i="2"/>
  <c r="AD1303" i="2"/>
  <c r="AD1305" i="2" s="1"/>
  <c r="AD1293" i="2"/>
  <c r="AD1295" i="2" s="1"/>
  <c r="AE1296" i="2" s="1"/>
  <c r="AD1323" i="2" l="1"/>
  <c r="AD1331" i="2"/>
  <c r="AF1329" i="2"/>
  <c r="AD1322" i="2"/>
  <c r="AD1304" i="2"/>
  <c r="AD1306" i="2" s="1"/>
  <c r="AE1307" i="2" s="1"/>
  <c r="AD1313" i="2"/>
  <c r="AD1314" i="2"/>
  <c r="AD1316" i="2" s="1"/>
  <c r="AD1315" i="2" l="1"/>
  <c r="AD1317" i="2" s="1"/>
  <c r="AE1318" i="2" s="1"/>
  <c r="AD1324" i="2"/>
  <c r="AD1325" i="2"/>
  <c r="AD1327" i="2" s="1"/>
  <c r="AD1342" i="2"/>
  <c r="AD1333" i="2"/>
  <c r="AF1340" i="2"/>
  <c r="AD1334" i="2"/>
  <c r="AF1351" i="2" l="1"/>
  <c r="AD1345" i="2"/>
  <c r="AD1353" i="2"/>
  <c r="AD1344" i="2"/>
  <c r="AD1335" i="2"/>
  <c r="AD1336" i="2"/>
  <c r="AD1338" i="2" s="1"/>
  <c r="AD1326" i="2"/>
  <c r="AD1328" i="2" s="1"/>
  <c r="AE1329" i="2" s="1"/>
  <c r="AD1346" i="2" l="1"/>
  <c r="AD1347" i="2"/>
  <c r="AD1349" i="2" s="1"/>
  <c r="AD1337" i="2"/>
  <c r="AD1339" i="2" s="1"/>
  <c r="AE1340" i="2" s="1"/>
  <c r="AD1355" i="2"/>
  <c r="AF1362" i="2"/>
  <c r="AD1356" i="2"/>
  <c r="AD1364" i="2"/>
  <c r="AD1375" i="2" l="1"/>
  <c r="AD1366" i="2"/>
  <c r="AF1373" i="2"/>
  <c r="AD1367" i="2"/>
  <c r="AD1357" i="2"/>
  <c r="AD1358" i="2"/>
  <c r="AD1360" i="2" s="1"/>
  <c r="AD1348" i="2"/>
  <c r="AD1350" i="2" s="1"/>
  <c r="AE1351" i="2" s="1"/>
  <c r="AD1386" i="2" l="1"/>
  <c r="AF1384" i="2"/>
  <c r="AD1378" i="2"/>
  <c r="AD1377" i="2"/>
  <c r="AD1359" i="2"/>
  <c r="AD1361" i="2" s="1"/>
  <c r="AE1362" i="2" s="1"/>
  <c r="AD1368" i="2"/>
  <c r="AD1369" i="2"/>
  <c r="AD1371" i="2" s="1"/>
  <c r="AD1370" i="2" l="1"/>
  <c r="AD1372" i="2" s="1"/>
  <c r="AE1373" i="2" s="1"/>
  <c r="AD1379" i="2"/>
  <c r="AD1380" i="2"/>
  <c r="AD1382" i="2" s="1"/>
  <c r="AD1389" i="2"/>
  <c r="AD1397" i="2"/>
  <c r="AD1388" i="2"/>
  <c r="AF1395" i="2"/>
  <c r="AD1408" i="2" l="1"/>
  <c r="AD1399" i="2"/>
  <c r="AF1406" i="2"/>
  <c r="AD1400" i="2"/>
  <c r="AD1390" i="2"/>
  <c r="AD1391" i="2"/>
  <c r="AD1393" i="2" s="1"/>
  <c r="AD1381" i="2"/>
  <c r="AD1383" i="2" s="1"/>
  <c r="AE1384" i="2" s="1"/>
  <c r="AF1417" i="2" l="1"/>
  <c r="AD1411" i="2"/>
  <c r="AD1419" i="2"/>
  <c r="AD1410" i="2"/>
  <c r="AD1392" i="2"/>
  <c r="AD1394" i="2" s="1"/>
  <c r="AE1395" i="2" s="1"/>
  <c r="AD1401" i="2"/>
  <c r="AD1402" i="2"/>
  <c r="AD1404" i="2" s="1"/>
  <c r="AD1403" i="2" l="1"/>
  <c r="AD1405" i="2" s="1"/>
  <c r="AE1406" i="2" s="1"/>
  <c r="AD1412" i="2"/>
  <c r="AD1413" i="2"/>
  <c r="AD1415" i="2" s="1"/>
  <c r="AD1422" i="2"/>
  <c r="AD1430" i="2"/>
  <c r="AD1421" i="2"/>
  <c r="AF1428" i="2"/>
  <c r="AF1439" i="2" l="1"/>
  <c r="AD1433" i="2"/>
  <c r="AD1441" i="2"/>
  <c r="AD1432" i="2"/>
  <c r="AD1423" i="2"/>
  <c r="AD1424" i="2"/>
  <c r="AD1426" i="2" s="1"/>
  <c r="AD1414" i="2"/>
  <c r="AD1416" i="2" s="1"/>
  <c r="AE1417" i="2" s="1"/>
  <c r="AD1434" i="2" l="1"/>
  <c r="AD1435" i="2"/>
  <c r="AD1437" i="2" s="1"/>
  <c r="AD1425" i="2"/>
  <c r="AD1427" i="2" s="1"/>
  <c r="AE1428" i="2" s="1"/>
  <c r="AF1450" i="2"/>
  <c r="AD1444" i="2"/>
  <c r="AD1452" i="2"/>
  <c r="AD1443" i="2"/>
  <c r="AD1445" i="2" l="1"/>
  <c r="AD1447" i="2" s="1"/>
  <c r="AD1446" i="2"/>
  <c r="AD1448" i="2" s="1"/>
  <c r="AD1436" i="2"/>
  <c r="AD1438" i="2" s="1"/>
  <c r="AE1439" i="2" s="1"/>
  <c r="AF1461" i="2"/>
  <c r="AD1455" i="2"/>
  <c r="AD1463" i="2"/>
  <c r="AD1454" i="2"/>
  <c r="AD1449" i="2" l="1"/>
  <c r="AE1450" i="2" s="1"/>
  <c r="AD1456" i="2"/>
  <c r="AD1457" i="2"/>
  <c r="AD1459" i="2" s="1"/>
  <c r="AF1472" i="2"/>
  <c r="AD1465" i="2"/>
  <c r="AD1474" i="2"/>
  <c r="AD1466" i="2"/>
  <c r="AD1467" i="2" l="1"/>
  <c r="AD1468" i="2"/>
  <c r="AD1470" i="2" s="1"/>
  <c r="AD1485" i="2"/>
  <c r="AD1476" i="2"/>
  <c r="AF1483" i="2"/>
  <c r="AD1477" i="2"/>
  <c r="AD1458" i="2"/>
  <c r="AD1460" i="2" s="1"/>
  <c r="AE1461" i="2" s="1"/>
  <c r="AD1478" i="2" l="1"/>
  <c r="AD1479" i="2"/>
  <c r="AD1481" i="2" s="1"/>
  <c r="AD1469" i="2"/>
  <c r="AD1471" i="2" s="1"/>
  <c r="AE1472" i="2" s="1"/>
  <c r="AF1494" i="2"/>
  <c r="AD1488" i="2"/>
  <c r="AD1496" i="2"/>
  <c r="AD1487" i="2"/>
  <c r="AD1489" i="2" l="1"/>
  <c r="AD1490" i="2"/>
  <c r="AD1492" i="2" s="1"/>
  <c r="AD1480" i="2"/>
  <c r="AD1482" i="2" s="1"/>
  <c r="AE1483" i="2" s="1"/>
  <c r="AD1499" i="2"/>
  <c r="AD1498" i="2"/>
  <c r="AF1505" i="2"/>
  <c r="AD1507" i="2"/>
  <c r="AD1510" i="2" l="1"/>
  <c r="AD1518" i="2"/>
  <c r="AF1516" i="2"/>
  <c r="AD1509" i="2"/>
  <c r="AD1491" i="2"/>
  <c r="AD1493" i="2" s="1"/>
  <c r="AE1494" i="2" s="1"/>
  <c r="AD1500" i="2"/>
  <c r="AD1501" i="2"/>
  <c r="AD1503" i="2" s="1"/>
  <c r="AD1502" i="2" l="1"/>
  <c r="AD1504" i="2" s="1"/>
  <c r="AE1505" i="2" s="1"/>
  <c r="AD1511" i="2"/>
  <c r="AD1512" i="2"/>
  <c r="AD1514" i="2" s="1"/>
  <c r="AD1521" i="2"/>
  <c r="AD1520" i="2"/>
  <c r="AF1527" i="2"/>
  <c r="AD1529" i="2"/>
  <c r="AD1540" i="2" l="1"/>
  <c r="AF1538" i="2"/>
  <c r="AD1532" i="2"/>
  <c r="AD1531" i="2"/>
  <c r="AD1522" i="2"/>
  <c r="AD1523" i="2"/>
  <c r="AD1525" i="2" s="1"/>
  <c r="AD1513" i="2"/>
  <c r="AD1515" i="2" s="1"/>
  <c r="AE1516" i="2" s="1"/>
  <c r="AD1533" i="2" l="1"/>
  <c r="AD1534" i="2"/>
  <c r="AD1536" i="2" s="1"/>
  <c r="AD1542" i="2"/>
  <c r="AF1549" i="2"/>
  <c r="AD1543" i="2"/>
  <c r="AD1551" i="2"/>
  <c r="AD1524" i="2"/>
  <c r="AD1526" i="2" s="1"/>
  <c r="AE1527" i="2" s="1"/>
  <c r="AD1535" i="2" l="1"/>
  <c r="AD1537" i="2" s="1"/>
  <c r="AE1538" i="2" s="1"/>
  <c r="AD1562" i="2"/>
  <c r="AF1560" i="2"/>
  <c r="AD1554" i="2"/>
  <c r="AD1553" i="2"/>
  <c r="AD1544" i="2"/>
  <c r="AD1545" i="2"/>
  <c r="AD1547" i="2" s="1"/>
  <c r="AD1546" i="2" l="1"/>
  <c r="AD1548" i="2" s="1"/>
  <c r="AE1549" i="2" s="1"/>
  <c r="AD1555" i="2"/>
  <c r="AD1556" i="2"/>
  <c r="AD1558" i="2" s="1"/>
  <c r="AD1564" i="2"/>
  <c r="AF1571" i="2"/>
  <c r="AD1565" i="2"/>
  <c r="AD1573" i="2"/>
  <c r="AF1582" i="2" l="1"/>
  <c r="AD1576" i="2"/>
  <c r="AD1584" i="2"/>
  <c r="AD1575" i="2"/>
  <c r="AD1566" i="2"/>
  <c r="AD1567" i="2"/>
  <c r="AD1569" i="2" s="1"/>
  <c r="AD1557" i="2"/>
  <c r="AD1559" i="2" s="1"/>
  <c r="AE1560" i="2" s="1"/>
  <c r="AD1577" i="2" l="1"/>
  <c r="AD1578" i="2"/>
  <c r="AD1580" i="2" s="1"/>
  <c r="AD1568" i="2"/>
  <c r="AD1570" i="2" s="1"/>
  <c r="AE1571" i="2" s="1"/>
  <c r="AD1586" i="2"/>
  <c r="AF1593" i="2"/>
  <c r="AD1587" i="2"/>
  <c r="AD1595" i="2"/>
  <c r="AD1598" i="2" l="1"/>
  <c r="AD1597" i="2"/>
  <c r="AD1606" i="2"/>
  <c r="AF1604" i="2"/>
  <c r="AD1588" i="2"/>
  <c r="AD1589" i="2"/>
  <c r="AD1591" i="2" s="1"/>
  <c r="AD1579" i="2"/>
  <c r="AD1581" i="2" s="1"/>
  <c r="AE1582" i="2" s="1"/>
  <c r="AD1590" i="2" l="1"/>
  <c r="AD1592" i="2" s="1"/>
  <c r="AE1593" i="2" s="1"/>
  <c r="AD1599" i="2"/>
  <c r="AD1600" i="2"/>
  <c r="AD1602" i="2" s="1"/>
  <c r="AD1617" i="2"/>
  <c r="AD1608" i="2"/>
  <c r="AF1615" i="2"/>
  <c r="AD1609" i="2"/>
  <c r="AD1619" i="2" l="1"/>
  <c r="AF1626" i="2"/>
  <c r="AD1620" i="2"/>
  <c r="AD1628" i="2"/>
  <c r="AD1610" i="2"/>
  <c r="AD1611" i="2"/>
  <c r="AD1613" i="2" s="1"/>
  <c r="AD1601" i="2"/>
  <c r="AD1603" i="2" s="1"/>
  <c r="AE1604" i="2" s="1"/>
  <c r="AD1630" i="2" l="1"/>
  <c r="AF1637" i="2"/>
  <c r="AD1631" i="2"/>
  <c r="AD1639" i="2"/>
  <c r="AD1621" i="2"/>
  <c r="AD1623" i="2" s="1"/>
  <c r="AD1622" i="2"/>
  <c r="AD1624" i="2" s="1"/>
  <c r="AD1612" i="2"/>
  <c r="AD1614" i="2" s="1"/>
  <c r="AE1615" i="2" s="1"/>
  <c r="AD1625" i="2" l="1"/>
  <c r="AE1626" i="2" s="1"/>
  <c r="AD1641" i="2"/>
  <c r="AD1650" i="2"/>
  <c r="AF1648" i="2"/>
  <c r="AD1642" i="2"/>
  <c r="AD1632" i="2"/>
  <c r="AD1634" i="2" s="1"/>
  <c r="AD1633" i="2"/>
  <c r="AD1635" i="2" s="1"/>
  <c r="AD1636" i="2" l="1"/>
  <c r="AE1637" i="2" s="1"/>
  <c r="AD1643" i="2"/>
  <c r="AD1644" i="2"/>
  <c r="AD1646" i="2" s="1"/>
  <c r="AD1661" i="2"/>
  <c r="AD1652" i="2"/>
  <c r="AF1659" i="2"/>
  <c r="AD1653" i="2"/>
  <c r="AD1654" i="2" l="1"/>
  <c r="AD1656" i="2" s="1"/>
  <c r="AD1655" i="2"/>
  <c r="AD1657" i="2" s="1"/>
  <c r="AD1645" i="2"/>
  <c r="AD1647" i="2" s="1"/>
  <c r="AE1648" i="2" s="1"/>
  <c r="AF1670" i="2"/>
  <c r="AD1664" i="2"/>
  <c r="AD1672" i="2"/>
  <c r="AD1663" i="2"/>
  <c r="AD1658" i="2" l="1"/>
  <c r="AE1659" i="2" s="1"/>
  <c r="AD1665" i="2"/>
  <c r="AD1667" i="2" s="1"/>
  <c r="AD1666" i="2"/>
  <c r="AD1668" i="2" s="1"/>
  <c r="AD1674" i="2"/>
  <c r="AF1681" i="2"/>
  <c r="AD1675" i="2"/>
  <c r="AD1683" i="2"/>
  <c r="AD1669" i="2" l="1"/>
  <c r="AE1670" i="2" s="1"/>
  <c r="AD1694" i="2"/>
  <c r="AF1692" i="2"/>
  <c r="AD1686" i="2"/>
  <c r="AD1685" i="2"/>
  <c r="AD1676" i="2"/>
  <c r="AD1677" i="2"/>
  <c r="AD1679" i="2" s="1"/>
  <c r="AD1687" i="2" l="1"/>
  <c r="AD1688" i="2"/>
  <c r="AD1690" i="2" s="1"/>
  <c r="AD1705" i="2"/>
  <c r="AD1696" i="2"/>
  <c r="AF1703" i="2"/>
  <c r="AD1697" i="2"/>
  <c r="AD1678" i="2"/>
  <c r="AD1680" i="2" s="1"/>
  <c r="AE1681" i="2" s="1"/>
  <c r="AD1698" i="2" l="1"/>
  <c r="AD1699" i="2"/>
  <c r="AD1701" i="2" s="1"/>
  <c r="AD1689" i="2"/>
  <c r="AD1691" i="2" s="1"/>
  <c r="AE1692" i="2" s="1"/>
  <c r="AF1714" i="2"/>
  <c r="AD1716" i="2"/>
  <c r="AD1707" i="2"/>
  <c r="AD1708" i="2"/>
  <c r="AD1700" i="2" l="1"/>
  <c r="AD1702" i="2" s="1"/>
  <c r="AE1703" i="2" s="1"/>
  <c r="AD1718" i="2"/>
  <c r="AF1725" i="2"/>
  <c r="AD1719" i="2"/>
  <c r="AD1727" i="2"/>
  <c r="AD1709" i="2"/>
  <c r="AD1710" i="2"/>
  <c r="AD1712" i="2" s="1"/>
  <c r="AD1711" i="2" l="1"/>
  <c r="AD1713" i="2" s="1"/>
  <c r="AE1714" i="2" s="1"/>
  <c r="AD1738" i="2"/>
  <c r="AF1736" i="2"/>
  <c r="AD1730" i="2"/>
  <c r="AD1729" i="2"/>
  <c r="AD1720" i="2"/>
  <c r="AD1721" i="2"/>
  <c r="AD1723" i="2" s="1"/>
  <c r="AD1722" i="2" l="1"/>
  <c r="AD1724" i="2" s="1"/>
  <c r="AE1725" i="2" s="1"/>
  <c r="AD1731" i="2"/>
  <c r="AD1732" i="2"/>
  <c r="AD1734" i="2" s="1"/>
  <c r="AD1749" i="2"/>
  <c r="AD1740" i="2"/>
  <c r="AF1747" i="2"/>
  <c r="AD1741" i="2"/>
  <c r="AD1760" i="2" l="1"/>
  <c r="AF1758" i="2"/>
  <c r="AD1752" i="2"/>
  <c r="AD1751" i="2"/>
  <c r="AD1742" i="2"/>
  <c r="AD1743" i="2"/>
  <c r="AD1745" i="2" s="1"/>
  <c r="AD1733" i="2"/>
  <c r="AD1735" i="2" s="1"/>
  <c r="AE1736" i="2" s="1"/>
  <c r="AD1753" i="2" l="1"/>
  <c r="AD1754" i="2"/>
  <c r="AD1756" i="2" s="1"/>
  <c r="AF1769" i="2"/>
  <c r="AD1763" i="2"/>
  <c r="AD1771" i="2"/>
  <c r="AD1762" i="2"/>
  <c r="AD1744" i="2"/>
  <c r="AD1746" i="2" s="1"/>
  <c r="AE1747" i="2" s="1"/>
  <c r="AD1782" i="2" l="1"/>
  <c r="AD1773" i="2"/>
  <c r="AF1780" i="2"/>
  <c r="AD1774" i="2"/>
  <c r="AD1755" i="2"/>
  <c r="AD1757" i="2" s="1"/>
  <c r="AE1758" i="2" s="1"/>
  <c r="AD1764" i="2"/>
  <c r="AD1765" i="2"/>
  <c r="AD1767" i="2" s="1"/>
  <c r="AD1766" i="2" l="1"/>
  <c r="AD1768" i="2" s="1"/>
  <c r="AE1769" i="2" s="1"/>
  <c r="AD1784" i="2"/>
  <c r="AF1791" i="2"/>
  <c r="AD1785" i="2"/>
  <c r="AD1793" i="2"/>
  <c r="AD1775" i="2"/>
  <c r="AD1776" i="2"/>
  <c r="AD1778" i="2" s="1"/>
  <c r="AD1777" i="2" l="1"/>
  <c r="AD1779" i="2" s="1"/>
  <c r="AE1780" i="2" s="1"/>
  <c r="AD1795" i="2"/>
  <c r="AF1802" i="2"/>
  <c r="AD1796" i="2"/>
  <c r="AD1804" i="2"/>
  <c r="AD1786" i="2"/>
  <c r="AD1787" i="2"/>
  <c r="AD1789" i="2" s="1"/>
  <c r="AF1813" i="2" l="1"/>
  <c r="AD1807" i="2"/>
  <c r="AD1815" i="2"/>
  <c r="AD1806" i="2"/>
  <c r="AD1797" i="2"/>
  <c r="AD1798" i="2"/>
  <c r="AD1800" i="2" s="1"/>
  <c r="AD1788" i="2"/>
  <c r="AD1790" i="2" s="1"/>
  <c r="AE1791" i="2" s="1"/>
  <c r="AD1799" i="2" l="1"/>
  <c r="AD1801" i="2" s="1"/>
  <c r="AE1802" i="2" s="1"/>
  <c r="AD1818" i="2"/>
  <c r="AF1824" i="2"/>
  <c r="AD1817" i="2"/>
  <c r="AD1826" i="2"/>
  <c r="AD1808" i="2"/>
  <c r="AD1809" i="2"/>
  <c r="AD1811" i="2" s="1"/>
  <c r="AD1819" i="2" l="1"/>
  <c r="AD1820" i="2"/>
  <c r="AD1822" i="2" s="1"/>
  <c r="AF1835" i="2"/>
  <c r="AD1829" i="2"/>
  <c r="AD1837" i="2"/>
  <c r="AD1828" i="2"/>
  <c r="AD1810" i="2"/>
  <c r="AD1812" i="2" s="1"/>
  <c r="AE1813" i="2" s="1"/>
  <c r="AD1839" i="2" l="1"/>
  <c r="AF1846" i="2"/>
  <c r="AD1840" i="2"/>
  <c r="AD1848" i="2"/>
  <c r="AD1821" i="2"/>
  <c r="AD1823" i="2" s="1"/>
  <c r="AE1824" i="2" s="1"/>
  <c r="AD1830" i="2"/>
  <c r="AD1831" i="2"/>
  <c r="AD1833" i="2" s="1"/>
  <c r="AD1841" i="2" l="1"/>
  <c r="AD1843" i="2" s="1"/>
  <c r="AD1842" i="2"/>
  <c r="AD1844" i="2" s="1"/>
  <c r="AD1832" i="2"/>
  <c r="AD1834" i="2" s="1"/>
  <c r="AE1835" i="2" s="1"/>
  <c r="AD1850" i="2"/>
  <c r="AF1857" i="2"/>
  <c r="AD1851" i="2"/>
  <c r="AD1859" i="2"/>
  <c r="AD1845" i="2" l="1"/>
  <c r="AE1846" i="2" s="1"/>
  <c r="AD1852" i="2"/>
  <c r="AD1853" i="2"/>
  <c r="AD1855" i="2" s="1"/>
  <c r="AD1862" i="2"/>
  <c r="AD1861" i="2"/>
  <c r="AD1870" i="2"/>
  <c r="AF1868" i="2"/>
  <c r="AF1879" i="2" l="1"/>
  <c r="AD1873" i="2"/>
  <c r="AD1881" i="2"/>
  <c r="AD1872" i="2"/>
  <c r="AD1854" i="2"/>
  <c r="AD1856" i="2" s="1"/>
  <c r="AE1857" i="2" s="1"/>
  <c r="AD1863" i="2"/>
  <c r="AD1865" i="2" s="1"/>
  <c r="AD1864" i="2"/>
  <c r="AD1866" i="2" s="1"/>
  <c r="AF1890" i="2" l="1"/>
  <c r="AD1884" i="2"/>
  <c r="AD1892" i="2"/>
  <c r="AD1883" i="2"/>
  <c r="AD1874" i="2"/>
  <c r="AD1875" i="2"/>
  <c r="AD1877" i="2" s="1"/>
  <c r="AD1867" i="2"/>
  <c r="AE1868" i="2" s="1"/>
  <c r="AD1876" i="2" l="1"/>
  <c r="AD1878" i="2" s="1"/>
  <c r="AE1879" i="2" s="1"/>
  <c r="AD1903" i="2"/>
  <c r="AD1894" i="2"/>
  <c r="AF1901" i="2"/>
  <c r="AD1895" i="2"/>
  <c r="AD1885" i="2"/>
  <c r="AD1887" i="2" s="1"/>
  <c r="AD1886" i="2"/>
  <c r="AD1888" i="2" s="1"/>
  <c r="AD1905" i="2" l="1"/>
  <c r="AD1914" i="2"/>
  <c r="AF1912" i="2"/>
  <c r="AD1906" i="2"/>
  <c r="AD1896" i="2"/>
  <c r="AD1897" i="2"/>
  <c r="AD1899" i="2" s="1"/>
  <c r="AD1889" i="2"/>
  <c r="AE1890" i="2" s="1"/>
  <c r="AD1907" i="2" l="1"/>
  <c r="AD1908" i="2"/>
  <c r="AD1910" i="2" s="1"/>
  <c r="AD1898" i="2"/>
  <c r="AD1900" i="2" s="1"/>
  <c r="AE1901" i="2" s="1"/>
  <c r="AD1917" i="2"/>
  <c r="AD1925" i="2"/>
  <c r="AD1916" i="2"/>
  <c r="AF1923" i="2"/>
  <c r="AD1918" i="2" l="1"/>
  <c r="AD1919" i="2"/>
  <c r="AD1921" i="2" s="1"/>
  <c r="AD1909" i="2"/>
  <c r="AD1911" i="2" s="1"/>
  <c r="AE1912" i="2" s="1"/>
  <c r="AD1927" i="2"/>
  <c r="AF1934" i="2"/>
  <c r="AD1928" i="2"/>
  <c r="AD1936" i="2"/>
  <c r="AD1929" i="2" l="1"/>
  <c r="AD1930" i="2"/>
  <c r="AD1932" i="2" s="1"/>
  <c r="AD1920" i="2"/>
  <c r="AD1922" i="2" s="1"/>
  <c r="AE1923" i="2" s="1"/>
  <c r="AD1939" i="2"/>
  <c r="AD1947" i="2"/>
  <c r="AD1938" i="2"/>
  <c r="AF1945" i="2"/>
  <c r="AD1931" i="2" l="1"/>
  <c r="AD1933" i="2" s="1"/>
  <c r="AE1934" i="2" s="1"/>
  <c r="AD1950" i="2"/>
  <c r="AD1949" i="2"/>
  <c r="AD1958" i="2"/>
  <c r="AF1956" i="2"/>
  <c r="AD1940" i="2"/>
  <c r="AD1941" i="2"/>
  <c r="AD1943" i="2" s="1"/>
  <c r="AD1969" i="2" l="1"/>
  <c r="AD1960" i="2"/>
  <c r="AF1967" i="2"/>
  <c r="AD1961" i="2"/>
  <c r="AD1942" i="2"/>
  <c r="AD1944" i="2" s="1"/>
  <c r="AE1945" i="2" s="1"/>
  <c r="AD1951" i="2"/>
  <c r="AD1953" i="2" s="1"/>
  <c r="AD1952" i="2"/>
  <c r="AD1954" i="2" s="1"/>
  <c r="AD1971" i="2" l="1"/>
  <c r="AF1978" i="2"/>
  <c r="AD1972" i="2"/>
  <c r="AD1980" i="2"/>
  <c r="AD1962" i="2"/>
  <c r="AD1964" i="2" s="1"/>
  <c r="AD1963" i="2"/>
  <c r="AD1965" i="2" s="1"/>
  <c r="AD1955" i="2"/>
  <c r="AE1956" i="2" s="1"/>
  <c r="AD1966" i="2" l="1"/>
  <c r="AE1967" i="2" s="1"/>
  <c r="AD1973" i="2"/>
  <c r="AD1974" i="2"/>
  <c r="AD1976" i="2" s="1"/>
  <c r="AF1989" i="2"/>
  <c r="AD1983" i="2"/>
  <c r="AD1991" i="2"/>
  <c r="AD1982" i="2"/>
  <c r="AD1994" i="2" l="1"/>
  <c r="AD1993" i="2"/>
  <c r="AD2002" i="2"/>
  <c r="AF2000" i="2"/>
  <c r="AD1975" i="2"/>
  <c r="AD1977" i="2" s="1"/>
  <c r="AE1978" i="2" s="1"/>
  <c r="AD1984" i="2"/>
  <c r="AD1985" i="2"/>
  <c r="AD1987" i="2" s="1"/>
  <c r="AD1995" i="2" l="1"/>
  <c r="AD1997" i="2" s="1"/>
  <c r="AD1996" i="2"/>
  <c r="AD1998" i="2" s="1"/>
  <c r="AD2013" i="2"/>
  <c r="AD2004" i="2"/>
  <c r="AF2011" i="2"/>
  <c r="AD2005" i="2"/>
  <c r="AD1986" i="2"/>
  <c r="AD1988" i="2" s="1"/>
  <c r="AE1989" i="2" s="1"/>
  <c r="AD1999" i="2" l="1"/>
  <c r="AE2000" i="2" s="1"/>
  <c r="AD2024" i="2"/>
  <c r="AD2015" i="2"/>
  <c r="AF2022" i="2"/>
  <c r="AD2016" i="2"/>
  <c r="AD2006" i="2"/>
  <c r="AD2007" i="2"/>
  <c r="AD2009" i="2" s="1"/>
  <c r="AD2027" i="2" l="1"/>
  <c r="AD2035" i="2"/>
  <c r="AD2026" i="2"/>
  <c r="AF2033" i="2"/>
  <c r="AD2008" i="2"/>
  <c r="AD2010" i="2" s="1"/>
  <c r="AE2011" i="2" s="1"/>
  <c r="AD2017" i="2"/>
  <c r="AD2019" i="2" s="1"/>
  <c r="AD2018" i="2"/>
  <c r="AD2020" i="2" s="1"/>
  <c r="AD2046" i="2" l="1"/>
  <c r="AD2037" i="2"/>
  <c r="AF2044" i="2"/>
  <c r="AD2038" i="2"/>
  <c r="AD2028" i="2"/>
  <c r="AD2030" i="2" s="1"/>
  <c r="AD2029" i="2"/>
  <c r="AD2031" i="2" s="1"/>
  <c r="AD2021" i="2"/>
  <c r="AE2022" i="2" s="1"/>
  <c r="AD2032" i="2" l="1"/>
  <c r="AE2033" i="2" s="1"/>
  <c r="AD2057" i="2"/>
  <c r="AD2048" i="2"/>
  <c r="AF2055" i="2"/>
  <c r="AD2049" i="2"/>
  <c r="AD2039" i="2"/>
  <c r="AD2041" i="2" s="1"/>
  <c r="AD2040" i="2"/>
  <c r="AD2042" i="2" s="1"/>
  <c r="AD2043" i="2" l="1"/>
  <c r="AE2044" i="2" s="1"/>
  <c r="AD2059" i="2"/>
  <c r="AF2066" i="2"/>
  <c r="AD2060" i="2"/>
  <c r="AD2068" i="2"/>
  <c r="AD2050" i="2"/>
  <c r="AD2051" i="2"/>
  <c r="AD2053" i="2" s="1"/>
  <c r="AD2061" i="2" l="1"/>
  <c r="AD2063" i="2" s="1"/>
  <c r="AD2062" i="2"/>
  <c r="AD2064" i="2" s="1"/>
  <c r="AD2052" i="2"/>
  <c r="AD2054" i="2" s="1"/>
  <c r="AE2055" i="2" s="1"/>
  <c r="AD2071" i="2"/>
  <c r="AD2079" i="2"/>
  <c r="AD2070" i="2"/>
  <c r="AF2077" i="2"/>
  <c r="AD2065" i="2" l="1"/>
  <c r="AE2066" i="2" s="1"/>
  <c r="AD2082" i="2"/>
  <c r="AF2088" i="2"/>
  <c r="AD2081" i="2"/>
  <c r="AD2090" i="2"/>
  <c r="AD2072" i="2"/>
  <c r="AD2073" i="2"/>
  <c r="AD2075" i="2" s="1"/>
  <c r="AD2074" i="2" l="1"/>
  <c r="AD2076" i="2" s="1"/>
  <c r="AE2077" i="2" s="1"/>
  <c r="AD2083" i="2"/>
  <c r="AD2084" i="2"/>
  <c r="AD2086" i="2" s="1"/>
  <c r="AD2092" i="2"/>
  <c r="AF2099" i="2"/>
  <c r="AD2093" i="2"/>
  <c r="AD2101" i="2"/>
  <c r="AD2094" i="2" l="1"/>
  <c r="AD2095" i="2"/>
  <c r="AD2097" i="2" s="1"/>
  <c r="AD2085" i="2"/>
  <c r="AD2087" i="2" s="1"/>
  <c r="AE2088" i="2" s="1"/>
  <c r="AF2110" i="2"/>
  <c r="AD2104" i="2"/>
  <c r="AD2112" i="2"/>
  <c r="AD2103" i="2"/>
  <c r="AD2096" i="2" l="1"/>
  <c r="AD2098" i="2" s="1"/>
  <c r="AE2099" i="2" s="1"/>
  <c r="AF2121" i="2"/>
  <c r="AD2115" i="2"/>
  <c r="AD2123" i="2"/>
  <c r="AD2114" i="2"/>
  <c r="AD2105" i="2"/>
  <c r="AD2107" i="2" s="1"/>
  <c r="AD2106" i="2"/>
  <c r="AD2108" i="2" s="1"/>
  <c r="AF2132" i="2" l="1"/>
  <c r="AD2126" i="2"/>
  <c r="AD2125" i="2"/>
  <c r="AD2134" i="2"/>
  <c r="AD2116" i="2"/>
  <c r="AD2117" i="2"/>
  <c r="AD2119" i="2" s="1"/>
  <c r="AD2109" i="2"/>
  <c r="AE2110" i="2" s="1"/>
  <c r="AD2118" i="2" l="1"/>
  <c r="AD2120" i="2" s="1"/>
  <c r="AE2121" i="2" s="1"/>
  <c r="AD2127" i="2"/>
  <c r="AD2129" i="2" s="1"/>
  <c r="AD2128" i="2"/>
  <c r="AD2130" i="2" s="1"/>
  <c r="AD2145" i="2"/>
  <c r="AD2136" i="2"/>
  <c r="AF2143" i="2"/>
  <c r="AD2137" i="2"/>
  <c r="AD2131" i="2" l="1"/>
  <c r="AE2132" i="2" s="1"/>
  <c r="AD2147" i="2"/>
  <c r="AF2154" i="2"/>
  <c r="AD2148" i="2"/>
  <c r="AD2156" i="2"/>
  <c r="AD2138" i="2"/>
  <c r="AD2139" i="2"/>
  <c r="AD2141" i="2" s="1"/>
  <c r="AD2149" i="2" l="1"/>
  <c r="AD2150" i="2"/>
  <c r="AD2152" i="2" s="1"/>
  <c r="AD2140" i="2"/>
  <c r="AD2142" i="2" s="1"/>
  <c r="AE2143" i="2" s="1"/>
  <c r="AF2165" i="2"/>
  <c r="AD2159" i="2"/>
  <c r="AD2167" i="2"/>
  <c r="AD2158" i="2"/>
  <c r="AD2151" i="2" l="1"/>
  <c r="AD2153" i="2" s="1"/>
  <c r="AE2154" i="2" s="1"/>
  <c r="AD2170" i="2"/>
  <c r="AF2176" i="2"/>
  <c r="AD2169" i="2"/>
  <c r="AD2178" i="2"/>
  <c r="AD2160" i="2"/>
  <c r="AD2161" i="2"/>
  <c r="AD2163" i="2" s="1"/>
  <c r="AD2171" i="2" l="1"/>
  <c r="AD2172" i="2"/>
  <c r="AD2174" i="2" s="1"/>
  <c r="AD2180" i="2"/>
  <c r="AF2187" i="2"/>
  <c r="AD2181" i="2"/>
  <c r="AD2189" i="2"/>
  <c r="AD2162" i="2"/>
  <c r="AD2164" i="2" s="1"/>
  <c r="AE2165" i="2" s="1"/>
  <c r="AD2173" i="2" l="1"/>
  <c r="AD2175" i="2" s="1"/>
  <c r="AE2176" i="2" s="1"/>
  <c r="AD2191" i="2"/>
  <c r="AF2198" i="2"/>
  <c r="AD2192" i="2"/>
  <c r="AD2200" i="2"/>
  <c r="AD2182" i="2"/>
  <c r="AD2183" i="2"/>
  <c r="AD2185" i="2" s="1"/>
  <c r="AD2202" i="2" l="1"/>
  <c r="AF2209" i="2"/>
  <c r="AD2203" i="2"/>
  <c r="AD2211" i="2"/>
  <c r="AD2193" i="2"/>
  <c r="AD2194" i="2"/>
  <c r="AD2196" i="2" s="1"/>
  <c r="AD2184" i="2"/>
  <c r="AD2186" i="2" s="1"/>
  <c r="AE2187" i="2" s="1"/>
  <c r="AD2204" i="2" l="1"/>
  <c r="AD2205" i="2"/>
  <c r="AD2207" i="2" s="1"/>
  <c r="AD2195" i="2"/>
  <c r="AD2197" i="2" s="1"/>
  <c r="AE2198" i="2" s="1"/>
  <c r="AF2220" i="2"/>
  <c r="AD2214" i="2"/>
  <c r="AD2213" i="2"/>
  <c r="AD2222" i="2"/>
  <c r="AD2206" i="2" l="1"/>
  <c r="AD2208" i="2" s="1"/>
  <c r="AE2209" i="2" s="1"/>
  <c r="AD2215" i="2"/>
  <c r="AD2216" i="2"/>
  <c r="AD2218" i="2" s="1"/>
  <c r="AD2233" i="2"/>
  <c r="AD2224" i="2"/>
  <c r="AF2231" i="2"/>
  <c r="AD2225" i="2"/>
  <c r="AF2242" i="2" l="1"/>
  <c r="AD2236" i="2"/>
  <c r="AD2244" i="2"/>
  <c r="AD2235" i="2"/>
  <c r="AD2226" i="2"/>
  <c r="AD2227" i="2"/>
  <c r="AD2229" i="2" s="1"/>
  <c r="AD2217" i="2"/>
  <c r="AD2219" i="2" s="1"/>
  <c r="AE2220" i="2" s="1"/>
  <c r="AD2228" i="2" l="1"/>
  <c r="AD2230" i="2" s="1"/>
  <c r="AE2231" i="2" s="1"/>
  <c r="AF2253" i="2"/>
  <c r="AD2247" i="2"/>
  <c r="AD2255" i="2"/>
  <c r="AD2246" i="2"/>
  <c r="AD2237" i="2"/>
  <c r="AD2239" i="2" s="1"/>
  <c r="AD2238" i="2"/>
  <c r="AD2240" i="2" s="1"/>
  <c r="AD2258" i="2" l="1"/>
  <c r="AD2257" i="2"/>
  <c r="AD2266" i="2"/>
  <c r="AF2264" i="2"/>
  <c r="AD2248" i="2"/>
  <c r="AD2249" i="2"/>
  <c r="AD2251" i="2" s="1"/>
  <c r="AD2241" i="2"/>
  <c r="AE2242" i="2" s="1"/>
  <c r="AD2250" i="2" l="1"/>
  <c r="AD2252" i="2" s="1"/>
  <c r="AE2253" i="2" s="1"/>
  <c r="AD2259" i="2"/>
  <c r="AD2260" i="2"/>
  <c r="AD2262" i="2" s="1"/>
  <c r="AF2275" i="2"/>
  <c r="AD2269" i="2"/>
  <c r="AD2277" i="2"/>
  <c r="AD2268" i="2"/>
  <c r="AF2286" i="2" l="1"/>
  <c r="AD2280" i="2"/>
  <c r="AD2288" i="2"/>
  <c r="AD2279" i="2"/>
  <c r="AD2261" i="2"/>
  <c r="AD2263" i="2" s="1"/>
  <c r="AE2264" i="2" s="1"/>
  <c r="AD2270" i="2"/>
  <c r="AD2271" i="2"/>
  <c r="AD2273" i="2" s="1"/>
  <c r="AD2290" i="2" l="1"/>
  <c r="AF2297" i="2"/>
  <c r="AD2291" i="2"/>
  <c r="AD2299" i="2"/>
  <c r="AD2272" i="2"/>
  <c r="AD2274" i="2" s="1"/>
  <c r="AE2275" i="2" s="1"/>
  <c r="AD2281" i="2"/>
  <c r="AD2282" i="2"/>
  <c r="AD2284" i="2" s="1"/>
  <c r="AD2292" i="2" l="1"/>
  <c r="AD2293" i="2"/>
  <c r="AD2295" i="2" s="1"/>
  <c r="AD2283" i="2"/>
  <c r="AD2285" i="2" s="1"/>
  <c r="AE2286" i="2" s="1"/>
  <c r="AD2310" i="2"/>
  <c r="AD2301" i="2"/>
  <c r="AF2308" i="2"/>
  <c r="AD2302" i="2"/>
  <c r="AD2312" i="2" l="1"/>
  <c r="AF2319" i="2"/>
  <c r="AD2313" i="2"/>
  <c r="AD2321" i="2"/>
  <c r="AD2294" i="2"/>
  <c r="AD2296" i="2" s="1"/>
  <c r="AE2297" i="2" s="1"/>
  <c r="AD2303" i="2"/>
  <c r="AD2304" i="2"/>
  <c r="AD2306" i="2" s="1"/>
  <c r="AD2314" i="2" l="1"/>
  <c r="AD2316" i="2" s="1"/>
  <c r="AD2315" i="2"/>
  <c r="AD2317" i="2" s="1"/>
  <c r="AD2305" i="2"/>
  <c r="AD2307" i="2" s="1"/>
  <c r="AE2308" i="2" s="1"/>
  <c r="AF2330" i="2"/>
  <c r="AD2324" i="2"/>
  <c r="AD2332" i="2"/>
  <c r="AD2323" i="2"/>
  <c r="AD2318" i="2" l="1"/>
  <c r="AE2319" i="2" s="1"/>
  <c r="AD2334" i="2"/>
  <c r="AF2341" i="2"/>
  <c r="AD2335" i="2"/>
  <c r="AD2343" i="2"/>
  <c r="AD2325" i="2"/>
  <c r="AD2326" i="2"/>
  <c r="AD2328" i="2" s="1"/>
  <c r="AD2336" i="2" l="1"/>
  <c r="AD2337" i="2"/>
  <c r="AD2339" i="2" s="1"/>
  <c r="AD2327" i="2"/>
  <c r="AD2329" i="2" s="1"/>
  <c r="AE2330" i="2" s="1"/>
  <c r="AD2354" i="2"/>
  <c r="AD2346" i="2"/>
  <c r="AF2352" i="2"/>
  <c r="AD2345" i="2"/>
  <c r="AD2356" i="2" l="1"/>
  <c r="AF2363" i="2"/>
  <c r="AD2357" i="2"/>
  <c r="AD2365" i="2"/>
  <c r="AD2338" i="2"/>
  <c r="AD2340" i="2" s="1"/>
  <c r="AE2341" i="2" s="1"/>
  <c r="AD2347" i="2"/>
  <c r="AD2348" i="2"/>
  <c r="AD2350" i="2" s="1"/>
  <c r="AD2358" i="2" l="1"/>
  <c r="AD2360" i="2" s="1"/>
  <c r="AD2359" i="2"/>
  <c r="AD2361" i="2" s="1"/>
  <c r="AD2349" i="2"/>
  <c r="AD2351" i="2" s="1"/>
  <c r="AE2352" i="2" s="1"/>
  <c r="AD2367" i="2"/>
  <c r="AF2374" i="2"/>
  <c r="AD2368" i="2"/>
  <c r="AD2376" i="2"/>
  <c r="AD2362" i="2" l="1"/>
  <c r="AE2363" i="2" s="1"/>
  <c r="AD2369" i="2"/>
  <c r="AD2370" i="2"/>
  <c r="AD2372" i="2" s="1"/>
  <c r="AD2387" i="2"/>
  <c r="AD2378" i="2"/>
  <c r="AF2385" i="2"/>
  <c r="AD2379" i="2"/>
  <c r="AD2371" i="2" l="1"/>
  <c r="AD2373" i="2" s="1"/>
  <c r="AE2374" i="2" s="1"/>
  <c r="AD2390" i="2"/>
  <c r="AD2389" i="2"/>
  <c r="AD2398" i="2"/>
  <c r="AF2396" i="2"/>
  <c r="AD2380" i="2"/>
  <c r="AD2382" i="2" s="1"/>
  <c r="AD2381" i="2"/>
  <c r="AD2383" i="2" s="1"/>
  <c r="AD2401" i="2" l="1"/>
  <c r="AD2409" i="2"/>
  <c r="AD2400" i="2"/>
  <c r="AF2407" i="2"/>
  <c r="AD2391" i="2"/>
  <c r="AD2393" i="2" s="1"/>
  <c r="AD2392" i="2"/>
  <c r="AD2394" i="2" s="1"/>
  <c r="AD2384" i="2"/>
  <c r="AE2385" i="2" s="1"/>
  <c r="AD2395" i="2" l="1"/>
  <c r="AE2396" i="2" s="1"/>
  <c r="AD2420" i="2"/>
  <c r="AD2411" i="2"/>
  <c r="AF2418" i="2"/>
  <c r="AD2412" i="2"/>
  <c r="AD2402" i="2"/>
  <c r="AD2403" i="2"/>
  <c r="AD2405" i="2" s="1"/>
  <c r="AD2431" i="2" l="1"/>
  <c r="AD2422" i="2"/>
  <c r="AF2429" i="2"/>
  <c r="AD2423" i="2"/>
  <c r="AD2404" i="2"/>
  <c r="AD2406" i="2" s="1"/>
  <c r="AE2407" i="2" s="1"/>
  <c r="AD2413" i="2"/>
  <c r="AD2414" i="2"/>
  <c r="AD2416" i="2" s="1"/>
  <c r="AD2433" i="2" l="1"/>
  <c r="AD2442" i="2"/>
  <c r="AF2440" i="2"/>
  <c r="AD2434" i="2"/>
  <c r="AD2424" i="2"/>
  <c r="AD2425" i="2"/>
  <c r="AD2427" i="2" s="1"/>
  <c r="AD2415" i="2"/>
  <c r="AD2417" i="2" s="1"/>
  <c r="AE2418" i="2" s="1"/>
  <c r="AD2435" i="2" l="1"/>
  <c r="AD2436" i="2"/>
  <c r="AD2438" i="2" s="1"/>
  <c r="AD2426" i="2"/>
  <c r="AD2428" i="2" s="1"/>
  <c r="AE2429" i="2" s="1"/>
  <c r="AD2445" i="2"/>
  <c r="AD2453" i="2"/>
  <c r="AD2444" i="2"/>
  <c r="AF2451" i="2"/>
  <c r="AD2437" i="2" l="1"/>
  <c r="AD2439" i="2" s="1"/>
  <c r="AE2440" i="2" s="1"/>
  <c r="AD2464" i="2"/>
  <c r="AD2455" i="2"/>
  <c r="AF2462" i="2"/>
  <c r="AD2456" i="2"/>
  <c r="AD2446" i="2"/>
  <c r="AD2447" i="2"/>
  <c r="AD2449" i="2" s="1"/>
  <c r="AD2475" i="2" l="1"/>
  <c r="AD2466" i="2"/>
  <c r="AF2473" i="2"/>
  <c r="AD2467" i="2"/>
  <c r="AD2448" i="2"/>
  <c r="AD2450" i="2" s="1"/>
  <c r="AE2451" i="2" s="1"/>
  <c r="AD2457" i="2"/>
  <c r="AD2458" i="2"/>
  <c r="AD2460" i="2" s="1"/>
  <c r="AD2477" i="2" l="1"/>
  <c r="AD2486" i="2"/>
  <c r="AF2484" i="2"/>
  <c r="AD2478" i="2"/>
  <c r="AD2468" i="2"/>
  <c r="AD2469" i="2"/>
  <c r="AD2471" i="2" s="1"/>
  <c r="AD2459" i="2"/>
  <c r="AD2461" i="2" s="1"/>
  <c r="AE2462" i="2" s="1"/>
  <c r="AD2479" i="2" l="1"/>
  <c r="AD2480" i="2"/>
  <c r="AD2482" i="2" s="1"/>
  <c r="AD2470" i="2"/>
  <c r="AD2472" i="2" s="1"/>
  <c r="AE2473" i="2" s="1"/>
  <c r="AD2488" i="2"/>
  <c r="AF2495" i="2"/>
  <c r="AD2489" i="2"/>
  <c r="AD2497" i="2"/>
  <c r="AD2490" i="2" l="1"/>
  <c r="AD2491" i="2"/>
  <c r="AD2493" i="2" s="1"/>
  <c r="AD2481" i="2"/>
  <c r="AD2483" i="2" s="1"/>
  <c r="AE2484" i="2" s="1"/>
  <c r="AF2506" i="2"/>
  <c r="AD2500" i="2"/>
  <c r="AD2508" i="2"/>
  <c r="AD2499" i="2"/>
  <c r="AD2501" i="2" l="1"/>
  <c r="AD2503" i="2" s="1"/>
  <c r="AD2502" i="2"/>
  <c r="AD2504" i="2" s="1"/>
  <c r="AD2492" i="2"/>
  <c r="AD2494" i="2" s="1"/>
  <c r="AE2495" i="2" s="1"/>
  <c r="AF2517" i="2"/>
  <c r="AD2511" i="2"/>
  <c r="AD2519" i="2"/>
  <c r="AD2510" i="2"/>
  <c r="AD2505" i="2" l="1"/>
  <c r="AE2506" i="2" s="1"/>
  <c r="AD2521" i="2"/>
  <c r="AD2530" i="2"/>
  <c r="AF2528" i="2"/>
  <c r="AD2522" i="2"/>
  <c r="AD2512" i="2"/>
  <c r="AD2513" i="2"/>
  <c r="AD2515" i="2" s="1"/>
  <c r="AD2523" i="2" l="1"/>
  <c r="AD2524" i="2"/>
  <c r="AD2526" i="2" s="1"/>
  <c r="AD2514" i="2"/>
  <c r="AD2516" i="2" s="1"/>
  <c r="AE2517" i="2" s="1"/>
  <c r="AD2541" i="2"/>
  <c r="AD2532" i="2"/>
  <c r="AF2539" i="2"/>
  <c r="AD2533" i="2"/>
  <c r="AD2543" i="2" l="1"/>
  <c r="AF2550" i="2"/>
  <c r="AD2544" i="2"/>
  <c r="AD2552" i="2"/>
  <c r="AD2525" i="2"/>
  <c r="AD2527" i="2" s="1"/>
  <c r="AE2528" i="2" s="1"/>
  <c r="AD2534" i="2"/>
  <c r="AD2535" i="2"/>
  <c r="AD2537" i="2" s="1"/>
  <c r="AD2545" i="2" l="1"/>
  <c r="AD2546" i="2"/>
  <c r="AD2548" i="2" s="1"/>
  <c r="AD2536" i="2"/>
  <c r="AD2538" i="2" s="1"/>
  <c r="AE2539" i="2" s="1"/>
  <c r="AD2563" i="2"/>
  <c r="AF2561" i="2"/>
  <c r="AD2555" i="2"/>
  <c r="AD2554" i="2"/>
  <c r="AD2574" i="2" l="1"/>
  <c r="AF2572" i="2"/>
  <c r="AD2566" i="2"/>
  <c r="AD2565" i="2"/>
  <c r="AD2547" i="2"/>
  <c r="AD2549" i="2" s="1"/>
  <c r="AE2550" i="2" s="1"/>
  <c r="AD2556" i="2"/>
  <c r="AD2557" i="2"/>
  <c r="AD2559" i="2" s="1"/>
  <c r="AD2585" i="2" l="1"/>
  <c r="AD2576" i="2"/>
  <c r="AF2583" i="2"/>
  <c r="AD2577" i="2"/>
  <c r="AD2558" i="2"/>
  <c r="AD2560" i="2" s="1"/>
  <c r="AE2561" i="2" s="1"/>
  <c r="AD2567" i="2"/>
  <c r="AD2568" i="2"/>
  <c r="AD2570" i="2" s="1"/>
  <c r="AD2596" i="2" l="1"/>
  <c r="AD2587" i="2"/>
  <c r="AF2594" i="2"/>
  <c r="AD2588" i="2"/>
  <c r="AD2578" i="2"/>
  <c r="AD2579" i="2"/>
  <c r="AD2581" i="2" s="1"/>
  <c r="AD2569" i="2"/>
  <c r="AD2571" i="2" s="1"/>
  <c r="AE2572" i="2" s="1"/>
  <c r="AD2607" i="2" l="1"/>
  <c r="AD2598" i="2"/>
  <c r="AF2605" i="2"/>
  <c r="AD2599" i="2"/>
  <c r="AD2580" i="2"/>
  <c r="AD2582" i="2" s="1"/>
  <c r="AE2583" i="2" s="1"/>
  <c r="AD2589" i="2"/>
  <c r="AD2590" i="2"/>
  <c r="AD2592" i="2" s="1"/>
  <c r="AD2610" i="2" l="1"/>
  <c r="AD2609" i="2"/>
  <c r="AD2618" i="2"/>
  <c r="AF2616" i="2"/>
  <c r="AD2600" i="2"/>
  <c r="AD2601" i="2"/>
  <c r="AD2603" i="2" s="1"/>
  <c r="AD2591" i="2"/>
  <c r="AD2593" i="2" s="1"/>
  <c r="AE2594" i="2" s="1"/>
  <c r="AD2602" i="2" l="1"/>
  <c r="AD2604" i="2" s="1"/>
  <c r="AE2605" i="2" s="1"/>
  <c r="AD2629" i="2"/>
  <c r="AD2620" i="2"/>
  <c r="AF2627" i="2"/>
  <c r="AD2621" i="2"/>
  <c r="AD2611" i="2"/>
  <c r="AD2613" i="2" s="1"/>
  <c r="AD2612" i="2"/>
  <c r="AD2614" i="2" s="1"/>
  <c r="AD2631" i="2" l="1"/>
  <c r="AF2638" i="2"/>
  <c r="AD2632" i="2"/>
  <c r="AD2640" i="2"/>
  <c r="AD2622" i="2"/>
  <c r="AD2623" i="2"/>
  <c r="AD2625" i="2" s="1"/>
  <c r="AD2615" i="2"/>
  <c r="AE2616" i="2" s="1"/>
  <c r="AD2633" i="2" l="1"/>
  <c r="AD2634" i="2"/>
  <c r="AD2636" i="2" s="1"/>
  <c r="AD2624" i="2"/>
  <c r="AD2626" i="2" s="1"/>
  <c r="AE2627" i="2" s="1"/>
  <c r="AD2642" i="2"/>
  <c r="AF2649" i="2"/>
  <c r="AD2643" i="2"/>
  <c r="AD2651" i="2"/>
  <c r="AD2644" i="2" l="1"/>
  <c r="AD2646" i="2" s="1"/>
  <c r="AD2645" i="2"/>
  <c r="AD2647" i="2" s="1"/>
  <c r="AD2635" i="2"/>
  <c r="AD2637" i="2" s="1"/>
  <c r="AE2638" i="2" s="1"/>
  <c r="AD2654" i="2"/>
  <c r="AD2653" i="2"/>
  <c r="AD2662" i="2"/>
  <c r="AF2660" i="2"/>
  <c r="AD2648" i="2" l="1"/>
  <c r="AE2649" i="2" s="1"/>
  <c r="AD2665" i="2"/>
  <c r="AD2673" i="2"/>
  <c r="AD2664" i="2"/>
  <c r="AF2671" i="2"/>
  <c r="AD2655" i="2"/>
  <c r="AD2656" i="2"/>
  <c r="AD2658" i="2" s="1"/>
  <c r="AD2666" i="2" l="1"/>
  <c r="AD2667" i="2"/>
  <c r="AD2669" i="2" s="1"/>
  <c r="AD2657" i="2"/>
  <c r="AD2659" i="2" s="1"/>
  <c r="AE2660" i="2" s="1"/>
  <c r="AD2675" i="2"/>
  <c r="AF2682" i="2"/>
  <c r="AD2676" i="2"/>
  <c r="AD2684" i="2"/>
  <c r="AD2677" i="2" l="1"/>
  <c r="AD2678" i="2"/>
  <c r="AD2680" i="2" s="1"/>
  <c r="AD2668" i="2"/>
  <c r="AD2670" i="2" s="1"/>
  <c r="AE2671" i="2" s="1"/>
  <c r="AD2686" i="2"/>
  <c r="AF2693" i="2"/>
  <c r="AD2687" i="2"/>
  <c r="AD2695" i="2"/>
  <c r="AD2688" i="2" l="1"/>
  <c r="AD2690" i="2" s="1"/>
  <c r="AD2689" i="2"/>
  <c r="AD2691" i="2" s="1"/>
  <c r="AD2679" i="2"/>
  <c r="AD2681" i="2" s="1"/>
  <c r="AE2682" i="2" s="1"/>
  <c r="AF2704" i="2"/>
  <c r="AD2697" i="2"/>
  <c r="AD2698" i="2"/>
  <c r="AD2706" i="2"/>
  <c r="AD2692" i="2" l="1"/>
  <c r="AE2693" i="2" s="1"/>
  <c r="AD2699" i="2"/>
  <c r="AD2700" i="2"/>
  <c r="AD2702" i="2" s="1"/>
  <c r="AD2709" i="2"/>
  <c r="AF2715" i="2"/>
  <c r="AD2717" i="2"/>
  <c r="AD2708" i="2"/>
  <c r="AD2719" i="2" l="1"/>
  <c r="AD2720" i="2"/>
  <c r="AD2728" i="2"/>
  <c r="AF2726" i="2"/>
  <c r="AD2701" i="2"/>
  <c r="AD2703" i="2" s="1"/>
  <c r="AE2704" i="2" s="1"/>
  <c r="AD2710" i="2"/>
  <c r="AD2711" i="2"/>
  <c r="AD2713" i="2" s="1"/>
  <c r="AD2730" i="2" l="1"/>
  <c r="AD2739" i="2"/>
  <c r="AF2737" i="2"/>
  <c r="AD2731" i="2"/>
  <c r="AD2721" i="2"/>
  <c r="AD2723" i="2" s="1"/>
  <c r="AD2722" i="2"/>
  <c r="AD2724" i="2" s="1"/>
  <c r="AD2712" i="2"/>
  <c r="AD2714" i="2" s="1"/>
  <c r="AE2715" i="2" s="1"/>
  <c r="AD2725" i="2" l="1"/>
  <c r="AE2726" i="2" s="1"/>
  <c r="AD2732" i="2"/>
  <c r="AD2733" i="2"/>
  <c r="AD2735" i="2" s="1"/>
  <c r="AD2742" i="2"/>
  <c r="AF2748" i="2"/>
  <c r="AD2750" i="2"/>
  <c r="AD2741" i="2"/>
  <c r="AD2761" i="2" l="1"/>
  <c r="AF2759" i="2"/>
  <c r="AD2753" i="2"/>
  <c r="AD2752" i="2"/>
  <c r="AD2734" i="2"/>
  <c r="AD2736" i="2" s="1"/>
  <c r="AE2737" i="2" s="1"/>
  <c r="AD2743" i="2"/>
  <c r="AD2745" i="2" s="1"/>
  <c r="AD2744" i="2"/>
  <c r="AD2746" i="2" s="1"/>
  <c r="AD2764" i="2" l="1"/>
  <c r="AD2772" i="2"/>
  <c r="AD2763" i="2"/>
  <c r="AF2770" i="2"/>
  <c r="AD2754" i="2"/>
  <c r="AD2756" i="2" s="1"/>
  <c r="AD2755" i="2"/>
  <c r="AD2757" i="2" s="1"/>
  <c r="AD2747" i="2"/>
  <c r="AE2748" i="2" s="1"/>
  <c r="AD2758" i="2" l="1"/>
  <c r="AE2759" i="2" s="1"/>
  <c r="AD2765" i="2"/>
  <c r="AD2766" i="2"/>
  <c r="AD2768" i="2" s="1"/>
  <c r="AD2775" i="2"/>
  <c r="AD2774" i="2"/>
  <c r="AD2783" i="2"/>
  <c r="AF2781" i="2"/>
  <c r="AD2794" i="2" l="1"/>
  <c r="AD2785" i="2"/>
  <c r="AF2792" i="2"/>
  <c r="AD2786" i="2"/>
  <c r="AD2767" i="2"/>
  <c r="AD2769" i="2" s="1"/>
  <c r="AE2770" i="2" s="1"/>
  <c r="AD2776" i="2"/>
  <c r="AD2777" i="2"/>
  <c r="AD2779" i="2" s="1"/>
  <c r="AD2797" i="2" l="1"/>
  <c r="AD2796" i="2"/>
  <c r="AD2805" i="2"/>
  <c r="AF2803" i="2"/>
  <c r="AD2787" i="2"/>
  <c r="AD2788" i="2"/>
  <c r="AD2790" i="2" s="1"/>
  <c r="AD2778" i="2"/>
  <c r="AD2780" i="2" s="1"/>
  <c r="AE2781" i="2" s="1"/>
  <c r="AD2789" i="2" l="1"/>
  <c r="AD2791" i="2" s="1"/>
  <c r="AE2792" i="2" s="1"/>
  <c r="AF2814" i="2"/>
  <c r="AD2807" i="2"/>
  <c r="AD2808" i="2"/>
  <c r="AD2816" i="2"/>
  <c r="AD2798" i="2"/>
  <c r="AD2799" i="2"/>
  <c r="AD2801" i="2" s="1"/>
  <c r="AD2818" i="2" l="1"/>
  <c r="AD2827" i="2"/>
  <c r="AF2825" i="2"/>
  <c r="AD2819" i="2"/>
  <c r="AD2800" i="2"/>
  <c r="AD2802" i="2" s="1"/>
  <c r="AE2803" i="2" s="1"/>
  <c r="AD2809" i="2"/>
  <c r="AD2810" i="2"/>
  <c r="AD2812" i="2" s="1"/>
  <c r="AD2829" i="2" l="1"/>
  <c r="AD2830" i="2"/>
  <c r="AD2838" i="2"/>
  <c r="AF2836" i="2"/>
  <c r="AD2820" i="2"/>
  <c r="AD2821" i="2"/>
  <c r="AD2823" i="2" s="1"/>
  <c r="AD2811" i="2"/>
  <c r="AD2813" i="2" s="1"/>
  <c r="AE2814" i="2" s="1"/>
  <c r="AD2831" i="2" l="1"/>
  <c r="AD2832" i="2"/>
  <c r="AD2834" i="2" s="1"/>
  <c r="AD2849" i="2"/>
  <c r="AD2840" i="2"/>
  <c r="AF2847" i="2"/>
  <c r="AD2841" i="2"/>
  <c r="AD2822" i="2"/>
  <c r="AD2824" i="2" s="1"/>
  <c r="AE2825" i="2" s="1"/>
  <c r="AF2858" i="2" l="1"/>
  <c r="AD2852" i="2"/>
  <c r="AD2860" i="2"/>
  <c r="AD2851" i="2"/>
  <c r="AD2833" i="2"/>
  <c r="AD2835" i="2" s="1"/>
  <c r="AE2836" i="2" s="1"/>
  <c r="AD2842" i="2"/>
  <c r="AD2843" i="2"/>
  <c r="AD2845" i="2" s="1"/>
  <c r="AD2862" i="2" l="1"/>
  <c r="AD2871" i="2"/>
  <c r="AF2869" i="2"/>
  <c r="AD2863" i="2"/>
  <c r="AD2844" i="2"/>
  <c r="AD2846" i="2" s="1"/>
  <c r="AE2847" i="2" s="1"/>
  <c r="AD2853" i="2"/>
  <c r="AD2854" i="2"/>
  <c r="AD2856" i="2" s="1"/>
  <c r="AD2864" i="2" l="1"/>
  <c r="AD2865" i="2"/>
  <c r="AD2867" i="2" s="1"/>
  <c r="AF2880" i="2"/>
  <c r="AD2874" i="2"/>
  <c r="AD2882" i="2"/>
  <c r="AD2873" i="2"/>
  <c r="AD2855" i="2"/>
  <c r="AD2857" i="2" s="1"/>
  <c r="AE2858" i="2" s="1"/>
  <c r="AD2884" i="2" l="1"/>
  <c r="AD2893" i="2"/>
  <c r="AD2885" i="2"/>
  <c r="AF2891" i="2"/>
  <c r="AD2866" i="2"/>
  <c r="AD2868" i="2" s="1"/>
  <c r="AE2869" i="2" s="1"/>
  <c r="AD2875" i="2"/>
  <c r="AD2876" i="2"/>
  <c r="AD2878" i="2" s="1"/>
  <c r="AD2886" i="2" l="1"/>
  <c r="AD2888" i="2" s="1"/>
  <c r="AD2887" i="2"/>
  <c r="AD2889" i="2" s="1"/>
  <c r="AD2896" i="2"/>
  <c r="AD2904" i="2"/>
  <c r="AF2902" i="2"/>
  <c r="AD2895" i="2"/>
  <c r="AD2877" i="2"/>
  <c r="AD2879" i="2" s="1"/>
  <c r="AE2880" i="2" s="1"/>
  <c r="AD2890" i="2" l="1"/>
  <c r="AE2891" i="2" s="1"/>
  <c r="AD2897" i="2"/>
  <c r="AD2899" i="2" s="1"/>
  <c r="AD2898" i="2"/>
  <c r="AD2900" i="2" s="1"/>
  <c r="AD2907" i="2"/>
  <c r="AD2906" i="2"/>
  <c r="AD2915" i="2"/>
  <c r="AF2913" i="2"/>
  <c r="AD2901" i="2" l="1"/>
  <c r="AE2902" i="2" s="1"/>
  <c r="AF2924" i="2"/>
  <c r="AD2917" i="2"/>
  <c r="AD2918" i="2"/>
  <c r="AD2926" i="2"/>
  <c r="AD2908" i="2"/>
  <c r="AD2909" i="2"/>
  <c r="AD2911" i="2" s="1"/>
  <c r="AD2910" i="2" l="1"/>
  <c r="AD2912" i="2" s="1"/>
  <c r="AE2913" i="2" s="1"/>
  <c r="AD2919" i="2"/>
  <c r="AD2920" i="2"/>
  <c r="AD2922" i="2" s="1"/>
  <c r="AD2937" i="2"/>
  <c r="AF2935" i="2"/>
  <c r="AD2929" i="2"/>
  <c r="AD2928" i="2"/>
  <c r="AD2921" i="2" l="1"/>
  <c r="AD2923" i="2" s="1"/>
  <c r="AE2924" i="2" s="1"/>
  <c r="AD2948" i="2"/>
  <c r="AD2939" i="2"/>
  <c r="AF2946" i="2"/>
  <c r="AD2940" i="2"/>
  <c r="AD2930" i="2"/>
  <c r="AD2932" i="2" s="1"/>
  <c r="AD2931" i="2"/>
  <c r="AD2933" i="2" s="1"/>
  <c r="AD2950" i="2" l="1"/>
  <c r="AD2959" i="2"/>
  <c r="AF2957" i="2"/>
  <c r="AD2951" i="2"/>
  <c r="AD2941" i="2"/>
  <c r="AD2942" i="2"/>
  <c r="AD2944" i="2" s="1"/>
  <c r="AD2934" i="2"/>
  <c r="AE2935" i="2" s="1"/>
  <c r="AD2952" i="2" l="1"/>
  <c r="AD2953" i="2"/>
  <c r="AD2955" i="2" s="1"/>
  <c r="AD2943" i="2"/>
  <c r="AD2945" i="2" s="1"/>
  <c r="AE2946" i="2" s="1"/>
  <c r="AD2970" i="2"/>
  <c r="AD2961" i="2"/>
  <c r="AF2968" i="2"/>
  <c r="AD2962" i="2"/>
  <c r="AD2973" i="2" l="1"/>
  <c r="AD2972" i="2"/>
  <c r="AD2981" i="2"/>
  <c r="AF2979" i="2"/>
  <c r="AD2963" i="2"/>
  <c r="AD2965" i="2" s="1"/>
  <c r="AD2964" i="2"/>
  <c r="AD2966" i="2" s="1"/>
  <c r="AD2954" i="2"/>
  <c r="AD2956" i="2" s="1"/>
  <c r="AE2957" i="2" s="1"/>
  <c r="AD2967" i="2" l="1"/>
  <c r="AE2968" i="2" s="1"/>
  <c r="AD2974" i="2"/>
  <c r="AD2976" i="2" s="1"/>
  <c r="AD2975" i="2"/>
  <c r="AD2977" i="2" s="1"/>
  <c r="AD2992" i="2"/>
  <c r="AF2990" i="2"/>
  <c r="AD2983" i="2"/>
  <c r="AD2984" i="2"/>
  <c r="AD2978" i="2" l="1"/>
  <c r="AE2979" i="2" s="1"/>
  <c r="AD2985" i="2"/>
  <c r="AD2987" i="2" s="1"/>
  <c r="AD2986" i="2"/>
  <c r="AD2988" i="2" s="1"/>
  <c r="AD2994" i="2"/>
  <c r="AD3003" i="2"/>
  <c r="AF3001" i="2"/>
  <c r="AD2995" i="2"/>
  <c r="AD2989" i="2" l="1"/>
  <c r="AE2990" i="2" s="1"/>
  <c r="AD2996" i="2"/>
  <c r="AD2997" i="2"/>
  <c r="AD2999" i="2" s="1"/>
  <c r="AD3014" i="2"/>
  <c r="AF3012" i="2"/>
  <c r="AD3005" i="2"/>
  <c r="AD3006" i="2"/>
  <c r="AD3007" i="2" l="1"/>
  <c r="AD3008" i="2"/>
  <c r="AD3010" i="2" s="1"/>
  <c r="AD2998" i="2"/>
  <c r="AD3000" i="2" s="1"/>
  <c r="AE3001" i="2" s="1"/>
  <c r="AF3023" i="2"/>
  <c r="AD3017" i="2"/>
  <c r="AD3016" i="2"/>
  <c r="AD3025" i="2"/>
  <c r="AD3009" i="2" l="1"/>
  <c r="AD3011" i="2" s="1"/>
  <c r="AE3012" i="2" s="1"/>
  <c r="AD3018" i="2"/>
  <c r="AD3019" i="2"/>
  <c r="AD3021" i="2" s="1"/>
  <c r="AD3036" i="2"/>
  <c r="AD3027" i="2"/>
  <c r="AF3034" i="2"/>
  <c r="AD3028" i="2"/>
  <c r="AD3020" i="2" l="1"/>
  <c r="AD3022" i="2" s="1"/>
  <c r="AE3023" i="2" s="1"/>
  <c r="AD3038" i="2"/>
  <c r="AD3047" i="2"/>
  <c r="AF3045" i="2"/>
  <c r="AD3039" i="2"/>
  <c r="AD3029" i="2"/>
  <c r="AD3030" i="2"/>
  <c r="AD3032" i="2" s="1"/>
  <c r="AD3040" i="2" l="1"/>
  <c r="AD3041" i="2"/>
  <c r="AD3043" i="2" s="1"/>
  <c r="AD3031" i="2"/>
  <c r="AD3033" i="2" s="1"/>
  <c r="AE3034" i="2" s="1"/>
  <c r="AD3050" i="2"/>
  <c r="AD3058" i="2"/>
  <c r="AD3049" i="2"/>
  <c r="AF3056" i="2"/>
  <c r="AD3042" i="2" l="1"/>
  <c r="AD3044" i="2" s="1"/>
  <c r="AE3045" i="2" s="1"/>
  <c r="AF3067" i="2"/>
  <c r="AD3060" i="2"/>
  <c r="AD3069" i="2"/>
  <c r="AD3061" i="2"/>
  <c r="AD3051" i="2"/>
  <c r="AD3052" i="2"/>
  <c r="AD3054" i="2" s="1"/>
  <c r="AD3071" i="2" l="1"/>
  <c r="AD3072" i="2"/>
  <c r="AD3080" i="2"/>
  <c r="AF3078" i="2"/>
  <c r="AD3053" i="2"/>
  <c r="AD3055" i="2" s="1"/>
  <c r="AE3056" i="2" s="1"/>
  <c r="AD3062" i="2"/>
  <c r="AD3063" i="2"/>
  <c r="AD3065" i="2" s="1"/>
  <c r="AD3073" i="2" l="1"/>
  <c r="AD3075" i="2" s="1"/>
  <c r="AD3074" i="2"/>
  <c r="AD3076" i="2" s="1"/>
  <c r="AF3089" i="2"/>
  <c r="AD3083" i="2"/>
  <c r="AD3082" i="2"/>
  <c r="AD3091" i="2"/>
  <c r="AD3064" i="2"/>
  <c r="AD3066" i="2" s="1"/>
  <c r="AE3067" i="2" s="1"/>
  <c r="AD3077" i="2" l="1"/>
  <c r="AE3078" i="2" s="1"/>
  <c r="AD3084" i="2"/>
  <c r="AD3086" i="2" s="1"/>
  <c r="AD3085" i="2"/>
  <c r="AD3087" i="2" s="1"/>
  <c r="AF3100" i="2"/>
  <c r="AD3093" i="2"/>
  <c r="AD3094" i="2"/>
  <c r="AD3102" i="2"/>
  <c r="AD3088" i="2" l="1"/>
  <c r="AE3089" i="2" s="1"/>
  <c r="AD3105" i="2"/>
  <c r="AF3111" i="2"/>
  <c r="AD3104" i="2"/>
  <c r="AD3113" i="2"/>
  <c r="AD3095" i="2"/>
  <c r="AD3096" i="2"/>
  <c r="AD3098" i="2" s="1"/>
  <c r="AD3097" i="2" l="1"/>
  <c r="AD3099" i="2" s="1"/>
  <c r="AE3100" i="2" s="1"/>
  <c r="AD3106" i="2"/>
  <c r="AD3107" i="2"/>
  <c r="AD3109" i="2" s="1"/>
  <c r="AD3115" i="2"/>
  <c r="AF3122" i="2"/>
  <c r="AD3116" i="2"/>
  <c r="AD3124" i="2"/>
  <c r="AD3108" i="2" l="1"/>
  <c r="AD3110" i="2" s="1"/>
  <c r="AE3111" i="2" s="1"/>
  <c r="AD3117" i="2"/>
  <c r="AD3118" i="2"/>
  <c r="AD3120" i="2" s="1"/>
  <c r="AF3133" i="2"/>
  <c r="AD3127" i="2"/>
  <c r="AD3126" i="2"/>
  <c r="AD3135" i="2"/>
  <c r="AD3128" i="2" l="1"/>
  <c r="AD3129" i="2"/>
  <c r="AD3131" i="2" s="1"/>
  <c r="AD3119" i="2"/>
  <c r="AD3121" i="2" s="1"/>
  <c r="AE3122" i="2" s="1"/>
  <c r="AF3144" i="2"/>
  <c r="AD3138" i="2"/>
  <c r="AD3146" i="2"/>
  <c r="AD3137" i="2"/>
  <c r="AD3148" i="2" l="1"/>
  <c r="AF3155" i="2"/>
  <c r="AD3149" i="2"/>
  <c r="AD3157" i="2"/>
  <c r="AD3130" i="2"/>
  <c r="AD3132" i="2" s="1"/>
  <c r="AE3133" i="2" s="1"/>
  <c r="AD3139" i="2"/>
  <c r="AD3140" i="2"/>
  <c r="AD3142" i="2" s="1"/>
  <c r="AD3150" i="2" l="1"/>
  <c r="AD3151" i="2"/>
  <c r="AD3153" i="2" s="1"/>
  <c r="AD3141" i="2"/>
  <c r="AD3143" i="2" s="1"/>
  <c r="AE3144" i="2" s="1"/>
  <c r="AF3166" i="2"/>
  <c r="AD3160" i="2"/>
  <c r="AD3168" i="2"/>
  <c r="AD3159" i="2"/>
  <c r="AF3177" i="2" l="1"/>
  <c r="AD3179" i="2"/>
  <c r="AD3171" i="2"/>
  <c r="AD3170" i="2"/>
  <c r="AD3152" i="2"/>
  <c r="AD3154" i="2" s="1"/>
  <c r="AE3155" i="2" s="1"/>
  <c r="AD3161" i="2"/>
  <c r="AD3162" i="2"/>
  <c r="AD3164" i="2" s="1"/>
  <c r="AD3181" i="2" l="1"/>
  <c r="AF3188" i="2"/>
  <c r="AD3182" i="2"/>
  <c r="AD3190" i="2"/>
  <c r="AD3163" i="2"/>
  <c r="AD3165" i="2" s="1"/>
  <c r="AE3166" i="2" s="1"/>
  <c r="AD3172" i="2"/>
  <c r="AD3173" i="2"/>
  <c r="AD3175" i="2" s="1"/>
  <c r="AD3183" i="2" l="1"/>
  <c r="AD3184" i="2"/>
  <c r="AD3186" i="2" s="1"/>
  <c r="AD3174" i="2"/>
  <c r="AD3176" i="2" s="1"/>
  <c r="AE3177" i="2" s="1"/>
  <c r="AF3199" i="2"/>
  <c r="AD3193" i="2"/>
  <c r="AD3201" i="2"/>
  <c r="AD3192" i="2"/>
  <c r="AD3203" i="2" l="1"/>
  <c r="AF3210" i="2"/>
  <c r="AD3204" i="2"/>
  <c r="AD3212" i="2"/>
  <c r="AD3185" i="2"/>
  <c r="AD3187" i="2" s="1"/>
  <c r="AE3188" i="2" s="1"/>
  <c r="AD3194" i="2"/>
  <c r="AD3195" i="2"/>
  <c r="AD3197" i="2" s="1"/>
  <c r="AD3205" i="2" l="1"/>
  <c r="AD3206" i="2"/>
  <c r="AD3208" i="2" s="1"/>
  <c r="AD3196" i="2"/>
  <c r="AD3198" i="2" s="1"/>
  <c r="AE3199" i="2" s="1"/>
  <c r="AD3214" i="2"/>
  <c r="AD3215" i="2"/>
  <c r="AD3223" i="2"/>
  <c r="AF3221" i="2"/>
  <c r="AD3216" i="2" l="1"/>
  <c r="AD3217" i="2"/>
  <c r="AD3219" i="2" s="1"/>
  <c r="AD3207" i="2"/>
  <c r="AD3209" i="2" s="1"/>
  <c r="AE3210" i="2" s="1"/>
  <c r="AF3232" i="2"/>
  <c r="AD3226" i="2"/>
  <c r="AD3234" i="2"/>
  <c r="AD3225" i="2"/>
  <c r="AF3243" i="2" l="1"/>
  <c r="AD3237" i="2"/>
  <c r="AD3245" i="2"/>
  <c r="AD3236" i="2"/>
  <c r="AD3218" i="2"/>
  <c r="AD3220" i="2" s="1"/>
  <c r="AE3221" i="2" s="1"/>
  <c r="AD3227" i="2"/>
  <c r="AD3228" i="2"/>
  <c r="AD3230" i="2" s="1"/>
  <c r="AD3248" i="2" l="1"/>
  <c r="AD3256" i="2"/>
  <c r="AD3247" i="2"/>
  <c r="AF3254" i="2"/>
  <c r="AD3229" i="2"/>
  <c r="AD3231" i="2" s="1"/>
  <c r="AE3232" i="2" s="1"/>
  <c r="AD3238" i="2"/>
  <c r="AD3240" i="2" s="1"/>
  <c r="AD3239" i="2"/>
  <c r="AD3241" i="2" s="1"/>
  <c r="AD3267" i="2" l="1"/>
  <c r="AF3265" i="2"/>
  <c r="AD3259" i="2"/>
  <c r="AD3258" i="2"/>
  <c r="AD3249" i="2"/>
  <c r="AD3251" i="2" s="1"/>
  <c r="AD3250" i="2"/>
  <c r="AD3252" i="2" s="1"/>
  <c r="AD3242" i="2"/>
  <c r="AE3243" i="2" s="1"/>
  <c r="AD3253" i="2" l="1"/>
  <c r="AE3254" i="2" s="1"/>
  <c r="AD3278" i="2"/>
  <c r="AD3269" i="2"/>
  <c r="AF3276" i="2"/>
  <c r="AD3270" i="2"/>
  <c r="AD3260" i="2"/>
  <c r="AD3261" i="2"/>
  <c r="AD3263" i="2" s="1"/>
  <c r="AD3281" i="2" l="1"/>
  <c r="AD3289" i="2"/>
  <c r="AD3280" i="2"/>
  <c r="AF3287" i="2"/>
  <c r="AD3262" i="2"/>
  <c r="AD3264" i="2" s="1"/>
  <c r="AE3265" i="2" s="1"/>
  <c r="AD3271" i="2"/>
  <c r="AD3272" i="2"/>
  <c r="AD3274" i="2" s="1"/>
  <c r="AD3282" i="2" l="1"/>
  <c r="AD3284" i="2" s="1"/>
  <c r="AD3283" i="2"/>
  <c r="AD3285" i="2" s="1"/>
  <c r="AF3298" i="2"/>
  <c r="AD3292" i="2"/>
  <c r="AD3300" i="2"/>
  <c r="AD3291" i="2"/>
  <c r="AD3273" i="2"/>
  <c r="AD3275" i="2" s="1"/>
  <c r="AE3276" i="2" s="1"/>
  <c r="AD3286" i="2" l="1"/>
  <c r="AE3287" i="2" s="1"/>
  <c r="AD3302" i="2"/>
  <c r="AD3311" i="2"/>
  <c r="AF3309" i="2"/>
  <c r="AD3303" i="2"/>
  <c r="AD3293" i="2"/>
  <c r="AD3294" i="2"/>
  <c r="AD3296" i="2" s="1"/>
  <c r="AD3304" i="2" l="1"/>
  <c r="AD3305" i="2"/>
  <c r="AD3307" i="2" s="1"/>
  <c r="AD3295" i="2"/>
  <c r="AD3297" i="2" s="1"/>
  <c r="AE3298" i="2" s="1"/>
  <c r="AF3320" i="2"/>
  <c r="AD3314" i="2"/>
  <c r="AD3322" i="2"/>
  <c r="AD3313" i="2"/>
  <c r="AD3306" i="2" l="1"/>
  <c r="AD3308" i="2" s="1"/>
  <c r="AE3309" i="2" s="1"/>
  <c r="AF3331" i="2"/>
  <c r="AD3325" i="2"/>
  <c r="AD3333" i="2"/>
  <c r="AD3324" i="2"/>
  <c r="AD3315" i="2"/>
  <c r="AD3316" i="2"/>
  <c r="AD3318" i="2" s="1"/>
  <c r="AD3335" i="2" l="1"/>
  <c r="AF3342" i="2"/>
  <c r="AD3336" i="2"/>
  <c r="AD3344" i="2"/>
  <c r="AD3326" i="2"/>
  <c r="AD3327" i="2"/>
  <c r="AD3329" i="2" s="1"/>
  <c r="AD3317" i="2"/>
  <c r="AD3319" i="2" s="1"/>
  <c r="AE3320" i="2" s="1"/>
  <c r="AD3337" i="2" l="1"/>
  <c r="AD3338" i="2"/>
  <c r="AD3340" i="2" s="1"/>
  <c r="AD3328" i="2"/>
  <c r="AD3330" i="2" s="1"/>
  <c r="AE3331" i="2" s="1"/>
  <c r="AD3346" i="2"/>
  <c r="AD3355" i="2"/>
  <c r="AF3353" i="2"/>
  <c r="AD3347" i="2"/>
  <c r="AD3348" i="2" l="1"/>
  <c r="AD3349" i="2"/>
  <c r="AD3351" i="2" s="1"/>
  <c r="AD3358" i="2"/>
  <c r="AD3366" i="2"/>
  <c r="AD3357" i="2"/>
  <c r="AF3364" i="2"/>
  <c r="AD3339" i="2"/>
  <c r="AD3341" i="2" s="1"/>
  <c r="AE3342" i="2" s="1"/>
  <c r="AD3350" i="2" l="1"/>
  <c r="AD3352" i="2" s="1"/>
  <c r="AE3353" i="2" s="1"/>
  <c r="AD3359" i="2"/>
  <c r="AD3360" i="2"/>
  <c r="AD3362" i="2" s="1"/>
  <c r="AF3375" i="2"/>
  <c r="AD3369" i="2"/>
  <c r="AD3377" i="2"/>
  <c r="AD3368" i="2"/>
  <c r="AD3379" i="2" l="1"/>
  <c r="AF3386" i="2"/>
  <c r="AD3380" i="2"/>
  <c r="AD3388" i="2"/>
  <c r="AD3361" i="2"/>
  <c r="AD3363" i="2" s="1"/>
  <c r="AE3364" i="2" s="1"/>
  <c r="AD3370" i="2"/>
  <c r="AD3371" i="2"/>
  <c r="AD3373" i="2" s="1"/>
  <c r="AD3381" i="2" l="1"/>
  <c r="AD3382" i="2"/>
  <c r="AD3384" i="2" s="1"/>
  <c r="AD3372" i="2"/>
  <c r="AD3374" i="2" s="1"/>
  <c r="AE3375" i="2" s="1"/>
  <c r="AD3399" i="2"/>
  <c r="AF3397" i="2"/>
  <c r="AD3391" i="2"/>
  <c r="AD3390" i="2"/>
  <c r="AD3401" i="2" l="1"/>
  <c r="AF3408" i="2"/>
  <c r="AD3402" i="2"/>
  <c r="AD3410" i="2"/>
  <c r="AD3383" i="2"/>
  <c r="AD3385" i="2" s="1"/>
  <c r="AE3386" i="2" s="1"/>
  <c r="AD3392" i="2"/>
  <c r="AD3393" i="2"/>
  <c r="AD3395" i="2" s="1"/>
  <c r="AD3394" i="2" l="1"/>
  <c r="AD3396" i="2" s="1"/>
  <c r="AE3397" i="2" s="1"/>
  <c r="AD3412" i="2"/>
  <c r="AF3419" i="2"/>
  <c r="AD3413" i="2"/>
  <c r="AD3421" i="2"/>
  <c r="AD3403" i="2"/>
  <c r="AD3404" i="2"/>
  <c r="AD3406" i="2" s="1"/>
  <c r="AD3423" i="2" l="1"/>
  <c r="AF3430" i="2"/>
  <c r="AD3424" i="2"/>
  <c r="AD3432" i="2"/>
  <c r="AD3414" i="2"/>
  <c r="AD3415" i="2"/>
  <c r="AD3417" i="2" s="1"/>
  <c r="AD3405" i="2"/>
  <c r="AD3407" i="2" s="1"/>
  <c r="AE3408" i="2" s="1"/>
  <c r="AD3434" i="2" l="1"/>
  <c r="AD3443" i="2"/>
  <c r="AF3441" i="2"/>
  <c r="AD3435" i="2"/>
  <c r="AD3425" i="2"/>
  <c r="AD3426" i="2"/>
  <c r="AD3428" i="2" s="1"/>
  <c r="AD3416" i="2"/>
  <c r="AD3418" i="2" s="1"/>
  <c r="AE3419" i="2" s="1"/>
  <c r="AD3436" i="2" l="1"/>
  <c r="AD3438" i="2" s="1"/>
  <c r="AD3437" i="2"/>
  <c r="AD3439" i="2" s="1"/>
  <c r="AD3427" i="2"/>
  <c r="AD3429" i="2" s="1"/>
  <c r="AE3430" i="2" s="1"/>
  <c r="AD3446" i="2"/>
  <c r="AD3454" i="2"/>
  <c r="AD3445" i="2"/>
  <c r="AF3452" i="2"/>
  <c r="AD3440" i="2" l="1"/>
  <c r="AE3441" i="2" s="1"/>
  <c r="AD3465" i="2"/>
  <c r="AD3456" i="2"/>
  <c r="AF3463" i="2"/>
  <c r="AD3457" i="2"/>
  <c r="AD3447" i="2"/>
  <c r="AD3449" i="2" s="1"/>
  <c r="AD3448" i="2"/>
  <c r="AD3450" i="2" s="1"/>
  <c r="AD3451" i="2" l="1"/>
  <c r="AE3452" i="2" s="1"/>
  <c r="AD3468" i="2"/>
  <c r="AD3476" i="2"/>
  <c r="AD3467" i="2"/>
  <c r="AF3474" i="2"/>
  <c r="AD3458" i="2"/>
  <c r="AD3459" i="2"/>
  <c r="AD3461" i="2" s="1"/>
  <c r="AD3460" i="2" l="1"/>
  <c r="AD3462" i="2" s="1"/>
  <c r="AE3463" i="2" s="1"/>
  <c r="AD3487" i="2"/>
  <c r="AF3485" i="2"/>
  <c r="AD3479" i="2"/>
  <c r="AD3478" i="2"/>
  <c r="AD3469" i="2"/>
  <c r="AD3470" i="2"/>
  <c r="AD3472" i="2" s="1"/>
  <c r="AD3471" i="2" l="1"/>
  <c r="AD3473" i="2" s="1"/>
  <c r="AE3474" i="2" s="1"/>
  <c r="AD3480" i="2"/>
  <c r="AD3481" i="2"/>
  <c r="AD3483" i="2" s="1"/>
  <c r="AF3496" i="2"/>
  <c r="AD3490" i="2"/>
  <c r="AD3498" i="2"/>
  <c r="AD3489" i="2"/>
  <c r="AD3491" i="2" l="1"/>
  <c r="AD3493" i="2" s="1"/>
  <c r="AD3492" i="2"/>
  <c r="AD3494" i="2" s="1"/>
  <c r="AD3500" i="2"/>
  <c r="AF3507" i="2"/>
  <c r="AD3501" i="2"/>
  <c r="AD3509" i="2"/>
  <c r="AD3482" i="2"/>
  <c r="AD3484" i="2" s="1"/>
  <c r="AE3485" i="2" s="1"/>
  <c r="AD3495" i="2" l="1"/>
  <c r="AE3496" i="2" s="1"/>
  <c r="AD3520" i="2"/>
  <c r="AD3511" i="2"/>
  <c r="AF3518" i="2"/>
  <c r="AD3512" i="2"/>
  <c r="AD3502" i="2"/>
  <c r="AD3503" i="2"/>
  <c r="AD3505" i="2" s="1"/>
  <c r="AD3522" i="2" l="1"/>
  <c r="AF3529" i="2"/>
  <c r="AD3531" i="2"/>
  <c r="AD3523" i="2"/>
  <c r="AD3504" i="2"/>
  <c r="AD3506" i="2" s="1"/>
  <c r="AE3507" i="2" s="1"/>
  <c r="AD3513" i="2"/>
  <c r="AD3514" i="2"/>
  <c r="AD3516" i="2" s="1"/>
  <c r="AD3515" i="2" l="1"/>
  <c r="AD3517" i="2" s="1"/>
  <c r="AE3518" i="2" s="1"/>
  <c r="AD3524" i="2"/>
  <c r="AD3525" i="2"/>
  <c r="AD3527" i="2" s="1"/>
  <c r="AD3542" i="2"/>
  <c r="AF3540" i="2"/>
  <c r="AD3534" i="2"/>
  <c r="AD3533" i="2"/>
  <c r="AD3535" i="2" l="1"/>
  <c r="AD3536" i="2"/>
  <c r="AD3538" i="2" s="1"/>
  <c r="AD3545" i="2"/>
  <c r="AF3551" i="2"/>
  <c r="AD3553" i="2"/>
  <c r="AD3544" i="2"/>
  <c r="AD3526" i="2"/>
  <c r="AD3528" i="2" s="1"/>
  <c r="AE3529" i="2" s="1"/>
  <c r="AF3562" i="2" l="1"/>
  <c r="AD3564" i="2"/>
  <c r="AD3556" i="2"/>
  <c r="AD3555" i="2"/>
  <c r="AD3537" i="2"/>
  <c r="AD3539" i="2" s="1"/>
  <c r="AE3540" i="2" s="1"/>
  <c r="AD3546" i="2"/>
  <c r="AD3547" i="2"/>
  <c r="AD3549" i="2" s="1"/>
  <c r="AD3548" i="2" l="1"/>
  <c r="AD3550" i="2" s="1"/>
  <c r="AE3551" i="2" s="1"/>
  <c r="AD3557" i="2"/>
  <c r="AD3559" i="2" s="1"/>
  <c r="AD3558" i="2"/>
  <c r="AD3560" i="2" s="1"/>
  <c r="AD3575" i="2"/>
  <c r="AD3567" i="2"/>
  <c r="AD3566" i="2"/>
  <c r="AF3573" i="2"/>
  <c r="AD3577" i="2" l="1"/>
  <c r="AD3586" i="2"/>
  <c r="AF3584" i="2"/>
  <c r="AD3578" i="2"/>
  <c r="AD3568" i="2"/>
  <c r="AD3570" i="2" s="1"/>
  <c r="AD3569" i="2"/>
  <c r="AD3571" i="2" s="1"/>
  <c r="AD3561" i="2"/>
  <c r="AE3562" i="2" s="1"/>
  <c r="AD3572" i="2" l="1"/>
  <c r="AE3573" i="2" s="1"/>
  <c r="AD3579" i="2"/>
  <c r="AD3581" i="2" s="1"/>
  <c r="AD3580" i="2"/>
  <c r="AD3582" i="2" s="1"/>
  <c r="AD3588" i="2"/>
  <c r="AF3595" i="2"/>
  <c r="AD3589" i="2"/>
  <c r="AD3597" i="2"/>
  <c r="AD3583" i="2" l="1"/>
  <c r="AE3584" i="2" s="1"/>
  <c r="AD3608" i="2"/>
  <c r="AF3606" i="2"/>
  <c r="AD3600" i="2"/>
  <c r="AD3599" i="2"/>
  <c r="AD3590" i="2"/>
  <c r="AD3591" i="2"/>
  <c r="AD3593" i="2" s="1"/>
  <c r="AD3601" i="2" l="1"/>
  <c r="AD3602" i="2"/>
  <c r="AD3604" i="2" s="1"/>
  <c r="AD3619" i="2"/>
  <c r="AD3610" i="2"/>
  <c r="AF3617" i="2"/>
  <c r="AD3611" i="2"/>
  <c r="AD3592" i="2"/>
  <c r="AD3594" i="2" s="1"/>
  <c r="AE3595" i="2" s="1"/>
  <c r="AD3612" i="2" l="1"/>
  <c r="AD3613" i="2"/>
  <c r="AD3615" i="2" s="1"/>
  <c r="AD3603" i="2"/>
  <c r="AD3605" i="2" s="1"/>
  <c r="AE3606" i="2" s="1"/>
  <c r="AF3628" i="2"/>
  <c r="AD3630" i="2"/>
  <c r="AD3622" i="2"/>
  <c r="AD3621" i="2"/>
  <c r="AD3623" i="2" l="1"/>
  <c r="AD3624" i="2"/>
  <c r="AD3626" i="2" s="1"/>
  <c r="AD3614" i="2"/>
  <c r="AD3616" i="2" s="1"/>
  <c r="AE3617" i="2" s="1"/>
  <c r="AD3641" i="2"/>
  <c r="AD3633" i="2"/>
  <c r="AD3632" i="2"/>
  <c r="AF3639" i="2"/>
  <c r="AD3644" i="2" l="1"/>
  <c r="AD3643" i="2"/>
  <c r="AD3652" i="2"/>
  <c r="AF3650" i="2"/>
  <c r="AD3625" i="2"/>
  <c r="AD3627" i="2" s="1"/>
  <c r="AE3628" i="2" s="1"/>
  <c r="AD3634" i="2"/>
  <c r="AD3635" i="2"/>
  <c r="AD3637" i="2" s="1"/>
  <c r="AD3636" i="2" l="1"/>
  <c r="AD3638" i="2" s="1"/>
  <c r="AE3639" i="2" s="1"/>
  <c r="AD3645" i="2"/>
  <c r="AD3647" i="2" s="1"/>
  <c r="AD3646" i="2"/>
  <c r="AD3648" i="2" s="1"/>
  <c r="AF3661" i="2"/>
  <c r="AD3663" i="2"/>
  <c r="AD3655" i="2"/>
  <c r="AD3654" i="2"/>
  <c r="AD3656" i="2" l="1"/>
  <c r="AD3657" i="2"/>
  <c r="AD3659" i="2" s="1"/>
  <c r="AD3665" i="2"/>
  <c r="AD3674" i="2"/>
  <c r="AF3672" i="2"/>
  <c r="AD3666" i="2"/>
  <c r="AD3649" i="2"/>
  <c r="AE3650" i="2" s="1"/>
  <c r="AD3676" i="2" l="1"/>
  <c r="AF3683" i="2"/>
  <c r="AD3677" i="2"/>
  <c r="AD3685" i="2"/>
  <c r="AD3658" i="2"/>
  <c r="AD3660" i="2" s="1"/>
  <c r="AE3661" i="2" s="1"/>
  <c r="AD3667" i="2"/>
  <c r="AD3669" i="2" s="1"/>
  <c r="AD3668" i="2"/>
  <c r="AD3670" i="2" s="1"/>
  <c r="AD3671" i="2" l="1"/>
  <c r="AE3672" i="2" s="1"/>
  <c r="AD3687" i="2"/>
  <c r="AD3696" i="2"/>
  <c r="AF3694" i="2"/>
  <c r="AD3688" i="2"/>
  <c r="AD3678" i="2"/>
  <c r="AD3679" i="2"/>
  <c r="AD3681" i="2" s="1"/>
  <c r="AD3689" i="2" l="1"/>
  <c r="AD3690" i="2"/>
  <c r="AD3692" i="2" s="1"/>
  <c r="AD3680" i="2"/>
  <c r="AD3682" i="2" s="1"/>
  <c r="AE3683" i="2" s="1"/>
  <c r="AD3698" i="2"/>
  <c r="AF3705" i="2"/>
  <c r="AD3699" i="2"/>
  <c r="AD3707" i="2"/>
  <c r="AD3709" i="2" l="1"/>
  <c r="AF3716" i="2"/>
  <c r="AD3710" i="2"/>
  <c r="AD3718" i="2"/>
  <c r="AD3700" i="2"/>
  <c r="AD3701" i="2"/>
  <c r="AD3703" i="2" s="1"/>
  <c r="AD3691" i="2"/>
  <c r="AD3693" i="2" s="1"/>
  <c r="AE3694" i="2" s="1"/>
  <c r="AD3721" i="2" l="1"/>
  <c r="AD3729" i="2"/>
  <c r="AD3720" i="2"/>
  <c r="AF3727" i="2"/>
  <c r="AD3711" i="2"/>
  <c r="AD3713" i="2" s="1"/>
  <c r="AD3712" i="2"/>
  <c r="AD3714" i="2" s="1"/>
  <c r="AD3702" i="2"/>
  <c r="AD3704" i="2" s="1"/>
  <c r="AE3705" i="2" s="1"/>
  <c r="AD3715" i="2" l="1"/>
  <c r="AE3716" i="2" s="1"/>
  <c r="AD3732" i="2"/>
  <c r="AD3731" i="2"/>
  <c r="AD3740" i="2"/>
  <c r="AF3738" i="2"/>
  <c r="AD3722" i="2"/>
  <c r="AD3723" i="2"/>
  <c r="AD3725" i="2" s="1"/>
  <c r="AD3724" i="2" l="1"/>
  <c r="AD3726" i="2" s="1"/>
  <c r="AE3727" i="2" s="1"/>
  <c r="AD3733" i="2"/>
  <c r="AD3734" i="2"/>
  <c r="AD3736" i="2" s="1"/>
  <c r="AD3742" i="2"/>
  <c r="AF3749" i="2"/>
  <c r="AD3751" i="2"/>
  <c r="AD3743" i="2"/>
  <c r="AD3744" i="2" l="1"/>
  <c r="AD3745" i="2"/>
  <c r="AD3747" i="2" s="1"/>
  <c r="AF3760" i="2"/>
  <c r="AD3762" i="2"/>
  <c r="AD3754" i="2"/>
  <c r="AD3753" i="2"/>
  <c r="AD3735" i="2"/>
  <c r="AD3737" i="2" s="1"/>
  <c r="AE3738" i="2" s="1"/>
  <c r="AF3771" i="2" l="1"/>
  <c r="AD3765" i="2"/>
  <c r="AD3773" i="2"/>
  <c r="AD3764" i="2"/>
  <c r="AD3746" i="2"/>
  <c r="AD3748" i="2" s="1"/>
  <c r="AE3749" i="2" s="1"/>
  <c r="AD3755" i="2"/>
  <c r="AD3756" i="2"/>
  <c r="AD3758" i="2" s="1"/>
  <c r="AD3757" i="2" l="1"/>
  <c r="AD3759" i="2" s="1"/>
  <c r="AE3760" i="2" s="1"/>
  <c r="AD3766" i="2"/>
  <c r="AD3767" i="2"/>
  <c r="AD3769" i="2" s="1"/>
  <c r="AD3775" i="2"/>
  <c r="AF3782" i="2"/>
  <c r="AD3776" i="2"/>
  <c r="AD3784" i="2"/>
  <c r="AF3793" i="2" l="1"/>
  <c r="AD3787" i="2"/>
  <c r="AD3795" i="2"/>
  <c r="AD3786" i="2"/>
  <c r="AD3777" i="2"/>
  <c r="AD3778" i="2"/>
  <c r="AD3780" i="2" s="1"/>
  <c r="AD3768" i="2"/>
  <c r="AD3770" i="2" s="1"/>
  <c r="AE3771" i="2" s="1"/>
  <c r="AD3788" i="2" l="1"/>
  <c r="AD3789" i="2"/>
  <c r="AD3791" i="2" s="1"/>
  <c r="AD3779" i="2"/>
  <c r="AD3781" i="2" s="1"/>
  <c r="AE3782" i="2" s="1"/>
  <c r="AD3797" i="2"/>
  <c r="AD3806" i="2"/>
  <c r="AD3798" i="2"/>
  <c r="AF3804" i="2"/>
  <c r="AD3799" i="2" l="1"/>
  <c r="AD3801" i="2" s="1"/>
  <c r="AD3800" i="2"/>
  <c r="AD3802" i="2" s="1"/>
  <c r="AD3790" i="2"/>
  <c r="AD3792" i="2" s="1"/>
  <c r="AE3793" i="2" s="1"/>
  <c r="AD3809" i="2"/>
  <c r="AF3815" i="2"/>
  <c r="AD3808" i="2"/>
  <c r="AD3817" i="2"/>
  <c r="AD3803" i="2" l="1"/>
  <c r="AE3804" i="2" s="1"/>
  <c r="AD3828" i="2"/>
  <c r="AD3820" i="2"/>
  <c r="AF3826" i="2"/>
  <c r="AD3819" i="2"/>
  <c r="AD3810" i="2"/>
  <c r="AD3812" i="2" s="1"/>
  <c r="AD3811" i="2"/>
  <c r="AD3813" i="2" s="1"/>
  <c r="AD3814" i="2" l="1"/>
  <c r="AE3815" i="2" s="1"/>
  <c r="AD3821" i="2"/>
  <c r="AD3823" i="2" s="1"/>
  <c r="AD3822" i="2"/>
  <c r="AD3824" i="2" s="1"/>
  <c r="AD3831" i="2"/>
  <c r="AF3837" i="2"/>
  <c r="AD3839" i="2"/>
  <c r="AD3830" i="2"/>
  <c r="AD3825" i="2" l="1"/>
  <c r="AE3826" i="2" s="1"/>
  <c r="AD3850" i="2"/>
  <c r="AD3842" i="2"/>
  <c r="AF3848" i="2"/>
  <c r="AD3841" i="2"/>
  <c r="AD3832" i="2"/>
  <c r="AD3833" i="2"/>
  <c r="AD3835" i="2" s="1"/>
  <c r="AD3843" i="2" l="1"/>
  <c r="AD3844" i="2"/>
  <c r="AD3846" i="2" s="1"/>
  <c r="AD3852" i="2"/>
  <c r="AF3859" i="2"/>
  <c r="AD3853" i="2"/>
  <c r="AD3861" i="2"/>
  <c r="AD3834" i="2"/>
  <c r="AD3836" i="2" s="1"/>
  <c r="AE3837" i="2" s="1"/>
  <c r="AD3845" i="2" l="1"/>
  <c r="AD3847" i="2" s="1"/>
  <c r="AE3848" i="2" s="1"/>
  <c r="AD3863" i="2"/>
  <c r="AF3870" i="2"/>
  <c r="AD3864" i="2"/>
  <c r="AD3872" i="2"/>
  <c r="AD3854" i="2"/>
  <c r="AD3855" i="2"/>
  <c r="AD3857" i="2" s="1"/>
  <c r="AD3856" i="2" l="1"/>
  <c r="AD3858" i="2" s="1"/>
  <c r="AE3859" i="2" s="1"/>
  <c r="AD3883" i="2"/>
  <c r="AF3881" i="2"/>
  <c r="AD3874" i="2"/>
  <c r="AD3875" i="2"/>
  <c r="AD3865" i="2"/>
  <c r="AD3866" i="2"/>
  <c r="AD3868" i="2" s="1"/>
  <c r="AD3867" i="2" l="1"/>
  <c r="AD3869" i="2" s="1"/>
  <c r="AE3870" i="2" s="1"/>
  <c r="AD3876" i="2"/>
  <c r="AD3877" i="2"/>
  <c r="AD3879" i="2" s="1"/>
  <c r="AD3886" i="2"/>
  <c r="AD3894" i="2"/>
  <c r="AD3885" i="2"/>
  <c r="AF3892" i="2"/>
  <c r="AD3896" i="2" l="1"/>
  <c r="AF3903" i="2"/>
  <c r="AD3905" i="2"/>
  <c r="AD3897" i="2"/>
  <c r="AD3887" i="2"/>
  <c r="AD3889" i="2" s="1"/>
  <c r="AD3888" i="2"/>
  <c r="AD3890" i="2" s="1"/>
  <c r="AD3878" i="2"/>
  <c r="AD3880" i="2" s="1"/>
  <c r="AE3881" i="2" s="1"/>
  <c r="AD3891" i="2" l="1"/>
  <c r="AE3892" i="2" s="1"/>
  <c r="AD3898" i="2"/>
  <c r="AD3899" i="2"/>
  <c r="AD3901" i="2" s="1"/>
  <c r="AD3916" i="2"/>
  <c r="AF3914" i="2"/>
  <c r="AD3908" i="2"/>
  <c r="AD3907" i="2"/>
  <c r="AD3900" i="2" l="1"/>
  <c r="AD3902" i="2" s="1"/>
  <c r="AE3903" i="2" s="1"/>
  <c r="AD3909" i="2"/>
  <c r="AD3910" i="2"/>
  <c r="AD3912" i="2" s="1"/>
  <c r="AD3918" i="2"/>
  <c r="AF3925" i="2"/>
  <c r="AD3927" i="2"/>
  <c r="AD3919" i="2"/>
  <c r="AD3920" i="2" l="1"/>
  <c r="AD3921" i="2"/>
  <c r="AD3923" i="2" s="1"/>
  <c r="AD3930" i="2"/>
  <c r="AD3929" i="2"/>
  <c r="AD3938" i="2"/>
  <c r="AF3936" i="2"/>
  <c r="AD3911" i="2"/>
  <c r="AD3913" i="2" s="1"/>
  <c r="AE3914" i="2" s="1"/>
  <c r="AD3931" i="2" l="1"/>
  <c r="AD3933" i="2" s="1"/>
  <c r="AD3932" i="2"/>
  <c r="AD3934" i="2" s="1"/>
  <c r="AF3947" i="2"/>
  <c r="AD3940" i="2"/>
  <c r="AD3941" i="2"/>
  <c r="AD3949" i="2"/>
  <c r="AD3922" i="2"/>
  <c r="AD3924" i="2" s="1"/>
  <c r="AE3925" i="2" s="1"/>
  <c r="AD3935" i="2" l="1"/>
  <c r="AE3936" i="2" s="1"/>
  <c r="AD3942" i="2"/>
  <c r="AD3943" i="2"/>
  <c r="AD3945" i="2" s="1"/>
  <c r="AD3951" i="2"/>
  <c r="AD3952" i="2"/>
  <c r="AD3960" i="2"/>
  <c r="AF3958" i="2"/>
  <c r="AD3963" i="2" l="1"/>
  <c r="AD3971" i="2"/>
  <c r="AD3962" i="2"/>
  <c r="AF3969" i="2"/>
  <c r="AD3944" i="2"/>
  <c r="AD3946" i="2" s="1"/>
  <c r="AE3947" i="2" s="1"/>
  <c r="AD3953" i="2"/>
  <c r="AD3954" i="2"/>
  <c r="AD3956" i="2" s="1"/>
  <c r="AD3955" i="2" l="1"/>
  <c r="AD3957" i="2" s="1"/>
  <c r="AE3958" i="2" s="1"/>
  <c r="AF3980" i="2"/>
  <c r="AD3973" i="2"/>
  <c r="AD3982" i="2"/>
  <c r="AD3974" i="2"/>
  <c r="AD3964" i="2"/>
  <c r="AD3965" i="2"/>
  <c r="AD3967" i="2" s="1"/>
  <c r="AD3966" i="2" l="1"/>
  <c r="AD3968" i="2" s="1"/>
  <c r="AE3969" i="2" s="1"/>
  <c r="AD3975" i="2"/>
  <c r="AD3977" i="2" s="1"/>
  <c r="AD3976" i="2"/>
  <c r="AD3978" i="2" s="1"/>
  <c r="AF3991" i="2"/>
  <c r="AD3993" i="2"/>
  <c r="AD3985" i="2"/>
  <c r="AD3984" i="2"/>
  <c r="AD3986" i="2" l="1"/>
  <c r="AD3988" i="2" s="1"/>
  <c r="AD3987" i="2"/>
  <c r="AD3989" i="2" s="1"/>
  <c r="AF4002" i="2"/>
  <c r="AD3996" i="2"/>
  <c r="AD3995" i="2"/>
  <c r="AD4004" i="2"/>
  <c r="AD3979" i="2"/>
  <c r="AE3980" i="2" s="1"/>
  <c r="AD3990" i="2" l="1"/>
  <c r="AE3991" i="2" s="1"/>
  <c r="AD3997" i="2"/>
  <c r="AD3998" i="2"/>
  <c r="AD4000" i="2" s="1"/>
  <c r="AF4013" i="2"/>
  <c r="AD4015" i="2"/>
  <c r="AD4007" i="2"/>
  <c r="AD4006" i="2"/>
  <c r="AF4024" i="2" l="1"/>
  <c r="AD4018" i="2"/>
  <c r="AD4017" i="2"/>
  <c r="AD4026" i="2"/>
  <c r="AD3999" i="2"/>
  <c r="AD4001" i="2" s="1"/>
  <c r="AE4002" i="2" s="1"/>
  <c r="AD4008" i="2"/>
  <c r="AD4009" i="2"/>
  <c r="AD4011" i="2" s="1"/>
  <c r="AD4010" i="2" l="1"/>
  <c r="AD4012" i="2" s="1"/>
  <c r="AE4013" i="2" s="1"/>
  <c r="AD4028" i="2"/>
  <c r="AF4035" i="2"/>
  <c r="AD4029" i="2"/>
  <c r="AD4037" i="2"/>
  <c r="AD4019" i="2"/>
  <c r="AD4020" i="2"/>
  <c r="AD4022" i="2" s="1"/>
  <c r="AD4021" i="2" l="1"/>
  <c r="AD4023" i="2" s="1"/>
  <c r="AE4024" i="2" s="1"/>
  <c r="AD4048" i="2"/>
  <c r="AF4046" i="2"/>
  <c r="AD4040" i="2"/>
  <c r="AD4039" i="2"/>
  <c r="AD4030" i="2"/>
  <c r="AD4031" i="2"/>
  <c r="AD4033" i="2" s="1"/>
  <c r="AD4032" i="2" l="1"/>
  <c r="AD4034" i="2" s="1"/>
  <c r="AE4035" i="2" s="1"/>
  <c r="AD4041" i="2"/>
  <c r="AD4043" i="2" s="1"/>
  <c r="AD4042" i="2"/>
  <c r="AD4044" i="2" s="1"/>
  <c r="AD4051" i="2"/>
  <c r="AD4059" i="2"/>
  <c r="AD4050" i="2"/>
  <c r="AF4057" i="2"/>
  <c r="AF4068" i="2" l="1"/>
  <c r="AD4062" i="2"/>
  <c r="AD4061" i="2"/>
  <c r="AD4070" i="2"/>
  <c r="AD4052" i="2"/>
  <c r="AD4054" i="2" s="1"/>
  <c r="AD4053" i="2"/>
  <c r="AD4055" i="2" s="1"/>
  <c r="AD4045" i="2"/>
  <c r="AE4046" i="2" s="1"/>
  <c r="AD4056" i="2" l="1"/>
  <c r="AE4057" i="2" s="1"/>
  <c r="AD4073" i="2"/>
  <c r="AD4072" i="2"/>
  <c r="AF4079" i="2"/>
  <c r="AD4081" i="2"/>
  <c r="AD4063" i="2"/>
  <c r="AD4064" i="2"/>
  <c r="AD4066" i="2" s="1"/>
  <c r="AF4090" i="2" l="1"/>
  <c r="AD4084" i="2"/>
  <c r="AD4092" i="2"/>
  <c r="AD4083" i="2"/>
  <c r="AD4065" i="2"/>
  <c r="AD4067" i="2" s="1"/>
  <c r="AE4068" i="2" s="1"/>
  <c r="AD4074" i="2"/>
  <c r="AD4075" i="2"/>
  <c r="AD4077" i="2" s="1"/>
  <c r="AD4076" i="2" l="1"/>
  <c r="AD4078" i="2" s="1"/>
  <c r="AE4079" i="2" s="1"/>
  <c r="AD4085" i="2"/>
  <c r="AD4086" i="2"/>
  <c r="AD4088" i="2" s="1"/>
  <c r="AD4094" i="2"/>
  <c r="AF4101" i="2"/>
  <c r="AD4095" i="2"/>
  <c r="AD4103" i="2"/>
  <c r="AD4106" i="2" l="1"/>
  <c r="AD4114" i="2"/>
  <c r="AD4105" i="2"/>
  <c r="AF4112" i="2"/>
  <c r="AD4096" i="2"/>
  <c r="AD4097" i="2"/>
  <c r="AD4099" i="2" s="1"/>
  <c r="AD4087" i="2"/>
  <c r="AD4089" i="2" s="1"/>
  <c r="AE4090" i="2" s="1"/>
  <c r="AD4098" i="2" l="1"/>
  <c r="AD4100" i="2" s="1"/>
  <c r="AE4101" i="2" s="1"/>
  <c r="AD4117" i="2"/>
  <c r="AD4125" i="2"/>
  <c r="AD4116" i="2"/>
  <c r="AF4123" i="2"/>
  <c r="AD4107" i="2"/>
  <c r="AD4108" i="2"/>
  <c r="AD4110" i="2" s="1"/>
  <c r="AD4109" i="2" l="1"/>
  <c r="AD4111" i="2" s="1"/>
  <c r="AE4112" i="2" s="1"/>
  <c r="AD4127" i="2"/>
  <c r="AD4128" i="2"/>
  <c r="AD4136" i="2"/>
  <c r="AF4134" i="2"/>
  <c r="AD4118" i="2"/>
  <c r="AD4120" i="2" s="1"/>
  <c r="AD4119" i="2"/>
  <c r="AD4121" i="2" s="1"/>
  <c r="AD4122" i="2" l="1"/>
  <c r="AE4123" i="2" s="1"/>
  <c r="AD4147" i="2"/>
  <c r="AD4138" i="2"/>
  <c r="AF4145" i="2"/>
  <c r="AD4139" i="2"/>
  <c r="AD4129" i="2"/>
  <c r="AD4130" i="2"/>
  <c r="AD4132" i="2" s="1"/>
  <c r="AF4156" i="2" l="1"/>
  <c r="AD4150" i="2"/>
  <c r="AD4158" i="2"/>
  <c r="AD4149" i="2"/>
  <c r="AD4131" i="2"/>
  <c r="AD4133" i="2" s="1"/>
  <c r="AE4134" i="2" s="1"/>
  <c r="AD4140" i="2"/>
  <c r="AD4141" i="2"/>
  <c r="AD4143" i="2" s="1"/>
  <c r="AD4142" i="2" l="1"/>
  <c r="AD4144" i="2" s="1"/>
  <c r="AE4145" i="2" s="1"/>
  <c r="AD4151" i="2"/>
  <c r="AD4152" i="2"/>
  <c r="AD4154" i="2" s="1"/>
  <c r="AD4169" i="2"/>
  <c r="AD4161" i="2"/>
  <c r="AD4160" i="2"/>
  <c r="AF4167" i="2"/>
  <c r="AD4162" i="2" l="1"/>
  <c r="AD4164" i="2" s="1"/>
  <c r="AD4163" i="2"/>
  <c r="AD4165" i="2" s="1"/>
  <c r="AD4153" i="2"/>
  <c r="AD4155" i="2" s="1"/>
  <c r="AE4156" i="2" s="1"/>
  <c r="AD4172" i="2"/>
  <c r="AD4180" i="2"/>
  <c r="AD4171" i="2"/>
  <c r="AF4178" i="2"/>
  <c r="AD4166" i="2" l="1"/>
  <c r="AE4167" i="2" s="1"/>
  <c r="AD4173" i="2"/>
  <c r="AD4175" i="2" s="1"/>
  <c r="AD4174" i="2"/>
  <c r="AD4176" i="2" s="1"/>
  <c r="AD4191" i="2"/>
  <c r="AD4182" i="2"/>
  <c r="AF4189" i="2"/>
  <c r="AD4183" i="2"/>
  <c r="AD4177" i="2" l="1"/>
  <c r="AE4178" i="2" s="1"/>
  <c r="AD4194" i="2"/>
  <c r="AD4202" i="2"/>
  <c r="AD4193" i="2"/>
  <c r="AF4200" i="2"/>
  <c r="AD4184" i="2"/>
  <c r="AD4186" i="2" s="1"/>
  <c r="AD4185" i="2"/>
  <c r="AD4187" i="2" s="1"/>
  <c r="AD4188" i="2" l="1"/>
  <c r="AE4189" i="2" s="1"/>
  <c r="AD4195" i="2"/>
  <c r="AD4196" i="2"/>
  <c r="AD4198" i="2" s="1"/>
  <c r="AD4205" i="2"/>
  <c r="AD4213" i="2"/>
  <c r="AD4204" i="2"/>
  <c r="AF4211" i="2"/>
  <c r="AD4206" i="2" l="1"/>
  <c r="AD4207" i="2"/>
  <c r="AD4209" i="2" s="1"/>
  <c r="AD4197" i="2"/>
  <c r="AD4199" i="2" s="1"/>
  <c r="AE4200" i="2" s="1"/>
  <c r="AD4216" i="2"/>
  <c r="AD4224" i="2"/>
  <c r="AF4222" i="2"/>
  <c r="AD4215" i="2"/>
  <c r="AD4208" i="2" l="1"/>
  <c r="AD4210" i="2" s="1"/>
  <c r="AE4211" i="2" s="1"/>
  <c r="AD4227" i="2"/>
  <c r="AD4235" i="2"/>
  <c r="AD4226" i="2"/>
  <c r="AF4233" i="2"/>
  <c r="AD4217" i="2"/>
  <c r="AD4218" i="2"/>
  <c r="AD4220" i="2" s="1"/>
  <c r="AD4228" i="2" l="1"/>
  <c r="AD4229" i="2"/>
  <c r="AD4231" i="2" s="1"/>
  <c r="AD4219" i="2"/>
  <c r="AD4221" i="2" s="1"/>
  <c r="AE4222" i="2" s="1"/>
  <c r="AD4237" i="2"/>
  <c r="AF4244" i="2"/>
  <c r="AD4238" i="2"/>
  <c r="AD4246" i="2"/>
  <c r="AD4239" i="2" l="1"/>
  <c r="AD4240" i="2"/>
  <c r="AD4242" i="2" s="1"/>
  <c r="AD4230" i="2"/>
  <c r="AD4232" i="2" s="1"/>
  <c r="AE4233" i="2" s="1"/>
  <c r="AD4248" i="2"/>
  <c r="AF4255" i="2"/>
  <c r="AD4257" i="2"/>
  <c r="AD4249" i="2"/>
  <c r="AD4250" i="2" l="1"/>
  <c r="AD4251" i="2"/>
  <c r="AD4253" i="2" s="1"/>
  <c r="AD4241" i="2"/>
  <c r="AD4243" i="2" s="1"/>
  <c r="AE4244" i="2" s="1"/>
  <c r="AF4266" i="2"/>
  <c r="AD4260" i="2"/>
  <c r="AD4268" i="2"/>
  <c r="AD4259" i="2"/>
  <c r="AD4252" i="2" l="1"/>
  <c r="AD4254" i="2" s="1"/>
  <c r="AE4255" i="2" s="1"/>
  <c r="AF4277" i="2"/>
  <c r="AD4271" i="2"/>
  <c r="AD4279" i="2"/>
  <c r="AD4270" i="2"/>
  <c r="AD4261" i="2"/>
  <c r="AD4262" i="2"/>
  <c r="AD4264" i="2" s="1"/>
  <c r="AD4290" i="2" l="1"/>
  <c r="AD4281" i="2"/>
  <c r="AF4288" i="2"/>
  <c r="AD4282" i="2"/>
  <c r="AD4272" i="2"/>
  <c r="AD4273" i="2"/>
  <c r="AD4275" i="2" s="1"/>
  <c r="AD4263" i="2"/>
  <c r="AD4265" i="2" s="1"/>
  <c r="AE4266" i="2" s="1"/>
  <c r="AF4299" i="2" l="1"/>
  <c r="AD4293" i="2"/>
  <c r="AD4301" i="2"/>
  <c r="AD4292" i="2"/>
  <c r="AD4274" i="2"/>
  <c r="AD4276" i="2" s="1"/>
  <c r="AE4277" i="2" s="1"/>
  <c r="AD4283" i="2"/>
  <c r="AD4284" i="2"/>
  <c r="AD4286" i="2" s="1"/>
  <c r="AD4304" i="2" l="1"/>
  <c r="AD4312" i="2"/>
  <c r="AF4310" i="2"/>
  <c r="AD4303" i="2"/>
  <c r="AD4285" i="2"/>
  <c r="AD4287" i="2" s="1"/>
  <c r="AE4288" i="2" s="1"/>
  <c r="AD4294" i="2"/>
  <c r="AD4295" i="2"/>
  <c r="AD4297" i="2" s="1"/>
  <c r="AD4315" i="2" l="1"/>
  <c r="AD4323" i="2"/>
  <c r="AD4314" i="2"/>
  <c r="AF4321" i="2"/>
  <c r="AD4296" i="2"/>
  <c r="AD4298" i="2" s="1"/>
  <c r="AE4299" i="2" s="1"/>
  <c r="AD4305" i="2"/>
  <c r="AD4306" i="2"/>
  <c r="AD4308" i="2" s="1"/>
  <c r="AD4316" i="2" l="1"/>
  <c r="AD4317" i="2"/>
  <c r="AD4319" i="2" s="1"/>
  <c r="AD4326" i="2"/>
  <c r="AD4334" i="2"/>
  <c r="AD4325" i="2"/>
  <c r="AF4332" i="2"/>
  <c r="AD4307" i="2"/>
  <c r="AD4309" i="2" s="1"/>
  <c r="AE4310" i="2" s="1"/>
  <c r="AD4327" i="2" l="1"/>
  <c r="AD4328" i="2"/>
  <c r="AD4330" i="2" s="1"/>
  <c r="AD4318" i="2"/>
  <c r="AD4320" i="2" s="1"/>
  <c r="AE4321" i="2" s="1"/>
  <c r="AD4337" i="2"/>
  <c r="AD4336" i="2"/>
  <c r="AF4343" i="2"/>
  <c r="AD4345" i="2"/>
  <c r="AD4329" i="2" l="1"/>
  <c r="AD4331" i="2" s="1"/>
  <c r="AE4332" i="2" s="1"/>
  <c r="AD4338" i="2"/>
  <c r="AD4339" i="2"/>
  <c r="AD4341" i="2" s="1"/>
  <c r="AF4354" i="2"/>
  <c r="AD4348" i="2"/>
  <c r="AD4356" i="2"/>
  <c r="AD4347" i="2"/>
  <c r="AD4359" i="2" l="1"/>
  <c r="AD4367" i="2"/>
  <c r="AD4358" i="2"/>
  <c r="AF4365" i="2"/>
  <c r="AD4340" i="2"/>
  <c r="AD4342" i="2" s="1"/>
  <c r="AE4343" i="2" s="1"/>
  <c r="AD4349" i="2"/>
  <c r="AD4351" i="2" s="1"/>
  <c r="AD4350" i="2"/>
  <c r="AD4352" i="2" s="1"/>
  <c r="AD4370" i="2" l="1"/>
  <c r="AD4378" i="2"/>
  <c r="AD4369" i="2"/>
  <c r="AF4376" i="2"/>
  <c r="AD4360" i="2"/>
  <c r="AD4362" i="2" s="1"/>
  <c r="AD4361" i="2"/>
  <c r="AD4363" i="2" s="1"/>
  <c r="AD4353" i="2"/>
  <c r="AE4354" i="2" s="1"/>
  <c r="AD4364" i="2" l="1"/>
  <c r="AE4365" i="2" s="1"/>
  <c r="AD4381" i="2"/>
  <c r="AD4389" i="2"/>
  <c r="AD4380" i="2"/>
  <c r="AF4387" i="2"/>
  <c r="AD4371" i="2"/>
  <c r="AD4372" i="2"/>
  <c r="AD4374" i="2" s="1"/>
  <c r="AD4373" i="2" l="1"/>
  <c r="AD4375" i="2" s="1"/>
  <c r="AE4376" i="2" s="1"/>
  <c r="AD4391" i="2"/>
  <c r="AD4392" i="2"/>
  <c r="AD4400" i="2"/>
  <c r="AF4398" i="2"/>
  <c r="AD4382" i="2"/>
  <c r="AD4383" i="2"/>
  <c r="AD4385" i="2" s="1"/>
  <c r="AD4393" i="2" l="1"/>
  <c r="AD4395" i="2" s="1"/>
  <c r="AD4394" i="2"/>
  <c r="AD4396" i="2" s="1"/>
  <c r="AF4409" i="2"/>
  <c r="AD4403" i="2"/>
  <c r="AD4411" i="2"/>
  <c r="AD4402" i="2"/>
  <c r="AD4384" i="2"/>
  <c r="AD4386" i="2" s="1"/>
  <c r="AE4387" i="2" s="1"/>
  <c r="AD4397" i="2" l="1"/>
  <c r="AE4398" i="2" s="1"/>
  <c r="AF4420" i="2"/>
  <c r="AD4414" i="2"/>
  <c r="AD4422" i="2"/>
  <c r="AD4413" i="2"/>
  <c r="AD4404" i="2"/>
  <c r="AD4405" i="2"/>
  <c r="AD4407" i="2" s="1"/>
  <c r="AD4406" i="2" l="1"/>
  <c r="AD4408" i="2" s="1"/>
  <c r="AE4409" i="2" s="1"/>
  <c r="AD4433" i="2"/>
  <c r="AD4425" i="2"/>
  <c r="AD4424" i="2"/>
  <c r="AF4431" i="2"/>
  <c r="AD4415" i="2"/>
  <c r="AD4416" i="2"/>
  <c r="AD4418" i="2" s="1"/>
  <c r="AD4426" i="2" l="1"/>
  <c r="AD4427" i="2"/>
  <c r="AD4429" i="2" s="1"/>
  <c r="AD4436" i="2"/>
  <c r="AD4444" i="2"/>
  <c r="AD4435" i="2"/>
  <c r="AF4442" i="2"/>
  <c r="AD4417" i="2"/>
  <c r="AD4419" i="2" s="1"/>
  <c r="AE4420" i="2" s="1"/>
  <c r="AF4453" i="2" l="1"/>
  <c r="AD4447" i="2"/>
  <c r="AD4455" i="2"/>
  <c r="AD4446" i="2"/>
  <c r="AD4437" i="2"/>
  <c r="AD4438" i="2"/>
  <c r="AD4440" i="2" s="1"/>
  <c r="AD4428" i="2"/>
  <c r="AD4430" i="2" s="1"/>
  <c r="AE4431" i="2" s="1"/>
  <c r="AD4448" i="2" l="1"/>
  <c r="AD4449" i="2"/>
  <c r="AD4451" i="2" s="1"/>
  <c r="AD4439" i="2"/>
  <c r="AD4441" i="2" s="1"/>
  <c r="AE4442" i="2" s="1"/>
  <c r="AD4457" i="2"/>
  <c r="AF4464" i="2"/>
  <c r="AD4458" i="2"/>
  <c r="AD4466" i="2"/>
  <c r="AD4477" i="2" l="1"/>
  <c r="AD4468" i="2"/>
  <c r="AF4475" i="2"/>
  <c r="AD4469" i="2"/>
  <c r="AD4459" i="2"/>
  <c r="AD4460" i="2"/>
  <c r="AD4462" i="2" s="1"/>
  <c r="AD4450" i="2"/>
  <c r="AD4452" i="2" s="1"/>
  <c r="AE4453" i="2" s="1"/>
  <c r="AD4480" i="2" l="1"/>
  <c r="AD4488" i="2"/>
  <c r="AF4486" i="2"/>
  <c r="AD4479" i="2"/>
  <c r="AD4461" i="2"/>
  <c r="AD4463" i="2" s="1"/>
  <c r="AE4464" i="2" s="1"/>
  <c r="AD4470" i="2"/>
  <c r="AD4471" i="2"/>
  <c r="AD4473" i="2" s="1"/>
  <c r="AD4472" i="2" l="1"/>
  <c r="AD4474" i="2" s="1"/>
  <c r="AE4475" i="2" s="1"/>
  <c r="AD4481" i="2"/>
  <c r="AD4482" i="2"/>
  <c r="AD4484" i="2" s="1"/>
  <c r="AD4490" i="2"/>
  <c r="AF4497" i="2"/>
  <c r="AD4491" i="2"/>
  <c r="AD4499" i="2"/>
  <c r="AD4510" i="2" l="1"/>
  <c r="AD4501" i="2"/>
  <c r="AF4508" i="2"/>
  <c r="AD4502" i="2"/>
  <c r="AD4492" i="2"/>
  <c r="AD4493" i="2"/>
  <c r="AD4495" i="2" s="1"/>
  <c r="AD4483" i="2"/>
  <c r="AD4485" i="2" s="1"/>
  <c r="AE4486" i="2" s="1"/>
  <c r="AD4513" i="2" l="1"/>
  <c r="AD4512" i="2"/>
  <c r="AF4519" i="2"/>
  <c r="AD4521" i="2"/>
  <c r="AD4494" i="2"/>
  <c r="AD4496" i="2" s="1"/>
  <c r="AE4497" i="2" s="1"/>
  <c r="AD4503" i="2"/>
  <c r="AD4505" i="2" s="1"/>
  <c r="AD4504" i="2"/>
  <c r="AD4506" i="2" s="1"/>
  <c r="AD4507" i="2" l="1"/>
  <c r="AE4508" i="2" s="1"/>
  <c r="AD4524" i="2"/>
  <c r="AD4532" i="2"/>
  <c r="AD4523" i="2"/>
  <c r="AF4530" i="2"/>
  <c r="AD4514" i="2"/>
  <c r="AD4516" i="2" s="1"/>
  <c r="AD4515" i="2"/>
  <c r="AD4517" i="2" s="1"/>
  <c r="AD4518" i="2" l="1"/>
  <c r="AE4519" i="2" s="1"/>
  <c r="AD4543" i="2"/>
  <c r="AD4534" i="2"/>
  <c r="AF4541" i="2"/>
  <c r="AD4535" i="2"/>
  <c r="AD4525" i="2"/>
  <c r="AD4527" i="2" s="1"/>
  <c r="AD4526" i="2"/>
  <c r="AD4528" i="2" s="1"/>
  <c r="AD4529" i="2" l="1"/>
  <c r="AE4530" i="2" s="1"/>
  <c r="AD4545" i="2"/>
  <c r="AF4552" i="2"/>
  <c r="AD4546" i="2"/>
  <c r="AD4554" i="2"/>
  <c r="AD4536" i="2"/>
  <c r="AD4538" i="2" s="1"/>
  <c r="AD4537" i="2"/>
  <c r="AD4539" i="2" s="1"/>
  <c r="AD4540" i="2" l="1"/>
  <c r="AE4541" i="2" s="1"/>
  <c r="AD4557" i="2"/>
  <c r="AD4565" i="2"/>
  <c r="AD4556" i="2"/>
  <c r="AF4563" i="2"/>
  <c r="AD4547" i="2"/>
  <c r="AD4548" i="2"/>
  <c r="AD4550" i="2" s="1"/>
  <c r="AD4549" i="2" l="1"/>
  <c r="AD4551" i="2" s="1"/>
  <c r="AE4552" i="2" s="1"/>
  <c r="AF4574" i="2"/>
  <c r="AD4567" i="2"/>
  <c r="AD4568" i="2"/>
  <c r="AD4576" i="2"/>
  <c r="AD4558" i="2"/>
  <c r="AD4560" i="2" s="1"/>
  <c r="AD4559" i="2"/>
  <c r="AD4561" i="2" s="1"/>
  <c r="AD4562" i="2" l="1"/>
  <c r="AE4563" i="2" s="1"/>
  <c r="AD4569" i="2"/>
  <c r="AD4570" i="2"/>
  <c r="AD4572" i="2" s="1"/>
  <c r="AF4585" i="2"/>
  <c r="AD4579" i="2"/>
  <c r="AD4587" i="2"/>
  <c r="AD4578" i="2"/>
  <c r="AF4596" i="2" l="1"/>
  <c r="AD4598" i="2"/>
  <c r="AD4589" i="2"/>
  <c r="AD4590" i="2"/>
  <c r="AD4571" i="2"/>
  <c r="AD4573" i="2" s="1"/>
  <c r="AE4574" i="2" s="1"/>
  <c r="AD4580" i="2"/>
  <c r="AD4581" i="2"/>
  <c r="AD4583" i="2" s="1"/>
  <c r="AD4582" i="2" l="1"/>
  <c r="AD4584" i="2" s="1"/>
  <c r="AE4585" i="2" s="1"/>
  <c r="AF4607" i="2"/>
  <c r="AD4609" i="2"/>
  <c r="AD4601" i="2"/>
  <c r="AD4600" i="2"/>
  <c r="AD4591" i="2"/>
  <c r="AD4592" i="2"/>
  <c r="AD4594" i="2" s="1"/>
  <c r="AD4593" i="2" l="1"/>
  <c r="AD4595" i="2" s="1"/>
  <c r="AE4596" i="2" s="1"/>
  <c r="AF4618" i="2"/>
  <c r="AD4612" i="2"/>
  <c r="AD4620" i="2"/>
  <c r="AD4611" i="2"/>
  <c r="AD4602" i="2"/>
  <c r="AD4603" i="2"/>
  <c r="AD4605" i="2" s="1"/>
  <c r="AD4604" i="2" l="1"/>
  <c r="AD4606" i="2" s="1"/>
  <c r="AE4607" i="2" s="1"/>
  <c r="AD4623" i="2"/>
  <c r="AD4622" i="2"/>
  <c r="AD4631" i="2"/>
  <c r="AF4629" i="2"/>
  <c r="AD4613" i="2"/>
  <c r="AD4614" i="2"/>
  <c r="AD4616" i="2" s="1"/>
  <c r="AD4615" i="2" l="1"/>
  <c r="AD4617" i="2" s="1"/>
  <c r="AE4618" i="2" s="1"/>
  <c r="AD4624" i="2"/>
  <c r="AD4625" i="2"/>
  <c r="AD4627" i="2" s="1"/>
  <c r="AD4633" i="2"/>
  <c r="AF4640" i="2"/>
  <c r="AD4634" i="2"/>
  <c r="AD4642" i="2"/>
  <c r="AD4653" i="2" l="1"/>
  <c r="AD4644" i="2"/>
  <c r="AF4651" i="2"/>
  <c r="AD4645" i="2"/>
  <c r="AD4635" i="2"/>
  <c r="AD4637" i="2" s="1"/>
  <c r="AD4636" i="2"/>
  <c r="AD4638" i="2" s="1"/>
  <c r="AD4626" i="2"/>
  <c r="AD4628" i="2" s="1"/>
  <c r="AE4629" i="2" s="1"/>
  <c r="AD4639" i="2" l="1"/>
  <c r="AE4640" i="2" s="1"/>
  <c r="AF4662" i="2"/>
  <c r="AD4655" i="2"/>
  <c r="AD4656" i="2"/>
  <c r="AD4646" i="2"/>
  <c r="AD4648" i="2" s="1"/>
  <c r="AD4647" i="2"/>
  <c r="AD4649" i="2" s="1"/>
  <c r="AD4650" i="2" l="1"/>
  <c r="AE4651" i="2" s="1"/>
  <c r="AD4657" i="2"/>
  <c r="AD4658" i="2"/>
  <c r="AD4660" i="2" s="1"/>
  <c r="AD4659" i="2" l="1"/>
  <c r="AD4661" i="2" s="1"/>
  <c r="AE4662" i="2" s="1"/>
  <c r="AF18" i="2" s="1"/>
  <c r="AF19" i="2" l="1"/>
  <c r="AG33" i="2" s="1"/>
  <c r="AF20" i="2"/>
  <c r="AG35" i="2" l="1"/>
  <c r="AG36" i="2"/>
  <c r="L40" i="3"/>
  <c r="AG37" i="2" l="1"/>
  <c r="AG38" i="2"/>
  <c r="AG40" i="2" s="1"/>
  <c r="K40" i="3"/>
  <c r="J44" i="3" s="1"/>
  <c r="J41" i="3" s="1"/>
  <c r="K44" i="3"/>
  <c r="AI42" i="2"/>
  <c r="AG44" i="2"/>
  <c r="AG55" i="2" s="1"/>
  <c r="AG39" i="2" l="1"/>
  <c r="AG41" i="2" s="1"/>
  <c r="AH42" i="2" s="1"/>
  <c r="K41" i="3"/>
  <c r="AG46" i="2"/>
  <c r="AG49" i="2" s="1"/>
  <c r="AG51" i="2" s="1"/>
  <c r="AI53" i="2"/>
  <c r="AG47" i="2"/>
  <c r="AG58" i="2"/>
  <c r="AG57" i="2"/>
  <c r="AI64" i="2"/>
  <c r="AG66" i="2"/>
  <c r="AG48" i="2" l="1"/>
  <c r="AG50" i="2" s="1"/>
  <c r="AG52" i="2" s="1"/>
  <c r="AH53" i="2" s="1"/>
  <c r="AG59" i="2"/>
  <c r="AG60" i="2"/>
  <c r="AG62" i="2" s="1"/>
  <c r="AG69" i="2"/>
  <c r="AG68" i="2"/>
  <c r="AI75" i="2"/>
  <c r="AG77" i="2"/>
  <c r="AG79" i="2" l="1"/>
  <c r="AG80" i="2"/>
  <c r="AI86" i="2"/>
  <c r="AG88" i="2"/>
  <c r="AG70" i="2"/>
  <c r="AG71" i="2"/>
  <c r="AG73" i="2" s="1"/>
  <c r="AG61" i="2"/>
  <c r="AG63" i="2" s="1"/>
  <c r="AH64" i="2" s="1"/>
  <c r="AG90" i="2" l="1"/>
  <c r="AI97" i="2"/>
  <c r="AG91" i="2"/>
  <c r="AG99" i="2"/>
  <c r="AG81" i="2"/>
  <c r="AG82" i="2"/>
  <c r="AG84" i="2" s="1"/>
  <c r="AG72" i="2"/>
  <c r="AG74" i="2" s="1"/>
  <c r="AH75" i="2" s="1"/>
  <c r="AG101" i="2" l="1"/>
  <c r="AI108" i="2"/>
  <c r="AG102" i="2"/>
  <c r="AG110" i="2"/>
  <c r="AG92" i="2"/>
  <c r="AG93" i="2"/>
  <c r="AG95" i="2" s="1"/>
  <c r="AG83" i="2"/>
  <c r="AG85" i="2" s="1"/>
  <c r="AH86" i="2" s="1"/>
  <c r="AI119" i="2" l="1"/>
  <c r="AG113" i="2"/>
  <c r="AG121" i="2"/>
  <c r="AG112" i="2"/>
  <c r="AG103" i="2"/>
  <c r="AG105" i="2" s="1"/>
  <c r="AG104" i="2"/>
  <c r="AG106" i="2" s="1"/>
  <c r="AG94" i="2"/>
  <c r="AG96" i="2" s="1"/>
  <c r="AH97" i="2" s="1"/>
  <c r="AG107" i="2" l="1"/>
  <c r="AH108" i="2" s="1"/>
  <c r="AG114" i="2"/>
  <c r="AG115" i="2"/>
  <c r="AG117" i="2" s="1"/>
  <c r="AG132" i="2"/>
  <c r="AG123" i="2"/>
  <c r="AI130" i="2"/>
  <c r="AG124" i="2"/>
  <c r="AG125" i="2" l="1"/>
  <c r="AG127" i="2" s="1"/>
  <c r="AG126" i="2"/>
  <c r="AG128" i="2" s="1"/>
  <c r="AG116" i="2"/>
  <c r="AG118" i="2" s="1"/>
  <c r="AH119" i="2" s="1"/>
  <c r="AG143" i="2"/>
  <c r="AG134" i="2"/>
  <c r="AI141" i="2"/>
  <c r="AG135" i="2"/>
  <c r="AG129" i="2" l="1"/>
  <c r="AH130" i="2" s="1"/>
  <c r="AG146" i="2"/>
  <c r="AG154" i="2"/>
  <c r="AG145" i="2"/>
  <c r="AI152" i="2"/>
  <c r="AG136" i="2"/>
  <c r="AG137" i="2"/>
  <c r="AG139" i="2" s="1"/>
  <c r="AG138" i="2" l="1"/>
  <c r="AG140" i="2" s="1"/>
  <c r="AH141" i="2" s="1"/>
  <c r="AG156" i="2"/>
  <c r="AI163" i="2"/>
  <c r="AG157" i="2"/>
  <c r="AG165" i="2"/>
  <c r="AG147" i="2"/>
  <c r="AG149" i="2" s="1"/>
  <c r="AG148" i="2"/>
  <c r="AG150" i="2" s="1"/>
  <c r="AG151" i="2" l="1"/>
  <c r="AH152" i="2" s="1"/>
  <c r="AG167" i="2"/>
  <c r="AI174" i="2"/>
  <c r="AG168" i="2"/>
  <c r="AG176" i="2"/>
  <c r="AG158" i="2"/>
  <c r="AG159" i="2"/>
  <c r="AG161" i="2" s="1"/>
  <c r="AG178" i="2" l="1"/>
  <c r="AI185" i="2"/>
  <c r="AG179" i="2"/>
  <c r="AG187" i="2"/>
  <c r="AG169" i="2"/>
  <c r="AG170" i="2"/>
  <c r="AG172" i="2" s="1"/>
  <c r="AG160" i="2"/>
  <c r="AG162" i="2" s="1"/>
  <c r="AH163" i="2" s="1"/>
  <c r="AG198" i="2" l="1"/>
  <c r="AG189" i="2"/>
  <c r="AI196" i="2"/>
  <c r="AG190" i="2"/>
  <c r="AG180" i="2"/>
  <c r="AG181" i="2"/>
  <c r="AG183" i="2" s="1"/>
  <c r="AG171" i="2"/>
  <c r="AG173" i="2" s="1"/>
  <c r="AH174" i="2" s="1"/>
  <c r="AG201" i="2" l="1"/>
  <c r="AG209" i="2"/>
  <c r="AG200" i="2"/>
  <c r="AI207" i="2"/>
  <c r="AG182" i="2"/>
  <c r="AG184" i="2" s="1"/>
  <c r="AH185" i="2" s="1"/>
  <c r="AG191" i="2"/>
  <c r="AG192" i="2"/>
  <c r="AG194" i="2" s="1"/>
  <c r="AG193" i="2" l="1"/>
  <c r="AG195" i="2" s="1"/>
  <c r="AH196" i="2" s="1"/>
  <c r="AG211" i="2"/>
  <c r="AI218" i="2"/>
  <c r="AG212" i="2"/>
  <c r="AG220" i="2"/>
  <c r="AG202" i="2"/>
  <c r="AG203" i="2"/>
  <c r="AG205" i="2" s="1"/>
  <c r="AG204" i="2" l="1"/>
  <c r="AG206" i="2" s="1"/>
  <c r="AH207" i="2" s="1"/>
  <c r="AG223" i="2"/>
  <c r="AG231" i="2"/>
  <c r="AG222" i="2"/>
  <c r="AI229" i="2"/>
  <c r="AG213" i="2"/>
  <c r="AG214" i="2"/>
  <c r="AG216" i="2" s="1"/>
  <c r="AG215" i="2" l="1"/>
  <c r="AG217" i="2" s="1"/>
  <c r="AH218" i="2" s="1"/>
  <c r="AG242" i="2"/>
  <c r="AG233" i="2"/>
  <c r="AI240" i="2"/>
  <c r="AG234" i="2"/>
  <c r="AG224" i="2"/>
  <c r="AG226" i="2" s="1"/>
  <c r="AG225" i="2"/>
  <c r="AG227" i="2" s="1"/>
  <c r="AG228" i="2" l="1"/>
  <c r="AH229" i="2" s="1"/>
  <c r="AG235" i="2"/>
  <c r="AG237" i="2" s="1"/>
  <c r="AG236" i="2"/>
  <c r="AG238" i="2" s="1"/>
  <c r="AI251" i="2"/>
  <c r="AG245" i="2"/>
  <c r="AG253" i="2"/>
  <c r="AG244" i="2"/>
  <c r="AG239" i="2" l="1"/>
  <c r="AH240" i="2" s="1"/>
  <c r="AI262" i="2"/>
  <c r="AG256" i="2"/>
  <c r="AG264" i="2"/>
  <c r="AG255" i="2"/>
  <c r="AG246" i="2"/>
  <c r="AG247" i="2"/>
  <c r="AG249" i="2" s="1"/>
  <c r="AG257" i="2" l="1"/>
  <c r="AG258" i="2"/>
  <c r="AG260" i="2" s="1"/>
  <c r="AG248" i="2"/>
  <c r="AG250" i="2" s="1"/>
  <c r="AH251" i="2" s="1"/>
  <c r="AG266" i="2"/>
  <c r="AI273" i="2"/>
  <c r="AG267" i="2"/>
  <c r="AG275" i="2"/>
  <c r="AG278" i="2" l="1"/>
  <c r="AG286" i="2"/>
  <c r="AG277" i="2"/>
  <c r="AI284" i="2"/>
  <c r="AG268" i="2"/>
  <c r="AG269" i="2"/>
  <c r="AG271" i="2" s="1"/>
  <c r="AG259" i="2"/>
  <c r="AG261" i="2" s="1"/>
  <c r="AH262" i="2" s="1"/>
  <c r="AG270" i="2" l="1"/>
  <c r="AG272" i="2" s="1"/>
  <c r="AH273" i="2" s="1"/>
  <c r="AI295" i="2"/>
  <c r="AG289" i="2"/>
  <c r="AG297" i="2"/>
  <c r="AG288" i="2"/>
  <c r="AG279" i="2"/>
  <c r="AG281" i="2" s="1"/>
  <c r="AG280" i="2"/>
  <c r="AG282" i="2" s="1"/>
  <c r="AG283" i="2" l="1"/>
  <c r="AH284" i="2" s="1"/>
  <c r="AI306" i="2"/>
  <c r="AG300" i="2"/>
  <c r="AG308" i="2"/>
  <c r="AG299" i="2"/>
  <c r="AG290" i="2"/>
  <c r="AG291" i="2"/>
  <c r="AG293" i="2" s="1"/>
  <c r="AG301" i="2" l="1"/>
  <c r="AG302" i="2"/>
  <c r="AG304" i="2" s="1"/>
  <c r="AG292" i="2"/>
  <c r="AG294" i="2" s="1"/>
  <c r="AH295" i="2" s="1"/>
  <c r="AG311" i="2"/>
  <c r="AG319" i="2"/>
  <c r="AG310" i="2"/>
  <c r="AI317" i="2"/>
  <c r="AG303" i="2" l="1"/>
  <c r="AG305" i="2" s="1"/>
  <c r="AH306" i="2" s="1"/>
  <c r="AI328" i="2"/>
  <c r="AG322" i="2"/>
  <c r="AG330" i="2"/>
  <c r="AG321" i="2"/>
  <c r="AG312" i="2"/>
  <c r="AG314" i="2" s="1"/>
  <c r="AG313" i="2"/>
  <c r="AG315" i="2" s="1"/>
  <c r="AI339" i="2" l="1"/>
  <c r="AG333" i="2"/>
  <c r="AG341" i="2"/>
  <c r="AG332" i="2"/>
  <c r="AG323" i="2"/>
  <c r="AG325" i="2" s="1"/>
  <c r="AG324" i="2"/>
  <c r="AG326" i="2" s="1"/>
  <c r="AG316" i="2"/>
  <c r="AH317" i="2" s="1"/>
  <c r="AG327" i="2" l="1"/>
  <c r="AH328" i="2" s="1"/>
  <c r="AG334" i="2"/>
  <c r="AG335" i="2"/>
  <c r="AG337" i="2" s="1"/>
  <c r="AI350" i="2"/>
  <c r="AG344" i="2"/>
  <c r="AG352" i="2"/>
  <c r="AG343" i="2"/>
  <c r="AG355" i="2" l="1"/>
  <c r="AG363" i="2"/>
  <c r="AG354" i="2"/>
  <c r="AI361" i="2"/>
  <c r="AG336" i="2"/>
  <c r="AG338" i="2" s="1"/>
  <c r="AH339" i="2" s="1"/>
  <c r="AG345" i="2"/>
  <c r="AG346" i="2"/>
  <c r="AG348" i="2" s="1"/>
  <c r="AG347" i="2" l="1"/>
  <c r="AG349" i="2" s="1"/>
  <c r="AH350" i="2" s="1"/>
  <c r="AG366" i="2"/>
  <c r="AG374" i="2"/>
  <c r="AG365" i="2"/>
  <c r="AI372" i="2"/>
  <c r="AG356" i="2"/>
  <c r="AG358" i="2" s="1"/>
  <c r="AG357" i="2"/>
  <c r="AG359" i="2" s="1"/>
  <c r="AG360" i="2" l="1"/>
  <c r="AH361" i="2" s="1"/>
  <c r="AI383" i="2"/>
  <c r="AG377" i="2"/>
  <c r="AG385" i="2"/>
  <c r="AG376" i="2"/>
  <c r="AG367" i="2"/>
  <c r="AG369" i="2" s="1"/>
  <c r="AG368" i="2"/>
  <c r="AG370" i="2" s="1"/>
  <c r="AG371" i="2" l="1"/>
  <c r="AH372" i="2" s="1"/>
  <c r="AG378" i="2"/>
  <c r="AG379" i="2"/>
  <c r="AG381" i="2" s="1"/>
  <c r="AI394" i="2"/>
  <c r="AG387" i="2"/>
  <c r="AG388" i="2"/>
  <c r="AG396" i="2"/>
  <c r="AG389" i="2" l="1"/>
  <c r="AG390" i="2"/>
  <c r="AG392" i="2" s="1"/>
  <c r="AG380" i="2"/>
  <c r="AG382" i="2" s="1"/>
  <c r="AH383" i="2" s="1"/>
  <c r="AI405" i="2"/>
  <c r="AG407" i="2"/>
  <c r="AG399" i="2"/>
  <c r="AG398" i="2"/>
  <c r="AG400" i="2" l="1"/>
  <c r="AG402" i="2" s="1"/>
  <c r="AG401" i="2"/>
  <c r="AG403" i="2" s="1"/>
  <c r="AG391" i="2"/>
  <c r="AG393" i="2" s="1"/>
  <c r="AH394" i="2" s="1"/>
  <c r="AG409" i="2"/>
  <c r="AI416" i="2"/>
  <c r="AG410" i="2"/>
  <c r="AG418" i="2"/>
  <c r="AG404" i="2" l="1"/>
  <c r="AH405" i="2" s="1"/>
  <c r="AI427" i="2"/>
  <c r="AG429" i="2"/>
  <c r="AG421" i="2"/>
  <c r="AG420" i="2"/>
  <c r="AG411" i="2"/>
  <c r="AG413" i="2" s="1"/>
  <c r="AG412" i="2"/>
  <c r="AG414" i="2" s="1"/>
  <c r="AG415" i="2" l="1"/>
  <c r="AH416" i="2" s="1"/>
  <c r="AG422" i="2"/>
  <c r="AG423" i="2"/>
  <c r="AG425" i="2" s="1"/>
  <c r="AI438" i="2"/>
  <c r="AG432" i="2"/>
  <c r="AG440" i="2"/>
  <c r="AG431" i="2"/>
  <c r="AG443" i="2" l="1"/>
  <c r="AG451" i="2"/>
  <c r="AG442" i="2"/>
  <c r="AI449" i="2"/>
  <c r="AG424" i="2"/>
  <c r="AG426" i="2" s="1"/>
  <c r="AH427" i="2" s="1"/>
  <c r="AG433" i="2"/>
  <c r="AG434" i="2"/>
  <c r="AG436" i="2" s="1"/>
  <c r="AG435" i="2" l="1"/>
  <c r="AG437" i="2" s="1"/>
  <c r="AH438" i="2" s="1"/>
  <c r="AI460" i="2"/>
  <c r="AG462" i="2"/>
  <c r="AG454" i="2"/>
  <c r="AG453" i="2"/>
  <c r="AG444" i="2"/>
  <c r="AG445" i="2"/>
  <c r="AG447" i="2" s="1"/>
  <c r="AG446" i="2" l="1"/>
  <c r="AG448" i="2" s="1"/>
  <c r="AH449" i="2" s="1"/>
  <c r="AI471" i="2"/>
  <c r="AG465" i="2"/>
  <c r="AG473" i="2"/>
  <c r="AG464" i="2"/>
  <c r="AG455" i="2"/>
  <c r="AG457" i="2" s="1"/>
  <c r="AG456" i="2"/>
  <c r="AG458" i="2" s="1"/>
  <c r="AG459" i="2" l="1"/>
  <c r="AH460" i="2" s="1"/>
  <c r="AG476" i="2"/>
  <c r="AG484" i="2"/>
  <c r="AG475" i="2"/>
  <c r="AI482" i="2"/>
  <c r="AG466" i="2"/>
  <c r="AG468" i="2" s="1"/>
  <c r="AG467" i="2"/>
  <c r="AG469" i="2" s="1"/>
  <c r="AG470" i="2" l="1"/>
  <c r="AH471" i="2" s="1"/>
  <c r="AG486" i="2"/>
  <c r="AI493" i="2"/>
  <c r="AG487" i="2"/>
  <c r="AG495" i="2"/>
  <c r="AG477" i="2"/>
  <c r="AG479" i="2" s="1"/>
  <c r="AG478" i="2"/>
  <c r="AG480" i="2" s="1"/>
  <c r="AG481" i="2" l="1"/>
  <c r="AH482" i="2" s="1"/>
  <c r="AG498" i="2"/>
  <c r="AG506" i="2"/>
  <c r="AG497" i="2"/>
  <c r="AI504" i="2"/>
  <c r="AG488" i="2"/>
  <c r="AG490" i="2" s="1"/>
  <c r="AG489" i="2"/>
  <c r="AG491" i="2" s="1"/>
  <c r="AG492" i="2" l="1"/>
  <c r="AH493" i="2" s="1"/>
  <c r="AG508" i="2"/>
  <c r="AG509" i="2"/>
  <c r="AG517" i="2"/>
  <c r="AI515" i="2"/>
  <c r="AG499" i="2"/>
  <c r="AG501" i="2" s="1"/>
  <c r="AG500" i="2"/>
  <c r="AG502" i="2" s="1"/>
  <c r="AG503" i="2" l="1"/>
  <c r="AH504" i="2" s="1"/>
  <c r="AG510" i="2"/>
  <c r="AG512" i="2" s="1"/>
  <c r="AG511" i="2"/>
  <c r="AG513" i="2" s="1"/>
  <c r="AI526" i="2"/>
  <c r="AG520" i="2"/>
  <c r="AG528" i="2"/>
  <c r="AG519" i="2"/>
  <c r="AG514" i="2" l="1"/>
  <c r="AH515" i="2" s="1"/>
  <c r="AG530" i="2"/>
  <c r="AG539" i="2"/>
  <c r="AI537" i="2"/>
  <c r="AG531" i="2"/>
  <c r="AG521" i="2"/>
  <c r="AG523" i="2" s="1"/>
  <c r="AG522" i="2"/>
  <c r="AG524" i="2" s="1"/>
  <c r="AG525" i="2" l="1"/>
  <c r="AH526" i="2" s="1"/>
  <c r="AG532" i="2"/>
  <c r="AG534" i="2" s="1"/>
  <c r="AG533" i="2"/>
  <c r="AG535" i="2" s="1"/>
  <c r="AI548" i="2"/>
  <c r="AG550" i="2"/>
  <c r="AG542" i="2"/>
  <c r="AG541" i="2"/>
  <c r="AG536" i="2" l="1"/>
  <c r="AH537" i="2" s="1"/>
  <c r="AG561" i="2"/>
  <c r="AG552" i="2"/>
  <c r="AI559" i="2"/>
  <c r="AG553" i="2"/>
  <c r="AG543" i="2"/>
  <c r="AG545" i="2" s="1"/>
  <c r="AG544" i="2"/>
  <c r="AG546" i="2" s="1"/>
  <c r="AG547" i="2" l="1"/>
  <c r="AH548" i="2" s="1"/>
  <c r="AI570" i="2"/>
  <c r="AG564" i="2"/>
  <c r="AG572" i="2"/>
  <c r="AG563" i="2"/>
  <c r="AG554" i="2"/>
  <c r="AG555" i="2"/>
  <c r="AG557" i="2" s="1"/>
  <c r="AG565" i="2" l="1"/>
  <c r="AG566" i="2"/>
  <c r="AG568" i="2" s="1"/>
  <c r="AG556" i="2"/>
  <c r="AG558" i="2" s="1"/>
  <c r="AH559" i="2" s="1"/>
  <c r="AI581" i="2"/>
  <c r="AG575" i="2"/>
  <c r="AG583" i="2"/>
  <c r="AG574" i="2"/>
  <c r="AG576" i="2" l="1"/>
  <c r="AG578" i="2" s="1"/>
  <c r="AG577" i="2"/>
  <c r="AG579" i="2" s="1"/>
  <c r="AG567" i="2"/>
  <c r="AG569" i="2" s="1"/>
  <c r="AH570" i="2" s="1"/>
  <c r="AG585" i="2"/>
  <c r="AI592" i="2"/>
  <c r="AG586" i="2"/>
  <c r="AG594" i="2"/>
  <c r="AG580" i="2" l="1"/>
  <c r="AH581" i="2" s="1"/>
  <c r="AG605" i="2"/>
  <c r="AG597" i="2"/>
  <c r="AG596" i="2"/>
  <c r="AI603" i="2"/>
  <c r="AG587" i="2"/>
  <c r="AG589" i="2" s="1"/>
  <c r="AG588" i="2"/>
  <c r="AG590" i="2" s="1"/>
  <c r="AG591" i="2" l="1"/>
  <c r="AH592" i="2" s="1"/>
  <c r="AI614" i="2"/>
  <c r="AG616" i="2"/>
  <c r="AG607" i="2"/>
  <c r="AG608" i="2"/>
  <c r="AG598" i="2"/>
  <c r="AG599" i="2"/>
  <c r="AG601" i="2" s="1"/>
  <c r="AG600" i="2" l="1"/>
  <c r="AG602" i="2" s="1"/>
  <c r="AH603" i="2" s="1"/>
  <c r="AG627" i="2"/>
  <c r="AG619" i="2"/>
  <c r="AG618" i="2"/>
  <c r="AI625" i="2"/>
  <c r="AG609" i="2"/>
  <c r="AG610" i="2"/>
  <c r="AG612" i="2" s="1"/>
  <c r="AG611" i="2" l="1"/>
  <c r="AG613" i="2" s="1"/>
  <c r="AH614" i="2" s="1"/>
  <c r="AG620" i="2"/>
  <c r="AG621" i="2"/>
  <c r="AG623" i="2" s="1"/>
  <c r="AI636" i="2"/>
  <c r="AG630" i="2"/>
  <c r="AG629" i="2"/>
  <c r="AG638" i="2"/>
  <c r="AG640" i="2" l="1"/>
  <c r="AG641" i="2"/>
  <c r="AG649" i="2"/>
  <c r="AI647" i="2"/>
  <c r="AG631" i="2"/>
  <c r="AG632" i="2"/>
  <c r="AG634" i="2" s="1"/>
  <c r="AG622" i="2"/>
  <c r="AG624" i="2" s="1"/>
  <c r="AH625" i="2" s="1"/>
  <c r="AG642" i="2" l="1"/>
  <c r="AG643" i="2"/>
  <c r="AG645" i="2" s="1"/>
  <c r="AG633" i="2"/>
  <c r="AG635" i="2" s="1"/>
  <c r="AH636" i="2" s="1"/>
  <c r="AG651" i="2"/>
  <c r="AG652" i="2"/>
  <c r="AG660" i="2"/>
  <c r="AI658" i="2"/>
  <c r="AG653" i="2" l="1"/>
  <c r="AG655" i="2" s="1"/>
  <c r="AG654" i="2"/>
  <c r="AG656" i="2" s="1"/>
  <c r="AG644" i="2"/>
  <c r="AG646" i="2" s="1"/>
  <c r="AH647" i="2" s="1"/>
  <c r="AG663" i="2"/>
  <c r="AG671" i="2"/>
  <c r="AG662" i="2"/>
  <c r="AI669" i="2"/>
  <c r="AG657" i="2" l="1"/>
  <c r="AH658" i="2" s="1"/>
  <c r="AG673" i="2"/>
  <c r="AI680" i="2"/>
  <c r="AG674" i="2"/>
  <c r="AG682" i="2"/>
  <c r="AG664" i="2"/>
  <c r="AG666" i="2" s="1"/>
  <c r="AG665" i="2"/>
  <c r="AG667" i="2" s="1"/>
  <c r="AG668" i="2" l="1"/>
  <c r="AH669" i="2" s="1"/>
  <c r="AI691" i="2"/>
  <c r="AG685" i="2"/>
  <c r="AG693" i="2"/>
  <c r="AG684" i="2"/>
  <c r="AG675" i="2"/>
  <c r="AG676" i="2"/>
  <c r="AG678" i="2" s="1"/>
  <c r="AG686" i="2" l="1"/>
  <c r="AG687" i="2"/>
  <c r="AG689" i="2" s="1"/>
  <c r="AG677" i="2"/>
  <c r="AG679" i="2" s="1"/>
  <c r="AH680" i="2" s="1"/>
  <c r="AI702" i="2"/>
  <c r="AG696" i="2"/>
  <c r="AG704" i="2"/>
  <c r="AG695" i="2"/>
  <c r="AG697" i="2" l="1"/>
  <c r="AG698" i="2"/>
  <c r="AG700" i="2" s="1"/>
  <c r="AG688" i="2"/>
  <c r="AG690" i="2" s="1"/>
  <c r="AH691" i="2" s="1"/>
  <c r="AG707" i="2"/>
  <c r="AG715" i="2"/>
  <c r="AG706" i="2"/>
  <c r="AI713" i="2"/>
  <c r="AG699" i="2" l="1"/>
  <c r="AG701" i="2" s="1"/>
  <c r="AH702" i="2" s="1"/>
  <c r="AG726" i="2"/>
  <c r="AG718" i="2"/>
  <c r="AG717" i="2"/>
  <c r="AI724" i="2"/>
  <c r="AG708" i="2"/>
  <c r="AG709" i="2"/>
  <c r="AG711" i="2" s="1"/>
  <c r="AG710" i="2" l="1"/>
  <c r="AG712" i="2" s="1"/>
  <c r="AH713" i="2" s="1"/>
  <c r="AG719" i="2"/>
  <c r="AG720" i="2"/>
  <c r="AG722" i="2" s="1"/>
  <c r="AG728" i="2"/>
  <c r="AG729" i="2"/>
  <c r="AG737" i="2"/>
  <c r="AI735" i="2"/>
  <c r="AG730" i="2" l="1"/>
  <c r="AG731" i="2"/>
  <c r="AG733" i="2" s="1"/>
  <c r="AG740" i="2"/>
  <c r="AG739" i="2"/>
  <c r="AG748" i="2"/>
  <c r="AI746" i="2"/>
  <c r="AG721" i="2"/>
  <c r="AG723" i="2" s="1"/>
  <c r="AH724" i="2" s="1"/>
  <c r="AG741" i="2" l="1"/>
  <c r="AG742" i="2"/>
  <c r="AG744" i="2" s="1"/>
  <c r="AG751" i="2"/>
  <c r="AI757" i="2"/>
  <c r="AG759" i="2"/>
  <c r="AG750" i="2"/>
  <c r="AG732" i="2"/>
  <c r="AG734" i="2" s="1"/>
  <c r="AH735" i="2" s="1"/>
  <c r="AG761" i="2" l="1"/>
  <c r="AG762" i="2"/>
  <c r="AG770" i="2"/>
  <c r="AI768" i="2"/>
  <c r="AG743" i="2"/>
  <c r="AG745" i="2" s="1"/>
  <c r="AH746" i="2" s="1"/>
  <c r="AG752" i="2"/>
  <c r="AG753" i="2"/>
  <c r="AG755" i="2" s="1"/>
  <c r="AG754" i="2" l="1"/>
  <c r="AG756" i="2" s="1"/>
  <c r="AH757" i="2" s="1"/>
  <c r="AG763" i="2"/>
  <c r="AG764" i="2"/>
  <c r="AG766" i="2" s="1"/>
  <c r="AG781" i="2"/>
  <c r="AG772" i="2"/>
  <c r="AI779" i="2"/>
  <c r="AG773" i="2"/>
  <c r="AG792" i="2" l="1"/>
  <c r="AI790" i="2"/>
  <c r="AG784" i="2"/>
  <c r="AG783" i="2"/>
  <c r="AG774" i="2"/>
  <c r="AG775" i="2"/>
  <c r="AG777" i="2" s="1"/>
  <c r="AG765" i="2"/>
  <c r="AG767" i="2" s="1"/>
  <c r="AH768" i="2" s="1"/>
  <c r="AG785" i="2" l="1"/>
  <c r="AG787" i="2" s="1"/>
  <c r="AG786" i="2"/>
  <c r="AG788" i="2" s="1"/>
  <c r="AG795" i="2"/>
  <c r="AG794" i="2"/>
  <c r="AI801" i="2"/>
  <c r="AG803" i="2"/>
  <c r="AG776" i="2"/>
  <c r="AG778" i="2" s="1"/>
  <c r="AH779" i="2" s="1"/>
  <c r="AG789" i="2" l="1"/>
  <c r="AH790" i="2" s="1"/>
  <c r="AG796" i="2"/>
  <c r="AG797" i="2"/>
  <c r="AG799" i="2" s="1"/>
  <c r="AG806" i="2"/>
  <c r="AG814" i="2"/>
  <c r="AI812" i="2"/>
  <c r="AG805" i="2"/>
  <c r="AG817" i="2" l="1"/>
  <c r="AI823" i="2"/>
  <c r="AG825" i="2"/>
  <c r="AG816" i="2"/>
  <c r="AG798" i="2"/>
  <c r="AG800" i="2" s="1"/>
  <c r="AH801" i="2" s="1"/>
  <c r="AG807" i="2"/>
  <c r="AG808" i="2"/>
  <c r="AG810" i="2" s="1"/>
  <c r="AG809" i="2" l="1"/>
  <c r="AG811" i="2" s="1"/>
  <c r="AH812" i="2" s="1"/>
  <c r="AG818" i="2"/>
  <c r="AG819" i="2"/>
  <c r="AG821" i="2" s="1"/>
  <c r="AG828" i="2"/>
  <c r="AG836" i="2"/>
  <c r="AG827" i="2"/>
  <c r="AI834" i="2"/>
  <c r="AI845" i="2" l="1"/>
  <c r="AG847" i="2"/>
  <c r="AG838" i="2"/>
  <c r="AG839" i="2"/>
  <c r="AG829" i="2"/>
  <c r="AG831" i="2" s="1"/>
  <c r="AG830" i="2"/>
  <c r="AG832" i="2" s="1"/>
  <c r="AG820" i="2"/>
  <c r="AG822" i="2" s="1"/>
  <c r="AH823" i="2" s="1"/>
  <c r="AG833" i="2" l="1"/>
  <c r="AH834" i="2" s="1"/>
  <c r="AG849" i="2"/>
  <c r="AI856" i="2"/>
  <c r="AG858" i="2"/>
  <c r="AG850" i="2"/>
  <c r="AG840" i="2"/>
  <c r="AG841" i="2"/>
  <c r="AG843" i="2" s="1"/>
  <c r="AG851" i="2" l="1"/>
  <c r="AG852" i="2"/>
  <c r="AG854" i="2" s="1"/>
  <c r="AG842" i="2"/>
  <c r="AG844" i="2" s="1"/>
  <c r="AH845" i="2" s="1"/>
  <c r="AG869" i="2"/>
  <c r="AG860" i="2"/>
  <c r="AI867" i="2"/>
  <c r="AG861" i="2"/>
  <c r="AG880" i="2" l="1"/>
  <c r="AG871" i="2"/>
  <c r="AI878" i="2"/>
  <c r="AG872" i="2"/>
  <c r="AG853" i="2"/>
  <c r="AG855" i="2" s="1"/>
  <c r="AH856" i="2" s="1"/>
  <c r="AG862" i="2"/>
  <c r="AG864" i="2" s="1"/>
  <c r="AG863" i="2"/>
  <c r="AG865" i="2" s="1"/>
  <c r="AG866" i="2" l="1"/>
  <c r="AH867" i="2" s="1"/>
  <c r="AG883" i="2"/>
  <c r="AG891" i="2"/>
  <c r="AG882" i="2"/>
  <c r="AI889" i="2"/>
  <c r="AG873" i="2"/>
  <c r="AG875" i="2" s="1"/>
  <c r="AG874" i="2"/>
  <c r="AG876" i="2" s="1"/>
  <c r="AG877" i="2" l="1"/>
  <c r="AH878" i="2" s="1"/>
  <c r="AI900" i="2"/>
  <c r="AG902" i="2"/>
  <c r="AG893" i="2"/>
  <c r="AG894" i="2"/>
  <c r="AG884" i="2"/>
  <c r="AG885" i="2"/>
  <c r="AG887" i="2" s="1"/>
  <c r="AG886" i="2" l="1"/>
  <c r="AG888" i="2" s="1"/>
  <c r="AH889" i="2" s="1"/>
  <c r="AI911" i="2"/>
  <c r="AG905" i="2"/>
  <c r="AG913" i="2"/>
  <c r="AG904" i="2"/>
  <c r="AG895" i="2"/>
  <c r="AG897" i="2" s="1"/>
  <c r="AG896" i="2"/>
  <c r="AG898" i="2" s="1"/>
  <c r="AG899" i="2" l="1"/>
  <c r="AH900" i="2" s="1"/>
  <c r="AG915" i="2"/>
  <c r="AI922" i="2"/>
  <c r="AG916" i="2"/>
  <c r="AG924" i="2"/>
  <c r="AG906" i="2"/>
  <c r="AG908" i="2" s="1"/>
  <c r="AG907" i="2"/>
  <c r="AG909" i="2" s="1"/>
  <c r="AG910" i="2" l="1"/>
  <c r="AH911" i="2" s="1"/>
  <c r="AG926" i="2"/>
  <c r="AI933" i="2"/>
  <c r="AG927" i="2"/>
  <c r="AG935" i="2"/>
  <c r="AG917" i="2"/>
  <c r="AG918" i="2"/>
  <c r="AG920" i="2" s="1"/>
  <c r="AG937" i="2" l="1"/>
  <c r="AI944" i="2"/>
  <c r="AG946" i="2"/>
  <c r="AG938" i="2"/>
  <c r="AG928" i="2"/>
  <c r="AG930" i="2" s="1"/>
  <c r="AG929" i="2"/>
  <c r="AG931" i="2" s="1"/>
  <c r="AG919" i="2"/>
  <c r="AG921" i="2" s="1"/>
  <c r="AH922" i="2" s="1"/>
  <c r="AG932" i="2" l="1"/>
  <c r="AH933" i="2" s="1"/>
  <c r="AG939" i="2"/>
  <c r="AG941" i="2" s="1"/>
  <c r="AG940" i="2"/>
  <c r="AG942" i="2" s="1"/>
  <c r="AG957" i="2"/>
  <c r="AG948" i="2"/>
  <c r="AI955" i="2"/>
  <c r="AG949" i="2"/>
  <c r="AG943" i="2" l="1"/>
  <c r="AH944" i="2" s="1"/>
  <c r="AG950" i="2"/>
  <c r="AG952" i="2" s="1"/>
  <c r="AG951" i="2"/>
  <c r="AG953" i="2" s="1"/>
  <c r="AG968" i="2"/>
  <c r="AG960" i="2"/>
  <c r="AG959" i="2"/>
  <c r="AI966" i="2"/>
  <c r="AG954" i="2" l="1"/>
  <c r="AH955" i="2" s="1"/>
  <c r="AG961" i="2"/>
  <c r="AG963" i="2" s="1"/>
  <c r="AG962" i="2"/>
  <c r="AG964" i="2" s="1"/>
  <c r="AI977" i="2"/>
  <c r="AG971" i="2"/>
  <c r="AG979" i="2"/>
  <c r="AG970" i="2"/>
  <c r="AG965" i="2" l="1"/>
  <c r="AH966" i="2" s="1"/>
  <c r="AG982" i="2"/>
  <c r="AG990" i="2"/>
  <c r="AG981" i="2"/>
  <c r="AI988" i="2"/>
  <c r="AG972" i="2"/>
  <c r="AG974" i="2" s="1"/>
  <c r="AG973" i="2"/>
  <c r="AG975" i="2" s="1"/>
  <c r="AG976" i="2" l="1"/>
  <c r="AH977" i="2" s="1"/>
  <c r="AI999" i="2"/>
  <c r="AG993" i="2"/>
  <c r="AG1001" i="2"/>
  <c r="AG992" i="2"/>
  <c r="AG983" i="2"/>
  <c r="AG985" i="2" s="1"/>
  <c r="AG984" i="2"/>
  <c r="AG986" i="2" s="1"/>
  <c r="AG987" i="2" l="1"/>
  <c r="AH988" i="2" s="1"/>
  <c r="AG994" i="2"/>
  <c r="AG995" i="2"/>
  <c r="AG997" i="2" s="1"/>
  <c r="AG1003" i="2"/>
  <c r="AI1010" i="2"/>
  <c r="AG1004" i="2"/>
  <c r="AG1012" i="2"/>
  <c r="AG996" i="2" l="1"/>
  <c r="AG998" i="2" s="1"/>
  <c r="AH999" i="2" s="1"/>
  <c r="AG1023" i="2"/>
  <c r="AG1014" i="2"/>
  <c r="AI1021" i="2"/>
  <c r="AG1015" i="2"/>
  <c r="AG1005" i="2"/>
  <c r="AG1006" i="2"/>
  <c r="AG1008" i="2" s="1"/>
  <c r="AG1007" i="2" l="1"/>
  <c r="AG1009" i="2" s="1"/>
  <c r="AH1010" i="2" s="1"/>
  <c r="AG1016" i="2"/>
  <c r="AG1018" i="2" s="1"/>
  <c r="AG1017" i="2"/>
  <c r="AG1019" i="2" s="1"/>
  <c r="AG1025" i="2"/>
  <c r="AI1032" i="2"/>
  <c r="AG1034" i="2"/>
  <c r="AG1026" i="2"/>
  <c r="AG1027" i="2" l="1"/>
  <c r="AG1029" i="2" s="1"/>
  <c r="AG1028" i="2"/>
  <c r="AG1030" i="2" s="1"/>
  <c r="AI1043" i="2"/>
  <c r="AG1037" i="2"/>
  <c r="AG1045" i="2"/>
  <c r="AG1036" i="2"/>
  <c r="AG1020" i="2"/>
  <c r="AH1021" i="2" s="1"/>
  <c r="AG1031" i="2" l="1"/>
  <c r="AH1032" i="2" s="1"/>
  <c r="AG1056" i="2"/>
  <c r="AG1047" i="2"/>
  <c r="AI1054" i="2"/>
  <c r="AG1048" i="2"/>
  <c r="AG1038" i="2"/>
  <c r="AG1039" i="2"/>
  <c r="AG1041" i="2" s="1"/>
  <c r="AG1067" i="2" l="1"/>
  <c r="AG1058" i="2"/>
  <c r="AI1065" i="2"/>
  <c r="AG1059" i="2"/>
  <c r="AG1040" i="2"/>
  <c r="AG1042" i="2" s="1"/>
  <c r="AH1043" i="2" s="1"/>
  <c r="AG1049" i="2"/>
  <c r="AG1050" i="2"/>
  <c r="AG1052" i="2" s="1"/>
  <c r="AG1051" i="2" l="1"/>
  <c r="AG1053" i="2" s="1"/>
  <c r="AH1054" i="2" s="1"/>
  <c r="AG1078" i="2"/>
  <c r="AG1069" i="2"/>
  <c r="AI1076" i="2"/>
  <c r="AG1070" i="2"/>
  <c r="AG1060" i="2"/>
  <c r="AG1061" i="2"/>
  <c r="AG1063" i="2" s="1"/>
  <c r="AG1062" i="2" l="1"/>
  <c r="AG1064" i="2" s="1"/>
  <c r="AH1065" i="2" s="1"/>
  <c r="AG1071" i="2"/>
  <c r="AG1073" i="2" s="1"/>
  <c r="AG1072" i="2"/>
  <c r="AG1074" i="2" s="1"/>
  <c r="AG1089" i="2"/>
  <c r="AG1080" i="2"/>
  <c r="AI1087" i="2"/>
  <c r="AG1081" i="2"/>
  <c r="AI1098" i="2" l="1"/>
  <c r="AG1092" i="2"/>
  <c r="AG1100" i="2"/>
  <c r="AG1091" i="2"/>
  <c r="AG1082" i="2"/>
  <c r="AG1084" i="2" s="1"/>
  <c r="AG1083" i="2"/>
  <c r="AG1085" i="2" s="1"/>
  <c r="AG1075" i="2"/>
  <c r="AH1076" i="2" s="1"/>
  <c r="AG1086" i="2" l="1"/>
  <c r="AH1087" i="2" s="1"/>
  <c r="AI1109" i="2"/>
  <c r="AG1103" i="2"/>
  <c r="AG1111" i="2"/>
  <c r="AG1102" i="2"/>
  <c r="AG1093" i="2"/>
  <c r="AG1095" i="2" s="1"/>
  <c r="AG1094" i="2"/>
  <c r="AG1096" i="2" s="1"/>
  <c r="AG1097" i="2" l="1"/>
  <c r="AH1098" i="2" s="1"/>
  <c r="AG1113" i="2"/>
  <c r="AI1120" i="2"/>
  <c r="AG1122" i="2"/>
  <c r="AG1114" i="2"/>
  <c r="AG1104" i="2"/>
  <c r="AG1105" i="2"/>
  <c r="AG1107" i="2" s="1"/>
  <c r="AG1124" i="2" l="1"/>
  <c r="AI1131" i="2"/>
  <c r="AG1125" i="2"/>
  <c r="AG1133" i="2"/>
  <c r="AG1115" i="2"/>
  <c r="AG1116" i="2"/>
  <c r="AG1118" i="2" s="1"/>
  <c r="AG1106" i="2"/>
  <c r="AG1108" i="2" s="1"/>
  <c r="AH1109" i="2" s="1"/>
  <c r="AG1126" i="2" l="1"/>
  <c r="AG1128" i="2" s="1"/>
  <c r="AG1127" i="2"/>
  <c r="AG1129" i="2" s="1"/>
  <c r="AG1117" i="2"/>
  <c r="AG1119" i="2" s="1"/>
  <c r="AH1120" i="2" s="1"/>
  <c r="AG1136" i="2"/>
  <c r="AG1135" i="2"/>
  <c r="AI1142" i="2"/>
  <c r="AG1144" i="2"/>
  <c r="AG1130" i="2" l="1"/>
  <c r="AH1131" i="2" s="1"/>
  <c r="AG1137" i="2"/>
  <c r="AG1138" i="2"/>
  <c r="AG1140" i="2" s="1"/>
  <c r="AG1146" i="2"/>
  <c r="AI1153" i="2"/>
  <c r="AG1147" i="2"/>
  <c r="AG1155" i="2"/>
  <c r="AG1139" i="2" l="1"/>
  <c r="AG1141" i="2" s="1"/>
  <c r="AH1142" i="2" s="1"/>
  <c r="AG1166" i="2"/>
  <c r="AG1157" i="2"/>
  <c r="AI1164" i="2"/>
  <c r="AG1158" i="2"/>
  <c r="AG1148" i="2"/>
  <c r="AG1149" i="2"/>
  <c r="AG1151" i="2" s="1"/>
  <c r="AG1168" i="2" l="1"/>
  <c r="AI1175" i="2"/>
  <c r="AG1169" i="2"/>
  <c r="AG1177" i="2"/>
  <c r="AG1150" i="2"/>
  <c r="AG1152" i="2" s="1"/>
  <c r="AH1153" i="2" s="1"/>
  <c r="AG1159" i="2"/>
  <c r="AG1160" i="2"/>
  <c r="AG1162" i="2" s="1"/>
  <c r="AG1170" i="2" l="1"/>
  <c r="AG1171" i="2"/>
  <c r="AG1173" i="2" s="1"/>
  <c r="AG1161" i="2"/>
  <c r="AG1163" i="2" s="1"/>
  <c r="AH1164" i="2" s="1"/>
  <c r="AG1179" i="2"/>
  <c r="AI1186" i="2"/>
  <c r="AG1180" i="2"/>
  <c r="AG1188" i="2"/>
  <c r="AG1181" i="2" l="1"/>
  <c r="AG1182" i="2"/>
  <c r="AG1184" i="2" s="1"/>
  <c r="AG1172" i="2"/>
  <c r="AG1174" i="2" s="1"/>
  <c r="AH1175" i="2" s="1"/>
  <c r="AG1190" i="2"/>
  <c r="AI1197" i="2"/>
  <c r="AG1191" i="2"/>
  <c r="AG1199" i="2"/>
  <c r="AG1192" i="2" l="1"/>
  <c r="AG1194" i="2" s="1"/>
  <c r="AG1193" i="2"/>
  <c r="AG1195" i="2" s="1"/>
  <c r="AG1183" i="2"/>
  <c r="AG1185" i="2" s="1"/>
  <c r="AH1186" i="2" s="1"/>
  <c r="AI1208" i="2"/>
  <c r="AG1210" i="2"/>
  <c r="AG1202" i="2"/>
  <c r="AG1201" i="2"/>
  <c r="AG1196" i="2" l="1"/>
  <c r="AH1197" i="2" s="1"/>
  <c r="AG1212" i="2"/>
  <c r="AI1219" i="2"/>
  <c r="AG1213" i="2"/>
  <c r="AG1221" i="2"/>
  <c r="AG1203" i="2"/>
  <c r="AG1204" i="2"/>
  <c r="AG1206" i="2" s="1"/>
  <c r="AG1214" i="2" l="1"/>
  <c r="AG1216" i="2" s="1"/>
  <c r="AG1215" i="2"/>
  <c r="AG1217" i="2" s="1"/>
  <c r="AG1205" i="2"/>
  <c r="AG1207" i="2" s="1"/>
  <c r="AH1208" i="2" s="1"/>
  <c r="AG1232" i="2"/>
  <c r="AG1224" i="2"/>
  <c r="AG1223" i="2"/>
  <c r="AI1230" i="2"/>
  <c r="AG1218" i="2" l="1"/>
  <c r="AH1219" i="2" s="1"/>
  <c r="AI1241" i="2"/>
  <c r="AG1234" i="2"/>
  <c r="AG1243" i="2"/>
  <c r="AG1235" i="2"/>
  <c r="AG1225" i="2"/>
  <c r="AG1227" i="2" s="1"/>
  <c r="AG1226" i="2"/>
  <c r="AG1228" i="2" s="1"/>
  <c r="AG1229" i="2" l="1"/>
  <c r="AH1230" i="2" s="1"/>
  <c r="AG1236" i="2"/>
  <c r="AG1237" i="2"/>
  <c r="AG1239" i="2" s="1"/>
  <c r="AG1246" i="2"/>
  <c r="AG1254" i="2"/>
  <c r="AI1252" i="2"/>
  <c r="AG1245" i="2"/>
  <c r="AG1238" i="2" l="1"/>
  <c r="AG1240" i="2" s="1"/>
  <c r="AH1241" i="2" s="1"/>
  <c r="AG1247" i="2"/>
  <c r="AG1249" i="2" s="1"/>
  <c r="AG1248" i="2"/>
  <c r="AG1250" i="2" s="1"/>
  <c r="AG1257" i="2"/>
  <c r="AG1265" i="2"/>
  <c r="AG1256" i="2"/>
  <c r="AI1263" i="2"/>
  <c r="AI1274" i="2" l="1"/>
  <c r="AG1267" i="2"/>
  <c r="AG1268" i="2"/>
  <c r="AG1276" i="2"/>
  <c r="AG1258" i="2"/>
  <c r="AG1260" i="2" s="1"/>
  <c r="AG1259" i="2"/>
  <c r="AG1261" i="2" s="1"/>
  <c r="AG1251" i="2"/>
  <c r="AH1252" i="2" s="1"/>
  <c r="AG1262" i="2" l="1"/>
  <c r="AH1263" i="2" s="1"/>
  <c r="AG1278" i="2"/>
  <c r="AG1287" i="2"/>
  <c r="AG1279" i="2"/>
  <c r="AI1285" i="2"/>
  <c r="AG1269" i="2"/>
  <c r="AG1270" i="2"/>
  <c r="AG1272" i="2" s="1"/>
  <c r="AG1280" i="2" l="1"/>
  <c r="AG1282" i="2" s="1"/>
  <c r="AG1281" i="2"/>
  <c r="AG1283" i="2" s="1"/>
  <c r="AG1271" i="2"/>
  <c r="AG1273" i="2" s="1"/>
  <c r="AH1274" i="2" s="1"/>
  <c r="AG1289" i="2"/>
  <c r="AI1296" i="2"/>
  <c r="AG1290" i="2"/>
  <c r="AG1298" i="2"/>
  <c r="AG1284" i="2" l="1"/>
  <c r="AH1285" i="2" s="1"/>
  <c r="AG1300" i="2"/>
  <c r="AI1307" i="2"/>
  <c r="AG1309" i="2"/>
  <c r="AG1301" i="2"/>
  <c r="AG1291" i="2"/>
  <c r="AG1293" i="2" s="1"/>
  <c r="AG1292" i="2"/>
  <c r="AG1294" i="2" s="1"/>
  <c r="AG1295" i="2" l="1"/>
  <c r="AH1296" i="2" s="1"/>
  <c r="AG1302" i="2"/>
  <c r="AG1304" i="2" s="1"/>
  <c r="AG1303" i="2"/>
  <c r="AG1305" i="2" s="1"/>
  <c r="AG1320" i="2"/>
  <c r="AI1318" i="2"/>
  <c r="AG1311" i="2"/>
  <c r="AG1312" i="2"/>
  <c r="AG1306" i="2" l="1"/>
  <c r="AH1307" i="2" s="1"/>
  <c r="AG1313" i="2"/>
  <c r="AG1314" i="2"/>
  <c r="AG1316" i="2" s="1"/>
  <c r="AG1331" i="2"/>
  <c r="AG1322" i="2"/>
  <c r="AI1329" i="2"/>
  <c r="AG1323" i="2"/>
  <c r="AG1324" i="2" l="1"/>
  <c r="AG1326" i="2" s="1"/>
  <c r="AG1325" i="2"/>
  <c r="AG1327" i="2" s="1"/>
  <c r="AG1315" i="2"/>
  <c r="AG1317" i="2" s="1"/>
  <c r="AH1318" i="2" s="1"/>
  <c r="AG1342" i="2"/>
  <c r="AG1333" i="2"/>
  <c r="AI1340" i="2"/>
  <c r="AG1334" i="2"/>
  <c r="AG1328" i="2" l="1"/>
  <c r="AH1329" i="2" s="1"/>
  <c r="AG1344" i="2"/>
  <c r="AI1351" i="2"/>
  <c r="AG1353" i="2"/>
  <c r="AG1345" i="2"/>
  <c r="AG1335" i="2"/>
  <c r="AG1337" i="2" s="1"/>
  <c r="AG1336" i="2"/>
  <c r="AG1338" i="2" s="1"/>
  <c r="AG1339" i="2" l="1"/>
  <c r="AH1340" i="2" s="1"/>
  <c r="AG1346" i="2"/>
  <c r="AG1347" i="2"/>
  <c r="AG1349" i="2" s="1"/>
  <c r="AI1362" i="2"/>
  <c r="AG1356" i="2"/>
  <c r="AG1364" i="2"/>
  <c r="AG1355" i="2"/>
  <c r="AG1367" i="2" l="1"/>
  <c r="AG1375" i="2"/>
  <c r="AI1373" i="2"/>
  <c r="AG1366" i="2"/>
  <c r="AG1348" i="2"/>
  <c r="AG1350" i="2" s="1"/>
  <c r="AH1351" i="2" s="1"/>
  <c r="AG1357" i="2"/>
  <c r="AG1359" i="2" s="1"/>
  <c r="AG1358" i="2"/>
  <c r="AG1360" i="2" s="1"/>
  <c r="AG1361" i="2" l="1"/>
  <c r="AH1362" i="2" s="1"/>
  <c r="AG1368" i="2"/>
  <c r="AG1369" i="2"/>
  <c r="AG1371" i="2" s="1"/>
  <c r="AI1384" i="2"/>
  <c r="AG1378" i="2"/>
  <c r="AG1386" i="2"/>
  <c r="AG1377" i="2"/>
  <c r="AG1397" i="2" l="1"/>
  <c r="AG1388" i="2"/>
  <c r="AI1395" i="2"/>
  <c r="AG1389" i="2"/>
  <c r="AG1370" i="2"/>
  <c r="AG1372" i="2" s="1"/>
  <c r="AH1373" i="2" s="1"/>
  <c r="AG1379" i="2"/>
  <c r="AG1380" i="2"/>
  <c r="AG1382" i="2" s="1"/>
  <c r="AG1381" i="2" l="1"/>
  <c r="AG1383" i="2" s="1"/>
  <c r="AH1384" i="2" s="1"/>
  <c r="AG1408" i="2"/>
  <c r="AG1399" i="2"/>
  <c r="AI1406" i="2"/>
  <c r="AG1400" i="2"/>
  <c r="AG1390" i="2"/>
  <c r="AG1392" i="2" s="1"/>
  <c r="AG1391" i="2"/>
  <c r="AG1393" i="2" s="1"/>
  <c r="AG1394" i="2" l="1"/>
  <c r="AH1395" i="2" s="1"/>
  <c r="AG1401" i="2"/>
  <c r="AG1402" i="2"/>
  <c r="AG1404" i="2" s="1"/>
  <c r="AI1417" i="2"/>
  <c r="AG1411" i="2"/>
  <c r="AG1419" i="2"/>
  <c r="AG1410" i="2"/>
  <c r="AG1430" i="2" l="1"/>
  <c r="AG1421" i="2"/>
  <c r="AI1428" i="2"/>
  <c r="AG1422" i="2"/>
  <c r="AG1403" i="2"/>
  <c r="AG1405" i="2" s="1"/>
  <c r="AH1406" i="2" s="1"/>
  <c r="AG1412" i="2"/>
  <c r="AG1413" i="2"/>
  <c r="AG1415" i="2" s="1"/>
  <c r="AG1414" i="2" l="1"/>
  <c r="AG1416" i="2" s="1"/>
  <c r="AH1417" i="2" s="1"/>
  <c r="AI1439" i="2"/>
  <c r="AG1441" i="2"/>
  <c r="AG1433" i="2"/>
  <c r="AG1432" i="2"/>
  <c r="AG1423" i="2"/>
  <c r="AG1424" i="2"/>
  <c r="AG1426" i="2" s="1"/>
  <c r="AG1425" i="2" l="1"/>
  <c r="AG1427" i="2" s="1"/>
  <c r="AH1428" i="2" s="1"/>
  <c r="AI1450" i="2"/>
  <c r="AG1444" i="2"/>
  <c r="AG1452" i="2"/>
  <c r="AG1443" i="2"/>
  <c r="AG1434" i="2"/>
  <c r="AG1436" i="2" s="1"/>
  <c r="AG1435" i="2"/>
  <c r="AG1437" i="2" s="1"/>
  <c r="AG1438" i="2" l="1"/>
  <c r="AH1439" i="2" s="1"/>
  <c r="AG1455" i="2"/>
  <c r="AG1463" i="2"/>
  <c r="AI1461" i="2"/>
  <c r="AG1454" i="2"/>
  <c r="AG1445" i="2"/>
  <c r="AG1446" i="2"/>
  <c r="AG1448" i="2" s="1"/>
  <c r="AG1456" i="2" l="1"/>
  <c r="AG1457" i="2"/>
  <c r="AG1459" i="2" s="1"/>
  <c r="AG1447" i="2"/>
  <c r="AG1449" i="2" s="1"/>
  <c r="AH1450" i="2" s="1"/>
  <c r="AI1472" i="2"/>
  <c r="AG1466" i="2"/>
  <c r="AG1474" i="2"/>
  <c r="AG1465" i="2"/>
  <c r="AG1467" i="2" l="1"/>
  <c r="AG1469" i="2" s="1"/>
  <c r="AG1468" i="2"/>
  <c r="AG1470" i="2" s="1"/>
  <c r="AG1458" i="2"/>
  <c r="AG1460" i="2" s="1"/>
  <c r="AH1461" i="2" s="1"/>
  <c r="AI1483" i="2"/>
  <c r="AG1477" i="2"/>
  <c r="AG1485" i="2"/>
  <c r="AG1476" i="2"/>
  <c r="AG1471" i="2" l="1"/>
  <c r="AH1472" i="2" s="1"/>
  <c r="AG1478" i="2"/>
  <c r="AG1480" i="2" s="1"/>
  <c r="AG1479" i="2"/>
  <c r="AG1481" i="2" s="1"/>
  <c r="AG1488" i="2"/>
  <c r="AG1496" i="2"/>
  <c r="AG1487" i="2"/>
  <c r="AI1494" i="2"/>
  <c r="AG1482" i="2" l="1"/>
  <c r="AH1483" i="2" s="1"/>
  <c r="AG1499" i="2"/>
  <c r="AG1498" i="2"/>
  <c r="AI1505" i="2"/>
  <c r="AG1507" i="2"/>
  <c r="AG1489" i="2"/>
  <c r="AG1490" i="2"/>
  <c r="AG1492" i="2" s="1"/>
  <c r="AG1510" i="2" l="1"/>
  <c r="AG1509" i="2"/>
  <c r="AI1516" i="2"/>
  <c r="AG1518" i="2"/>
  <c r="AG1491" i="2"/>
  <c r="AG1493" i="2" s="1"/>
  <c r="AH1494" i="2" s="1"/>
  <c r="AG1500" i="2"/>
  <c r="AG1501" i="2"/>
  <c r="AG1503" i="2" s="1"/>
  <c r="AG1502" i="2" l="1"/>
  <c r="AG1504" i="2" s="1"/>
  <c r="AH1505" i="2" s="1"/>
  <c r="AI1527" i="2"/>
  <c r="AG1520" i="2"/>
  <c r="AG1529" i="2"/>
  <c r="AG1521" i="2"/>
  <c r="AG1511" i="2"/>
  <c r="AG1513" i="2" s="1"/>
  <c r="AG1512" i="2"/>
  <c r="AG1514" i="2" s="1"/>
  <c r="AG1515" i="2" l="1"/>
  <c r="AH1516" i="2" s="1"/>
  <c r="AG1522" i="2"/>
  <c r="AG1523" i="2"/>
  <c r="AG1525" i="2" s="1"/>
  <c r="AI1538" i="2"/>
  <c r="AG1532" i="2"/>
  <c r="AG1540" i="2"/>
  <c r="AG1531" i="2"/>
  <c r="AG1543" i="2" l="1"/>
  <c r="AG1551" i="2"/>
  <c r="AI1549" i="2"/>
  <c r="AG1542" i="2"/>
  <c r="AG1524" i="2"/>
  <c r="AG1526" i="2" s="1"/>
  <c r="AH1527" i="2" s="1"/>
  <c r="AG1533" i="2"/>
  <c r="AG1534" i="2"/>
  <c r="AG1536" i="2" s="1"/>
  <c r="AG1535" i="2" l="1"/>
  <c r="AG1537" i="2" s="1"/>
  <c r="AH1538" i="2" s="1"/>
  <c r="AG1544" i="2"/>
  <c r="AG1545" i="2"/>
  <c r="AG1547" i="2" s="1"/>
  <c r="AG1554" i="2"/>
  <c r="AG1562" i="2"/>
  <c r="AG1553" i="2"/>
  <c r="AI1560" i="2"/>
  <c r="AG1573" i="2" l="1"/>
  <c r="AG1564" i="2"/>
  <c r="AI1571" i="2"/>
  <c r="AG1565" i="2"/>
  <c r="AG1555" i="2"/>
  <c r="AG1557" i="2" s="1"/>
  <c r="AG1556" i="2"/>
  <c r="AG1558" i="2" s="1"/>
  <c r="AG1546" i="2"/>
  <c r="AG1548" i="2" s="1"/>
  <c r="AH1549" i="2" s="1"/>
  <c r="AG1559" i="2" l="1"/>
  <c r="AH1560" i="2" s="1"/>
  <c r="AG1575" i="2"/>
  <c r="AI1582" i="2"/>
  <c r="AG1576" i="2"/>
  <c r="AG1584" i="2"/>
  <c r="AG1566" i="2"/>
  <c r="AG1568" i="2" s="1"/>
  <c r="AG1567" i="2"/>
  <c r="AG1569" i="2" s="1"/>
  <c r="AG1570" i="2" l="1"/>
  <c r="AH1571" i="2" s="1"/>
  <c r="AG1595" i="2"/>
  <c r="AG1586" i="2"/>
  <c r="AI1593" i="2"/>
  <c r="AG1587" i="2"/>
  <c r="AG1577" i="2"/>
  <c r="AG1578" i="2"/>
  <c r="AG1580" i="2" s="1"/>
  <c r="AI1604" i="2" l="1"/>
  <c r="AG1598" i="2"/>
  <c r="AG1606" i="2"/>
  <c r="AG1597" i="2"/>
  <c r="AG1579" i="2"/>
  <c r="AG1581" i="2" s="1"/>
  <c r="AH1582" i="2" s="1"/>
  <c r="AG1588" i="2"/>
  <c r="AG1590" i="2" s="1"/>
  <c r="AG1589" i="2"/>
  <c r="AG1591" i="2" s="1"/>
  <c r="AG1592" i="2" l="1"/>
  <c r="AH1593" i="2" s="1"/>
  <c r="AG1599" i="2"/>
  <c r="AG1600" i="2"/>
  <c r="AG1602" i="2" s="1"/>
  <c r="AG1608" i="2"/>
  <c r="AI1615" i="2"/>
  <c r="AG1617" i="2"/>
  <c r="AG1609" i="2"/>
  <c r="AG1620" i="2" l="1"/>
  <c r="AG1628" i="2"/>
  <c r="AG1619" i="2"/>
  <c r="AI1626" i="2"/>
  <c r="AG1601" i="2"/>
  <c r="AG1603" i="2" s="1"/>
  <c r="AH1604" i="2" s="1"/>
  <c r="AG1610" i="2"/>
  <c r="AG1612" i="2" s="1"/>
  <c r="AG1611" i="2"/>
  <c r="AG1613" i="2" s="1"/>
  <c r="AG1614" i="2" l="1"/>
  <c r="AH1615" i="2" s="1"/>
  <c r="AG1631" i="2"/>
  <c r="AG1639" i="2"/>
  <c r="AI1637" i="2"/>
  <c r="AG1630" i="2"/>
  <c r="AG1621" i="2"/>
  <c r="AG1622" i="2"/>
  <c r="AG1624" i="2" s="1"/>
  <c r="AG1632" i="2" l="1"/>
  <c r="AG1633" i="2"/>
  <c r="AG1635" i="2" s="1"/>
  <c r="AG1623" i="2"/>
  <c r="AG1625" i="2" s="1"/>
  <c r="AH1626" i="2" s="1"/>
  <c r="AG1641" i="2"/>
  <c r="AI1648" i="2"/>
  <c r="AG1642" i="2"/>
  <c r="AG1650" i="2"/>
  <c r="AI1659" i="2" l="1"/>
  <c r="AG1653" i="2"/>
  <c r="AG1661" i="2"/>
  <c r="AG1652" i="2"/>
  <c r="AG1643" i="2"/>
  <c r="AG1644" i="2"/>
  <c r="AG1646" i="2" s="1"/>
  <c r="AG1634" i="2"/>
  <c r="AG1636" i="2" s="1"/>
  <c r="AH1637" i="2" s="1"/>
  <c r="AG1654" i="2" l="1"/>
  <c r="AG1656" i="2" s="1"/>
  <c r="AG1655" i="2"/>
  <c r="AG1657" i="2" s="1"/>
  <c r="AG1645" i="2"/>
  <c r="AG1647" i="2" s="1"/>
  <c r="AH1648" i="2" s="1"/>
  <c r="AG1663" i="2"/>
  <c r="AI1670" i="2"/>
  <c r="AG1664" i="2"/>
  <c r="AG1672" i="2"/>
  <c r="AG1658" i="2" l="1"/>
  <c r="AH1659" i="2" s="1"/>
  <c r="AI1681" i="2"/>
  <c r="AG1675" i="2"/>
  <c r="AG1683" i="2"/>
  <c r="AG1674" i="2"/>
  <c r="AG1665" i="2"/>
  <c r="AG1666" i="2"/>
  <c r="AG1668" i="2" s="1"/>
  <c r="AG1676" i="2" l="1"/>
  <c r="AG1677" i="2"/>
  <c r="AG1679" i="2" s="1"/>
  <c r="AG1667" i="2"/>
  <c r="AG1669" i="2" s="1"/>
  <c r="AH1670" i="2" s="1"/>
  <c r="AI1692" i="2"/>
  <c r="AG1694" i="2"/>
  <c r="AG1686" i="2"/>
  <c r="AG1685" i="2"/>
  <c r="AG1687" i="2" l="1"/>
  <c r="AG1688" i="2"/>
  <c r="AG1690" i="2" s="1"/>
  <c r="AG1678" i="2"/>
  <c r="AG1680" i="2" s="1"/>
  <c r="AH1681" i="2" s="1"/>
  <c r="AI1703" i="2"/>
  <c r="AG1697" i="2"/>
  <c r="AG1696" i="2"/>
  <c r="AG1705" i="2"/>
  <c r="AG1707" i="2" l="1"/>
  <c r="AI1714" i="2"/>
  <c r="AG1708" i="2"/>
  <c r="AG1716" i="2"/>
  <c r="AG1689" i="2"/>
  <c r="AG1691" i="2" s="1"/>
  <c r="AH1692" i="2" s="1"/>
  <c r="AG1698" i="2"/>
  <c r="AG1700" i="2" s="1"/>
  <c r="AG1699" i="2"/>
  <c r="AG1701" i="2" s="1"/>
  <c r="AG1702" i="2" l="1"/>
  <c r="AH1703" i="2" s="1"/>
  <c r="AG1719" i="2"/>
  <c r="AG1727" i="2"/>
  <c r="AI1725" i="2"/>
  <c r="AG1718" i="2"/>
  <c r="AG1709" i="2"/>
  <c r="AG1711" i="2" s="1"/>
  <c r="AG1710" i="2"/>
  <c r="AG1712" i="2" s="1"/>
  <c r="AG1713" i="2" l="1"/>
  <c r="AH1714" i="2" s="1"/>
  <c r="AG1720" i="2"/>
  <c r="AG1722" i="2" s="1"/>
  <c r="AG1721" i="2"/>
  <c r="AG1723" i="2" s="1"/>
  <c r="AG1729" i="2"/>
  <c r="AI1736" i="2"/>
  <c r="AG1730" i="2"/>
  <c r="AG1738" i="2"/>
  <c r="AG1724" i="2" l="1"/>
  <c r="AH1725" i="2" s="1"/>
  <c r="AG1749" i="2"/>
  <c r="AI1747" i="2"/>
  <c r="AG1741" i="2"/>
  <c r="AG1740" i="2"/>
  <c r="AG1731" i="2"/>
  <c r="AG1732" i="2"/>
  <c r="AG1734" i="2" s="1"/>
  <c r="AG1742" i="2" l="1"/>
  <c r="AG1744" i="2" s="1"/>
  <c r="AG1743" i="2"/>
  <c r="AG1745" i="2" s="1"/>
  <c r="AG1760" i="2"/>
  <c r="AG1751" i="2"/>
  <c r="AI1758" i="2"/>
  <c r="AG1752" i="2"/>
  <c r="AG1733" i="2"/>
  <c r="AG1735" i="2" s="1"/>
  <c r="AH1736" i="2" s="1"/>
  <c r="AG1746" i="2" l="1"/>
  <c r="AH1747" i="2" s="1"/>
  <c r="AG1753" i="2"/>
  <c r="AG1754" i="2"/>
  <c r="AG1756" i="2" s="1"/>
  <c r="AG1763" i="2"/>
  <c r="AG1771" i="2"/>
  <c r="AG1762" i="2"/>
  <c r="AI1769" i="2"/>
  <c r="AG1774" i="2" l="1"/>
  <c r="AG1782" i="2"/>
  <c r="AG1773" i="2"/>
  <c r="AI1780" i="2"/>
  <c r="AG1764" i="2"/>
  <c r="AG1766" i="2" s="1"/>
  <c r="AG1765" i="2"/>
  <c r="AG1767" i="2" s="1"/>
  <c r="AG1755" i="2"/>
  <c r="AG1757" i="2" s="1"/>
  <c r="AH1758" i="2" s="1"/>
  <c r="AG1768" i="2" l="1"/>
  <c r="AH1769" i="2" s="1"/>
  <c r="AG1784" i="2"/>
  <c r="AI1791" i="2"/>
  <c r="AG1793" i="2"/>
  <c r="AG1785" i="2"/>
  <c r="AG1775" i="2"/>
  <c r="AG1776" i="2"/>
  <c r="AG1778" i="2" s="1"/>
  <c r="AG1786" i="2" l="1"/>
  <c r="AG1788" i="2" s="1"/>
  <c r="AG1787" i="2"/>
  <c r="AG1789" i="2" s="1"/>
  <c r="AG1777" i="2"/>
  <c r="AG1779" i="2" s="1"/>
  <c r="AH1780" i="2" s="1"/>
  <c r="AI1802" i="2"/>
  <c r="AG1796" i="2"/>
  <c r="AG1804" i="2"/>
  <c r="AG1795" i="2"/>
  <c r="AG1790" i="2" l="1"/>
  <c r="AH1791" i="2" s="1"/>
  <c r="AG1797" i="2"/>
  <c r="AG1799" i="2" s="1"/>
  <c r="AG1798" i="2"/>
  <c r="AG1800" i="2" s="1"/>
  <c r="AI1813" i="2"/>
  <c r="AG1806" i="2"/>
  <c r="AG1807" i="2"/>
  <c r="AG1815" i="2"/>
  <c r="AG1801" i="2" l="1"/>
  <c r="AH1802" i="2" s="1"/>
  <c r="AG1808" i="2"/>
  <c r="AG1810" i="2" s="1"/>
  <c r="AG1809" i="2"/>
  <c r="AG1811" i="2" s="1"/>
  <c r="AG1817" i="2"/>
  <c r="AI1824" i="2"/>
  <c r="AG1818" i="2"/>
  <c r="AG1826" i="2"/>
  <c r="AG1812" i="2" l="1"/>
  <c r="AH1813" i="2" s="1"/>
  <c r="AG1828" i="2"/>
  <c r="AI1835" i="2"/>
  <c r="AG1829" i="2"/>
  <c r="AG1837" i="2"/>
  <c r="AG1819" i="2"/>
  <c r="AG1820" i="2"/>
  <c r="AG1822" i="2" s="1"/>
  <c r="AG1839" i="2" l="1"/>
  <c r="AI1846" i="2"/>
  <c r="AG1840" i="2"/>
  <c r="AG1848" i="2"/>
  <c r="AG1830" i="2"/>
  <c r="AG1831" i="2"/>
  <c r="AG1833" i="2" s="1"/>
  <c r="AG1821" i="2"/>
  <c r="AG1823" i="2" s="1"/>
  <c r="AH1824" i="2" s="1"/>
  <c r="AG1859" i="2" l="1"/>
  <c r="AG1850" i="2"/>
  <c r="AI1857" i="2"/>
  <c r="AG1851" i="2"/>
  <c r="AG1841" i="2"/>
  <c r="AG1843" i="2" s="1"/>
  <c r="AG1842" i="2"/>
  <c r="AG1844" i="2" s="1"/>
  <c r="AG1832" i="2"/>
  <c r="AG1834" i="2" s="1"/>
  <c r="AH1835" i="2" s="1"/>
  <c r="AG1845" i="2" l="1"/>
  <c r="AH1846" i="2" s="1"/>
  <c r="AG1861" i="2"/>
  <c r="AI1868" i="2"/>
  <c r="AG1862" i="2"/>
  <c r="AG1870" i="2"/>
  <c r="AG1852" i="2"/>
  <c r="AG1853" i="2"/>
  <c r="AG1855" i="2" s="1"/>
  <c r="AG1881" i="2" l="1"/>
  <c r="AG1873" i="2"/>
  <c r="AG1872" i="2"/>
  <c r="AI1879" i="2"/>
  <c r="AG1863" i="2"/>
  <c r="AG1865" i="2" s="1"/>
  <c r="AG1864" i="2"/>
  <c r="AG1866" i="2" s="1"/>
  <c r="AG1854" i="2"/>
  <c r="AG1856" i="2" s="1"/>
  <c r="AH1857" i="2" s="1"/>
  <c r="AG1867" i="2" l="1"/>
  <c r="AH1868" i="2" s="1"/>
  <c r="AG1883" i="2"/>
  <c r="AI1890" i="2"/>
  <c r="AG1884" i="2"/>
  <c r="AG1892" i="2"/>
  <c r="AG1874" i="2"/>
  <c r="AG1876" i="2" s="1"/>
  <c r="AG1875" i="2"/>
  <c r="AG1877" i="2" s="1"/>
  <c r="AG1878" i="2" l="1"/>
  <c r="AH1879" i="2" s="1"/>
  <c r="AG1895" i="2"/>
  <c r="AG1903" i="2"/>
  <c r="AI1901" i="2"/>
  <c r="AG1894" i="2"/>
  <c r="AG1885" i="2"/>
  <c r="AG1886" i="2"/>
  <c r="AG1888" i="2" s="1"/>
  <c r="AG1896" i="2" l="1"/>
  <c r="AG1898" i="2" s="1"/>
  <c r="AG1897" i="2"/>
  <c r="AG1899" i="2" s="1"/>
  <c r="AG1887" i="2"/>
  <c r="AG1889" i="2" s="1"/>
  <c r="AH1890" i="2" s="1"/>
  <c r="AG1906" i="2"/>
  <c r="AG1914" i="2"/>
  <c r="AG1905" i="2"/>
  <c r="AI1912" i="2"/>
  <c r="AG1900" i="2" l="1"/>
  <c r="AH1901" i="2" s="1"/>
  <c r="AG1916" i="2"/>
  <c r="AI1923" i="2"/>
  <c r="AG1917" i="2"/>
  <c r="AG1925" i="2"/>
  <c r="AG1907" i="2"/>
  <c r="AG1909" i="2" s="1"/>
  <c r="AG1908" i="2"/>
  <c r="AG1910" i="2" s="1"/>
  <c r="AG1911" i="2" l="1"/>
  <c r="AH1912" i="2" s="1"/>
  <c r="AG1928" i="2"/>
  <c r="AG1936" i="2"/>
  <c r="AG1927" i="2"/>
  <c r="AI1934" i="2"/>
  <c r="AG1918" i="2"/>
  <c r="AG1919" i="2"/>
  <c r="AG1921" i="2" s="1"/>
  <c r="AG1920" i="2" l="1"/>
  <c r="AG1922" i="2" s="1"/>
  <c r="AH1923" i="2" s="1"/>
  <c r="AG1939" i="2"/>
  <c r="AG1947" i="2"/>
  <c r="AG1938" i="2"/>
  <c r="AI1945" i="2"/>
  <c r="AG1929" i="2"/>
  <c r="AG1931" i="2" s="1"/>
  <c r="AG1930" i="2"/>
  <c r="AG1932" i="2" s="1"/>
  <c r="AG1933" i="2" l="1"/>
  <c r="AH1934" i="2" s="1"/>
  <c r="AG1949" i="2"/>
  <c r="AI1956" i="2"/>
  <c r="AG1950" i="2"/>
  <c r="AG1958" i="2"/>
  <c r="AG1940" i="2"/>
  <c r="AG1942" i="2" s="1"/>
  <c r="AG1941" i="2"/>
  <c r="AG1943" i="2" s="1"/>
  <c r="AG1944" i="2" l="1"/>
  <c r="AH1945" i="2" s="1"/>
  <c r="AI1967" i="2"/>
  <c r="AG1969" i="2"/>
  <c r="AG1961" i="2"/>
  <c r="AG1960" i="2"/>
  <c r="AG1951" i="2"/>
  <c r="AG1952" i="2"/>
  <c r="AG1954" i="2" s="1"/>
  <c r="AG1962" i="2" l="1"/>
  <c r="AG1964" i="2" s="1"/>
  <c r="AG1963" i="2"/>
  <c r="AG1965" i="2" s="1"/>
  <c r="AG1953" i="2"/>
  <c r="AG1955" i="2" s="1"/>
  <c r="AH1956" i="2" s="1"/>
  <c r="AG1972" i="2"/>
  <c r="AG1980" i="2"/>
  <c r="AG1971" i="2"/>
  <c r="AI1978" i="2"/>
  <c r="AG1966" i="2" l="1"/>
  <c r="AH1967" i="2" s="1"/>
  <c r="AI1989" i="2"/>
  <c r="AG1982" i="2"/>
  <c r="AG1983" i="2"/>
  <c r="AG1991" i="2"/>
  <c r="AG1973" i="2"/>
  <c r="AG1974" i="2"/>
  <c r="AG1976" i="2" s="1"/>
  <c r="AG2002" i="2" l="1"/>
  <c r="AG1993" i="2"/>
  <c r="AI2000" i="2"/>
  <c r="AG1994" i="2"/>
  <c r="AG1975" i="2"/>
  <c r="AG1977" i="2" s="1"/>
  <c r="AH1978" i="2" s="1"/>
  <c r="AG1984" i="2"/>
  <c r="AG1985" i="2"/>
  <c r="AG1987" i="2" s="1"/>
  <c r="AG2004" i="2" l="1"/>
  <c r="AI2011" i="2"/>
  <c r="AG2005" i="2"/>
  <c r="AG2013" i="2"/>
  <c r="AG1995" i="2"/>
  <c r="AG1997" i="2" s="1"/>
  <c r="AG1996" i="2"/>
  <c r="AG1998" i="2" s="1"/>
  <c r="AG1986" i="2"/>
  <c r="AG1988" i="2" s="1"/>
  <c r="AH1989" i="2" s="1"/>
  <c r="AG1999" i="2" l="1"/>
  <c r="AH2000" i="2" s="1"/>
  <c r="AG2006" i="2"/>
  <c r="AG2007" i="2"/>
  <c r="AG2009" i="2" s="1"/>
  <c r="AG2016" i="2"/>
  <c r="AG2024" i="2"/>
  <c r="AG2015" i="2"/>
  <c r="AI2022" i="2"/>
  <c r="AG2035" i="2" l="1"/>
  <c r="AG2026" i="2"/>
  <c r="AI2033" i="2"/>
  <c r="AG2027" i="2"/>
  <c r="AG2017" i="2"/>
  <c r="AG2018" i="2"/>
  <c r="AG2020" i="2" s="1"/>
  <c r="AG2008" i="2"/>
  <c r="AG2010" i="2" s="1"/>
  <c r="AH2011" i="2" s="1"/>
  <c r="AG2038" i="2" l="1"/>
  <c r="AG2046" i="2"/>
  <c r="AG2037" i="2"/>
  <c r="AI2044" i="2"/>
  <c r="AG2019" i="2"/>
  <c r="AG2021" i="2" s="1"/>
  <c r="AH2022" i="2" s="1"/>
  <c r="AG2028" i="2"/>
  <c r="AG2029" i="2"/>
  <c r="AG2031" i="2" s="1"/>
  <c r="AI2055" i="2" l="1"/>
  <c r="AG2057" i="2"/>
  <c r="AG2049" i="2"/>
  <c r="AG2048" i="2"/>
  <c r="AG2039" i="2"/>
  <c r="AG2041" i="2" s="1"/>
  <c r="AG2040" i="2"/>
  <c r="AG2042" i="2" s="1"/>
  <c r="AG2030" i="2"/>
  <c r="AG2032" i="2" s="1"/>
  <c r="AH2033" i="2" s="1"/>
  <c r="AG2043" i="2" l="1"/>
  <c r="AH2044" i="2" s="1"/>
  <c r="AG2050" i="2"/>
  <c r="AG2051" i="2"/>
  <c r="AG2053" i="2" s="1"/>
  <c r="AI2066" i="2"/>
  <c r="AG2060" i="2"/>
  <c r="AG2068" i="2"/>
  <c r="AG2059" i="2"/>
  <c r="AG2079" i="2" l="1"/>
  <c r="AI2077" i="2"/>
  <c r="AG2070" i="2"/>
  <c r="AG2071" i="2"/>
  <c r="AG2052" i="2"/>
  <c r="AG2054" i="2" s="1"/>
  <c r="AH2055" i="2" s="1"/>
  <c r="AG2061" i="2"/>
  <c r="AG2062" i="2"/>
  <c r="AG2064" i="2" s="1"/>
  <c r="AG2063" i="2" l="1"/>
  <c r="AG2065" i="2" s="1"/>
  <c r="AH2066" i="2" s="1"/>
  <c r="AG2081" i="2"/>
  <c r="AI2088" i="2"/>
  <c r="AG2082" i="2"/>
  <c r="AG2090" i="2"/>
  <c r="AG2072" i="2"/>
  <c r="AG2073" i="2"/>
  <c r="AG2075" i="2" s="1"/>
  <c r="AG2074" i="2" l="1"/>
  <c r="AG2076" i="2" s="1"/>
  <c r="AH2077" i="2" s="1"/>
  <c r="AI2099" i="2"/>
  <c r="AG2093" i="2"/>
  <c r="AG2101" i="2"/>
  <c r="AG2092" i="2"/>
  <c r="AG2083" i="2"/>
  <c r="AG2085" i="2" s="1"/>
  <c r="AG2084" i="2"/>
  <c r="AG2086" i="2" s="1"/>
  <c r="AG2087" i="2" l="1"/>
  <c r="AH2088" i="2" s="1"/>
  <c r="AI2110" i="2"/>
  <c r="AG2104" i="2"/>
  <c r="AG2112" i="2"/>
  <c r="AG2103" i="2"/>
  <c r="AG2094" i="2"/>
  <c r="AG2096" i="2" s="1"/>
  <c r="AG2095" i="2"/>
  <c r="AG2097" i="2" s="1"/>
  <c r="AG2098" i="2" l="1"/>
  <c r="AH2099" i="2" s="1"/>
  <c r="AG2105" i="2"/>
  <c r="AG2106" i="2"/>
  <c r="AG2108" i="2" s="1"/>
  <c r="AG2115" i="2"/>
  <c r="AG2123" i="2"/>
  <c r="AG2114" i="2"/>
  <c r="AI2121" i="2"/>
  <c r="AI2132" i="2" l="1"/>
  <c r="AG2126" i="2"/>
  <c r="AG2134" i="2"/>
  <c r="AG2125" i="2"/>
  <c r="AG2116" i="2"/>
  <c r="AG2117" i="2"/>
  <c r="AG2119" i="2" s="1"/>
  <c r="AG2107" i="2"/>
  <c r="AG2109" i="2" s="1"/>
  <c r="AH2110" i="2" s="1"/>
  <c r="AG2127" i="2" l="1"/>
  <c r="AG2128" i="2"/>
  <c r="AG2130" i="2" s="1"/>
  <c r="AG2118" i="2"/>
  <c r="AG2120" i="2" s="1"/>
  <c r="AH2121" i="2" s="1"/>
  <c r="AI2143" i="2"/>
  <c r="AG2145" i="2"/>
  <c r="AG2137" i="2"/>
  <c r="AG2136" i="2"/>
  <c r="AG2138" i="2" l="1"/>
  <c r="AG2140" i="2" s="1"/>
  <c r="AG2139" i="2"/>
  <c r="AG2141" i="2" s="1"/>
  <c r="AG2129" i="2"/>
  <c r="AG2131" i="2" s="1"/>
  <c r="AH2132" i="2" s="1"/>
  <c r="AI2154" i="2"/>
  <c r="AG2148" i="2"/>
  <c r="AG2156" i="2"/>
  <c r="AG2147" i="2"/>
  <c r="AG2142" i="2" l="1"/>
  <c r="AH2143" i="2" s="1"/>
  <c r="AG2149" i="2"/>
  <c r="AG2151" i="2" s="1"/>
  <c r="AG2150" i="2"/>
  <c r="AG2152" i="2" s="1"/>
  <c r="AG2159" i="2"/>
  <c r="AG2167" i="2"/>
  <c r="AI2165" i="2"/>
  <c r="AG2158" i="2"/>
  <c r="AG2153" i="2" l="1"/>
  <c r="AH2154" i="2" s="1"/>
  <c r="AI2176" i="2"/>
  <c r="AG2170" i="2"/>
  <c r="AG2178" i="2"/>
  <c r="AG2169" i="2"/>
  <c r="AG2160" i="2"/>
  <c r="AG2162" i="2" s="1"/>
  <c r="AG2161" i="2"/>
  <c r="AG2163" i="2" s="1"/>
  <c r="AG2164" i="2" l="1"/>
  <c r="AH2165" i="2" s="1"/>
  <c r="AG2171" i="2"/>
  <c r="AG2172" i="2"/>
  <c r="AG2174" i="2" s="1"/>
  <c r="AG2180" i="2"/>
  <c r="AI2187" i="2"/>
  <c r="AG2181" i="2"/>
  <c r="AG2189" i="2"/>
  <c r="AG2173" i="2" l="1"/>
  <c r="AG2175" i="2" s="1"/>
  <c r="AH2176" i="2" s="1"/>
  <c r="AG2191" i="2"/>
  <c r="AI2198" i="2"/>
  <c r="AG2192" i="2"/>
  <c r="AG2200" i="2"/>
  <c r="AG2182" i="2"/>
  <c r="AG2184" i="2" s="1"/>
  <c r="AG2183" i="2"/>
  <c r="AG2185" i="2" s="1"/>
  <c r="AG2186" i="2" l="1"/>
  <c r="AH2187" i="2" s="1"/>
  <c r="AI2209" i="2"/>
  <c r="AG2203" i="2"/>
  <c r="AG2211" i="2"/>
  <c r="AG2202" i="2"/>
  <c r="AG2193" i="2"/>
  <c r="AG2195" i="2" s="1"/>
  <c r="AG2194" i="2"/>
  <c r="AG2196" i="2" s="1"/>
  <c r="AG2197" i="2" l="1"/>
  <c r="AH2198" i="2" s="1"/>
  <c r="AG2204" i="2"/>
  <c r="AG2205" i="2"/>
  <c r="AG2207" i="2" s="1"/>
  <c r="AG2222" i="2"/>
  <c r="AG2213" i="2"/>
  <c r="AI2220" i="2"/>
  <c r="AG2214" i="2"/>
  <c r="AG2215" i="2" l="1"/>
  <c r="AG2216" i="2"/>
  <c r="AG2218" i="2" s="1"/>
  <c r="AG2206" i="2"/>
  <c r="AG2208" i="2" s="1"/>
  <c r="AH2209" i="2" s="1"/>
  <c r="AI2231" i="2"/>
  <c r="AG2233" i="2"/>
  <c r="AG2225" i="2"/>
  <c r="AG2224" i="2"/>
  <c r="AG2226" i="2" l="1"/>
  <c r="AG2228" i="2" s="1"/>
  <c r="AG2227" i="2"/>
  <c r="AG2229" i="2" s="1"/>
  <c r="AG2217" i="2"/>
  <c r="AG2219" i="2" s="1"/>
  <c r="AH2220" i="2" s="1"/>
  <c r="AG2244" i="2"/>
  <c r="AG2235" i="2"/>
  <c r="AI2242" i="2"/>
  <c r="AG2236" i="2"/>
  <c r="AG2230" i="2" l="1"/>
  <c r="AH2231" i="2" s="1"/>
  <c r="AG2246" i="2"/>
  <c r="AG2247" i="2"/>
  <c r="AG2255" i="2"/>
  <c r="AI2253" i="2"/>
  <c r="AG2237" i="2"/>
  <c r="AG2238" i="2"/>
  <c r="AG2240" i="2" s="1"/>
  <c r="AG2248" i="2" l="1"/>
  <c r="AG2249" i="2"/>
  <c r="AG2251" i="2" s="1"/>
  <c r="AG2239" i="2"/>
  <c r="AG2241" i="2" s="1"/>
  <c r="AH2242" i="2" s="1"/>
  <c r="AI2264" i="2"/>
  <c r="AG2258" i="2"/>
  <c r="AG2266" i="2"/>
  <c r="AG2257" i="2"/>
  <c r="AG2259" i="2" l="1"/>
  <c r="AG2261" i="2" s="1"/>
  <c r="AG2260" i="2"/>
  <c r="AG2262" i="2" s="1"/>
  <c r="AG2250" i="2"/>
  <c r="AG2252" i="2" s="1"/>
  <c r="AH2253" i="2" s="1"/>
  <c r="AI2275" i="2"/>
  <c r="AG2269" i="2"/>
  <c r="AG2277" i="2"/>
  <c r="AG2268" i="2"/>
  <c r="AG2263" i="2" l="1"/>
  <c r="AH2264" i="2" s="1"/>
  <c r="AG2270" i="2"/>
  <c r="AG2272" i="2" s="1"/>
  <c r="AG2271" i="2"/>
  <c r="AG2273" i="2" s="1"/>
  <c r="AG2279" i="2"/>
  <c r="AI2286" i="2"/>
  <c r="AG2280" i="2"/>
  <c r="AG2288" i="2"/>
  <c r="AG2274" i="2" l="1"/>
  <c r="AH2275" i="2" s="1"/>
  <c r="AG2291" i="2"/>
  <c r="AG2299" i="2"/>
  <c r="AG2290" i="2"/>
  <c r="AI2297" i="2"/>
  <c r="AG2281" i="2"/>
  <c r="AG2283" i="2" s="1"/>
  <c r="AG2282" i="2"/>
  <c r="AG2284" i="2" s="1"/>
  <c r="AG2285" i="2" l="1"/>
  <c r="AH2286" i="2" s="1"/>
  <c r="AG2310" i="2"/>
  <c r="AG2301" i="2"/>
  <c r="AI2308" i="2"/>
  <c r="AG2302" i="2"/>
  <c r="AG2292" i="2"/>
  <c r="AG2293" i="2"/>
  <c r="AG2295" i="2" s="1"/>
  <c r="AI2319" i="2" l="1"/>
  <c r="AG2321" i="2"/>
  <c r="AG2313" i="2"/>
  <c r="AG2312" i="2"/>
  <c r="AG2294" i="2"/>
  <c r="AG2296" i="2" s="1"/>
  <c r="AH2297" i="2" s="1"/>
  <c r="AG2303" i="2"/>
  <c r="AG2305" i="2" s="1"/>
  <c r="AG2304" i="2"/>
  <c r="AG2306" i="2" s="1"/>
  <c r="AG2307" i="2" l="1"/>
  <c r="AH2308" i="2" s="1"/>
  <c r="AG2314" i="2"/>
  <c r="AG2316" i="2" s="1"/>
  <c r="AG2315" i="2"/>
  <c r="AG2317" i="2" s="1"/>
  <c r="AG2324" i="2"/>
  <c r="AG2332" i="2"/>
  <c r="AG2323" i="2"/>
  <c r="AI2330" i="2"/>
  <c r="AG2318" i="2" l="1"/>
  <c r="AH2319" i="2" s="1"/>
  <c r="AG2334" i="2"/>
  <c r="AG2335" i="2"/>
  <c r="AG2343" i="2"/>
  <c r="AI2341" i="2"/>
  <c r="AG2325" i="2"/>
  <c r="AG2326" i="2"/>
  <c r="AG2328" i="2" s="1"/>
  <c r="AG2336" i="2" l="1"/>
  <c r="AG2338" i="2" s="1"/>
  <c r="AG2337" i="2"/>
  <c r="AG2339" i="2" s="1"/>
  <c r="AG2327" i="2"/>
  <c r="AG2329" i="2" s="1"/>
  <c r="AH2330" i="2" s="1"/>
  <c r="AG2345" i="2"/>
  <c r="AI2352" i="2"/>
  <c r="AG2346" i="2"/>
  <c r="AG2354" i="2"/>
  <c r="AG2340" i="2" l="1"/>
  <c r="AH2341" i="2" s="1"/>
  <c r="AG2356" i="2"/>
  <c r="AI2363" i="2"/>
  <c r="AG2357" i="2"/>
  <c r="AG2365" i="2"/>
  <c r="AG2347" i="2"/>
  <c r="AG2349" i="2" s="1"/>
  <c r="AG2348" i="2"/>
  <c r="AG2350" i="2" s="1"/>
  <c r="AG2351" i="2" l="1"/>
  <c r="AH2352" i="2" s="1"/>
  <c r="AG2368" i="2"/>
  <c r="AG2367" i="2"/>
  <c r="AG2376" i="2"/>
  <c r="AI2374" i="2"/>
  <c r="AG2358" i="2"/>
  <c r="AG2360" i="2" s="1"/>
  <c r="AG2359" i="2"/>
  <c r="AG2361" i="2" s="1"/>
  <c r="AG2362" i="2" l="1"/>
  <c r="AH2363" i="2" s="1"/>
  <c r="AG2369" i="2"/>
  <c r="AG2371" i="2" s="1"/>
  <c r="AG2370" i="2"/>
  <c r="AG2372" i="2" s="1"/>
  <c r="AI2385" i="2"/>
  <c r="AG2387" i="2"/>
  <c r="AG2379" i="2"/>
  <c r="AG2378" i="2"/>
  <c r="AG2373" i="2" l="1"/>
  <c r="AH2374" i="2" s="1"/>
  <c r="AG2389" i="2"/>
  <c r="AG2398" i="2"/>
  <c r="AI2396" i="2"/>
  <c r="AG2390" i="2"/>
  <c r="AG2380" i="2"/>
  <c r="AG2382" i="2" s="1"/>
  <c r="AG2381" i="2"/>
  <c r="AG2383" i="2" s="1"/>
  <c r="AG2384" i="2" l="1"/>
  <c r="AH2385" i="2" s="1"/>
  <c r="AG2391" i="2"/>
  <c r="AG2392" i="2"/>
  <c r="AG2394" i="2" s="1"/>
  <c r="AG2400" i="2"/>
  <c r="AI2407" i="2"/>
  <c r="AG2401" i="2"/>
  <c r="AG2409" i="2"/>
  <c r="AG2393" i="2" l="1"/>
  <c r="AG2395" i="2" s="1"/>
  <c r="AH2396" i="2" s="1"/>
  <c r="AI2418" i="2"/>
  <c r="AG2412" i="2"/>
  <c r="AG2411" i="2"/>
  <c r="AG2420" i="2"/>
  <c r="AG2402" i="2"/>
  <c r="AG2403" i="2"/>
  <c r="AG2405" i="2" s="1"/>
  <c r="AG2404" i="2" l="1"/>
  <c r="AG2406" i="2" s="1"/>
  <c r="AH2407" i="2" s="1"/>
  <c r="AG2413" i="2"/>
  <c r="AG2414" i="2"/>
  <c r="AG2416" i="2" s="1"/>
  <c r="AI2429" i="2"/>
  <c r="AG2423" i="2"/>
  <c r="AG2431" i="2"/>
  <c r="AG2422" i="2"/>
  <c r="AG2424" i="2" l="1"/>
  <c r="AG2426" i="2" s="1"/>
  <c r="AG2425" i="2"/>
  <c r="AG2427" i="2" s="1"/>
  <c r="AI2440" i="2"/>
  <c r="AG2434" i="2"/>
  <c r="AG2433" i="2"/>
  <c r="AG2442" i="2"/>
  <c r="AG2415" i="2"/>
  <c r="AG2417" i="2" s="1"/>
  <c r="AH2418" i="2" s="1"/>
  <c r="AG2428" i="2" l="1"/>
  <c r="AH2429" i="2" s="1"/>
  <c r="AG2435" i="2"/>
  <c r="AG2437" i="2" s="1"/>
  <c r="AG2436" i="2"/>
  <c r="AG2438" i="2" s="1"/>
  <c r="AG2444" i="2"/>
  <c r="AI2451" i="2"/>
  <c r="AG2453" i="2"/>
  <c r="AG2445" i="2"/>
  <c r="AG2439" i="2" l="1"/>
  <c r="AH2440" i="2" s="1"/>
  <c r="AG2456" i="2"/>
  <c r="AG2455" i="2"/>
  <c r="AI2462" i="2"/>
  <c r="AG2464" i="2"/>
  <c r="AG2446" i="2"/>
  <c r="AG2447" i="2"/>
  <c r="AG2449" i="2" s="1"/>
  <c r="AI2473" i="2" l="1"/>
  <c r="AG2475" i="2"/>
  <c r="AG2467" i="2"/>
  <c r="AG2466" i="2"/>
  <c r="AG2448" i="2"/>
  <c r="AG2450" i="2" s="1"/>
  <c r="AH2451" i="2" s="1"/>
  <c r="AG2457" i="2"/>
  <c r="AG2459" i="2" s="1"/>
  <c r="AG2458" i="2"/>
  <c r="AG2460" i="2" s="1"/>
  <c r="AG2461" i="2" l="1"/>
  <c r="AH2462" i="2" s="1"/>
  <c r="AG2468" i="2"/>
  <c r="AG2469" i="2"/>
  <c r="AG2471" i="2" s="1"/>
  <c r="AG2478" i="2"/>
  <c r="AG2486" i="2"/>
  <c r="AG2477" i="2"/>
  <c r="AI2484" i="2"/>
  <c r="AI2495" i="2" l="1"/>
  <c r="AG2489" i="2"/>
  <c r="AG2497" i="2"/>
  <c r="AG2488" i="2"/>
  <c r="AG2479" i="2"/>
  <c r="AG2480" i="2"/>
  <c r="AG2482" i="2" s="1"/>
  <c r="AG2470" i="2"/>
  <c r="AG2472" i="2" s="1"/>
  <c r="AH2473" i="2" s="1"/>
  <c r="AG2490" i="2" l="1"/>
  <c r="AG2491" i="2"/>
  <c r="AG2493" i="2" s="1"/>
  <c r="AG2481" i="2"/>
  <c r="AG2483" i="2" s="1"/>
  <c r="AH2484" i="2" s="1"/>
  <c r="AI2506" i="2"/>
  <c r="AG2499" i="2"/>
  <c r="AG2500" i="2"/>
  <c r="AG2508" i="2"/>
  <c r="AG2510" i="2" l="1"/>
  <c r="AI2517" i="2"/>
  <c r="AG2511" i="2"/>
  <c r="AG2519" i="2"/>
  <c r="AG2492" i="2"/>
  <c r="AG2494" i="2" s="1"/>
  <c r="AH2495" i="2" s="1"/>
  <c r="AG2501" i="2"/>
  <c r="AG2503" i="2" s="1"/>
  <c r="AG2502" i="2"/>
  <c r="AG2504" i="2" s="1"/>
  <c r="AG2505" i="2" l="1"/>
  <c r="AH2506" i="2" s="1"/>
  <c r="AI2528" i="2"/>
  <c r="AG2521" i="2"/>
  <c r="AG2530" i="2"/>
  <c r="AG2522" i="2"/>
  <c r="AG2512" i="2"/>
  <c r="AG2513" i="2"/>
  <c r="AG2515" i="2" s="1"/>
  <c r="AG2514" i="2" l="1"/>
  <c r="AG2516" i="2" s="1"/>
  <c r="AH2517" i="2" s="1"/>
  <c r="AG2523" i="2"/>
  <c r="AG2525" i="2" s="1"/>
  <c r="AG2524" i="2"/>
  <c r="AG2526" i="2" s="1"/>
  <c r="AG2532" i="2"/>
  <c r="AI2539" i="2"/>
  <c r="AG2541" i="2"/>
  <c r="AG2533" i="2"/>
  <c r="AG2534" i="2" l="1"/>
  <c r="AG2536" i="2" s="1"/>
  <c r="AG2535" i="2"/>
  <c r="AG2537" i="2" s="1"/>
  <c r="AG2544" i="2"/>
  <c r="AG2543" i="2"/>
  <c r="AG2552" i="2"/>
  <c r="AI2550" i="2"/>
  <c r="AG2527" i="2"/>
  <c r="AH2528" i="2" s="1"/>
  <c r="AG2538" i="2" l="1"/>
  <c r="AH2539" i="2" s="1"/>
  <c r="AG2545" i="2"/>
  <c r="AG2547" i="2" s="1"/>
  <c r="AG2546" i="2"/>
  <c r="AG2548" i="2" s="1"/>
  <c r="AG2555" i="2"/>
  <c r="AG2554" i="2"/>
  <c r="AI2561" i="2"/>
  <c r="AG2563" i="2"/>
  <c r="AG2549" i="2" l="1"/>
  <c r="AH2550" i="2" s="1"/>
  <c r="AG2556" i="2"/>
  <c r="AG2558" i="2" s="1"/>
  <c r="AG2557" i="2"/>
  <c r="AG2559" i="2" s="1"/>
  <c r="AG2566" i="2"/>
  <c r="AG2565" i="2"/>
  <c r="AG2574" i="2"/>
  <c r="AI2572" i="2"/>
  <c r="AG2560" i="2" l="1"/>
  <c r="AH2561" i="2" s="1"/>
  <c r="AG2567" i="2"/>
  <c r="AG2569" i="2" s="1"/>
  <c r="AG2568" i="2"/>
  <c r="AG2570" i="2" s="1"/>
  <c r="AI2583" i="2"/>
  <c r="AG2577" i="2"/>
  <c r="AG2585" i="2"/>
  <c r="AG2576" i="2"/>
  <c r="AG2571" i="2" l="1"/>
  <c r="AH2572" i="2" s="1"/>
  <c r="AG2596" i="2"/>
  <c r="AI2594" i="2"/>
  <c r="AG2588" i="2"/>
  <c r="AG2587" i="2"/>
  <c r="AG2578" i="2"/>
  <c r="AG2580" i="2" s="1"/>
  <c r="AG2579" i="2"/>
  <c r="AG2581" i="2" s="1"/>
  <c r="AG2582" i="2" l="1"/>
  <c r="AH2583" i="2" s="1"/>
  <c r="AG2589" i="2"/>
  <c r="AG2591" i="2" s="1"/>
  <c r="AG2590" i="2"/>
  <c r="AG2592" i="2" s="1"/>
  <c r="AG2607" i="2"/>
  <c r="AG2598" i="2"/>
  <c r="AI2605" i="2"/>
  <c r="AG2599" i="2"/>
  <c r="AG2593" i="2" l="1"/>
  <c r="AH2594" i="2" s="1"/>
  <c r="AG2600" i="2"/>
  <c r="AG2601" i="2"/>
  <c r="AG2603" i="2" s="1"/>
  <c r="AG2610" i="2"/>
  <c r="AG2609" i="2"/>
  <c r="AG2618" i="2"/>
  <c r="AI2616" i="2"/>
  <c r="AG2611" i="2" l="1"/>
  <c r="AG2612" i="2"/>
  <c r="AG2614" i="2" s="1"/>
  <c r="AG2621" i="2"/>
  <c r="AG2620" i="2"/>
  <c r="AI2627" i="2"/>
  <c r="AG2629" i="2"/>
  <c r="AG2602" i="2"/>
  <c r="AG2604" i="2" s="1"/>
  <c r="AH2605" i="2" s="1"/>
  <c r="AG2622" i="2" l="1"/>
  <c r="AG2624" i="2" s="1"/>
  <c r="AG2623" i="2"/>
  <c r="AG2625" i="2" s="1"/>
  <c r="AG2613" i="2"/>
  <c r="AG2615" i="2" s="1"/>
  <c r="AH2616" i="2" s="1"/>
  <c r="AG2632" i="2"/>
  <c r="AG2631" i="2"/>
  <c r="AI2638" i="2"/>
  <c r="AG2640" i="2"/>
  <c r="AG2626" i="2" l="1"/>
  <c r="AH2627" i="2" s="1"/>
  <c r="AG2642" i="2"/>
  <c r="AI2649" i="2"/>
  <c r="AG2651" i="2"/>
  <c r="AG2643" i="2"/>
  <c r="AG2633" i="2"/>
  <c r="AG2634" i="2"/>
  <c r="AG2636" i="2" s="1"/>
  <c r="AG2644" i="2" l="1"/>
  <c r="AG2645" i="2"/>
  <c r="AG2647" i="2" s="1"/>
  <c r="AG2635" i="2"/>
  <c r="AG2637" i="2" s="1"/>
  <c r="AH2638" i="2" s="1"/>
  <c r="AG2662" i="2"/>
  <c r="AG2653" i="2"/>
  <c r="AI2660" i="2"/>
  <c r="AG2654" i="2"/>
  <c r="AG2664" i="2" l="1"/>
  <c r="AI2671" i="2"/>
  <c r="AG2665" i="2"/>
  <c r="AG2673" i="2"/>
  <c r="AG2646" i="2"/>
  <c r="AG2648" i="2" s="1"/>
  <c r="AH2649" i="2" s="1"/>
  <c r="AG2655" i="2"/>
  <c r="AG2656" i="2"/>
  <c r="AG2658" i="2" s="1"/>
  <c r="AG2657" i="2" l="1"/>
  <c r="AG2659" i="2" s="1"/>
  <c r="AH2660" i="2" s="1"/>
  <c r="AG2684" i="2"/>
  <c r="AI2682" i="2"/>
  <c r="AG2675" i="2"/>
  <c r="AG2676" i="2"/>
  <c r="AG2666" i="2"/>
  <c r="AG2667" i="2"/>
  <c r="AG2669" i="2" s="1"/>
  <c r="AG2668" i="2" l="1"/>
  <c r="AG2670" i="2" s="1"/>
  <c r="AH2671" i="2" s="1"/>
  <c r="AG2677" i="2"/>
  <c r="AG2679" i="2" s="1"/>
  <c r="AG2678" i="2"/>
  <c r="AG2680" i="2" s="1"/>
  <c r="AI2693" i="2"/>
  <c r="AG2695" i="2"/>
  <c r="AG2687" i="2"/>
  <c r="AG2686" i="2"/>
  <c r="AG2688" i="2" l="1"/>
  <c r="AG2689" i="2"/>
  <c r="AG2691" i="2" s="1"/>
  <c r="AI2704" i="2"/>
  <c r="AG2697" i="2"/>
  <c r="AG2706" i="2"/>
  <c r="AG2698" i="2"/>
  <c r="AG2681" i="2"/>
  <c r="AH2682" i="2" s="1"/>
  <c r="AG2708" i="2" l="1"/>
  <c r="AG2709" i="2"/>
  <c r="AI2715" i="2"/>
  <c r="AG2717" i="2"/>
  <c r="AG2690" i="2"/>
  <c r="AG2692" i="2" s="1"/>
  <c r="AH2693" i="2" s="1"/>
  <c r="AG2699" i="2"/>
  <c r="AG2700" i="2"/>
  <c r="AG2702" i="2" s="1"/>
  <c r="AG2710" i="2" l="1"/>
  <c r="AG2711" i="2"/>
  <c r="AG2713" i="2" s="1"/>
  <c r="AG2701" i="2"/>
  <c r="AG2703" i="2" s="1"/>
  <c r="AH2704" i="2" s="1"/>
  <c r="AG2719" i="2"/>
  <c r="AI2726" i="2"/>
  <c r="AG2720" i="2"/>
  <c r="AG2728" i="2"/>
  <c r="AG2721" i="2" l="1"/>
  <c r="AG2723" i="2" s="1"/>
  <c r="AG2722" i="2"/>
  <c r="AG2724" i="2" s="1"/>
  <c r="AG2712" i="2"/>
  <c r="AG2714" i="2" s="1"/>
  <c r="AH2715" i="2" s="1"/>
  <c r="AI2737" i="2"/>
  <c r="AG2739" i="2"/>
  <c r="AG2731" i="2"/>
  <c r="AG2730" i="2"/>
  <c r="AG2725" i="2" l="1"/>
  <c r="AH2726" i="2" s="1"/>
  <c r="AG2750" i="2"/>
  <c r="AI2748" i="2"/>
  <c r="AG2742" i="2"/>
  <c r="AG2741" i="2"/>
  <c r="AG2732" i="2"/>
  <c r="AG2733" i="2"/>
  <c r="AG2735" i="2" s="1"/>
  <c r="AI2759" i="2" l="1"/>
  <c r="AG2753" i="2"/>
  <c r="AG2761" i="2"/>
  <c r="AG2752" i="2"/>
  <c r="AG2734" i="2"/>
  <c r="AG2736" i="2" s="1"/>
  <c r="AH2737" i="2" s="1"/>
  <c r="AG2743" i="2"/>
  <c r="AG2744" i="2"/>
  <c r="AG2746" i="2" s="1"/>
  <c r="AG2772" i="2" l="1"/>
  <c r="AI2770" i="2"/>
  <c r="AG2764" i="2"/>
  <c r="AG2763" i="2"/>
  <c r="AG2745" i="2"/>
  <c r="AG2747" i="2" s="1"/>
  <c r="AH2748" i="2" s="1"/>
  <c r="AG2754" i="2"/>
  <c r="AG2755" i="2"/>
  <c r="AG2757" i="2" s="1"/>
  <c r="AI2781" i="2" l="1"/>
  <c r="AG2775" i="2"/>
  <c r="AG2783" i="2"/>
  <c r="AG2774" i="2"/>
  <c r="AG2756" i="2"/>
  <c r="AG2758" i="2" s="1"/>
  <c r="AH2759" i="2" s="1"/>
  <c r="AG2765" i="2"/>
  <c r="AG2766" i="2"/>
  <c r="AG2768" i="2" s="1"/>
  <c r="AG2786" i="2" l="1"/>
  <c r="AG2785" i="2"/>
  <c r="AG2794" i="2"/>
  <c r="AI2792" i="2"/>
  <c r="AG2767" i="2"/>
  <c r="AG2769" i="2" s="1"/>
  <c r="AH2770" i="2" s="1"/>
  <c r="AG2776" i="2"/>
  <c r="AG2778" i="2" s="1"/>
  <c r="AG2777" i="2"/>
  <c r="AG2779" i="2" s="1"/>
  <c r="AG2787" i="2" l="1"/>
  <c r="AG2789" i="2" s="1"/>
  <c r="AG2788" i="2"/>
  <c r="AG2790" i="2" s="1"/>
  <c r="AG2797" i="2"/>
  <c r="AG2796" i="2"/>
  <c r="AI2803" i="2"/>
  <c r="AG2805" i="2"/>
  <c r="AG2780" i="2"/>
  <c r="AH2781" i="2" s="1"/>
  <c r="AG2791" i="2" l="1"/>
  <c r="AH2792" i="2" s="1"/>
  <c r="AI2814" i="2"/>
  <c r="AG2816" i="2"/>
  <c r="AG2808" i="2"/>
  <c r="AG2807" i="2"/>
  <c r="AG2798" i="2"/>
  <c r="AG2799" i="2"/>
  <c r="AG2801" i="2" s="1"/>
  <c r="AG2800" i="2" l="1"/>
  <c r="AG2802" i="2" s="1"/>
  <c r="AH2803" i="2" s="1"/>
  <c r="AG2819" i="2"/>
  <c r="AG2818" i="2"/>
  <c r="AI2825" i="2"/>
  <c r="AG2827" i="2"/>
  <c r="AG2809" i="2"/>
  <c r="AG2811" i="2" s="1"/>
  <c r="AG2810" i="2"/>
  <c r="AG2812" i="2" s="1"/>
  <c r="AG2829" i="2" l="1"/>
  <c r="AI2836" i="2"/>
  <c r="AG2830" i="2"/>
  <c r="AG2838" i="2"/>
  <c r="AG2820" i="2"/>
  <c r="AG2822" i="2" s="1"/>
  <c r="AG2821" i="2"/>
  <c r="AG2823" i="2" s="1"/>
  <c r="AG2813" i="2"/>
  <c r="AH2814" i="2" s="1"/>
  <c r="AG2824" i="2" l="1"/>
  <c r="AH2825" i="2" s="1"/>
  <c r="AG2831" i="2"/>
  <c r="AG2833" i="2" s="1"/>
  <c r="AG2832" i="2"/>
  <c r="AG2834" i="2" s="1"/>
  <c r="AG2840" i="2"/>
  <c r="AG2841" i="2"/>
  <c r="AI2847" i="2"/>
  <c r="AG2849" i="2"/>
  <c r="AG2835" i="2" l="1"/>
  <c r="AH2836" i="2" s="1"/>
  <c r="AG2852" i="2"/>
  <c r="AG2860" i="2"/>
  <c r="AI2858" i="2"/>
  <c r="AG2851" i="2"/>
  <c r="AG2842" i="2"/>
  <c r="AG2844" i="2" s="1"/>
  <c r="AG2843" i="2"/>
  <c r="AG2845" i="2" s="1"/>
  <c r="AG2846" i="2" l="1"/>
  <c r="AH2847" i="2" s="1"/>
  <c r="AG2871" i="2"/>
  <c r="AG2862" i="2"/>
  <c r="AI2869" i="2"/>
  <c r="AG2863" i="2"/>
  <c r="AG2853" i="2"/>
  <c r="AG2855" i="2" s="1"/>
  <c r="AG2854" i="2"/>
  <c r="AG2856" i="2" s="1"/>
  <c r="AG2857" i="2" l="1"/>
  <c r="AH2858" i="2" s="1"/>
  <c r="AG2873" i="2"/>
  <c r="AG2882" i="2"/>
  <c r="AG2874" i="2"/>
  <c r="AI2880" i="2"/>
  <c r="AG2864" i="2"/>
  <c r="AG2865" i="2"/>
  <c r="AG2867" i="2" s="1"/>
  <c r="AG2875" i="2" l="1"/>
  <c r="AG2876" i="2"/>
  <c r="AG2878" i="2" s="1"/>
  <c r="AG2866" i="2"/>
  <c r="AG2868" i="2" s="1"/>
  <c r="AH2869" i="2" s="1"/>
  <c r="AG2884" i="2"/>
  <c r="AI2891" i="2"/>
  <c r="AG2893" i="2"/>
  <c r="AG2885" i="2"/>
  <c r="AG2886" i="2" l="1"/>
  <c r="AG2887" i="2"/>
  <c r="AG2889" i="2" s="1"/>
  <c r="AG2877" i="2"/>
  <c r="AG2879" i="2" s="1"/>
  <c r="AH2880" i="2" s="1"/>
  <c r="AG2896" i="2"/>
  <c r="AG2895" i="2"/>
  <c r="AG2904" i="2"/>
  <c r="AI2902" i="2"/>
  <c r="AG2888" i="2" l="1"/>
  <c r="AG2890" i="2" s="1"/>
  <c r="AH2891" i="2" s="1"/>
  <c r="AG2897" i="2"/>
  <c r="AG2899" i="2" s="1"/>
  <c r="AG2898" i="2"/>
  <c r="AG2900" i="2" s="1"/>
  <c r="AG2907" i="2"/>
  <c r="AG2906" i="2"/>
  <c r="AI2913" i="2"/>
  <c r="AG2915" i="2"/>
  <c r="AG2901" i="2" l="1"/>
  <c r="AH2902" i="2" s="1"/>
  <c r="AG2908" i="2"/>
  <c r="AG2909" i="2"/>
  <c r="AG2911" i="2" s="1"/>
  <c r="AG2926" i="2"/>
  <c r="AI2924" i="2"/>
  <c r="AG2918" i="2"/>
  <c r="AG2917" i="2"/>
  <c r="AG2910" i="2" l="1"/>
  <c r="AG2912" i="2" s="1"/>
  <c r="AH2913" i="2" s="1"/>
  <c r="AG2919" i="2"/>
  <c r="AG2920" i="2"/>
  <c r="AG2922" i="2" s="1"/>
  <c r="AG2937" i="2"/>
  <c r="AG2928" i="2"/>
  <c r="AI2935" i="2"/>
  <c r="AG2929" i="2"/>
  <c r="AG2948" i="2" l="1"/>
  <c r="AI2946" i="2"/>
  <c r="AG2940" i="2"/>
  <c r="AG2939" i="2"/>
  <c r="AG2930" i="2"/>
  <c r="AG2931" i="2"/>
  <c r="AG2933" i="2" s="1"/>
  <c r="AG2921" i="2"/>
  <c r="AG2923" i="2" s="1"/>
  <c r="AH2924" i="2" s="1"/>
  <c r="AI2957" i="2" l="1"/>
  <c r="AG2951" i="2"/>
  <c r="AG2959" i="2"/>
  <c r="AG2950" i="2"/>
  <c r="AG2932" i="2"/>
  <c r="AG2934" i="2" s="1"/>
  <c r="AH2935" i="2" s="1"/>
  <c r="AG2941" i="2"/>
  <c r="AG2942" i="2"/>
  <c r="AG2944" i="2" s="1"/>
  <c r="AG2970" i="2" l="1"/>
  <c r="AI2968" i="2"/>
  <c r="AG2962" i="2"/>
  <c r="AG2961" i="2"/>
  <c r="AG2943" i="2"/>
  <c r="AG2945" i="2" s="1"/>
  <c r="AH2946" i="2" s="1"/>
  <c r="AG2952" i="2"/>
  <c r="AG2954" i="2" s="1"/>
  <c r="AG2953" i="2"/>
  <c r="AG2955" i="2" s="1"/>
  <c r="AG2972" i="2" l="1"/>
  <c r="AI2979" i="2"/>
  <c r="AG2981" i="2"/>
  <c r="AG2973" i="2"/>
  <c r="AG2963" i="2"/>
  <c r="AG2965" i="2" s="1"/>
  <c r="AG2964" i="2"/>
  <c r="AG2966" i="2" s="1"/>
  <c r="AG2956" i="2"/>
  <c r="AH2957" i="2" s="1"/>
  <c r="AG2967" i="2" l="1"/>
  <c r="AH2968" i="2" s="1"/>
  <c r="AG2974" i="2"/>
  <c r="AG2975" i="2"/>
  <c r="AG2977" i="2" s="1"/>
  <c r="AG2992" i="2"/>
  <c r="AG2984" i="2"/>
  <c r="AG2983" i="2"/>
  <c r="AI2990" i="2"/>
  <c r="AG2985" i="2" l="1"/>
  <c r="AG2987" i="2" s="1"/>
  <c r="AG2986" i="2"/>
  <c r="AG2988" i="2" s="1"/>
  <c r="AG2976" i="2"/>
  <c r="AG2978" i="2" s="1"/>
  <c r="AH2979" i="2" s="1"/>
  <c r="AI3001" i="2"/>
  <c r="AG3003" i="2"/>
  <c r="AG2995" i="2"/>
  <c r="AG2994" i="2"/>
  <c r="AG2989" i="2" l="1"/>
  <c r="AH2990" i="2" s="1"/>
  <c r="AG3006" i="2"/>
  <c r="AG3014" i="2"/>
  <c r="AG3005" i="2"/>
  <c r="AI3012" i="2"/>
  <c r="AG2996" i="2"/>
  <c r="AG2997" i="2"/>
  <c r="AG2999" i="2" s="1"/>
  <c r="AG2998" i="2" l="1"/>
  <c r="AG3000" i="2" s="1"/>
  <c r="AH3001" i="2" s="1"/>
  <c r="AI3023" i="2"/>
  <c r="AG3017" i="2"/>
  <c r="AG3025" i="2"/>
  <c r="AG3016" i="2"/>
  <c r="AG3007" i="2"/>
  <c r="AG3008" i="2"/>
  <c r="AG3010" i="2" s="1"/>
  <c r="AI3034" i="2" l="1"/>
  <c r="AG3027" i="2"/>
  <c r="AG3028" i="2"/>
  <c r="AG3036" i="2"/>
  <c r="AG3018" i="2"/>
  <c r="AG3019" i="2"/>
  <c r="AG3021" i="2" s="1"/>
  <c r="AG3009" i="2"/>
  <c r="AG3011" i="2" s="1"/>
  <c r="AH3012" i="2" s="1"/>
  <c r="AG3020" i="2" l="1"/>
  <c r="AG3022" i="2" s="1"/>
  <c r="AH3023" i="2" s="1"/>
  <c r="AG3029" i="2"/>
  <c r="AG3031" i="2" s="1"/>
  <c r="AG3030" i="2"/>
  <c r="AG3032" i="2" s="1"/>
  <c r="AG3039" i="2"/>
  <c r="AG3047" i="2"/>
  <c r="AG3038" i="2"/>
  <c r="AI3045" i="2"/>
  <c r="AG3033" i="2" l="1"/>
  <c r="AH3034" i="2" s="1"/>
  <c r="AG3050" i="2"/>
  <c r="AG3049" i="2"/>
  <c r="AG3058" i="2"/>
  <c r="AI3056" i="2"/>
  <c r="AG3040" i="2"/>
  <c r="AG3042" i="2" s="1"/>
  <c r="AG3041" i="2"/>
  <c r="AG3043" i="2" s="1"/>
  <c r="AG3044" i="2" l="1"/>
  <c r="AH3045" i="2" s="1"/>
  <c r="AG3051" i="2"/>
  <c r="AG3053" i="2" s="1"/>
  <c r="AG3052" i="2"/>
  <c r="AG3054" i="2" s="1"/>
  <c r="AG3060" i="2"/>
  <c r="AI3067" i="2"/>
  <c r="AG3069" i="2"/>
  <c r="AG3061" i="2"/>
  <c r="AG3055" i="2" l="1"/>
  <c r="AH3056" i="2" s="1"/>
  <c r="AG3071" i="2"/>
  <c r="AG3080" i="2"/>
  <c r="AI3078" i="2"/>
  <c r="AG3072" i="2"/>
  <c r="AG3062" i="2"/>
  <c r="AG3063" i="2"/>
  <c r="AG3065" i="2" s="1"/>
  <c r="AG3073" i="2" l="1"/>
  <c r="AG3074" i="2"/>
  <c r="AG3076" i="2" s="1"/>
  <c r="AG3064" i="2"/>
  <c r="AG3066" i="2" s="1"/>
  <c r="AH3067" i="2" s="1"/>
  <c r="AG3083" i="2"/>
  <c r="AG3082" i="2"/>
  <c r="AI3089" i="2"/>
  <c r="AG3091" i="2"/>
  <c r="AG3075" i="2" l="1"/>
  <c r="AG3077" i="2" s="1"/>
  <c r="AH3078" i="2" s="1"/>
  <c r="AG3084" i="2"/>
  <c r="AG3085" i="2"/>
  <c r="AG3087" i="2" s="1"/>
  <c r="AG3102" i="2"/>
  <c r="AI3100" i="2"/>
  <c r="AG3094" i="2"/>
  <c r="AG3093" i="2"/>
  <c r="AG3105" i="2" l="1"/>
  <c r="AG3113" i="2"/>
  <c r="AG3104" i="2"/>
  <c r="AI3111" i="2"/>
  <c r="AG3086" i="2"/>
  <c r="AG3088" i="2" s="1"/>
  <c r="AH3089" i="2" s="1"/>
  <c r="AG3095" i="2"/>
  <c r="AG3096" i="2"/>
  <c r="AG3098" i="2" s="1"/>
  <c r="AG3124" i="2" l="1"/>
  <c r="AG3115" i="2"/>
  <c r="AI3122" i="2"/>
  <c r="AG3116" i="2"/>
  <c r="AG3106" i="2"/>
  <c r="AG3107" i="2"/>
  <c r="AG3109" i="2" s="1"/>
  <c r="AG3097" i="2"/>
  <c r="AG3099" i="2" s="1"/>
  <c r="AH3100" i="2" s="1"/>
  <c r="AI3133" i="2" l="1"/>
  <c r="AG3127" i="2"/>
  <c r="AG3135" i="2"/>
  <c r="AG3126" i="2"/>
  <c r="AG3108" i="2"/>
  <c r="AG3110" i="2" s="1"/>
  <c r="AH3111" i="2" s="1"/>
  <c r="AG3117" i="2"/>
  <c r="AG3118" i="2"/>
  <c r="AG3120" i="2" s="1"/>
  <c r="AG3138" i="2" l="1"/>
  <c r="AG3146" i="2"/>
  <c r="AG3137" i="2"/>
  <c r="AI3144" i="2"/>
  <c r="AG3119" i="2"/>
  <c r="AG3121" i="2" s="1"/>
  <c r="AH3122" i="2" s="1"/>
  <c r="AG3128" i="2"/>
  <c r="AG3129" i="2"/>
  <c r="AG3131" i="2" s="1"/>
  <c r="AI3155" i="2" l="1"/>
  <c r="AG3149" i="2"/>
  <c r="AG3157" i="2"/>
  <c r="AG3148" i="2"/>
  <c r="AG3139" i="2"/>
  <c r="AG3140" i="2"/>
  <c r="AG3142" i="2" s="1"/>
  <c r="AG3130" i="2"/>
  <c r="AG3132" i="2" s="1"/>
  <c r="AH3133" i="2" s="1"/>
  <c r="AG3141" i="2" l="1"/>
  <c r="AG3143" i="2" s="1"/>
  <c r="AH3144" i="2" s="1"/>
  <c r="AG3159" i="2"/>
  <c r="AI3166" i="2"/>
  <c r="AG3160" i="2"/>
  <c r="AG3168" i="2"/>
  <c r="AG3150" i="2"/>
  <c r="AG3151" i="2"/>
  <c r="AG3153" i="2" s="1"/>
  <c r="AG3179" i="2" l="1"/>
  <c r="AG3171" i="2"/>
  <c r="AG3170" i="2"/>
  <c r="AI3177" i="2"/>
  <c r="AG3161" i="2"/>
  <c r="AG3162" i="2"/>
  <c r="AG3164" i="2" s="1"/>
  <c r="AG3152" i="2"/>
  <c r="AG3154" i="2" s="1"/>
  <c r="AH3155" i="2" s="1"/>
  <c r="AG3190" i="2" l="1"/>
  <c r="AI3188" i="2"/>
  <c r="AG3181" i="2"/>
  <c r="AG3182" i="2"/>
  <c r="AG3163" i="2"/>
  <c r="AG3165" i="2" s="1"/>
  <c r="AH3166" i="2" s="1"/>
  <c r="AG3172" i="2"/>
  <c r="AG3173" i="2"/>
  <c r="AG3175" i="2" s="1"/>
  <c r="AG3193" i="2" l="1"/>
  <c r="AG3201" i="2"/>
  <c r="AG3192" i="2"/>
  <c r="AI3199" i="2"/>
  <c r="AG3183" i="2"/>
  <c r="AG3184" i="2"/>
  <c r="AG3186" i="2" s="1"/>
  <c r="AG3174" i="2"/>
  <c r="AG3176" i="2" s="1"/>
  <c r="AH3177" i="2" s="1"/>
  <c r="AG3185" i="2" l="1"/>
  <c r="AG3187" i="2" s="1"/>
  <c r="AH3188" i="2" s="1"/>
  <c r="AG3203" i="2"/>
  <c r="AI3210" i="2"/>
  <c r="AG3204" i="2"/>
  <c r="AG3212" i="2"/>
  <c r="AG3194" i="2"/>
  <c r="AG3195" i="2"/>
  <c r="AG3197" i="2" s="1"/>
  <c r="AG3223" i="2" l="1"/>
  <c r="AG3214" i="2"/>
  <c r="AI3221" i="2"/>
  <c r="AG3215" i="2"/>
  <c r="AG3205" i="2"/>
  <c r="AG3207" i="2" s="1"/>
  <c r="AG3206" i="2"/>
  <c r="AG3208" i="2" s="1"/>
  <c r="AG3196" i="2"/>
  <c r="AG3198" i="2" s="1"/>
  <c r="AH3199" i="2" s="1"/>
  <c r="AG3209" i="2" l="1"/>
  <c r="AH3210" i="2" s="1"/>
  <c r="AG3234" i="2"/>
  <c r="AG3225" i="2"/>
  <c r="AI3232" i="2"/>
  <c r="AG3226" i="2"/>
  <c r="AG3216" i="2"/>
  <c r="AG3217" i="2"/>
  <c r="AG3219" i="2" s="1"/>
  <c r="AG3236" i="2" l="1"/>
  <c r="AI3243" i="2"/>
  <c r="AG3237" i="2"/>
  <c r="AG3245" i="2"/>
  <c r="AG3218" i="2"/>
  <c r="AG3220" i="2" s="1"/>
  <c r="AH3221" i="2" s="1"/>
  <c r="AG3227" i="2"/>
  <c r="AG3228" i="2"/>
  <c r="AG3230" i="2" s="1"/>
  <c r="AG3238" i="2" l="1"/>
  <c r="AG3239" i="2"/>
  <c r="AG3241" i="2" s="1"/>
  <c r="AG3229" i="2"/>
  <c r="AG3231" i="2" s="1"/>
  <c r="AH3232" i="2" s="1"/>
  <c r="AI3254" i="2"/>
  <c r="AG3248" i="2"/>
  <c r="AG3256" i="2"/>
  <c r="AG3247" i="2"/>
  <c r="AG3240" i="2" l="1"/>
  <c r="AG3242" i="2" s="1"/>
  <c r="AH3243" i="2" s="1"/>
  <c r="AG3259" i="2"/>
  <c r="AG3258" i="2"/>
  <c r="AI3265" i="2"/>
  <c r="AG3267" i="2"/>
  <c r="AG3249" i="2"/>
  <c r="AG3251" i="2" s="1"/>
  <c r="AG3250" i="2"/>
  <c r="AG3252" i="2" s="1"/>
  <c r="AI3276" i="2" l="1"/>
  <c r="AG3269" i="2"/>
  <c r="AG3270" i="2"/>
  <c r="AG3278" i="2"/>
  <c r="AG3260" i="2"/>
  <c r="AG3261" i="2"/>
  <c r="AG3263" i="2" s="1"/>
  <c r="AG3253" i="2"/>
  <c r="AH3254" i="2" s="1"/>
  <c r="AG3262" i="2" l="1"/>
  <c r="AG3264" i="2" s="1"/>
  <c r="AH3265" i="2" s="1"/>
  <c r="AG3271" i="2"/>
  <c r="AG3273" i="2" s="1"/>
  <c r="AG3272" i="2"/>
  <c r="AG3274" i="2" s="1"/>
  <c r="AI3287" i="2"/>
  <c r="AG3281" i="2"/>
  <c r="AG3289" i="2"/>
  <c r="AG3280" i="2"/>
  <c r="AG3275" i="2" l="1"/>
  <c r="AH3276" i="2" s="1"/>
  <c r="AG3292" i="2"/>
  <c r="AG3300" i="2"/>
  <c r="AG3291" i="2"/>
  <c r="AI3298" i="2"/>
  <c r="AG3282" i="2"/>
  <c r="AG3283" i="2"/>
  <c r="AG3285" i="2" s="1"/>
  <c r="AG3284" i="2" l="1"/>
  <c r="AG3286" i="2" s="1"/>
  <c r="AH3287" i="2" s="1"/>
  <c r="AG3311" i="2"/>
  <c r="AG3302" i="2"/>
  <c r="AI3309" i="2"/>
  <c r="AG3303" i="2"/>
  <c r="AG3293" i="2"/>
  <c r="AG3294" i="2"/>
  <c r="AG3296" i="2" s="1"/>
  <c r="AI3320" i="2" l="1"/>
  <c r="AG3314" i="2"/>
  <c r="AG3322" i="2"/>
  <c r="AG3313" i="2"/>
  <c r="AG3295" i="2"/>
  <c r="AG3297" i="2" s="1"/>
  <c r="AH3298" i="2" s="1"/>
  <c r="AG3304" i="2"/>
  <c r="AG3306" i="2" s="1"/>
  <c r="AG3305" i="2"/>
  <c r="AG3307" i="2" s="1"/>
  <c r="AI3331" i="2" l="1"/>
  <c r="AG3325" i="2"/>
  <c r="AG3333" i="2"/>
  <c r="AG3324" i="2"/>
  <c r="AG3315" i="2"/>
  <c r="AG3316" i="2"/>
  <c r="AG3318" i="2" s="1"/>
  <c r="AG3308" i="2"/>
  <c r="AH3309" i="2" s="1"/>
  <c r="AG3317" i="2" l="1"/>
  <c r="AG3319" i="2" s="1"/>
  <c r="AH3320" i="2" s="1"/>
  <c r="AG3344" i="2"/>
  <c r="AG3335" i="2"/>
  <c r="AI3342" i="2"/>
  <c r="AG3336" i="2"/>
  <c r="AG3326" i="2"/>
  <c r="AG3327" i="2"/>
  <c r="AG3329" i="2" s="1"/>
  <c r="AG3346" i="2" l="1"/>
  <c r="AI3353" i="2"/>
  <c r="AG3355" i="2"/>
  <c r="AG3347" i="2"/>
  <c r="AG3328" i="2"/>
  <c r="AG3330" i="2" s="1"/>
  <c r="AH3331" i="2" s="1"/>
  <c r="AG3337" i="2"/>
  <c r="AG3339" i="2" s="1"/>
  <c r="AG3338" i="2"/>
  <c r="AG3340" i="2" s="1"/>
  <c r="AG3348" i="2" l="1"/>
  <c r="AG3349" i="2"/>
  <c r="AG3351" i="2" s="1"/>
  <c r="AG3366" i="2"/>
  <c r="AI3364" i="2"/>
  <c r="AG3357" i="2"/>
  <c r="AG3358" i="2"/>
  <c r="AG3341" i="2"/>
  <c r="AH3342" i="2" s="1"/>
  <c r="AG3359" i="2" l="1"/>
  <c r="AG3361" i="2" s="1"/>
  <c r="AG3360" i="2"/>
  <c r="AG3362" i="2" s="1"/>
  <c r="AG3350" i="2"/>
  <c r="AG3352" i="2" s="1"/>
  <c r="AH3353" i="2" s="1"/>
  <c r="AG3369" i="2"/>
  <c r="AG3377" i="2"/>
  <c r="AG3368" i="2"/>
  <c r="AI3375" i="2"/>
  <c r="AG3363" i="2" l="1"/>
  <c r="AH3364" i="2" s="1"/>
  <c r="AG3380" i="2"/>
  <c r="AG3388" i="2"/>
  <c r="AG3379" i="2"/>
  <c r="AI3386" i="2"/>
  <c r="AG3370" i="2"/>
  <c r="AG3371" i="2"/>
  <c r="AG3373" i="2" s="1"/>
  <c r="AG3372" i="2" l="1"/>
  <c r="AG3374" i="2" s="1"/>
  <c r="AH3375" i="2" s="1"/>
  <c r="AG3391" i="2"/>
  <c r="AG3399" i="2"/>
  <c r="AG3390" i="2"/>
  <c r="AI3397" i="2"/>
  <c r="AG3381" i="2"/>
  <c r="AG3382" i="2"/>
  <c r="AG3384" i="2" s="1"/>
  <c r="AG3392" i="2" l="1"/>
  <c r="AG3394" i="2" s="1"/>
  <c r="AG3393" i="2"/>
  <c r="AG3395" i="2" s="1"/>
  <c r="AG3383" i="2"/>
  <c r="AG3385" i="2" s="1"/>
  <c r="AH3386" i="2" s="1"/>
  <c r="AG3402" i="2"/>
  <c r="AG3410" i="2"/>
  <c r="AG3401" i="2"/>
  <c r="AI3408" i="2"/>
  <c r="AG3396" i="2" l="1"/>
  <c r="AH3397" i="2" s="1"/>
  <c r="AI3419" i="2"/>
  <c r="AG3413" i="2"/>
  <c r="AG3421" i="2"/>
  <c r="AG3412" i="2"/>
  <c r="AG3403" i="2"/>
  <c r="AG3405" i="2" s="1"/>
  <c r="AG3404" i="2"/>
  <c r="AG3406" i="2" s="1"/>
  <c r="AG3407" i="2" l="1"/>
  <c r="AH3408" i="2" s="1"/>
  <c r="AG3432" i="2"/>
  <c r="AG3423" i="2"/>
  <c r="AI3430" i="2"/>
  <c r="AG3424" i="2"/>
  <c r="AG3414" i="2"/>
  <c r="AG3415" i="2"/>
  <c r="AG3417" i="2" s="1"/>
  <c r="AG3434" i="2" l="1"/>
  <c r="AI3441" i="2"/>
  <c r="AG3443" i="2"/>
  <c r="AG3435" i="2"/>
  <c r="AG3416" i="2"/>
  <c r="AG3418" i="2" s="1"/>
  <c r="AH3419" i="2" s="1"/>
  <c r="AG3425" i="2"/>
  <c r="AG3426" i="2"/>
  <c r="AG3428" i="2" s="1"/>
  <c r="AG3436" i="2" l="1"/>
  <c r="AG3437" i="2"/>
  <c r="AG3439" i="2" s="1"/>
  <c r="AG3446" i="2"/>
  <c r="AG3454" i="2"/>
  <c r="AI3452" i="2"/>
  <c r="AG3445" i="2"/>
  <c r="AG3427" i="2"/>
  <c r="AG3429" i="2" s="1"/>
  <c r="AH3430" i="2" s="1"/>
  <c r="AG3438" i="2" l="1"/>
  <c r="AG3440" i="2" s="1"/>
  <c r="AH3441" i="2" s="1"/>
  <c r="AG3447" i="2"/>
  <c r="AG3449" i="2" s="1"/>
  <c r="AG3448" i="2"/>
  <c r="AG3450" i="2" s="1"/>
  <c r="AG3457" i="2"/>
  <c r="AG3465" i="2"/>
  <c r="AG3456" i="2"/>
  <c r="AI3463" i="2"/>
  <c r="AG3451" i="2" l="1"/>
  <c r="AH3452" i="2" s="1"/>
  <c r="AG3468" i="2"/>
  <c r="AG3476" i="2"/>
  <c r="AG3467" i="2"/>
  <c r="AI3474" i="2"/>
  <c r="AG3458" i="2"/>
  <c r="AG3459" i="2"/>
  <c r="AG3461" i="2" s="1"/>
  <c r="AG3460" i="2" l="1"/>
  <c r="AG3462" i="2" s="1"/>
  <c r="AH3463" i="2" s="1"/>
  <c r="AG3487" i="2"/>
  <c r="AG3478" i="2"/>
  <c r="AI3485" i="2"/>
  <c r="AG3479" i="2"/>
  <c r="AG3469" i="2"/>
  <c r="AG3471" i="2" s="1"/>
  <c r="AG3470" i="2"/>
  <c r="AG3472" i="2" s="1"/>
  <c r="AG3490" i="2" l="1"/>
  <c r="AG3498" i="2"/>
  <c r="AG3489" i="2"/>
  <c r="AI3496" i="2"/>
  <c r="AG3480" i="2"/>
  <c r="AG3481" i="2"/>
  <c r="AG3483" i="2" s="1"/>
  <c r="AG3473" i="2"/>
  <c r="AH3474" i="2" s="1"/>
  <c r="AG3482" i="2" l="1"/>
  <c r="AG3484" i="2" s="1"/>
  <c r="AH3485" i="2" s="1"/>
  <c r="AG3509" i="2"/>
  <c r="AG3500" i="2"/>
  <c r="AI3507" i="2"/>
  <c r="AG3501" i="2"/>
  <c r="AG3491" i="2"/>
  <c r="AG3492" i="2"/>
  <c r="AG3494" i="2" s="1"/>
  <c r="AG3520" i="2" l="1"/>
  <c r="AG3511" i="2"/>
  <c r="AI3518" i="2"/>
  <c r="AG3512" i="2"/>
  <c r="AG3493" i="2"/>
  <c r="AG3495" i="2" s="1"/>
  <c r="AH3496" i="2" s="1"/>
  <c r="AG3502" i="2"/>
  <c r="AG3503" i="2"/>
  <c r="AG3505" i="2" s="1"/>
  <c r="AG3523" i="2" l="1"/>
  <c r="AG3522" i="2"/>
  <c r="AI3529" i="2"/>
  <c r="AG3531" i="2"/>
  <c r="AG3513" i="2"/>
  <c r="AG3514" i="2"/>
  <c r="AG3516" i="2" s="1"/>
  <c r="AG3504" i="2"/>
  <c r="AG3506" i="2" s="1"/>
  <c r="AH3507" i="2" s="1"/>
  <c r="AG3515" i="2" l="1"/>
  <c r="AG3517" i="2" s="1"/>
  <c r="AH3518" i="2" s="1"/>
  <c r="AG3524" i="2"/>
  <c r="AG3525" i="2"/>
  <c r="AG3527" i="2" s="1"/>
  <c r="AG3534" i="2"/>
  <c r="AG3533" i="2"/>
  <c r="AI3540" i="2"/>
  <c r="AG3542" i="2"/>
  <c r="AG3535" i="2" l="1"/>
  <c r="AG3536" i="2"/>
  <c r="AG3538" i="2" s="1"/>
  <c r="AG3526" i="2"/>
  <c r="AG3528" i="2" s="1"/>
  <c r="AH3529" i="2" s="1"/>
  <c r="AG3545" i="2"/>
  <c r="AG3553" i="2"/>
  <c r="AG3544" i="2"/>
  <c r="AI3551" i="2"/>
  <c r="AG3537" i="2" l="1"/>
  <c r="AG3539" i="2" s="1"/>
  <c r="AH3540" i="2" s="1"/>
  <c r="AI3562" i="2"/>
  <c r="AG3556" i="2"/>
  <c r="AG3555" i="2"/>
  <c r="AG3564" i="2"/>
  <c r="AG3546" i="2"/>
  <c r="AG3547" i="2"/>
  <c r="AG3549" i="2" s="1"/>
  <c r="AG3557" i="2" l="1"/>
  <c r="AG3558" i="2"/>
  <c r="AG3560" i="2" s="1"/>
  <c r="AI3573" i="2"/>
  <c r="AG3567" i="2"/>
  <c r="AG3575" i="2"/>
  <c r="AG3566" i="2"/>
  <c r="AG3548" i="2"/>
  <c r="AG3550" i="2" s="1"/>
  <c r="AH3551" i="2" s="1"/>
  <c r="AG3586" i="2" l="1"/>
  <c r="AI3584" i="2"/>
  <c r="AG3577" i="2"/>
  <c r="AG3578" i="2"/>
  <c r="AG3559" i="2"/>
  <c r="AG3561" i="2" s="1"/>
  <c r="AH3562" i="2" s="1"/>
  <c r="AG3568" i="2"/>
  <c r="AG3569" i="2"/>
  <c r="AG3571" i="2" s="1"/>
  <c r="AG3597" i="2" l="1"/>
  <c r="AG3588" i="2"/>
  <c r="AI3595" i="2"/>
  <c r="AG3589" i="2"/>
  <c r="AG3579" i="2"/>
  <c r="AG3581" i="2" s="1"/>
  <c r="AG3580" i="2"/>
  <c r="AG3582" i="2" s="1"/>
  <c r="AG3570" i="2"/>
  <c r="AG3572" i="2" s="1"/>
  <c r="AH3573" i="2" s="1"/>
  <c r="AG3583" i="2" l="1"/>
  <c r="AH3584" i="2" s="1"/>
  <c r="AI3606" i="2"/>
  <c r="AG3608" i="2"/>
  <c r="AG3600" i="2"/>
  <c r="AG3599" i="2"/>
  <c r="AG3590" i="2"/>
  <c r="AG3592" i="2" s="1"/>
  <c r="AG3591" i="2"/>
  <c r="AG3593" i="2" s="1"/>
  <c r="AG3594" i="2" l="1"/>
  <c r="AH3595" i="2" s="1"/>
  <c r="AG3610" i="2"/>
  <c r="AG3619" i="2"/>
  <c r="AI3617" i="2"/>
  <c r="AG3611" i="2"/>
  <c r="AG3601" i="2"/>
  <c r="AG3603" i="2" s="1"/>
  <c r="AG3602" i="2"/>
  <c r="AG3604" i="2" s="1"/>
  <c r="AG3605" i="2" l="1"/>
  <c r="AH3606" i="2" s="1"/>
  <c r="AG3612" i="2"/>
  <c r="AG3614" i="2" s="1"/>
  <c r="AG3613" i="2"/>
  <c r="AG3615" i="2" s="1"/>
  <c r="AG3630" i="2"/>
  <c r="AI3628" i="2"/>
  <c r="AG3622" i="2"/>
  <c r="AG3621" i="2"/>
  <c r="AG3616" i="2" l="1"/>
  <c r="AH3617" i="2" s="1"/>
  <c r="AG3623" i="2"/>
  <c r="AG3625" i="2" s="1"/>
  <c r="AG3624" i="2"/>
  <c r="AG3626" i="2" s="1"/>
  <c r="AI3639" i="2"/>
  <c r="AG3641" i="2"/>
  <c r="AG3633" i="2"/>
  <c r="AG3632" i="2"/>
  <c r="AG3627" i="2" l="1"/>
  <c r="AH3628" i="2" s="1"/>
  <c r="AG3634" i="2"/>
  <c r="AG3635" i="2"/>
  <c r="AG3637" i="2" s="1"/>
  <c r="AG3644" i="2"/>
  <c r="AG3643" i="2"/>
  <c r="AG3652" i="2"/>
  <c r="AI3650" i="2"/>
  <c r="AG3663" i="2" l="1"/>
  <c r="AG3654" i="2"/>
  <c r="AI3661" i="2"/>
  <c r="AG3655" i="2"/>
  <c r="AG3636" i="2"/>
  <c r="AG3638" i="2" s="1"/>
  <c r="AH3639" i="2" s="1"/>
  <c r="AG3645" i="2"/>
  <c r="AG3646" i="2"/>
  <c r="AG3648" i="2" s="1"/>
  <c r="AG3674" i="2" l="1"/>
  <c r="AI3672" i="2"/>
  <c r="AG3666" i="2"/>
  <c r="AG3665" i="2"/>
  <c r="AG3656" i="2"/>
  <c r="AG3658" i="2" s="1"/>
  <c r="AG3657" i="2"/>
  <c r="AG3659" i="2" s="1"/>
  <c r="AG3647" i="2"/>
  <c r="AG3649" i="2" s="1"/>
  <c r="AH3650" i="2" s="1"/>
  <c r="AG3660" i="2" l="1"/>
  <c r="AH3661" i="2" s="1"/>
  <c r="AI3683" i="2"/>
  <c r="AG3677" i="2"/>
  <c r="AG3685" i="2"/>
  <c r="AG3676" i="2"/>
  <c r="AG3667" i="2"/>
  <c r="AG3668" i="2"/>
  <c r="AG3670" i="2" s="1"/>
  <c r="AG3669" i="2" l="1"/>
  <c r="AG3671" i="2" s="1"/>
  <c r="AH3672" i="2" s="1"/>
  <c r="AG3687" i="2"/>
  <c r="AG3688" i="2"/>
  <c r="AG3696" i="2"/>
  <c r="AI3694" i="2"/>
  <c r="AG3678" i="2"/>
  <c r="AG3679" i="2"/>
  <c r="AG3681" i="2" s="1"/>
  <c r="AG3698" i="2" l="1"/>
  <c r="AG3707" i="2"/>
  <c r="AI3705" i="2"/>
  <c r="AG3699" i="2"/>
  <c r="AG3689" i="2"/>
  <c r="AG3691" i="2" s="1"/>
  <c r="AG3690" i="2"/>
  <c r="AG3692" i="2" s="1"/>
  <c r="AG3680" i="2"/>
  <c r="AG3682" i="2" s="1"/>
  <c r="AH3683" i="2" s="1"/>
  <c r="AG3693" i="2" l="1"/>
  <c r="AH3694" i="2" s="1"/>
  <c r="AG3700" i="2"/>
  <c r="AG3702" i="2" s="1"/>
  <c r="AG3701" i="2"/>
  <c r="AG3703" i="2" s="1"/>
  <c r="AG3710" i="2"/>
  <c r="AI3716" i="2"/>
  <c r="AG3709" i="2"/>
  <c r="AG3718" i="2"/>
  <c r="AG3704" i="2" l="1"/>
  <c r="AH3705" i="2" s="1"/>
  <c r="AG3711" i="2"/>
  <c r="AG3712" i="2"/>
  <c r="AG3714" i="2" s="1"/>
  <c r="AG3720" i="2"/>
  <c r="AI3727" i="2"/>
  <c r="AG3729" i="2"/>
  <c r="AG3721" i="2"/>
  <c r="AI3738" i="2" l="1"/>
  <c r="AG3732" i="2"/>
  <c r="AG3740" i="2"/>
  <c r="AG3731" i="2"/>
  <c r="AG3713" i="2"/>
  <c r="AG3715" i="2" s="1"/>
  <c r="AH3716" i="2" s="1"/>
  <c r="AG3722" i="2"/>
  <c r="AG3723" i="2"/>
  <c r="AG3725" i="2" s="1"/>
  <c r="AG3742" i="2" l="1"/>
  <c r="AG3743" i="2"/>
  <c r="AI3749" i="2"/>
  <c r="AG3751" i="2"/>
  <c r="AG3724" i="2"/>
  <c r="AG3726" i="2" s="1"/>
  <c r="AH3727" i="2" s="1"/>
  <c r="AG3733" i="2"/>
  <c r="AG3734" i="2"/>
  <c r="AG3736" i="2" s="1"/>
  <c r="AG3744" i="2" l="1"/>
  <c r="AG3746" i="2" s="1"/>
  <c r="AG3745" i="2"/>
  <c r="AG3747" i="2" s="1"/>
  <c r="AG3735" i="2"/>
  <c r="AG3737" i="2" s="1"/>
  <c r="AH3738" i="2" s="1"/>
  <c r="AI3760" i="2"/>
  <c r="AG3754" i="2"/>
  <c r="AG3753" i="2"/>
  <c r="AG3762" i="2"/>
  <c r="AG3748" i="2" l="1"/>
  <c r="AH3749" i="2" s="1"/>
  <c r="AG3755" i="2"/>
  <c r="AG3757" i="2" s="1"/>
  <c r="AG3756" i="2"/>
  <c r="AG3758" i="2" s="1"/>
  <c r="AG3764" i="2"/>
  <c r="AG3765" i="2"/>
  <c r="AI3771" i="2"/>
  <c r="AG3773" i="2"/>
  <c r="AG3759" i="2" l="1"/>
  <c r="AH3760" i="2" s="1"/>
  <c r="AG3784" i="2"/>
  <c r="AG3776" i="2"/>
  <c r="AI3782" i="2"/>
  <c r="AG3775" i="2"/>
  <c r="AG3766" i="2"/>
  <c r="AG3768" i="2" s="1"/>
  <c r="AG3767" i="2"/>
  <c r="AG3769" i="2" s="1"/>
  <c r="AG3770" i="2" l="1"/>
  <c r="AH3771" i="2" s="1"/>
  <c r="AI3793" i="2"/>
  <c r="AG3795" i="2"/>
  <c r="AG3787" i="2"/>
  <c r="AG3786" i="2"/>
  <c r="AG3777" i="2"/>
  <c r="AG3779" i="2" s="1"/>
  <c r="AG3778" i="2"/>
  <c r="AG3780" i="2" s="1"/>
  <c r="AG3781" i="2" l="1"/>
  <c r="AH3782" i="2" s="1"/>
  <c r="AI3804" i="2"/>
  <c r="AG3806" i="2"/>
  <c r="AG3798" i="2"/>
  <c r="AG3797" i="2"/>
  <c r="AG3788" i="2"/>
  <c r="AG3790" i="2" s="1"/>
  <c r="AG3789" i="2"/>
  <c r="AG3791" i="2" s="1"/>
  <c r="AG3792" i="2" l="1"/>
  <c r="AH3793" i="2" s="1"/>
  <c r="AG3809" i="2"/>
  <c r="AI3815" i="2"/>
  <c r="AG3817" i="2"/>
  <c r="AG3808" i="2"/>
  <c r="AG3799" i="2"/>
  <c r="AG3801" i="2" s="1"/>
  <c r="AG3800" i="2"/>
  <c r="AG3802" i="2" s="1"/>
  <c r="AG3803" i="2" l="1"/>
  <c r="AH3804" i="2" s="1"/>
  <c r="AG3819" i="2"/>
  <c r="AG3820" i="2"/>
  <c r="AG3828" i="2"/>
  <c r="AI3826" i="2"/>
  <c r="AG3810" i="2"/>
  <c r="AG3812" i="2" s="1"/>
  <c r="AG3811" i="2"/>
  <c r="AG3813" i="2" s="1"/>
  <c r="AG3814" i="2" l="1"/>
  <c r="AH3815" i="2" s="1"/>
  <c r="AG3821" i="2"/>
  <c r="AG3823" i="2" s="1"/>
  <c r="AG3822" i="2"/>
  <c r="AG3824" i="2" s="1"/>
  <c r="AI3837" i="2"/>
  <c r="AG3839" i="2"/>
  <c r="AG3830" i="2"/>
  <c r="AG3831" i="2"/>
  <c r="AG3825" i="2" l="1"/>
  <c r="AH3826" i="2" s="1"/>
  <c r="AG3832" i="2"/>
  <c r="AG3833" i="2"/>
  <c r="AG3835" i="2" s="1"/>
  <c r="AG3850" i="2"/>
  <c r="AG3842" i="2"/>
  <c r="AG3841" i="2"/>
  <c r="AI3848" i="2"/>
  <c r="AG3843" i="2" l="1"/>
  <c r="AG3844" i="2"/>
  <c r="AG3846" i="2" s="1"/>
  <c r="AG3834" i="2"/>
  <c r="AG3836" i="2" s="1"/>
  <c r="AH3837" i="2" s="1"/>
  <c r="AI3859" i="2"/>
  <c r="AG3853" i="2"/>
  <c r="AG3861" i="2"/>
  <c r="AG3852" i="2"/>
  <c r="AG3845" i="2" l="1"/>
  <c r="AG3847" i="2" s="1"/>
  <c r="AH3848" i="2" s="1"/>
  <c r="AG3864" i="2"/>
  <c r="AG3872" i="2"/>
  <c r="AI3870" i="2"/>
  <c r="AG3863" i="2"/>
  <c r="AG3854" i="2"/>
  <c r="AG3855" i="2"/>
  <c r="AG3857" i="2" s="1"/>
  <c r="AG3865" i="2" l="1"/>
  <c r="AG3867" i="2" s="1"/>
  <c r="AG3866" i="2"/>
  <c r="AG3868" i="2" s="1"/>
  <c r="AG3856" i="2"/>
  <c r="AG3858" i="2" s="1"/>
  <c r="AH3859" i="2" s="1"/>
  <c r="AG3875" i="2"/>
  <c r="AG3883" i="2"/>
  <c r="AG3874" i="2"/>
  <c r="AI3881" i="2"/>
  <c r="AG3869" i="2" l="1"/>
  <c r="AH3870" i="2" s="1"/>
  <c r="AI3892" i="2"/>
  <c r="AG3885" i="2"/>
  <c r="AG3886" i="2"/>
  <c r="AG3894" i="2"/>
  <c r="AG3876" i="2"/>
  <c r="AG3877" i="2"/>
  <c r="AG3879" i="2" s="1"/>
  <c r="AG3878" i="2" l="1"/>
  <c r="AG3880" i="2" s="1"/>
  <c r="AH3881" i="2" s="1"/>
  <c r="AG3887" i="2"/>
  <c r="AG3889" i="2" s="1"/>
  <c r="AG3888" i="2"/>
  <c r="AG3890" i="2" s="1"/>
  <c r="AG3897" i="2"/>
  <c r="AG3896" i="2"/>
  <c r="AI3903" i="2"/>
  <c r="AG3905" i="2"/>
  <c r="AG3891" i="2" l="1"/>
  <c r="AH3892" i="2" s="1"/>
  <c r="AG3898" i="2"/>
  <c r="AG3899" i="2"/>
  <c r="AG3901" i="2" s="1"/>
  <c r="AG3908" i="2"/>
  <c r="AG3916" i="2"/>
  <c r="AG3907" i="2"/>
  <c r="AI3914" i="2"/>
  <c r="AG3909" i="2" l="1"/>
  <c r="AG3910" i="2"/>
  <c r="AG3912" i="2" s="1"/>
  <c r="AG3900" i="2"/>
  <c r="AG3902" i="2" s="1"/>
  <c r="AH3903" i="2" s="1"/>
  <c r="AG3927" i="2"/>
  <c r="AG3918" i="2"/>
  <c r="AI3925" i="2"/>
  <c r="AG3919" i="2"/>
  <c r="AI3936" i="2" l="1"/>
  <c r="AG3930" i="2"/>
  <c r="AG3929" i="2"/>
  <c r="AG3938" i="2"/>
  <c r="AG3911" i="2"/>
  <c r="AG3913" i="2" s="1"/>
  <c r="AH3914" i="2" s="1"/>
  <c r="AG3920" i="2"/>
  <c r="AG3921" i="2"/>
  <c r="AG3923" i="2" s="1"/>
  <c r="AG3931" i="2" l="1"/>
  <c r="AG3933" i="2" s="1"/>
  <c r="AG3932" i="2"/>
  <c r="AG3934" i="2" s="1"/>
  <c r="AG3922" i="2"/>
  <c r="AG3924" i="2" s="1"/>
  <c r="AH3925" i="2" s="1"/>
  <c r="AI3947" i="2"/>
  <c r="AG3941" i="2"/>
  <c r="AG3949" i="2"/>
  <c r="AG3940" i="2"/>
  <c r="AG3935" i="2" l="1"/>
  <c r="AH3936" i="2" s="1"/>
  <c r="AG3952" i="2"/>
  <c r="AI3958" i="2"/>
  <c r="AG3951" i="2"/>
  <c r="AG3960" i="2"/>
  <c r="AG3942" i="2"/>
  <c r="AG3944" i="2" s="1"/>
  <c r="AG3943" i="2"/>
  <c r="AG3945" i="2" s="1"/>
  <c r="AG3946" i="2" l="1"/>
  <c r="AH3947" i="2" s="1"/>
  <c r="AG3953" i="2"/>
  <c r="AG3954" i="2"/>
  <c r="AG3956" i="2" s="1"/>
  <c r="AG3962" i="2"/>
  <c r="AI3969" i="2"/>
  <c r="AG3971" i="2"/>
  <c r="AG3963" i="2"/>
  <c r="AI3980" i="2" l="1"/>
  <c r="AG3974" i="2"/>
  <c r="AG3973" i="2"/>
  <c r="AG3982" i="2"/>
  <c r="AG3955" i="2"/>
  <c r="AG3957" i="2" s="1"/>
  <c r="AH3958" i="2" s="1"/>
  <c r="AG3964" i="2"/>
  <c r="AG3966" i="2" s="1"/>
  <c r="AG3965" i="2"/>
  <c r="AG3967" i="2" s="1"/>
  <c r="AG3975" i="2" l="1"/>
  <c r="AG3977" i="2" s="1"/>
  <c r="AG3976" i="2"/>
  <c r="AG3978" i="2" s="1"/>
  <c r="AI3991" i="2"/>
  <c r="AG3993" i="2"/>
  <c r="AG3985" i="2"/>
  <c r="AG3984" i="2"/>
  <c r="AG3968" i="2"/>
  <c r="AH3969" i="2" s="1"/>
  <c r="AG3979" i="2" l="1"/>
  <c r="AH3980" i="2" s="1"/>
  <c r="AG3986" i="2"/>
  <c r="AG3988" i="2" s="1"/>
  <c r="AG3987" i="2"/>
  <c r="AG3989" i="2" s="1"/>
  <c r="AG3996" i="2"/>
  <c r="AG3995" i="2"/>
  <c r="AG4004" i="2"/>
  <c r="AI4002" i="2"/>
  <c r="AG3990" i="2" l="1"/>
  <c r="AH3991" i="2" s="1"/>
  <c r="AI4013" i="2"/>
  <c r="AG4007" i="2"/>
  <c r="AG4015" i="2"/>
  <c r="AG4006" i="2"/>
  <c r="AG3997" i="2"/>
  <c r="AG3999" i="2" s="1"/>
  <c r="AG3998" i="2"/>
  <c r="AG4000" i="2" s="1"/>
  <c r="AG4001" i="2" l="1"/>
  <c r="AH4002" i="2" s="1"/>
  <c r="AG4026" i="2"/>
  <c r="AI4024" i="2"/>
  <c r="AG4018" i="2"/>
  <c r="AG4017" i="2"/>
  <c r="AG4008" i="2"/>
  <c r="AG4009" i="2"/>
  <c r="AG4011" i="2" s="1"/>
  <c r="AG4029" i="2" l="1"/>
  <c r="AG4037" i="2"/>
  <c r="AG4028" i="2"/>
  <c r="AI4035" i="2"/>
  <c r="AG4010" i="2"/>
  <c r="AG4012" i="2" s="1"/>
  <c r="AH4013" i="2" s="1"/>
  <c r="AG4019" i="2"/>
  <c r="AG4021" i="2" s="1"/>
  <c r="AG4020" i="2"/>
  <c r="AG4022" i="2" s="1"/>
  <c r="AI4046" i="2" l="1"/>
  <c r="AG4040" i="2"/>
  <c r="AG4039" i="2"/>
  <c r="AG4048" i="2"/>
  <c r="AG4030" i="2"/>
  <c r="AG4031" i="2"/>
  <c r="AG4033" i="2" s="1"/>
  <c r="AG4023" i="2"/>
  <c r="AH4024" i="2" s="1"/>
  <c r="AG4032" i="2" l="1"/>
  <c r="AG4034" i="2" s="1"/>
  <c r="AH4035" i="2" s="1"/>
  <c r="AG4041" i="2"/>
  <c r="AG4043" i="2" s="1"/>
  <c r="AG4042" i="2"/>
  <c r="AG4044" i="2" s="1"/>
  <c r="AG4051" i="2"/>
  <c r="AG4050" i="2"/>
  <c r="AI4057" i="2"/>
  <c r="AG4059" i="2"/>
  <c r="AG4045" i="2" l="1"/>
  <c r="AH4046" i="2" s="1"/>
  <c r="AG4052" i="2"/>
  <c r="AG4054" i="2" s="1"/>
  <c r="AG4053" i="2"/>
  <c r="AG4055" i="2" s="1"/>
  <c r="AG4062" i="2"/>
  <c r="AG4061" i="2"/>
  <c r="AI4068" i="2"/>
  <c r="AG4070" i="2"/>
  <c r="AG4056" i="2" l="1"/>
  <c r="AH4057" i="2" s="1"/>
  <c r="AG4073" i="2"/>
  <c r="AG4072" i="2"/>
  <c r="AI4079" i="2"/>
  <c r="AG4081" i="2"/>
  <c r="AG4063" i="2"/>
  <c r="AG4064" i="2"/>
  <c r="AG4066" i="2" s="1"/>
  <c r="AG4065" i="2" l="1"/>
  <c r="AG4067" i="2" s="1"/>
  <c r="AH4068" i="2" s="1"/>
  <c r="AG4074" i="2"/>
  <c r="AG4076" i="2" s="1"/>
  <c r="AG4075" i="2"/>
  <c r="AG4077" i="2" s="1"/>
  <c r="AG4084" i="2"/>
  <c r="AG4092" i="2"/>
  <c r="AG4083" i="2"/>
  <c r="AI4090" i="2"/>
  <c r="AG4078" i="2" l="1"/>
  <c r="AH4079" i="2" s="1"/>
  <c r="AG4094" i="2"/>
  <c r="AI4101" i="2"/>
  <c r="AG4095" i="2"/>
  <c r="AG4103" i="2"/>
  <c r="AG4085" i="2"/>
  <c r="AG4087" i="2" s="1"/>
  <c r="AG4086" i="2"/>
  <c r="AG4088" i="2" s="1"/>
  <c r="AG4089" i="2" l="1"/>
  <c r="AH4090" i="2" s="1"/>
  <c r="AG4096" i="2"/>
  <c r="AG4097" i="2"/>
  <c r="AG4099" i="2" s="1"/>
  <c r="AG4106" i="2"/>
  <c r="AG4114" i="2"/>
  <c r="AG4105" i="2"/>
  <c r="AI4112" i="2"/>
  <c r="AG4107" i="2" l="1"/>
  <c r="AG4109" i="2" s="1"/>
  <c r="AG4108" i="2"/>
  <c r="AG4110" i="2" s="1"/>
  <c r="AG4098" i="2"/>
  <c r="AG4100" i="2" s="1"/>
  <c r="AH4101" i="2" s="1"/>
  <c r="AI4123" i="2"/>
  <c r="AG4117" i="2"/>
  <c r="AG4125" i="2"/>
  <c r="AG4116" i="2"/>
  <c r="AG4111" i="2" l="1"/>
  <c r="AH4112" i="2" s="1"/>
  <c r="AG4136" i="2"/>
  <c r="AI4134" i="2"/>
  <c r="AG4127" i="2"/>
  <c r="AG4128" i="2"/>
  <c r="AG4118" i="2"/>
  <c r="AG4119" i="2"/>
  <c r="AG4121" i="2" s="1"/>
  <c r="AI4145" i="2" l="1"/>
  <c r="AG4139" i="2"/>
  <c r="AG4147" i="2"/>
  <c r="AG4138" i="2"/>
  <c r="AG4120" i="2"/>
  <c r="AG4122" i="2" s="1"/>
  <c r="AH4123" i="2" s="1"/>
  <c r="AG4129" i="2"/>
  <c r="AG4131" i="2" s="1"/>
  <c r="AG4130" i="2"/>
  <c r="AG4132" i="2" s="1"/>
  <c r="AG4150" i="2" l="1"/>
  <c r="AG4158" i="2"/>
  <c r="AG4149" i="2"/>
  <c r="AI4156" i="2"/>
  <c r="AG4140" i="2"/>
  <c r="AG4141" i="2"/>
  <c r="AG4143" i="2" s="1"/>
  <c r="AG4133" i="2"/>
  <c r="AH4134" i="2" s="1"/>
  <c r="AG4142" i="2" l="1"/>
  <c r="AG4144" i="2" s="1"/>
  <c r="AH4145" i="2" s="1"/>
  <c r="AG4169" i="2"/>
  <c r="AG4161" i="2"/>
  <c r="AG4160" i="2"/>
  <c r="AI4167" i="2"/>
  <c r="AG4151" i="2"/>
  <c r="AG4153" i="2" s="1"/>
  <c r="AG4152" i="2"/>
  <c r="AG4154" i="2" s="1"/>
  <c r="AG4162" i="2" l="1"/>
  <c r="AG4163" i="2"/>
  <c r="AG4165" i="2" s="1"/>
  <c r="AI4178" i="2"/>
  <c r="AG4172" i="2"/>
  <c r="AG4180" i="2"/>
  <c r="AG4171" i="2"/>
  <c r="AG4155" i="2"/>
  <c r="AH4156" i="2" s="1"/>
  <c r="AG4191" i="2" l="1"/>
  <c r="AG4182" i="2"/>
  <c r="AI4189" i="2"/>
  <c r="AG4183" i="2"/>
  <c r="AG4164" i="2"/>
  <c r="AG4166" i="2" s="1"/>
  <c r="AH4167" i="2" s="1"/>
  <c r="AG4173" i="2"/>
  <c r="AG4175" i="2" s="1"/>
  <c r="AG4174" i="2"/>
  <c r="AG4176" i="2" s="1"/>
  <c r="AG4194" i="2" l="1"/>
  <c r="AG4202" i="2"/>
  <c r="AG4193" i="2"/>
  <c r="AI4200" i="2"/>
  <c r="AG4184" i="2"/>
  <c r="AG4185" i="2"/>
  <c r="AG4187" i="2" s="1"/>
  <c r="AG4177" i="2"/>
  <c r="AH4178" i="2" s="1"/>
  <c r="AG4186" i="2" l="1"/>
  <c r="AG4188" i="2" s="1"/>
  <c r="AH4189" i="2" s="1"/>
  <c r="AG4205" i="2"/>
  <c r="AG4213" i="2"/>
  <c r="AG4204" i="2"/>
  <c r="AI4211" i="2"/>
  <c r="AG4195" i="2"/>
  <c r="AG4196" i="2"/>
  <c r="AG4198" i="2" s="1"/>
  <c r="AG4206" i="2" l="1"/>
  <c r="AG4207" i="2"/>
  <c r="AG4209" i="2" s="1"/>
  <c r="AG4197" i="2"/>
  <c r="AG4199" i="2" s="1"/>
  <c r="AH4200" i="2" s="1"/>
  <c r="AG4216" i="2"/>
  <c r="AG4224" i="2"/>
  <c r="AI4222" i="2"/>
  <c r="AG4215" i="2"/>
  <c r="AG4208" i="2" l="1"/>
  <c r="AG4210" i="2" s="1"/>
  <c r="AH4211" i="2" s="1"/>
  <c r="AG4227" i="2"/>
  <c r="AG4235" i="2"/>
  <c r="AG4226" i="2"/>
  <c r="AI4233" i="2"/>
  <c r="AG4217" i="2"/>
  <c r="AG4219" i="2" s="1"/>
  <c r="AG4218" i="2"/>
  <c r="AG4220" i="2" s="1"/>
  <c r="AG4228" i="2" l="1"/>
  <c r="AG4229" i="2"/>
  <c r="AG4231" i="2" s="1"/>
  <c r="AG4238" i="2"/>
  <c r="AG4246" i="2"/>
  <c r="AG4237" i="2"/>
  <c r="AI4244" i="2"/>
  <c r="AG4221" i="2"/>
  <c r="AH4222" i="2" s="1"/>
  <c r="AG4239" i="2" l="1"/>
  <c r="AG4240" i="2"/>
  <c r="AG4242" i="2" s="1"/>
  <c r="AG4230" i="2"/>
  <c r="AG4232" i="2" s="1"/>
  <c r="AH4233" i="2" s="1"/>
  <c r="AI4255" i="2"/>
  <c r="AG4257" i="2"/>
  <c r="AG4249" i="2"/>
  <c r="AG4248" i="2"/>
  <c r="AG4241" i="2" l="1"/>
  <c r="AG4243" i="2" s="1"/>
  <c r="AH4244" i="2" s="1"/>
  <c r="AG4268" i="2"/>
  <c r="AG4259" i="2"/>
  <c r="AI4266" i="2"/>
  <c r="AG4260" i="2"/>
  <c r="AG4250" i="2"/>
  <c r="AG4251" i="2"/>
  <c r="AG4253" i="2" s="1"/>
  <c r="AG4279" i="2" l="1"/>
  <c r="AG4270" i="2"/>
  <c r="AI4277" i="2"/>
  <c r="AG4271" i="2"/>
  <c r="AG4252" i="2"/>
  <c r="AG4254" i="2" s="1"/>
  <c r="AH4255" i="2" s="1"/>
  <c r="AG4261" i="2"/>
  <c r="AG4262" i="2"/>
  <c r="AG4264" i="2" s="1"/>
  <c r="AI4288" i="2" l="1"/>
  <c r="AG4282" i="2"/>
  <c r="AG4290" i="2"/>
  <c r="AG4281" i="2"/>
  <c r="AG4272" i="2"/>
  <c r="AG4273" i="2"/>
  <c r="AG4275" i="2" s="1"/>
  <c r="AG4263" i="2"/>
  <c r="AG4265" i="2" s="1"/>
  <c r="AH4266" i="2" s="1"/>
  <c r="AG4274" i="2" l="1"/>
  <c r="AG4276" i="2" s="1"/>
  <c r="AH4277" i="2" s="1"/>
  <c r="AG4292" i="2"/>
  <c r="AI4299" i="2"/>
  <c r="AG4293" i="2"/>
  <c r="AG4301" i="2"/>
  <c r="AG4283" i="2"/>
  <c r="AG4284" i="2"/>
  <c r="AG4286" i="2" s="1"/>
  <c r="AG4304" i="2" l="1"/>
  <c r="AG4312" i="2"/>
  <c r="AI4310" i="2"/>
  <c r="AG4303" i="2"/>
  <c r="AG4294" i="2"/>
  <c r="AG4295" i="2"/>
  <c r="AG4297" i="2" s="1"/>
  <c r="AG4285" i="2"/>
  <c r="AG4287" i="2" s="1"/>
  <c r="AH4288" i="2" s="1"/>
  <c r="AG4296" i="2" l="1"/>
  <c r="AG4298" i="2" s="1"/>
  <c r="AH4299" i="2" s="1"/>
  <c r="AG4314" i="2"/>
  <c r="AI4321" i="2"/>
  <c r="AG4315" i="2"/>
  <c r="AG4323" i="2"/>
  <c r="AG4305" i="2"/>
  <c r="AG4306" i="2"/>
  <c r="AG4308" i="2" s="1"/>
  <c r="AG4334" i="2" l="1"/>
  <c r="AG4325" i="2"/>
  <c r="AI4332" i="2"/>
  <c r="AG4326" i="2"/>
  <c r="AG4316" i="2"/>
  <c r="AG4317" i="2"/>
  <c r="AG4319" i="2" s="1"/>
  <c r="AG4307" i="2"/>
  <c r="AG4309" i="2" s="1"/>
  <c r="AH4310" i="2" s="1"/>
  <c r="AG4337" i="2" l="1"/>
  <c r="AG4336" i="2"/>
  <c r="AI4343" i="2"/>
  <c r="AG4345" i="2"/>
  <c r="AG4318" i="2"/>
  <c r="AG4320" i="2" s="1"/>
  <c r="AH4321" i="2" s="1"/>
  <c r="AG4327" i="2"/>
  <c r="AG4328" i="2"/>
  <c r="AG4330" i="2" s="1"/>
  <c r="AG4338" i="2" l="1"/>
  <c r="AG4339" i="2"/>
  <c r="AG4341" i="2" s="1"/>
  <c r="AG4329" i="2"/>
  <c r="AG4331" i="2" s="1"/>
  <c r="AH4332" i="2" s="1"/>
  <c r="AG4348" i="2"/>
  <c r="AG4356" i="2"/>
  <c r="AG4347" i="2"/>
  <c r="AI4354" i="2"/>
  <c r="AG4340" i="2" l="1"/>
  <c r="AG4342" i="2" s="1"/>
  <c r="AH4343" i="2" s="1"/>
  <c r="AI4365" i="2"/>
  <c r="AG4359" i="2"/>
  <c r="AG4367" i="2"/>
  <c r="AG4358" i="2"/>
  <c r="AG4349" i="2"/>
  <c r="AG4350" i="2"/>
  <c r="AG4352" i="2" s="1"/>
  <c r="AG4370" i="2" l="1"/>
  <c r="AG4378" i="2"/>
  <c r="AG4369" i="2"/>
  <c r="AI4376" i="2"/>
  <c r="AG4360" i="2"/>
  <c r="AG4361" i="2"/>
  <c r="AG4363" i="2" s="1"/>
  <c r="AG4351" i="2"/>
  <c r="AG4353" i="2" s="1"/>
  <c r="AH4354" i="2" s="1"/>
  <c r="AG4362" i="2" l="1"/>
  <c r="AG4364" i="2" s="1"/>
  <c r="AH4365" i="2" s="1"/>
  <c r="AG4389" i="2"/>
  <c r="AG4380" i="2"/>
  <c r="AI4387" i="2"/>
  <c r="AG4381" i="2"/>
  <c r="AG4371" i="2"/>
  <c r="AG4372" i="2"/>
  <c r="AG4374" i="2" s="1"/>
  <c r="AG4391" i="2" l="1"/>
  <c r="AG4392" i="2"/>
  <c r="AG4400" i="2"/>
  <c r="AI4398" i="2"/>
  <c r="AG4373" i="2"/>
  <c r="AG4375" i="2" s="1"/>
  <c r="AH4376" i="2" s="1"/>
  <c r="AG4382" i="2"/>
  <c r="AG4383" i="2"/>
  <c r="AG4385" i="2" s="1"/>
  <c r="AG4393" i="2" l="1"/>
  <c r="AG4395" i="2" s="1"/>
  <c r="AG4394" i="2"/>
  <c r="AG4396" i="2" s="1"/>
  <c r="AG4403" i="2"/>
  <c r="AG4411" i="2"/>
  <c r="AG4402" i="2"/>
  <c r="AI4409" i="2"/>
  <c r="AG4384" i="2"/>
  <c r="AG4386" i="2" s="1"/>
  <c r="AH4387" i="2" s="1"/>
  <c r="AG4397" i="2" l="1"/>
  <c r="AH4398" i="2" s="1"/>
  <c r="AG4404" i="2"/>
  <c r="AG4405" i="2"/>
  <c r="AG4407" i="2" s="1"/>
  <c r="AG4414" i="2"/>
  <c r="AG4422" i="2"/>
  <c r="AG4413" i="2"/>
  <c r="AI4420" i="2"/>
  <c r="AG4415" i="2" l="1"/>
  <c r="AG4417" i="2" s="1"/>
  <c r="AG4416" i="2"/>
  <c r="AG4418" i="2" s="1"/>
  <c r="AG4406" i="2"/>
  <c r="AG4408" i="2" s="1"/>
  <c r="AH4409" i="2" s="1"/>
  <c r="AG4433" i="2"/>
  <c r="AG4425" i="2"/>
  <c r="AG4424" i="2"/>
  <c r="AI4431" i="2"/>
  <c r="AG4419" i="2" l="1"/>
  <c r="AH4420" i="2" s="1"/>
  <c r="AI4442" i="2"/>
  <c r="AG4436" i="2"/>
  <c r="AG4444" i="2"/>
  <c r="AG4435" i="2"/>
  <c r="AG4426" i="2"/>
  <c r="AG4427" i="2"/>
  <c r="AG4429" i="2" s="1"/>
  <c r="AG4428" i="2" l="1"/>
  <c r="AG4430" i="2" s="1"/>
  <c r="AH4431" i="2" s="1"/>
  <c r="AG4446" i="2"/>
  <c r="AI4453" i="2"/>
  <c r="AG4447" i="2"/>
  <c r="AG4455" i="2"/>
  <c r="AG4437" i="2"/>
  <c r="AG4438" i="2"/>
  <c r="AG4440" i="2" s="1"/>
  <c r="AI4464" i="2" l="1"/>
  <c r="AG4458" i="2"/>
  <c r="AG4466" i="2"/>
  <c r="AG4457" i="2"/>
  <c r="AG4448" i="2"/>
  <c r="AG4449" i="2"/>
  <c r="AG4451" i="2" s="1"/>
  <c r="AG4439" i="2"/>
  <c r="AG4441" i="2" s="1"/>
  <c r="AH4442" i="2" s="1"/>
  <c r="AG4450" i="2" l="1"/>
  <c r="AG4452" i="2" s="1"/>
  <c r="AH4453" i="2" s="1"/>
  <c r="AG4469" i="2"/>
  <c r="AG4477" i="2"/>
  <c r="AG4468" i="2"/>
  <c r="AI4475" i="2"/>
  <c r="AG4459" i="2"/>
  <c r="AG4461" i="2" s="1"/>
  <c r="AG4460" i="2"/>
  <c r="AG4462" i="2" s="1"/>
  <c r="AG4470" i="2" l="1"/>
  <c r="AG4471" i="2"/>
  <c r="AG4473" i="2" s="1"/>
  <c r="AG4480" i="2"/>
  <c r="AG4488" i="2"/>
  <c r="AI4486" i="2"/>
  <c r="AG4479" i="2"/>
  <c r="AG4463" i="2"/>
  <c r="AH4464" i="2" s="1"/>
  <c r="AG4472" i="2" l="1"/>
  <c r="AG4474" i="2" s="1"/>
  <c r="AH4475" i="2" s="1"/>
  <c r="AG4481" i="2"/>
  <c r="AG4483" i="2" s="1"/>
  <c r="AG4482" i="2"/>
  <c r="AG4484" i="2" s="1"/>
  <c r="AG4499" i="2"/>
  <c r="AG4490" i="2"/>
  <c r="AI4497" i="2"/>
  <c r="AG4491" i="2"/>
  <c r="AG4485" i="2" l="1"/>
  <c r="AH4486" i="2" s="1"/>
  <c r="AI4508" i="2"/>
  <c r="AG4502" i="2"/>
  <c r="AG4510" i="2"/>
  <c r="AG4501" i="2"/>
  <c r="AG4492" i="2"/>
  <c r="AG4493" i="2"/>
  <c r="AG4495" i="2" s="1"/>
  <c r="AG4494" i="2" l="1"/>
  <c r="AG4496" i="2" s="1"/>
  <c r="AH4497" i="2" s="1"/>
  <c r="AG4521" i="2"/>
  <c r="AG4513" i="2"/>
  <c r="AG4512" i="2"/>
  <c r="AI4519" i="2"/>
  <c r="AG4503" i="2"/>
  <c r="AG4505" i="2" s="1"/>
  <c r="AG4504" i="2"/>
  <c r="AG4506" i="2" s="1"/>
  <c r="AG4514" i="2" l="1"/>
  <c r="AG4515" i="2"/>
  <c r="AG4517" i="2" s="1"/>
  <c r="AI4530" i="2"/>
  <c r="AG4524" i="2"/>
  <c r="AG4532" i="2"/>
  <c r="AG4523" i="2"/>
  <c r="AG4507" i="2"/>
  <c r="AH4508" i="2" s="1"/>
  <c r="AG4543" i="2" l="1"/>
  <c r="AG4534" i="2"/>
  <c r="AI4541" i="2"/>
  <c r="AG4535" i="2"/>
  <c r="AG4516" i="2"/>
  <c r="AG4518" i="2" s="1"/>
  <c r="AH4519" i="2" s="1"/>
  <c r="AG4525" i="2"/>
  <c r="AG4526" i="2"/>
  <c r="AG4528" i="2" s="1"/>
  <c r="AG4546" i="2" l="1"/>
  <c r="AG4554" i="2"/>
  <c r="AG4545" i="2"/>
  <c r="AI4552" i="2"/>
  <c r="AG4536" i="2"/>
  <c r="AG4537" i="2"/>
  <c r="AG4539" i="2" s="1"/>
  <c r="AG4527" i="2"/>
  <c r="AG4529" i="2" s="1"/>
  <c r="AH4530" i="2" s="1"/>
  <c r="AG4547" i="2" l="1"/>
  <c r="AG4548" i="2"/>
  <c r="AG4550" i="2" s="1"/>
  <c r="AG4538" i="2"/>
  <c r="AG4540" i="2" s="1"/>
  <c r="AH4541" i="2" s="1"/>
  <c r="AG4556" i="2"/>
  <c r="AI4563" i="2"/>
  <c r="AG4557" i="2"/>
  <c r="AG4565" i="2"/>
  <c r="AG4558" i="2" l="1"/>
  <c r="AG4559" i="2"/>
  <c r="AG4561" i="2" s="1"/>
  <c r="AG4549" i="2"/>
  <c r="AG4551" i="2" s="1"/>
  <c r="AH4552" i="2" s="1"/>
  <c r="AG4567" i="2"/>
  <c r="AG4568" i="2"/>
  <c r="AG4576" i="2"/>
  <c r="AI4574" i="2"/>
  <c r="AG4569" i="2" l="1"/>
  <c r="AG4571" i="2" s="1"/>
  <c r="AG4570" i="2"/>
  <c r="AG4572" i="2" s="1"/>
  <c r="AI4585" i="2"/>
  <c r="AG4587" i="2"/>
  <c r="AG4579" i="2"/>
  <c r="AG4578" i="2"/>
  <c r="AG4560" i="2"/>
  <c r="AG4562" i="2" s="1"/>
  <c r="AH4563" i="2" s="1"/>
  <c r="AG4573" i="2" l="1"/>
  <c r="AH4574" i="2" s="1"/>
  <c r="AG4580" i="2"/>
  <c r="AG4581" i="2"/>
  <c r="AG4583" i="2" s="1"/>
  <c r="AI4596" i="2"/>
  <c r="AG4589" i="2"/>
  <c r="AG4590" i="2"/>
  <c r="AG4598" i="2"/>
  <c r="AG4582" i="2" l="1"/>
  <c r="AG4584" i="2" s="1"/>
  <c r="AH4585" i="2" s="1"/>
  <c r="AI4607" i="2"/>
  <c r="AG4609" i="2"/>
  <c r="AG4601" i="2"/>
  <c r="AG4600" i="2"/>
  <c r="AG4591" i="2"/>
  <c r="AG4593" i="2" s="1"/>
  <c r="AG4592" i="2"/>
  <c r="AG4594" i="2" s="1"/>
  <c r="AG4602" i="2" l="1"/>
  <c r="AG4604" i="2" s="1"/>
  <c r="AG4603" i="2"/>
  <c r="AG4605" i="2" s="1"/>
  <c r="AG4612" i="2"/>
  <c r="AI4618" i="2"/>
  <c r="AG4620" i="2"/>
  <c r="AG4611" i="2"/>
  <c r="AG4595" i="2"/>
  <c r="AH4596" i="2" s="1"/>
  <c r="AG4606" i="2" l="1"/>
  <c r="AH4607" i="2" s="1"/>
  <c r="AG4623" i="2"/>
  <c r="AG4631" i="2"/>
  <c r="AG4622" i="2"/>
  <c r="AI4629" i="2"/>
  <c r="AG4613" i="2"/>
  <c r="AG4614" i="2"/>
  <c r="AG4616" i="2" s="1"/>
  <c r="AG4615" i="2" l="1"/>
  <c r="AG4617" i="2" s="1"/>
  <c r="AH4618" i="2" s="1"/>
  <c r="AI4640" i="2"/>
  <c r="AG4634" i="2"/>
  <c r="AG4642" i="2"/>
  <c r="AG4633" i="2"/>
  <c r="AG4624" i="2"/>
  <c r="AG4626" i="2" s="1"/>
  <c r="AG4625" i="2"/>
  <c r="AG4627" i="2" s="1"/>
  <c r="AI4651" i="2" l="1"/>
  <c r="AG4645" i="2"/>
  <c r="AG4653" i="2"/>
  <c r="AG4644" i="2"/>
  <c r="AG4635" i="2"/>
  <c r="AG4637" i="2" s="1"/>
  <c r="AG4636" i="2"/>
  <c r="AG4638" i="2" s="1"/>
  <c r="AG4628" i="2"/>
  <c r="AH4629" i="2" s="1"/>
  <c r="AG4639" i="2" l="1"/>
  <c r="AH4640" i="2" s="1"/>
  <c r="AI4662" i="2"/>
  <c r="AG4655" i="2"/>
  <c r="AG4656" i="2"/>
  <c r="AG4646" i="2"/>
  <c r="AG4647" i="2"/>
  <c r="AG4649" i="2" s="1"/>
  <c r="AG4648" i="2" l="1"/>
  <c r="AG4650" i="2" s="1"/>
  <c r="AH4651" i="2" s="1"/>
  <c r="AG4657" i="2"/>
  <c r="AG4658" i="2"/>
  <c r="AG4660" i="2" s="1"/>
  <c r="AG4659" i="2" l="1"/>
  <c r="AG4661" i="2" s="1"/>
  <c r="AH4662" i="2" s="1"/>
  <c r="AI18" i="2" s="1"/>
  <c r="AI20" i="2" l="1"/>
  <c r="AI19" i="2"/>
  <c r="AJ33" i="2" s="1"/>
  <c r="AJ35" i="2" l="1"/>
  <c r="AJ36" i="2"/>
  <c r="N40" i="3"/>
  <c r="AJ37" i="2" l="1"/>
  <c r="AJ38" i="2"/>
  <c r="AJ40" i="2" s="1"/>
  <c r="M40" i="3"/>
  <c r="L44" i="3" s="1"/>
  <c r="L41" i="3" s="1"/>
  <c r="M44" i="3"/>
  <c r="AJ44" i="2"/>
  <c r="AJ46" i="2" s="1"/>
  <c r="AL42" i="2"/>
  <c r="AJ39" i="2" l="1"/>
  <c r="AJ41" i="2" s="1"/>
  <c r="AK42" i="2" s="1"/>
  <c r="M41" i="3"/>
  <c r="AL53" i="2"/>
  <c r="AJ47" i="2"/>
  <c r="AJ48" i="2" s="1"/>
  <c r="AJ50" i="2" s="1"/>
  <c r="AJ55" i="2"/>
  <c r="AJ58" i="2" s="1"/>
  <c r="AJ49" i="2"/>
  <c r="AJ51" i="2" s="1"/>
  <c r="AL64" i="2" l="1"/>
  <c r="AJ57" i="2"/>
  <c r="AJ59" i="2" s="1"/>
  <c r="AJ61" i="2" s="1"/>
  <c r="AJ52" i="2"/>
  <c r="AK53" i="2" s="1"/>
  <c r="AJ66" i="2"/>
  <c r="AJ68" i="2" s="1"/>
  <c r="AJ69" i="2" l="1"/>
  <c r="AJ70" i="2" s="1"/>
  <c r="AJ72" i="2" s="1"/>
  <c r="AJ60" i="2"/>
  <c r="AJ62" i="2" s="1"/>
  <c r="AJ77" i="2"/>
  <c r="AJ88" i="2" s="1"/>
  <c r="AL75" i="2"/>
  <c r="AJ71" i="2"/>
  <c r="AJ73" i="2" s="1"/>
  <c r="AJ63" i="2" l="1"/>
  <c r="AK64" i="2" s="1"/>
  <c r="AL86" i="2"/>
  <c r="AJ74" i="2"/>
  <c r="AK75" i="2" s="1"/>
  <c r="AJ79" i="2"/>
  <c r="AJ82" i="2" s="1"/>
  <c r="AJ84" i="2" s="1"/>
  <c r="AJ80" i="2"/>
  <c r="AL97" i="2"/>
  <c r="AJ91" i="2"/>
  <c r="AJ99" i="2"/>
  <c r="AJ90" i="2"/>
  <c r="AJ81" i="2" l="1"/>
  <c r="AJ83" i="2" s="1"/>
  <c r="AJ102" i="2"/>
  <c r="AJ110" i="2"/>
  <c r="AL108" i="2"/>
  <c r="AJ101" i="2"/>
  <c r="AJ92" i="2"/>
  <c r="AJ93" i="2"/>
  <c r="AJ95" i="2" s="1"/>
  <c r="AJ85" i="2" l="1"/>
  <c r="AK86" i="2" s="1"/>
  <c r="AJ94" i="2"/>
  <c r="AJ96" i="2" s="1"/>
  <c r="AK97" i="2" s="1"/>
  <c r="AJ121" i="2"/>
  <c r="AL119" i="2"/>
  <c r="AJ112" i="2"/>
  <c r="AJ113" i="2"/>
  <c r="AJ103" i="2"/>
  <c r="AJ105" i="2" s="1"/>
  <c r="AJ104" i="2"/>
  <c r="AJ106" i="2" s="1"/>
  <c r="AJ114" i="2" l="1"/>
  <c r="AJ115" i="2"/>
  <c r="AJ117" i="2" s="1"/>
  <c r="AJ124" i="2"/>
  <c r="AJ123" i="2"/>
  <c r="AJ132" i="2"/>
  <c r="AL130" i="2"/>
  <c r="AJ107" i="2"/>
  <c r="AK108" i="2" s="1"/>
  <c r="AJ143" i="2" l="1"/>
  <c r="AJ134" i="2"/>
  <c r="AL141" i="2"/>
  <c r="AJ135" i="2"/>
  <c r="AJ116" i="2"/>
  <c r="AJ118" i="2" s="1"/>
  <c r="AK119" i="2" s="1"/>
  <c r="AJ125" i="2"/>
  <c r="AJ127" i="2" s="1"/>
  <c r="AJ126" i="2"/>
  <c r="AJ128" i="2" s="1"/>
  <c r="AJ154" i="2" l="1"/>
  <c r="AL152" i="2"/>
  <c r="AJ146" i="2"/>
  <c r="AJ145" i="2"/>
  <c r="AJ136" i="2"/>
  <c r="AJ138" i="2" s="1"/>
  <c r="AJ137" i="2"/>
  <c r="AJ139" i="2" s="1"/>
  <c r="AJ129" i="2"/>
  <c r="AK130" i="2" s="1"/>
  <c r="AJ140" i="2" l="1"/>
  <c r="AK141" i="2" s="1"/>
  <c r="AJ165" i="2"/>
  <c r="AJ156" i="2"/>
  <c r="AL163" i="2"/>
  <c r="AJ157" i="2"/>
  <c r="AJ147" i="2"/>
  <c r="AJ148" i="2"/>
  <c r="AJ150" i="2" s="1"/>
  <c r="AJ168" i="2" l="1"/>
  <c r="AJ167" i="2"/>
  <c r="AJ176" i="2"/>
  <c r="AL174" i="2"/>
  <c r="AJ149" i="2"/>
  <c r="AJ151" i="2" s="1"/>
  <c r="AK152" i="2" s="1"/>
  <c r="AJ158" i="2"/>
  <c r="AJ159" i="2"/>
  <c r="AJ161" i="2" s="1"/>
  <c r="AJ169" i="2" l="1"/>
  <c r="AJ171" i="2" s="1"/>
  <c r="AJ170" i="2"/>
  <c r="AJ172" i="2" s="1"/>
  <c r="AJ179" i="2"/>
  <c r="AJ187" i="2"/>
  <c r="AL185" i="2"/>
  <c r="AJ178" i="2"/>
  <c r="AJ160" i="2"/>
  <c r="AJ162" i="2" s="1"/>
  <c r="AK163" i="2" s="1"/>
  <c r="AJ173" i="2" l="1"/>
  <c r="AK174" i="2" s="1"/>
  <c r="AJ180" i="2"/>
  <c r="AJ181" i="2"/>
  <c r="AJ183" i="2" s="1"/>
  <c r="AJ189" i="2"/>
  <c r="AJ198" i="2"/>
  <c r="AL196" i="2"/>
  <c r="AJ190" i="2"/>
  <c r="AJ182" i="2" l="1"/>
  <c r="AJ184" i="2" s="1"/>
  <c r="AK185" i="2" s="1"/>
  <c r="AJ191" i="2"/>
  <c r="AJ192" i="2"/>
  <c r="AJ194" i="2" s="1"/>
  <c r="AJ201" i="2"/>
  <c r="AJ209" i="2"/>
  <c r="AL207" i="2"/>
  <c r="AJ200" i="2"/>
  <c r="AJ212" i="2" l="1"/>
  <c r="AJ220" i="2"/>
  <c r="AJ211" i="2"/>
  <c r="AL218" i="2"/>
  <c r="AJ193" i="2"/>
  <c r="AJ195" i="2" s="1"/>
  <c r="AK196" i="2" s="1"/>
  <c r="AJ202" i="2"/>
  <c r="AJ203" i="2"/>
  <c r="AJ205" i="2" s="1"/>
  <c r="AJ223" i="2" l="1"/>
  <c r="AJ231" i="2"/>
  <c r="AJ222" i="2"/>
  <c r="AL229" i="2"/>
  <c r="AJ213" i="2"/>
  <c r="AJ214" i="2"/>
  <c r="AJ216" i="2" s="1"/>
  <c r="AJ204" i="2"/>
  <c r="AJ206" i="2" s="1"/>
  <c r="AK207" i="2" s="1"/>
  <c r="AJ215" i="2" l="1"/>
  <c r="AJ217" i="2" s="1"/>
  <c r="AK218" i="2" s="1"/>
  <c r="AL240" i="2"/>
  <c r="AJ234" i="2"/>
  <c r="AJ242" i="2"/>
  <c r="AJ233" i="2"/>
  <c r="AJ224" i="2"/>
  <c r="AJ226" i="2" s="1"/>
  <c r="AJ225" i="2"/>
  <c r="AJ227" i="2" s="1"/>
  <c r="AJ245" i="2" l="1"/>
  <c r="AJ253" i="2"/>
  <c r="AJ244" i="2"/>
  <c r="AL251" i="2"/>
  <c r="AJ235" i="2"/>
  <c r="AJ236" i="2"/>
  <c r="AJ238" i="2" s="1"/>
  <c r="AJ228" i="2"/>
  <c r="AK229" i="2" s="1"/>
  <c r="AJ237" i="2" l="1"/>
  <c r="AJ239" i="2" s="1"/>
  <c r="AK240" i="2" s="1"/>
  <c r="AJ255" i="2"/>
  <c r="AL262" i="2"/>
  <c r="AJ256" i="2"/>
  <c r="AJ264" i="2"/>
  <c r="AJ246" i="2"/>
  <c r="AJ248" i="2" s="1"/>
  <c r="AJ247" i="2"/>
  <c r="AJ249" i="2" s="1"/>
  <c r="AJ266" i="2" l="1"/>
  <c r="AL273" i="2"/>
  <c r="AJ267" i="2"/>
  <c r="AJ275" i="2"/>
  <c r="AJ257" i="2"/>
  <c r="AJ258" i="2"/>
  <c r="AJ260" i="2" s="1"/>
  <c r="AJ250" i="2"/>
  <c r="AK251" i="2" s="1"/>
  <c r="AJ268" i="2" l="1"/>
  <c r="AJ269" i="2"/>
  <c r="AJ271" i="2" s="1"/>
  <c r="AJ259" i="2"/>
  <c r="AJ261" i="2" s="1"/>
  <c r="AK262" i="2" s="1"/>
  <c r="AJ277" i="2"/>
  <c r="AL284" i="2"/>
  <c r="AJ278" i="2"/>
  <c r="AJ286" i="2"/>
  <c r="AJ279" i="2" l="1"/>
  <c r="AJ280" i="2"/>
  <c r="AJ282" i="2" s="1"/>
  <c r="AJ270" i="2"/>
  <c r="AJ272" i="2" s="1"/>
  <c r="AK273" i="2" s="1"/>
  <c r="AL295" i="2"/>
  <c r="AJ289" i="2"/>
  <c r="AJ297" i="2"/>
  <c r="AJ288" i="2"/>
  <c r="AJ281" i="2" l="1"/>
  <c r="AJ283" i="2" s="1"/>
  <c r="AK284" i="2" s="1"/>
  <c r="AJ300" i="2"/>
  <c r="AJ308" i="2"/>
  <c r="AJ299" i="2"/>
  <c r="AL306" i="2"/>
  <c r="AJ290" i="2"/>
  <c r="AJ292" i="2" s="1"/>
  <c r="AJ291" i="2"/>
  <c r="AJ293" i="2" s="1"/>
  <c r="AJ301" i="2" l="1"/>
  <c r="AJ302" i="2"/>
  <c r="AJ304" i="2" s="1"/>
  <c r="AJ311" i="2"/>
  <c r="AJ319" i="2"/>
  <c r="AJ310" i="2"/>
  <c r="AL317" i="2"/>
  <c r="AJ294" i="2"/>
  <c r="AK295" i="2" s="1"/>
  <c r="AJ312" i="2" l="1"/>
  <c r="AJ314" i="2" s="1"/>
  <c r="AJ313" i="2"/>
  <c r="AJ315" i="2" s="1"/>
  <c r="AJ303" i="2"/>
  <c r="AJ305" i="2" s="1"/>
  <c r="AK306" i="2" s="1"/>
  <c r="AJ321" i="2"/>
  <c r="AL328" i="2"/>
  <c r="AJ322" i="2"/>
  <c r="AJ330" i="2"/>
  <c r="AJ316" i="2" l="1"/>
  <c r="AK317" i="2" s="1"/>
  <c r="AJ323" i="2"/>
  <c r="AJ324" i="2"/>
  <c r="AJ326" i="2" s="1"/>
  <c r="AL339" i="2"/>
  <c r="AJ333" i="2"/>
  <c r="AJ341" i="2"/>
  <c r="AJ332" i="2"/>
  <c r="AJ352" i="2" l="1"/>
  <c r="AJ344" i="2"/>
  <c r="AJ343" i="2"/>
  <c r="AL350" i="2"/>
  <c r="AJ325" i="2"/>
  <c r="AJ327" i="2" s="1"/>
  <c r="AK328" i="2" s="1"/>
  <c r="AJ334" i="2"/>
  <c r="AJ335" i="2"/>
  <c r="AJ337" i="2" s="1"/>
  <c r="AL361" i="2" l="1"/>
  <c r="AJ354" i="2"/>
  <c r="AJ355" i="2"/>
  <c r="AJ363" i="2"/>
  <c r="AJ345" i="2"/>
  <c r="AJ346" i="2"/>
  <c r="AJ348" i="2" s="1"/>
  <c r="AJ336" i="2"/>
  <c r="AJ338" i="2" s="1"/>
  <c r="AK339" i="2" s="1"/>
  <c r="AJ347" i="2" l="1"/>
  <c r="AJ349" i="2" s="1"/>
  <c r="AK350" i="2" s="1"/>
  <c r="AJ356" i="2"/>
  <c r="AJ357" i="2"/>
  <c r="AJ359" i="2" s="1"/>
  <c r="AJ374" i="2"/>
  <c r="AJ365" i="2"/>
  <c r="AL372" i="2"/>
  <c r="AJ366" i="2"/>
  <c r="AJ377" i="2" l="1"/>
  <c r="AJ385" i="2"/>
  <c r="AJ376" i="2"/>
  <c r="AL383" i="2"/>
  <c r="AJ367" i="2"/>
  <c r="AJ368" i="2"/>
  <c r="AJ370" i="2" s="1"/>
  <c r="AJ358" i="2"/>
  <c r="AJ360" i="2" s="1"/>
  <c r="AK361" i="2" s="1"/>
  <c r="AJ369" i="2" l="1"/>
  <c r="AJ371" i="2" s="1"/>
  <c r="AK372" i="2" s="1"/>
  <c r="AJ388" i="2"/>
  <c r="AL394" i="2"/>
  <c r="AJ396" i="2"/>
  <c r="AJ387" i="2"/>
  <c r="AJ378" i="2"/>
  <c r="AJ379" i="2"/>
  <c r="AJ381" i="2" s="1"/>
  <c r="AJ407" i="2" l="1"/>
  <c r="AJ399" i="2"/>
  <c r="AJ398" i="2"/>
  <c r="AL405" i="2"/>
  <c r="AJ389" i="2"/>
  <c r="AJ390" i="2"/>
  <c r="AJ392" i="2" s="1"/>
  <c r="AJ380" i="2"/>
  <c r="AJ382" i="2" s="1"/>
  <c r="AK383" i="2" s="1"/>
  <c r="AJ410" i="2" l="1"/>
  <c r="AJ409" i="2"/>
  <c r="AL416" i="2"/>
  <c r="AJ418" i="2"/>
  <c r="AJ391" i="2"/>
  <c r="AJ393" i="2" s="1"/>
  <c r="AK394" i="2" s="1"/>
  <c r="AJ400" i="2"/>
  <c r="AJ401" i="2"/>
  <c r="AJ403" i="2" s="1"/>
  <c r="AJ411" i="2" l="1"/>
  <c r="AJ412" i="2"/>
  <c r="AJ414" i="2" s="1"/>
  <c r="AJ402" i="2"/>
  <c r="AJ404" i="2" s="1"/>
  <c r="AK405" i="2" s="1"/>
  <c r="AJ421" i="2"/>
  <c r="AJ420" i="2"/>
  <c r="AJ429" i="2"/>
  <c r="AL427" i="2"/>
  <c r="AJ413" i="2" l="1"/>
  <c r="AJ415" i="2" s="1"/>
  <c r="AK416" i="2" s="1"/>
  <c r="AJ422" i="2"/>
  <c r="AJ423" i="2"/>
  <c r="AJ425" i="2" s="1"/>
  <c r="AJ432" i="2"/>
  <c r="AJ440" i="2"/>
  <c r="AJ431" i="2"/>
  <c r="AL438" i="2"/>
  <c r="AJ442" i="2" l="1"/>
  <c r="AL449" i="2"/>
  <c r="AJ443" i="2"/>
  <c r="AJ451" i="2"/>
  <c r="AJ433" i="2"/>
  <c r="AJ434" i="2"/>
  <c r="AJ436" i="2" s="1"/>
  <c r="AJ424" i="2"/>
  <c r="AJ426" i="2" s="1"/>
  <c r="AK427" i="2" s="1"/>
  <c r="AJ444" i="2" l="1"/>
  <c r="AJ445" i="2"/>
  <c r="AJ447" i="2" s="1"/>
  <c r="AJ435" i="2"/>
  <c r="AJ437" i="2" s="1"/>
  <c r="AK438" i="2" s="1"/>
  <c r="AJ454" i="2"/>
  <c r="AJ453" i="2"/>
  <c r="AL460" i="2"/>
  <c r="AJ462" i="2"/>
  <c r="AJ446" i="2" l="1"/>
  <c r="AJ448" i="2" s="1"/>
  <c r="AK449" i="2" s="1"/>
  <c r="AJ455" i="2"/>
  <c r="AJ456" i="2"/>
  <c r="AJ458" i="2" s="1"/>
  <c r="AJ473" i="2"/>
  <c r="AJ464" i="2"/>
  <c r="AL471" i="2"/>
  <c r="AJ465" i="2"/>
  <c r="AL482" i="2" l="1"/>
  <c r="AJ476" i="2"/>
  <c r="AJ484" i="2"/>
  <c r="AJ475" i="2"/>
  <c r="AJ466" i="2"/>
  <c r="AJ467" i="2"/>
  <c r="AJ469" i="2" s="1"/>
  <c r="AJ457" i="2"/>
  <c r="AJ459" i="2" s="1"/>
  <c r="AK460" i="2" s="1"/>
  <c r="AJ468" i="2" l="1"/>
  <c r="AJ470" i="2" s="1"/>
  <c r="AK471" i="2" s="1"/>
  <c r="AJ495" i="2"/>
  <c r="AJ486" i="2"/>
  <c r="AL493" i="2"/>
  <c r="AJ487" i="2"/>
  <c r="AJ477" i="2"/>
  <c r="AJ479" i="2" s="1"/>
  <c r="AJ478" i="2"/>
  <c r="AJ480" i="2" s="1"/>
  <c r="AJ506" i="2" l="1"/>
  <c r="AJ497" i="2"/>
  <c r="AL504" i="2"/>
  <c r="AJ498" i="2"/>
  <c r="AJ488" i="2"/>
  <c r="AJ489" i="2"/>
  <c r="AJ491" i="2" s="1"/>
  <c r="AJ481" i="2"/>
  <c r="AK482" i="2" s="1"/>
  <c r="AJ509" i="2" l="1"/>
  <c r="AJ517" i="2"/>
  <c r="AJ508" i="2"/>
  <c r="AL515" i="2"/>
  <c r="AJ490" i="2"/>
  <c r="AJ492" i="2" s="1"/>
  <c r="AK493" i="2" s="1"/>
  <c r="AJ499" i="2"/>
  <c r="AJ500" i="2"/>
  <c r="AJ502" i="2" s="1"/>
  <c r="AJ519" i="2" l="1"/>
  <c r="AL526" i="2"/>
  <c r="AJ520" i="2"/>
  <c r="AJ528" i="2"/>
  <c r="AJ510" i="2"/>
  <c r="AJ512" i="2" s="1"/>
  <c r="AJ511" i="2"/>
  <c r="AJ513" i="2" s="1"/>
  <c r="AJ501" i="2"/>
  <c r="AJ503" i="2" s="1"/>
  <c r="AK504" i="2" s="1"/>
  <c r="AJ514" i="2" l="1"/>
  <c r="AK515" i="2" s="1"/>
  <c r="AJ521" i="2"/>
  <c r="AJ522" i="2"/>
  <c r="AJ524" i="2" s="1"/>
  <c r="AJ531" i="2"/>
  <c r="AJ530" i="2"/>
  <c r="AJ539" i="2"/>
  <c r="AL537" i="2"/>
  <c r="AL548" i="2" l="1"/>
  <c r="AJ550" i="2"/>
  <c r="AJ542" i="2"/>
  <c r="AJ541" i="2"/>
  <c r="AJ523" i="2"/>
  <c r="AJ525" i="2" s="1"/>
  <c r="AK526" i="2" s="1"/>
  <c r="AJ532" i="2"/>
  <c r="AJ534" i="2" s="1"/>
  <c r="AJ533" i="2"/>
  <c r="AJ535" i="2" s="1"/>
  <c r="AJ561" i="2" l="1"/>
  <c r="AJ552" i="2"/>
  <c r="AL559" i="2"/>
  <c r="AJ553" i="2"/>
  <c r="AJ543" i="2"/>
  <c r="AJ544" i="2"/>
  <c r="AJ546" i="2" s="1"/>
  <c r="AJ536" i="2"/>
  <c r="AK537" i="2" s="1"/>
  <c r="AJ563" i="2" l="1"/>
  <c r="AL570" i="2"/>
  <c r="AJ564" i="2"/>
  <c r="AJ572" i="2"/>
  <c r="AJ545" i="2"/>
  <c r="AJ547" i="2" s="1"/>
  <c r="AK548" i="2" s="1"/>
  <c r="AJ554" i="2"/>
  <c r="AJ555" i="2"/>
  <c r="AJ557" i="2" s="1"/>
  <c r="AJ565" i="2" l="1"/>
  <c r="AJ567" i="2" s="1"/>
  <c r="AJ566" i="2"/>
  <c r="AJ568" i="2" s="1"/>
  <c r="AJ556" i="2"/>
  <c r="AJ558" i="2" s="1"/>
  <c r="AK559" i="2" s="1"/>
  <c r="AJ583" i="2"/>
  <c r="AL581" i="2"/>
  <c r="AJ574" i="2"/>
  <c r="AJ575" i="2"/>
  <c r="AJ569" i="2" l="1"/>
  <c r="AK570" i="2" s="1"/>
  <c r="AJ586" i="2"/>
  <c r="AJ594" i="2"/>
  <c r="AJ585" i="2"/>
  <c r="AL592" i="2"/>
  <c r="AJ576" i="2"/>
  <c r="AJ578" i="2" s="1"/>
  <c r="AJ577" i="2"/>
  <c r="AJ579" i="2" s="1"/>
  <c r="AJ580" i="2" l="1"/>
  <c r="AK581" i="2" s="1"/>
  <c r="AJ587" i="2"/>
  <c r="AJ588" i="2"/>
  <c r="AJ590" i="2" s="1"/>
  <c r="AJ597" i="2"/>
  <c r="AJ596" i="2"/>
  <c r="AL603" i="2"/>
  <c r="AJ605" i="2"/>
  <c r="AJ589" i="2" l="1"/>
  <c r="AJ591" i="2" s="1"/>
  <c r="AK592" i="2" s="1"/>
  <c r="AJ607" i="2"/>
  <c r="AJ608" i="2"/>
  <c r="AJ616" i="2"/>
  <c r="AL614" i="2"/>
  <c r="AJ598" i="2"/>
  <c r="AJ600" i="2" s="1"/>
  <c r="AJ599" i="2"/>
  <c r="AJ601" i="2" s="1"/>
  <c r="AJ609" i="2" l="1"/>
  <c r="AJ610" i="2"/>
  <c r="AJ612" i="2" s="1"/>
  <c r="AL625" i="2"/>
  <c r="AJ618" i="2"/>
  <c r="AJ619" i="2"/>
  <c r="AJ627" i="2"/>
  <c r="AJ602" i="2"/>
  <c r="AK603" i="2" s="1"/>
  <c r="AJ611" i="2" l="1"/>
  <c r="AJ613" i="2" s="1"/>
  <c r="AK614" i="2" s="1"/>
  <c r="AL636" i="2"/>
  <c r="AJ638" i="2"/>
  <c r="AJ629" i="2"/>
  <c r="AJ630" i="2"/>
  <c r="AJ620" i="2"/>
  <c r="AJ622" i="2" s="1"/>
  <c r="AJ621" i="2"/>
  <c r="AJ623" i="2" s="1"/>
  <c r="AJ631" i="2" l="1"/>
  <c r="AJ632" i="2"/>
  <c r="AJ634" i="2" s="1"/>
  <c r="AJ641" i="2"/>
  <c r="AJ640" i="2"/>
  <c r="AJ649" i="2"/>
  <c r="AL647" i="2"/>
  <c r="AJ624" i="2"/>
  <c r="AK625" i="2" s="1"/>
  <c r="AJ651" i="2" l="1"/>
  <c r="AJ652" i="2"/>
  <c r="AJ660" i="2"/>
  <c r="AL658" i="2"/>
  <c r="AJ633" i="2"/>
  <c r="AJ635" i="2" s="1"/>
  <c r="AK636" i="2" s="1"/>
  <c r="AJ642" i="2"/>
  <c r="AJ644" i="2" s="1"/>
  <c r="AJ643" i="2"/>
  <c r="AJ645" i="2" s="1"/>
  <c r="AJ653" i="2" l="1"/>
  <c r="AJ655" i="2" s="1"/>
  <c r="AJ654" i="2"/>
  <c r="AJ656" i="2" s="1"/>
  <c r="AJ663" i="2"/>
  <c r="AJ671" i="2"/>
  <c r="AL669" i="2"/>
  <c r="AJ662" i="2"/>
  <c r="AJ646" i="2"/>
  <c r="AK647" i="2" s="1"/>
  <c r="AJ657" i="2" l="1"/>
  <c r="AK658" i="2" s="1"/>
  <c r="AJ664" i="2"/>
  <c r="AJ665" i="2"/>
  <c r="AJ667" i="2" s="1"/>
  <c r="AJ682" i="2"/>
  <c r="AJ673" i="2"/>
  <c r="AL680" i="2"/>
  <c r="AJ674" i="2"/>
  <c r="AJ666" i="2" l="1"/>
  <c r="AJ668" i="2" s="1"/>
  <c r="AK669" i="2" s="1"/>
  <c r="AJ693" i="2"/>
  <c r="AJ684" i="2"/>
  <c r="AL691" i="2"/>
  <c r="AJ685" i="2"/>
  <c r="AJ675" i="2"/>
  <c r="AJ676" i="2"/>
  <c r="AJ678" i="2" s="1"/>
  <c r="AL702" i="2" l="1"/>
  <c r="AJ696" i="2"/>
  <c r="AJ704" i="2"/>
  <c r="AJ695" i="2"/>
  <c r="AJ677" i="2"/>
  <c r="AJ679" i="2" s="1"/>
  <c r="AK680" i="2" s="1"/>
  <c r="AJ686" i="2"/>
  <c r="AJ688" i="2" s="1"/>
  <c r="AJ687" i="2"/>
  <c r="AJ689" i="2" s="1"/>
  <c r="AJ707" i="2" l="1"/>
  <c r="AJ715" i="2"/>
  <c r="AL713" i="2"/>
  <c r="AJ706" i="2"/>
  <c r="AJ697" i="2"/>
  <c r="AJ698" i="2"/>
  <c r="AJ700" i="2" s="1"/>
  <c r="AJ690" i="2"/>
  <c r="AK691" i="2" s="1"/>
  <c r="AJ699" i="2" l="1"/>
  <c r="AJ701" i="2" s="1"/>
  <c r="AK702" i="2" s="1"/>
  <c r="AJ726" i="2"/>
  <c r="AJ718" i="2"/>
  <c r="AJ717" i="2"/>
  <c r="AL724" i="2"/>
  <c r="AJ708" i="2"/>
  <c r="AJ710" i="2" s="1"/>
  <c r="AJ709" i="2"/>
  <c r="AJ711" i="2" s="1"/>
  <c r="AJ719" i="2" l="1"/>
  <c r="AJ720" i="2"/>
  <c r="AJ722" i="2" s="1"/>
  <c r="AJ737" i="2"/>
  <c r="AL735" i="2"/>
  <c r="AJ729" i="2"/>
  <c r="AJ728" i="2"/>
  <c r="AJ712" i="2"/>
  <c r="AK713" i="2" s="1"/>
  <c r="AJ721" i="2" l="1"/>
  <c r="AJ723" i="2" s="1"/>
  <c r="AK724" i="2" s="1"/>
  <c r="AJ730" i="2"/>
  <c r="AJ732" i="2" s="1"/>
  <c r="AJ731" i="2"/>
  <c r="AJ733" i="2" s="1"/>
  <c r="AJ739" i="2"/>
  <c r="AJ748" i="2"/>
  <c r="AL746" i="2"/>
  <c r="AJ740" i="2"/>
  <c r="AJ734" i="2" l="1"/>
  <c r="AK735" i="2" s="1"/>
  <c r="AJ741" i="2"/>
  <c r="AJ742" i="2"/>
  <c r="AJ744" i="2" s="1"/>
  <c r="AJ751" i="2"/>
  <c r="AJ750" i="2"/>
  <c r="AJ759" i="2"/>
  <c r="AL757" i="2"/>
  <c r="AJ770" i="2" l="1"/>
  <c r="AJ761" i="2"/>
  <c r="AL768" i="2"/>
  <c r="AJ762" i="2"/>
  <c r="AJ743" i="2"/>
  <c r="AJ745" i="2" s="1"/>
  <c r="AK746" i="2" s="1"/>
  <c r="AJ752" i="2"/>
  <c r="AJ753" i="2"/>
  <c r="AJ755" i="2" s="1"/>
  <c r="AJ781" i="2" l="1"/>
  <c r="AL779" i="2"/>
  <c r="AJ772" i="2"/>
  <c r="AJ773" i="2"/>
  <c r="AJ763" i="2"/>
  <c r="AJ764" i="2"/>
  <c r="AJ766" i="2" s="1"/>
  <c r="AJ754" i="2"/>
  <c r="AJ756" i="2" s="1"/>
  <c r="AK757" i="2" s="1"/>
  <c r="AL790" i="2" l="1"/>
  <c r="AJ792" i="2"/>
  <c r="AJ784" i="2"/>
  <c r="AJ783" i="2"/>
  <c r="AJ765" i="2"/>
  <c r="AJ767" i="2" s="1"/>
  <c r="AK768" i="2" s="1"/>
  <c r="AJ774" i="2"/>
  <c r="AJ775" i="2"/>
  <c r="AJ777" i="2" s="1"/>
  <c r="AJ795" i="2" l="1"/>
  <c r="AJ803" i="2"/>
  <c r="AL801" i="2"/>
  <c r="AJ794" i="2"/>
  <c r="AJ776" i="2"/>
  <c r="AJ778" i="2" s="1"/>
  <c r="AK779" i="2" s="1"/>
  <c r="AJ785" i="2"/>
  <c r="AJ787" i="2" s="1"/>
  <c r="AJ786" i="2"/>
  <c r="AJ788" i="2" s="1"/>
  <c r="AL812" i="2" l="1"/>
  <c r="AJ806" i="2"/>
  <c r="AJ814" i="2"/>
  <c r="AJ805" i="2"/>
  <c r="AJ796" i="2"/>
  <c r="AJ797" i="2"/>
  <c r="AJ799" i="2" s="1"/>
  <c r="AJ789" i="2"/>
  <c r="AK790" i="2" s="1"/>
  <c r="AJ798" i="2" l="1"/>
  <c r="AJ800" i="2" s="1"/>
  <c r="AK801" i="2" s="1"/>
  <c r="AJ816" i="2"/>
  <c r="AJ825" i="2"/>
  <c r="AL823" i="2"/>
  <c r="AJ817" i="2"/>
  <c r="AJ807" i="2"/>
  <c r="AJ808" i="2"/>
  <c r="AJ810" i="2" s="1"/>
  <c r="AJ818" i="2" l="1"/>
  <c r="AJ819" i="2"/>
  <c r="AJ821" i="2" s="1"/>
  <c r="AJ809" i="2"/>
  <c r="AJ811" i="2" s="1"/>
  <c r="AK812" i="2" s="1"/>
  <c r="AJ836" i="2"/>
  <c r="AJ828" i="2"/>
  <c r="AJ827" i="2"/>
  <c r="AL834" i="2"/>
  <c r="AJ847" i="2" l="1"/>
  <c r="AL845" i="2"/>
  <c r="AJ839" i="2"/>
  <c r="AJ838" i="2"/>
  <c r="AJ820" i="2"/>
  <c r="AJ822" i="2" s="1"/>
  <c r="AK823" i="2" s="1"/>
  <c r="AJ829" i="2"/>
  <c r="AJ830" i="2"/>
  <c r="AJ832" i="2" s="1"/>
  <c r="AL856" i="2" l="1"/>
  <c r="AJ850" i="2"/>
  <c r="AJ858" i="2"/>
  <c r="AJ849" i="2"/>
  <c r="AJ831" i="2"/>
  <c r="AJ833" i="2" s="1"/>
  <c r="AK834" i="2" s="1"/>
  <c r="AJ840" i="2"/>
  <c r="AJ841" i="2"/>
  <c r="AJ843" i="2" s="1"/>
  <c r="AJ869" i="2" l="1"/>
  <c r="AJ860" i="2"/>
  <c r="AL867" i="2"/>
  <c r="AJ861" i="2"/>
  <c r="AJ842" i="2"/>
  <c r="AJ844" i="2" s="1"/>
  <c r="AK845" i="2" s="1"/>
  <c r="AJ851" i="2"/>
  <c r="AJ852" i="2"/>
  <c r="AJ854" i="2" s="1"/>
  <c r="AL878" i="2" l="1"/>
  <c r="AJ872" i="2"/>
  <c r="AJ880" i="2"/>
  <c r="AJ871" i="2"/>
  <c r="AJ862" i="2"/>
  <c r="AJ864" i="2" s="1"/>
  <c r="AJ863" i="2"/>
  <c r="AJ865" i="2" s="1"/>
  <c r="AJ853" i="2"/>
  <c r="AJ855" i="2" s="1"/>
  <c r="AK856" i="2" s="1"/>
  <c r="AJ866" i="2" l="1"/>
  <c r="AK867" i="2" s="1"/>
  <c r="AJ882" i="2"/>
  <c r="AJ883" i="2"/>
  <c r="AJ891" i="2"/>
  <c r="AL889" i="2"/>
  <c r="AJ873" i="2"/>
  <c r="AJ875" i="2" s="1"/>
  <c r="AJ874" i="2"/>
  <c r="AJ876" i="2" s="1"/>
  <c r="AJ877" i="2" l="1"/>
  <c r="AK878" i="2" s="1"/>
  <c r="AJ884" i="2"/>
  <c r="AJ885" i="2"/>
  <c r="AJ887" i="2" s="1"/>
  <c r="AJ902" i="2"/>
  <c r="AL900" i="2"/>
  <c r="AJ894" i="2"/>
  <c r="AJ893" i="2"/>
  <c r="AJ886" i="2" l="1"/>
  <c r="AJ888" i="2" s="1"/>
  <c r="AK889" i="2" s="1"/>
  <c r="AJ895" i="2"/>
  <c r="AJ896" i="2"/>
  <c r="AJ898" i="2" s="1"/>
  <c r="AL911" i="2"/>
  <c r="AJ905" i="2"/>
  <c r="AJ913" i="2"/>
  <c r="AJ904" i="2"/>
  <c r="AJ924" i="2" l="1"/>
  <c r="AJ915" i="2"/>
  <c r="AL922" i="2"/>
  <c r="AJ916" i="2"/>
  <c r="AJ897" i="2"/>
  <c r="AJ899" i="2" s="1"/>
  <c r="AK900" i="2" s="1"/>
  <c r="AJ906" i="2"/>
  <c r="AJ907" i="2"/>
  <c r="AJ909" i="2" s="1"/>
  <c r="AJ927" i="2" l="1"/>
  <c r="AJ935" i="2"/>
  <c r="AL933" i="2"/>
  <c r="AJ926" i="2"/>
  <c r="AJ917" i="2"/>
  <c r="AJ919" i="2" s="1"/>
  <c r="AJ918" i="2"/>
  <c r="AJ920" i="2" s="1"/>
  <c r="AJ908" i="2"/>
  <c r="AJ910" i="2" s="1"/>
  <c r="AK911" i="2" s="1"/>
  <c r="AJ921" i="2" l="1"/>
  <c r="AK922" i="2" s="1"/>
  <c r="AL944" i="2"/>
  <c r="AJ938" i="2"/>
  <c r="AJ946" i="2"/>
  <c r="AJ937" i="2"/>
  <c r="AJ928" i="2"/>
  <c r="AJ929" i="2"/>
  <c r="AJ931" i="2" s="1"/>
  <c r="AJ930" i="2" l="1"/>
  <c r="AJ932" i="2" s="1"/>
  <c r="AK933" i="2" s="1"/>
  <c r="AJ957" i="2"/>
  <c r="AJ948" i="2"/>
  <c r="AL955" i="2"/>
  <c r="AJ949" i="2"/>
  <c r="AJ939" i="2"/>
  <c r="AJ941" i="2" s="1"/>
  <c r="AJ940" i="2"/>
  <c r="AJ942" i="2" s="1"/>
  <c r="AJ960" i="2" l="1"/>
  <c r="AJ968" i="2"/>
  <c r="AJ959" i="2"/>
  <c r="AL966" i="2"/>
  <c r="AJ950" i="2"/>
  <c r="AJ952" i="2" s="1"/>
  <c r="AJ951" i="2"/>
  <c r="AJ953" i="2" s="1"/>
  <c r="AJ943" i="2"/>
  <c r="AK944" i="2" s="1"/>
  <c r="AJ954" i="2" l="1"/>
  <c r="AK955" i="2" s="1"/>
  <c r="AL977" i="2"/>
  <c r="AJ970" i="2"/>
  <c r="AJ971" i="2"/>
  <c r="AJ979" i="2"/>
  <c r="AJ961" i="2"/>
  <c r="AJ963" i="2" s="1"/>
  <c r="AJ962" i="2"/>
  <c r="AJ964" i="2" s="1"/>
  <c r="AJ965" i="2" l="1"/>
  <c r="AK966" i="2" s="1"/>
  <c r="AJ972" i="2"/>
  <c r="AJ974" i="2" s="1"/>
  <c r="AJ973" i="2"/>
  <c r="AJ975" i="2" s="1"/>
  <c r="AJ981" i="2"/>
  <c r="AL988" i="2"/>
  <c r="AJ982" i="2"/>
  <c r="AJ990" i="2"/>
  <c r="AJ976" i="2" l="1"/>
  <c r="AK977" i="2" s="1"/>
  <c r="AJ992" i="2"/>
  <c r="AL999" i="2"/>
  <c r="AJ993" i="2"/>
  <c r="AJ1001" i="2"/>
  <c r="AJ983" i="2"/>
  <c r="AJ984" i="2"/>
  <c r="AJ986" i="2" s="1"/>
  <c r="AJ994" i="2" l="1"/>
  <c r="AJ996" i="2" s="1"/>
  <c r="AJ995" i="2"/>
  <c r="AJ997" i="2" s="1"/>
  <c r="AJ985" i="2"/>
  <c r="AJ987" i="2" s="1"/>
  <c r="AK988" i="2" s="1"/>
  <c r="AJ1004" i="2"/>
  <c r="AJ1012" i="2"/>
  <c r="AJ1003" i="2"/>
  <c r="AL1010" i="2"/>
  <c r="AJ998" i="2" l="1"/>
  <c r="AK999" i="2" s="1"/>
  <c r="AL1021" i="2"/>
  <c r="AJ1015" i="2"/>
  <c r="AJ1023" i="2"/>
  <c r="AJ1014" i="2"/>
  <c r="AJ1005" i="2"/>
  <c r="AJ1006" i="2"/>
  <c r="AJ1008" i="2" s="1"/>
  <c r="AJ1007" i="2" l="1"/>
  <c r="AJ1009" i="2" s="1"/>
  <c r="AK1010" i="2" s="1"/>
  <c r="AJ1026" i="2"/>
  <c r="AJ1034" i="2"/>
  <c r="AJ1025" i="2"/>
  <c r="AL1032" i="2"/>
  <c r="AJ1016" i="2"/>
  <c r="AJ1017" i="2"/>
  <c r="AJ1019" i="2" s="1"/>
  <c r="AJ1018" i="2" l="1"/>
  <c r="AJ1020" i="2" s="1"/>
  <c r="AK1021" i="2" s="1"/>
  <c r="AJ1045" i="2"/>
  <c r="AJ1036" i="2"/>
  <c r="AL1043" i="2"/>
  <c r="AJ1037" i="2"/>
  <c r="AJ1027" i="2"/>
  <c r="AJ1029" i="2" s="1"/>
  <c r="AJ1028" i="2"/>
  <c r="AJ1030" i="2" s="1"/>
  <c r="AJ1047" i="2" l="1"/>
  <c r="AL1054" i="2"/>
  <c r="AJ1048" i="2"/>
  <c r="AJ1056" i="2"/>
  <c r="AJ1038" i="2"/>
  <c r="AJ1040" i="2" s="1"/>
  <c r="AJ1039" i="2"/>
  <c r="AJ1041" i="2" s="1"/>
  <c r="AJ1031" i="2"/>
  <c r="AK1032" i="2" s="1"/>
  <c r="AJ1042" i="2" l="1"/>
  <c r="AK1043" i="2" s="1"/>
  <c r="AJ1058" i="2"/>
  <c r="AJ1059" i="2"/>
  <c r="AJ1067" i="2"/>
  <c r="AL1065" i="2"/>
  <c r="AJ1049" i="2"/>
  <c r="AJ1051" i="2" s="1"/>
  <c r="AJ1050" i="2"/>
  <c r="AJ1052" i="2" s="1"/>
  <c r="AJ1053" i="2" l="1"/>
  <c r="AK1054" i="2" s="1"/>
  <c r="AJ1060" i="2"/>
  <c r="AJ1061" i="2"/>
  <c r="AJ1063" i="2" s="1"/>
  <c r="AJ1069" i="2"/>
  <c r="AL1076" i="2"/>
  <c r="AJ1070" i="2"/>
  <c r="AJ1078" i="2"/>
  <c r="AJ1062" i="2" l="1"/>
  <c r="AJ1064" i="2" s="1"/>
  <c r="AK1065" i="2" s="1"/>
  <c r="AJ1089" i="2"/>
  <c r="AJ1080" i="2"/>
  <c r="AL1087" i="2"/>
  <c r="AJ1081" i="2"/>
  <c r="AJ1071" i="2"/>
  <c r="AJ1073" i="2" s="1"/>
  <c r="AJ1072" i="2"/>
  <c r="AJ1074" i="2" s="1"/>
  <c r="AJ1075" i="2" l="1"/>
  <c r="AK1076" i="2" s="1"/>
  <c r="AJ1082" i="2"/>
  <c r="AJ1083" i="2"/>
  <c r="AJ1085" i="2" s="1"/>
  <c r="AL1098" i="2"/>
  <c r="AJ1092" i="2"/>
  <c r="AJ1100" i="2"/>
  <c r="AJ1091" i="2"/>
  <c r="AJ1111" i="2" l="1"/>
  <c r="AJ1102" i="2"/>
  <c r="AL1109" i="2"/>
  <c r="AJ1103" i="2"/>
  <c r="AJ1084" i="2"/>
  <c r="AJ1086" i="2" s="1"/>
  <c r="AK1087" i="2" s="1"/>
  <c r="AJ1093" i="2"/>
  <c r="AJ1094" i="2"/>
  <c r="AJ1096" i="2" s="1"/>
  <c r="AL1120" i="2" l="1"/>
  <c r="AJ1114" i="2"/>
  <c r="AJ1122" i="2"/>
  <c r="AJ1113" i="2"/>
  <c r="AJ1104" i="2"/>
  <c r="AJ1105" i="2"/>
  <c r="AJ1107" i="2" s="1"/>
  <c r="AJ1095" i="2"/>
  <c r="AJ1097" i="2" s="1"/>
  <c r="AK1098" i="2" s="1"/>
  <c r="AJ1106" i="2" l="1"/>
  <c r="AJ1108" i="2" s="1"/>
  <c r="AK1109" i="2" s="1"/>
  <c r="AJ1125" i="2"/>
  <c r="AJ1133" i="2"/>
  <c r="AJ1124" i="2"/>
  <c r="AL1131" i="2"/>
  <c r="AJ1115" i="2"/>
  <c r="AJ1116" i="2"/>
  <c r="AJ1118" i="2" s="1"/>
  <c r="AJ1126" i="2" l="1"/>
  <c r="AJ1128" i="2" s="1"/>
  <c r="AJ1127" i="2"/>
  <c r="AJ1129" i="2" s="1"/>
  <c r="AJ1117" i="2"/>
  <c r="AJ1119" i="2" s="1"/>
  <c r="AK1120" i="2" s="1"/>
  <c r="AJ1144" i="2"/>
  <c r="AJ1135" i="2"/>
  <c r="AL1142" i="2"/>
  <c r="AJ1136" i="2"/>
  <c r="AJ1130" i="2" l="1"/>
  <c r="AK1131" i="2" s="1"/>
  <c r="AJ1147" i="2"/>
  <c r="AJ1155" i="2"/>
  <c r="AJ1146" i="2"/>
  <c r="AL1153" i="2"/>
  <c r="AJ1137" i="2"/>
  <c r="AJ1139" i="2" s="1"/>
  <c r="AJ1138" i="2"/>
  <c r="AJ1140" i="2" s="1"/>
  <c r="AJ1141" i="2" l="1"/>
  <c r="AK1142" i="2" s="1"/>
  <c r="AJ1148" i="2"/>
  <c r="AJ1149" i="2"/>
  <c r="AJ1151" i="2" s="1"/>
  <c r="AJ1166" i="2"/>
  <c r="AJ1158" i="2"/>
  <c r="AJ1157" i="2"/>
  <c r="AL1164" i="2"/>
  <c r="AJ1169" i="2" l="1"/>
  <c r="AJ1177" i="2"/>
  <c r="AJ1168" i="2"/>
  <c r="AL1175" i="2"/>
  <c r="AJ1159" i="2"/>
  <c r="AJ1160" i="2"/>
  <c r="AJ1162" i="2" s="1"/>
  <c r="AJ1150" i="2"/>
  <c r="AJ1152" i="2" s="1"/>
  <c r="AK1153" i="2" s="1"/>
  <c r="AJ1170" i="2" l="1"/>
  <c r="AJ1172" i="2" s="1"/>
  <c r="AJ1171" i="2"/>
  <c r="AJ1173" i="2" s="1"/>
  <c r="AJ1161" i="2"/>
  <c r="AJ1163" i="2" s="1"/>
  <c r="AK1164" i="2" s="1"/>
  <c r="AJ1179" i="2"/>
  <c r="AL1186" i="2"/>
  <c r="AJ1180" i="2"/>
  <c r="AJ1188" i="2"/>
  <c r="AJ1174" i="2" l="1"/>
  <c r="AK1175" i="2" s="1"/>
  <c r="AJ1181" i="2"/>
  <c r="AJ1182" i="2"/>
  <c r="AJ1184" i="2" s="1"/>
  <c r="AJ1191" i="2"/>
  <c r="AJ1199" i="2"/>
  <c r="AJ1190" i="2"/>
  <c r="AL1197" i="2"/>
  <c r="AJ1192" i="2" l="1"/>
  <c r="AJ1193" i="2"/>
  <c r="AJ1195" i="2" s="1"/>
  <c r="AJ1183" i="2"/>
  <c r="AJ1185" i="2" s="1"/>
  <c r="AK1186" i="2" s="1"/>
  <c r="AJ1202" i="2"/>
  <c r="AJ1201" i="2"/>
  <c r="AL1208" i="2"/>
  <c r="AJ1210" i="2"/>
  <c r="AJ1203" i="2" l="1"/>
  <c r="AJ1205" i="2" s="1"/>
  <c r="AJ1204" i="2"/>
  <c r="AJ1206" i="2" s="1"/>
  <c r="AJ1194" i="2"/>
  <c r="AJ1196" i="2" s="1"/>
  <c r="AK1197" i="2" s="1"/>
  <c r="AJ1213" i="2"/>
  <c r="AJ1221" i="2"/>
  <c r="AJ1212" i="2"/>
  <c r="AL1219" i="2"/>
  <c r="AJ1207" i="2" l="1"/>
  <c r="AK1208" i="2" s="1"/>
  <c r="AJ1214" i="2"/>
  <c r="AJ1216" i="2" s="1"/>
  <c r="AJ1215" i="2"/>
  <c r="AJ1217" i="2" s="1"/>
  <c r="AJ1224" i="2"/>
  <c r="AJ1232" i="2"/>
  <c r="AJ1223" i="2"/>
  <c r="AL1230" i="2"/>
  <c r="AJ1218" i="2" l="1"/>
  <c r="AK1219" i="2" s="1"/>
  <c r="AJ1225" i="2"/>
  <c r="AJ1226" i="2"/>
  <c r="AJ1228" i="2" s="1"/>
  <c r="AJ1235" i="2"/>
  <c r="AJ1243" i="2"/>
  <c r="AJ1234" i="2"/>
  <c r="AL1241" i="2"/>
  <c r="AJ1236" i="2" l="1"/>
  <c r="AJ1238" i="2" s="1"/>
  <c r="AJ1237" i="2"/>
  <c r="AJ1239" i="2" s="1"/>
  <c r="AJ1227" i="2"/>
  <c r="AJ1229" i="2" s="1"/>
  <c r="AK1230" i="2" s="1"/>
  <c r="AL1252" i="2"/>
  <c r="AJ1246" i="2"/>
  <c r="AJ1254" i="2"/>
  <c r="AJ1245" i="2"/>
  <c r="AJ1240" i="2" l="1"/>
  <c r="AK1241" i="2" s="1"/>
  <c r="AJ1257" i="2"/>
  <c r="AJ1265" i="2"/>
  <c r="AJ1256" i="2"/>
  <c r="AL1263" i="2"/>
  <c r="AJ1247" i="2"/>
  <c r="AJ1248" i="2"/>
  <c r="AJ1250" i="2" s="1"/>
  <c r="AJ1249" i="2" l="1"/>
  <c r="AJ1251" i="2" s="1"/>
  <c r="AK1252" i="2" s="1"/>
  <c r="AJ1267" i="2"/>
  <c r="AL1274" i="2"/>
  <c r="AJ1268" i="2"/>
  <c r="AJ1276" i="2"/>
  <c r="AJ1258" i="2"/>
  <c r="AJ1260" i="2" s="1"/>
  <c r="AJ1259" i="2"/>
  <c r="AJ1261" i="2" s="1"/>
  <c r="AL1285" i="2" l="1"/>
  <c r="AJ1279" i="2"/>
  <c r="AJ1287" i="2"/>
  <c r="AJ1278" i="2"/>
  <c r="AJ1269" i="2"/>
  <c r="AJ1271" i="2" s="1"/>
  <c r="AJ1270" i="2"/>
  <c r="AJ1272" i="2" s="1"/>
  <c r="AJ1262" i="2"/>
  <c r="AK1263" i="2" s="1"/>
  <c r="AJ1273" i="2" l="1"/>
  <c r="AK1274" i="2" s="1"/>
  <c r="AL1296" i="2"/>
  <c r="AJ1290" i="2"/>
  <c r="AJ1298" i="2"/>
  <c r="AJ1289" i="2"/>
  <c r="AJ1280" i="2"/>
  <c r="AJ1282" i="2" s="1"/>
  <c r="AJ1281" i="2"/>
  <c r="AJ1283" i="2" s="1"/>
  <c r="AJ1284" i="2" l="1"/>
  <c r="AK1285" i="2" s="1"/>
  <c r="AJ1300" i="2"/>
  <c r="AL1307" i="2"/>
  <c r="AJ1301" i="2"/>
  <c r="AJ1309" i="2"/>
  <c r="AJ1291" i="2"/>
  <c r="AJ1293" i="2" s="1"/>
  <c r="AJ1292" i="2"/>
  <c r="AJ1294" i="2" s="1"/>
  <c r="AJ1295" i="2" l="1"/>
  <c r="AK1296" i="2" s="1"/>
  <c r="AJ1302" i="2"/>
  <c r="AJ1304" i="2" s="1"/>
  <c r="AJ1303" i="2"/>
  <c r="AJ1305" i="2" s="1"/>
  <c r="AJ1312" i="2"/>
  <c r="AJ1320" i="2"/>
  <c r="AJ1311" i="2"/>
  <c r="AL1318" i="2"/>
  <c r="AJ1306" i="2" l="1"/>
  <c r="AK1307" i="2" s="1"/>
  <c r="AJ1313" i="2"/>
  <c r="AJ1315" i="2" s="1"/>
  <c r="AJ1314" i="2"/>
  <c r="AJ1316" i="2" s="1"/>
  <c r="AJ1323" i="2"/>
  <c r="AJ1331" i="2"/>
  <c r="AL1329" i="2"/>
  <c r="AJ1322" i="2"/>
  <c r="AJ1317" i="2" l="1"/>
  <c r="AK1318" i="2" s="1"/>
  <c r="AJ1324" i="2"/>
  <c r="AJ1325" i="2"/>
  <c r="AJ1327" i="2" s="1"/>
  <c r="AJ1334" i="2"/>
  <c r="AJ1342" i="2"/>
  <c r="AL1340" i="2"/>
  <c r="AJ1333" i="2"/>
  <c r="AJ1326" i="2" l="1"/>
  <c r="AJ1328" i="2" s="1"/>
  <c r="AK1329" i="2" s="1"/>
  <c r="AJ1335" i="2"/>
  <c r="AJ1336" i="2"/>
  <c r="AJ1338" i="2" s="1"/>
  <c r="AL1351" i="2"/>
  <c r="AJ1344" i="2"/>
  <c r="AJ1345" i="2"/>
  <c r="AJ1353" i="2"/>
  <c r="AJ1346" i="2" l="1"/>
  <c r="AJ1347" i="2"/>
  <c r="AJ1349" i="2" s="1"/>
  <c r="AJ1337" i="2"/>
  <c r="AJ1339" i="2" s="1"/>
  <c r="AK1340" i="2" s="1"/>
  <c r="AJ1356" i="2"/>
  <c r="AJ1364" i="2"/>
  <c r="AJ1355" i="2"/>
  <c r="AL1362" i="2"/>
  <c r="AJ1357" i="2" l="1"/>
  <c r="AJ1359" i="2" s="1"/>
  <c r="AJ1358" i="2"/>
  <c r="AJ1360" i="2" s="1"/>
  <c r="AJ1348" i="2"/>
  <c r="AJ1350" i="2" s="1"/>
  <c r="AK1351" i="2" s="1"/>
  <c r="AJ1367" i="2"/>
  <c r="AJ1375" i="2"/>
  <c r="AJ1366" i="2"/>
  <c r="AL1373" i="2"/>
  <c r="AJ1361" i="2" l="1"/>
  <c r="AK1362" i="2" s="1"/>
  <c r="AJ1368" i="2"/>
  <c r="AJ1370" i="2" s="1"/>
  <c r="AJ1369" i="2"/>
  <c r="AJ1371" i="2" s="1"/>
  <c r="AL1384" i="2"/>
  <c r="AJ1378" i="2"/>
  <c r="AJ1386" i="2"/>
  <c r="AJ1377" i="2"/>
  <c r="AJ1372" i="2" l="1"/>
  <c r="AK1373" i="2" s="1"/>
  <c r="AJ1388" i="2"/>
  <c r="AL1395" i="2"/>
  <c r="AJ1397" i="2"/>
  <c r="AJ1389" i="2"/>
  <c r="AJ1379" i="2"/>
  <c r="AJ1380" i="2"/>
  <c r="AJ1382" i="2" s="1"/>
  <c r="AL1406" i="2" l="1"/>
  <c r="AJ1400" i="2"/>
  <c r="AJ1408" i="2"/>
  <c r="AJ1399" i="2"/>
  <c r="AJ1390" i="2"/>
  <c r="AJ1392" i="2" s="1"/>
  <c r="AJ1391" i="2"/>
  <c r="AJ1393" i="2" s="1"/>
  <c r="AJ1381" i="2"/>
  <c r="AJ1383" i="2" s="1"/>
  <c r="AK1384" i="2" s="1"/>
  <c r="AJ1394" i="2" l="1"/>
  <c r="AK1395" i="2" s="1"/>
  <c r="AJ1419" i="2"/>
  <c r="AJ1410" i="2"/>
  <c r="AL1417" i="2"/>
  <c r="AJ1411" i="2"/>
  <c r="AJ1401" i="2"/>
  <c r="AJ1402" i="2"/>
  <c r="AJ1404" i="2" s="1"/>
  <c r="AJ1430" i="2" l="1"/>
  <c r="AL1428" i="2"/>
  <c r="AJ1421" i="2"/>
  <c r="AJ1422" i="2"/>
  <c r="AJ1403" i="2"/>
  <c r="AJ1405" i="2" s="1"/>
  <c r="AK1406" i="2" s="1"/>
  <c r="AJ1412" i="2"/>
  <c r="AJ1413" i="2"/>
  <c r="AJ1415" i="2" s="1"/>
  <c r="AJ1433" i="2" l="1"/>
  <c r="AJ1432" i="2"/>
  <c r="AL1439" i="2"/>
  <c r="AJ1441" i="2"/>
  <c r="AJ1423" i="2"/>
  <c r="AJ1425" i="2" s="1"/>
  <c r="AJ1424" i="2"/>
  <c r="AJ1426" i="2" s="1"/>
  <c r="AJ1414" i="2"/>
  <c r="AJ1416" i="2" s="1"/>
  <c r="AK1417" i="2" s="1"/>
  <c r="AJ1427" i="2" l="1"/>
  <c r="AK1428" i="2" s="1"/>
  <c r="AJ1434" i="2"/>
  <c r="AJ1435" i="2"/>
  <c r="AJ1437" i="2" s="1"/>
  <c r="AL1450" i="2"/>
  <c r="AJ1444" i="2"/>
  <c r="AJ1452" i="2"/>
  <c r="AJ1443" i="2"/>
  <c r="AJ1463" i="2" l="1"/>
  <c r="AJ1454" i="2"/>
  <c r="AL1461" i="2"/>
  <c r="AJ1455" i="2"/>
  <c r="AJ1436" i="2"/>
  <c r="AJ1438" i="2" s="1"/>
  <c r="AK1439" i="2" s="1"/>
  <c r="AJ1445" i="2"/>
  <c r="AJ1446" i="2"/>
  <c r="AJ1448" i="2" s="1"/>
  <c r="AJ1474" i="2" l="1"/>
  <c r="AJ1465" i="2"/>
  <c r="AL1472" i="2"/>
  <c r="AJ1466" i="2"/>
  <c r="AJ1456" i="2"/>
  <c r="AJ1457" i="2"/>
  <c r="AJ1459" i="2" s="1"/>
  <c r="AJ1447" i="2"/>
  <c r="AJ1449" i="2" s="1"/>
  <c r="AK1450" i="2" s="1"/>
  <c r="AJ1485" i="2" l="1"/>
  <c r="AJ1476" i="2"/>
  <c r="AL1483" i="2"/>
  <c r="AJ1477" i="2"/>
  <c r="AJ1458" i="2"/>
  <c r="AJ1460" i="2" s="1"/>
  <c r="AK1461" i="2" s="1"/>
  <c r="AJ1467" i="2"/>
  <c r="AJ1469" i="2" s="1"/>
  <c r="AJ1468" i="2"/>
  <c r="AJ1470" i="2" s="1"/>
  <c r="AJ1496" i="2" l="1"/>
  <c r="AL1494" i="2"/>
  <c r="AJ1487" i="2"/>
  <c r="AJ1488" i="2"/>
  <c r="AJ1478" i="2"/>
  <c r="AJ1479" i="2"/>
  <c r="AJ1481" i="2" s="1"/>
  <c r="AJ1471" i="2"/>
  <c r="AK1472" i="2" s="1"/>
  <c r="AL1505" i="2" l="1"/>
  <c r="AJ1498" i="2"/>
  <c r="AJ1499" i="2"/>
  <c r="AJ1507" i="2"/>
  <c r="AJ1480" i="2"/>
  <c r="AJ1482" i="2" s="1"/>
  <c r="AK1483" i="2" s="1"/>
  <c r="AJ1489" i="2"/>
  <c r="AJ1490" i="2"/>
  <c r="AJ1492" i="2" s="1"/>
  <c r="AJ1491" i="2" l="1"/>
  <c r="AJ1493" i="2" s="1"/>
  <c r="AK1494" i="2" s="1"/>
  <c r="AJ1510" i="2"/>
  <c r="AJ1509" i="2"/>
  <c r="AJ1518" i="2"/>
  <c r="AL1516" i="2"/>
  <c r="AJ1500" i="2"/>
  <c r="AJ1501" i="2"/>
  <c r="AJ1503" i="2" s="1"/>
  <c r="AJ1502" i="2" l="1"/>
  <c r="AJ1504" i="2" s="1"/>
  <c r="AK1505" i="2" s="1"/>
  <c r="AJ1511" i="2"/>
  <c r="AJ1512" i="2"/>
  <c r="AJ1514" i="2" s="1"/>
  <c r="AJ1529" i="2"/>
  <c r="AL1527" i="2"/>
  <c r="AJ1520" i="2"/>
  <c r="AJ1521" i="2"/>
  <c r="AL1538" i="2" l="1"/>
  <c r="AJ1531" i="2"/>
  <c r="AJ1532" i="2"/>
  <c r="AJ1540" i="2"/>
  <c r="AJ1522" i="2"/>
  <c r="AJ1524" i="2" s="1"/>
  <c r="AJ1523" i="2"/>
  <c r="AJ1525" i="2" s="1"/>
  <c r="AJ1513" i="2"/>
  <c r="AJ1515" i="2" s="1"/>
  <c r="AK1516" i="2" s="1"/>
  <c r="AJ1526" i="2" l="1"/>
  <c r="AK1527" i="2" s="1"/>
  <c r="AJ1533" i="2"/>
  <c r="AJ1535" i="2" s="1"/>
  <c r="AJ1534" i="2"/>
  <c r="AJ1536" i="2" s="1"/>
  <c r="AJ1542" i="2"/>
  <c r="AL1549" i="2"/>
  <c r="AJ1543" i="2"/>
  <c r="AJ1551" i="2"/>
  <c r="AJ1537" i="2" l="1"/>
  <c r="AK1538" i="2" s="1"/>
  <c r="AJ1554" i="2"/>
  <c r="AJ1562" i="2"/>
  <c r="AJ1553" i="2"/>
  <c r="AL1560" i="2"/>
  <c r="AJ1544" i="2"/>
  <c r="AJ1545" i="2"/>
  <c r="AJ1547" i="2" s="1"/>
  <c r="AJ1546" i="2" l="1"/>
  <c r="AJ1548" i="2" s="1"/>
  <c r="AK1549" i="2" s="1"/>
  <c r="AL1571" i="2"/>
  <c r="AJ1573" i="2"/>
  <c r="AJ1565" i="2"/>
  <c r="AJ1564" i="2"/>
  <c r="AJ1555" i="2"/>
  <c r="AJ1557" i="2" s="1"/>
  <c r="AJ1556" i="2"/>
  <c r="AJ1558" i="2" s="1"/>
  <c r="AJ1566" i="2" l="1"/>
  <c r="AJ1567" i="2"/>
  <c r="AJ1569" i="2" s="1"/>
  <c r="AJ1584" i="2"/>
  <c r="AJ1575" i="2"/>
  <c r="AL1582" i="2"/>
  <c r="AJ1576" i="2"/>
  <c r="AJ1559" i="2"/>
  <c r="AK1560" i="2" s="1"/>
  <c r="AJ1568" i="2" l="1"/>
  <c r="AJ1570" i="2" s="1"/>
  <c r="AK1571" i="2" s="1"/>
  <c r="AL1593" i="2"/>
  <c r="AJ1587" i="2"/>
  <c r="AJ1595" i="2"/>
  <c r="AJ1586" i="2"/>
  <c r="AJ1577" i="2"/>
  <c r="AJ1578" i="2"/>
  <c r="AJ1580" i="2" s="1"/>
  <c r="AJ1606" i="2" l="1"/>
  <c r="AL1604" i="2"/>
  <c r="AJ1597" i="2"/>
  <c r="AJ1598" i="2"/>
  <c r="AJ1588" i="2"/>
  <c r="AJ1589" i="2"/>
  <c r="AJ1591" i="2" s="1"/>
  <c r="AJ1579" i="2"/>
  <c r="AJ1581" i="2" s="1"/>
  <c r="AK1582" i="2" s="1"/>
  <c r="AJ1609" i="2" l="1"/>
  <c r="AJ1608" i="2"/>
  <c r="AL1615" i="2"/>
  <c r="AJ1617" i="2"/>
  <c r="AJ1590" i="2"/>
  <c r="AJ1592" i="2" s="1"/>
  <c r="AK1593" i="2" s="1"/>
  <c r="AJ1599" i="2"/>
  <c r="AJ1600" i="2"/>
  <c r="AJ1602" i="2" s="1"/>
  <c r="AJ1610" i="2" l="1"/>
  <c r="AJ1611" i="2"/>
  <c r="AJ1613" i="2" s="1"/>
  <c r="AJ1601" i="2"/>
  <c r="AJ1603" i="2" s="1"/>
  <c r="AK1604" i="2" s="1"/>
  <c r="AJ1620" i="2"/>
  <c r="AJ1628" i="2"/>
  <c r="AJ1619" i="2"/>
  <c r="AL1626" i="2"/>
  <c r="AJ1612" i="2" l="1"/>
  <c r="AJ1614" i="2" s="1"/>
  <c r="AK1615" i="2" s="1"/>
  <c r="AJ1639" i="2"/>
  <c r="AJ1630" i="2"/>
  <c r="AL1637" i="2"/>
  <c r="AJ1631" i="2"/>
  <c r="AJ1621" i="2"/>
  <c r="AJ1622" i="2"/>
  <c r="AJ1624" i="2" s="1"/>
  <c r="AJ1642" i="2" l="1"/>
  <c r="AJ1650" i="2"/>
  <c r="AJ1641" i="2"/>
  <c r="AL1648" i="2"/>
  <c r="AJ1623" i="2"/>
  <c r="AJ1625" i="2" s="1"/>
  <c r="AK1626" i="2" s="1"/>
  <c r="AJ1632" i="2"/>
  <c r="AJ1633" i="2"/>
  <c r="AJ1635" i="2" s="1"/>
  <c r="AL1659" i="2" l="1"/>
  <c r="AJ1653" i="2"/>
  <c r="AJ1661" i="2"/>
  <c r="AJ1652" i="2"/>
  <c r="AJ1643" i="2"/>
  <c r="AJ1645" i="2" s="1"/>
  <c r="AJ1644" i="2"/>
  <c r="AJ1646" i="2" s="1"/>
  <c r="AJ1634" i="2"/>
  <c r="AJ1636" i="2" s="1"/>
  <c r="AK1637" i="2" s="1"/>
  <c r="AJ1647" i="2" l="1"/>
  <c r="AK1648" i="2" s="1"/>
  <c r="AJ1664" i="2"/>
  <c r="AJ1672" i="2"/>
  <c r="AJ1663" i="2"/>
  <c r="AL1670" i="2"/>
  <c r="AJ1654" i="2"/>
  <c r="AJ1656" i="2" s="1"/>
  <c r="AJ1655" i="2"/>
  <c r="AJ1657" i="2" s="1"/>
  <c r="AJ1658" i="2" l="1"/>
  <c r="AK1659" i="2" s="1"/>
  <c r="AJ1683" i="2"/>
  <c r="AJ1674" i="2"/>
  <c r="AL1681" i="2"/>
  <c r="AJ1675" i="2"/>
  <c r="AJ1665" i="2"/>
  <c r="AJ1667" i="2" s="1"/>
  <c r="AJ1666" i="2"/>
  <c r="AJ1668" i="2" s="1"/>
  <c r="AJ1669" i="2" l="1"/>
  <c r="AK1670" i="2" s="1"/>
  <c r="AJ1685" i="2"/>
  <c r="AJ1694" i="2"/>
  <c r="AL1692" i="2"/>
  <c r="AJ1686" i="2"/>
  <c r="AJ1676" i="2"/>
  <c r="AJ1677" i="2"/>
  <c r="AJ1679" i="2" s="1"/>
  <c r="AJ1687" i="2" l="1"/>
  <c r="AJ1689" i="2" s="1"/>
  <c r="AJ1688" i="2"/>
  <c r="AJ1690" i="2" s="1"/>
  <c r="AJ1678" i="2"/>
  <c r="AJ1680" i="2" s="1"/>
  <c r="AK1681" i="2" s="1"/>
  <c r="AL1703" i="2"/>
  <c r="AJ1705" i="2"/>
  <c r="AJ1696" i="2"/>
  <c r="AJ1697" i="2"/>
  <c r="AJ1691" i="2" l="1"/>
  <c r="AK1692" i="2" s="1"/>
  <c r="AJ1716" i="2"/>
  <c r="AJ1707" i="2"/>
  <c r="AL1714" i="2"/>
  <c r="AJ1708" i="2"/>
  <c r="AJ1698" i="2"/>
  <c r="AJ1699" i="2"/>
  <c r="AJ1701" i="2" s="1"/>
  <c r="AJ1727" i="2" l="1"/>
  <c r="AJ1718" i="2"/>
  <c r="AL1725" i="2"/>
  <c r="AJ1719" i="2"/>
  <c r="AJ1700" i="2"/>
  <c r="AJ1702" i="2" s="1"/>
  <c r="AK1703" i="2" s="1"/>
  <c r="AJ1709" i="2"/>
  <c r="AJ1711" i="2" s="1"/>
  <c r="AJ1710" i="2"/>
  <c r="AJ1712" i="2" s="1"/>
  <c r="AJ1729" i="2" l="1"/>
  <c r="AL1736" i="2"/>
  <c r="AJ1730" i="2"/>
  <c r="AJ1738" i="2"/>
  <c r="AJ1720" i="2"/>
  <c r="AJ1721" i="2"/>
  <c r="AJ1723" i="2" s="1"/>
  <c r="AJ1713" i="2"/>
  <c r="AK1714" i="2" s="1"/>
  <c r="AJ1731" i="2" l="1"/>
  <c r="AJ1733" i="2" s="1"/>
  <c r="AJ1732" i="2"/>
  <c r="AJ1734" i="2" s="1"/>
  <c r="AJ1722" i="2"/>
  <c r="AJ1724" i="2" s="1"/>
  <c r="AK1725" i="2" s="1"/>
  <c r="AJ1741" i="2"/>
  <c r="AJ1749" i="2"/>
  <c r="AJ1740" i="2"/>
  <c r="AL1747" i="2"/>
  <c r="AJ1735" i="2" l="1"/>
  <c r="AK1736" i="2" s="1"/>
  <c r="AL1758" i="2"/>
  <c r="AJ1752" i="2"/>
  <c r="AJ1760" i="2"/>
  <c r="AJ1751" i="2"/>
  <c r="AJ1742" i="2"/>
  <c r="AJ1743" i="2"/>
  <c r="AJ1745" i="2" s="1"/>
  <c r="AJ1744" i="2" l="1"/>
  <c r="AJ1746" i="2" s="1"/>
  <c r="AK1747" i="2" s="1"/>
  <c r="AJ1771" i="2"/>
  <c r="AJ1762" i="2"/>
  <c r="AL1769" i="2"/>
  <c r="AJ1763" i="2"/>
  <c r="AJ1753" i="2"/>
  <c r="AJ1755" i="2" s="1"/>
  <c r="AJ1754" i="2"/>
  <c r="AJ1756" i="2" s="1"/>
  <c r="AJ1774" i="2" l="1"/>
  <c r="AJ1782" i="2"/>
  <c r="AL1780" i="2"/>
  <c r="AJ1773" i="2"/>
  <c r="AJ1764" i="2"/>
  <c r="AJ1765" i="2"/>
  <c r="AJ1767" i="2" s="1"/>
  <c r="AJ1757" i="2"/>
  <c r="AK1758" i="2" s="1"/>
  <c r="AJ1766" i="2" l="1"/>
  <c r="AJ1768" i="2" s="1"/>
  <c r="AK1769" i="2" s="1"/>
  <c r="AJ1793" i="2"/>
  <c r="AJ1784" i="2"/>
  <c r="AL1791" i="2"/>
  <c r="AJ1785" i="2"/>
  <c r="AJ1775" i="2"/>
  <c r="AJ1777" i="2" s="1"/>
  <c r="AJ1776" i="2"/>
  <c r="AJ1778" i="2" s="1"/>
  <c r="AJ1779" i="2" l="1"/>
  <c r="AK1780" i="2" s="1"/>
  <c r="AJ1786" i="2"/>
  <c r="AJ1787" i="2"/>
  <c r="AJ1789" i="2" s="1"/>
  <c r="AL1802" i="2"/>
  <c r="AJ1796" i="2"/>
  <c r="AJ1804" i="2"/>
  <c r="AJ1795" i="2"/>
  <c r="AJ1815" i="2" l="1"/>
  <c r="AJ1806" i="2"/>
  <c r="AL1813" i="2"/>
  <c r="AJ1807" i="2"/>
  <c r="AJ1788" i="2"/>
  <c r="AJ1790" i="2" s="1"/>
  <c r="AK1791" i="2" s="1"/>
  <c r="AJ1797" i="2"/>
  <c r="AJ1799" i="2" s="1"/>
  <c r="AJ1798" i="2"/>
  <c r="AJ1800" i="2" s="1"/>
  <c r="AJ1818" i="2" l="1"/>
  <c r="AJ1817" i="2"/>
  <c r="AL1824" i="2"/>
  <c r="AJ1826" i="2"/>
  <c r="AJ1808" i="2"/>
  <c r="AJ1809" i="2"/>
  <c r="AJ1811" i="2" s="1"/>
  <c r="AJ1801" i="2"/>
  <c r="AK1802" i="2" s="1"/>
  <c r="AJ1810" i="2" l="1"/>
  <c r="AJ1812" i="2" s="1"/>
  <c r="AK1813" i="2" s="1"/>
  <c r="AJ1819" i="2"/>
  <c r="AJ1820" i="2"/>
  <c r="AJ1822" i="2" s="1"/>
  <c r="AJ1829" i="2"/>
  <c r="AJ1828" i="2"/>
  <c r="AL1835" i="2"/>
  <c r="AJ1837" i="2"/>
  <c r="AJ1830" i="2" l="1"/>
  <c r="AJ1831" i="2"/>
  <c r="AJ1833" i="2" s="1"/>
  <c r="AJ1821" i="2"/>
  <c r="AJ1823" i="2" s="1"/>
  <c r="AK1824" i="2" s="1"/>
  <c r="AJ1840" i="2"/>
  <c r="AJ1848" i="2"/>
  <c r="AJ1839" i="2"/>
  <c r="AL1846" i="2"/>
  <c r="AJ1841" i="2" l="1"/>
  <c r="AJ1843" i="2" s="1"/>
  <c r="AJ1842" i="2"/>
  <c r="AJ1844" i="2" s="1"/>
  <c r="AJ1832" i="2"/>
  <c r="AJ1834" i="2" s="1"/>
  <c r="AK1835" i="2" s="1"/>
  <c r="AJ1859" i="2"/>
  <c r="AJ1850" i="2"/>
  <c r="AL1857" i="2"/>
  <c r="AJ1851" i="2"/>
  <c r="AJ1845" i="2" l="1"/>
  <c r="AK1846" i="2" s="1"/>
  <c r="AJ1852" i="2"/>
  <c r="AJ1853" i="2"/>
  <c r="AJ1855" i="2" s="1"/>
  <c r="AL1868" i="2"/>
  <c r="AJ1861" i="2"/>
  <c r="AJ1862" i="2"/>
  <c r="AJ1870" i="2"/>
  <c r="AJ1854" i="2" l="1"/>
  <c r="AJ1856" i="2" s="1"/>
  <c r="AK1857" i="2" s="1"/>
  <c r="AJ1872" i="2"/>
  <c r="AL1879" i="2"/>
  <c r="AJ1881" i="2"/>
  <c r="AJ1873" i="2"/>
  <c r="AJ1863" i="2"/>
  <c r="AJ1864" i="2"/>
  <c r="AJ1866" i="2" s="1"/>
  <c r="AJ1884" i="2" l="1"/>
  <c r="AJ1892" i="2"/>
  <c r="AJ1883" i="2"/>
  <c r="AL1890" i="2"/>
  <c r="AJ1874" i="2"/>
  <c r="AJ1875" i="2"/>
  <c r="AJ1877" i="2" s="1"/>
  <c r="AJ1865" i="2"/>
  <c r="AJ1867" i="2" s="1"/>
  <c r="AK1868" i="2" s="1"/>
  <c r="AJ1885" i="2" l="1"/>
  <c r="AJ1886" i="2"/>
  <c r="AJ1888" i="2" s="1"/>
  <c r="AJ1876" i="2"/>
  <c r="AJ1878" i="2" s="1"/>
  <c r="AK1879" i="2" s="1"/>
  <c r="AJ1903" i="2"/>
  <c r="AJ1894" i="2"/>
  <c r="AL1901" i="2"/>
  <c r="AJ1895" i="2"/>
  <c r="AJ1887" i="2" l="1"/>
  <c r="AJ1889" i="2" s="1"/>
  <c r="AK1890" i="2" s="1"/>
  <c r="AJ1896" i="2"/>
  <c r="AJ1897" i="2"/>
  <c r="AJ1899" i="2" s="1"/>
  <c r="AJ1905" i="2"/>
  <c r="AL1912" i="2"/>
  <c r="AJ1906" i="2"/>
  <c r="AJ1914" i="2"/>
  <c r="AJ1907" i="2" l="1"/>
  <c r="AJ1908" i="2"/>
  <c r="AJ1910" i="2" s="1"/>
  <c r="AJ1898" i="2"/>
  <c r="AJ1900" i="2" s="1"/>
  <c r="AK1901" i="2" s="1"/>
  <c r="AL1923" i="2"/>
  <c r="AJ1917" i="2"/>
  <c r="AJ1925" i="2"/>
  <c r="AJ1916" i="2"/>
  <c r="AL1934" i="2" l="1"/>
  <c r="AJ1928" i="2"/>
  <c r="AJ1936" i="2"/>
  <c r="AJ1927" i="2"/>
  <c r="AJ1909" i="2"/>
  <c r="AJ1911" i="2" s="1"/>
  <c r="AK1912" i="2" s="1"/>
  <c r="AJ1918" i="2"/>
  <c r="AJ1919" i="2"/>
  <c r="AJ1921" i="2" s="1"/>
  <c r="AJ1939" i="2" l="1"/>
  <c r="AJ1947" i="2"/>
  <c r="AJ1938" i="2"/>
  <c r="AL1945" i="2"/>
  <c r="AJ1920" i="2"/>
  <c r="AJ1922" i="2" s="1"/>
  <c r="AK1923" i="2" s="1"/>
  <c r="AJ1929" i="2"/>
  <c r="AJ1931" i="2" s="1"/>
  <c r="AJ1930" i="2"/>
  <c r="AJ1932" i="2" s="1"/>
  <c r="AL1956" i="2" l="1"/>
  <c r="AJ1949" i="2"/>
  <c r="AJ1950" i="2"/>
  <c r="AJ1958" i="2"/>
  <c r="AJ1940" i="2"/>
  <c r="AJ1941" i="2"/>
  <c r="AJ1943" i="2" s="1"/>
  <c r="AJ1933" i="2"/>
  <c r="AK1934" i="2" s="1"/>
  <c r="AJ1942" i="2" l="1"/>
  <c r="AJ1944" i="2" s="1"/>
  <c r="AK1945" i="2" s="1"/>
  <c r="AJ1951" i="2"/>
  <c r="AJ1953" i="2" s="1"/>
  <c r="AJ1952" i="2"/>
  <c r="AJ1954" i="2" s="1"/>
  <c r="AL1967" i="2"/>
  <c r="AJ1969" i="2"/>
  <c r="AJ1961" i="2"/>
  <c r="AJ1960" i="2"/>
  <c r="AJ1955" i="2" l="1"/>
  <c r="AK1956" i="2" s="1"/>
  <c r="AJ1971" i="2"/>
  <c r="AL1978" i="2"/>
  <c r="AJ1972" i="2"/>
  <c r="AJ1980" i="2"/>
  <c r="AJ1962" i="2"/>
  <c r="AJ1963" i="2"/>
  <c r="AJ1965" i="2" s="1"/>
  <c r="AJ1973" i="2" l="1"/>
  <c r="AJ1975" i="2" s="1"/>
  <c r="AJ1974" i="2"/>
  <c r="AJ1976" i="2" s="1"/>
  <c r="AJ1964" i="2"/>
  <c r="AJ1966" i="2" s="1"/>
  <c r="AK1967" i="2" s="1"/>
  <c r="AL1989" i="2"/>
  <c r="AJ1983" i="2"/>
  <c r="AJ1991" i="2"/>
  <c r="AJ1982" i="2"/>
  <c r="AJ1977" i="2" l="1"/>
  <c r="AK1978" i="2" s="1"/>
  <c r="AL2000" i="2"/>
  <c r="AJ1994" i="2"/>
  <c r="AJ2002" i="2"/>
  <c r="AJ1993" i="2"/>
  <c r="AJ1984" i="2"/>
  <c r="AJ1985" i="2"/>
  <c r="AJ1987" i="2" s="1"/>
  <c r="AJ2004" i="2" l="1"/>
  <c r="AL2011" i="2"/>
  <c r="AJ2005" i="2"/>
  <c r="AJ2013" i="2"/>
  <c r="AJ1986" i="2"/>
  <c r="AJ1988" i="2" s="1"/>
  <c r="AK1989" i="2" s="1"/>
  <c r="AJ1995" i="2"/>
  <c r="AJ1997" i="2" s="1"/>
  <c r="AJ1996" i="2"/>
  <c r="AJ1998" i="2" s="1"/>
  <c r="AJ2006" i="2" l="1"/>
  <c r="AJ2007" i="2"/>
  <c r="AJ2009" i="2" s="1"/>
  <c r="AL2022" i="2"/>
  <c r="AJ2016" i="2"/>
  <c r="AJ2024" i="2"/>
  <c r="AJ2015" i="2"/>
  <c r="AJ1999" i="2"/>
  <c r="AK2000" i="2" s="1"/>
  <c r="AJ2035" i="2" l="1"/>
  <c r="AJ2026" i="2"/>
  <c r="AL2033" i="2"/>
  <c r="AJ2027" i="2"/>
  <c r="AJ2008" i="2"/>
  <c r="AJ2010" i="2" s="1"/>
  <c r="AK2011" i="2" s="1"/>
  <c r="AJ2017" i="2"/>
  <c r="AJ2019" i="2" s="1"/>
  <c r="AJ2018" i="2"/>
  <c r="AJ2020" i="2" s="1"/>
  <c r="AJ2038" i="2" l="1"/>
  <c r="AJ2046" i="2"/>
  <c r="AL2044" i="2"/>
  <c r="AJ2037" i="2"/>
  <c r="AJ2028" i="2"/>
  <c r="AJ2029" i="2"/>
  <c r="AJ2031" i="2" s="1"/>
  <c r="AJ2021" i="2"/>
  <c r="AK2022" i="2" s="1"/>
  <c r="AJ2030" i="2" l="1"/>
  <c r="AJ2032" i="2" s="1"/>
  <c r="AK2033" i="2" s="1"/>
  <c r="AJ2057" i="2"/>
  <c r="AJ2048" i="2"/>
  <c r="AL2055" i="2"/>
  <c r="AJ2049" i="2"/>
  <c r="AJ2039" i="2"/>
  <c r="AJ2041" i="2" s="1"/>
  <c r="AJ2040" i="2"/>
  <c r="AJ2042" i="2" s="1"/>
  <c r="AJ2060" i="2" l="1"/>
  <c r="AJ2068" i="2"/>
  <c r="AJ2059" i="2"/>
  <c r="AL2066" i="2"/>
  <c r="AJ2050" i="2"/>
  <c r="AJ2051" i="2"/>
  <c r="AJ2053" i="2" s="1"/>
  <c r="AJ2043" i="2"/>
  <c r="AK2044" i="2" s="1"/>
  <c r="AJ2061" i="2" l="1"/>
  <c r="AJ2063" i="2" s="1"/>
  <c r="AJ2062" i="2"/>
  <c r="AJ2064" i="2" s="1"/>
  <c r="AJ2052" i="2"/>
  <c r="AJ2054" i="2" s="1"/>
  <c r="AK2055" i="2" s="1"/>
  <c r="AJ2079" i="2"/>
  <c r="AJ2070" i="2"/>
  <c r="AL2077" i="2"/>
  <c r="AJ2071" i="2"/>
  <c r="AJ2065" i="2" l="1"/>
  <c r="AK2066" i="2" s="1"/>
  <c r="AJ2082" i="2"/>
  <c r="AJ2090" i="2"/>
  <c r="AJ2081" i="2"/>
  <c r="AL2088" i="2"/>
  <c r="AJ2072" i="2"/>
  <c r="AJ2073" i="2"/>
  <c r="AJ2075" i="2" s="1"/>
  <c r="AJ2083" i="2" l="1"/>
  <c r="AJ2084" i="2"/>
  <c r="AJ2086" i="2" s="1"/>
  <c r="AJ2074" i="2"/>
  <c r="AJ2076" i="2" s="1"/>
  <c r="AK2077" i="2" s="1"/>
  <c r="AL2099" i="2"/>
  <c r="AJ2101" i="2"/>
  <c r="AJ2093" i="2"/>
  <c r="AJ2092" i="2"/>
  <c r="AJ2085" i="2" l="1"/>
  <c r="AJ2087" i="2" s="1"/>
  <c r="AK2088" i="2" s="1"/>
  <c r="AJ2103" i="2"/>
  <c r="AL2110" i="2"/>
  <c r="AJ2104" i="2"/>
  <c r="AJ2112" i="2"/>
  <c r="AJ2094" i="2"/>
  <c r="AJ2095" i="2"/>
  <c r="AJ2097" i="2" s="1"/>
  <c r="AJ2123" i="2" l="1"/>
  <c r="AJ2114" i="2"/>
  <c r="AL2121" i="2"/>
  <c r="AJ2115" i="2"/>
  <c r="AJ2105" i="2"/>
  <c r="AJ2107" i="2" s="1"/>
  <c r="AJ2106" i="2"/>
  <c r="AJ2108" i="2" s="1"/>
  <c r="AJ2096" i="2"/>
  <c r="AJ2098" i="2" s="1"/>
  <c r="AK2099" i="2" s="1"/>
  <c r="AJ2109" i="2" l="1"/>
  <c r="AK2110" i="2" s="1"/>
  <c r="AJ2125" i="2"/>
  <c r="AJ2126" i="2"/>
  <c r="AJ2134" i="2"/>
  <c r="AL2132" i="2"/>
  <c r="AJ2116" i="2"/>
  <c r="AJ2117" i="2"/>
  <c r="AJ2119" i="2" s="1"/>
  <c r="AL2143" i="2" l="1"/>
  <c r="AJ2137" i="2"/>
  <c r="AJ2145" i="2"/>
  <c r="AJ2136" i="2"/>
  <c r="AJ2127" i="2"/>
  <c r="AJ2128" i="2"/>
  <c r="AJ2130" i="2" s="1"/>
  <c r="AJ2118" i="2"/>
  <c r="AJ2120" i="2" s="1"/>
  <c r="AK2121" i="2" s="1"/>
  <c r="AJ2156" i="2" l="1"/>
  <c r="AJ2147" i="2"/>
  <c r="AL2154" i="2"/>
  <c r="AJ2148" i="2"/>
  <c r="AJ2129" i="2"/>
  <c r="AJ2131" i="2" s="1"/>
  <c r="AK2132" i="2" s="1"/>
  <c r="AJ2138" i="2"/>
  <c r="AJ2140" i="2" s="1"/>
  <c r="AJ2139" i="2"/>
  <c r="AJ2141" i="2" s="1"/>
  <c r="AJ2159" i="2" l="1"/>
  <c r="AJ2167" i="2"/>
  <c r="AJ2158" i="2"/>
  <c r="AL2165" i="2"/>
  <c r="AJ2149" i="2"/>
  <c r="AJ2150" i="2"/>
  <c r="AJ2152" i="2" s="1"/>
  <c r="AJ2142" i="2"/>
  <c r="AK2143" i="2" s="1"/>
  <c r="AJ2151" i="2" l="1"/>
  <c r="AJ2153" i="2" s="1"/>
  <c r="AK2154" i="2" s="1"/>
  <c r="AJ2178" i="2"/>
  <c r="AJ2169" i="2"/>
  <c r="AL2176" i="2"/>
  <c r="AJ2170" i="2"/>
  <c r="AJ2160" i="2"/>
  <c r="AJ2162" i="2" s="1"/>
  <c r="AJ2161" i="2"/>
  <c r="AJ2163" i="2" s="1"/>
  <c r="AJ2189" i="2" l="1"/>
  <c r="AJ2181" i="2"/>
  <c r="AJ2180" i="2"/>
  <c r="AL2187" i="2"/>
  <c r="AJ2171" i="2"/>
  <c r="AJ2173" i="2" s="1"/>
  <c r="AJ2172" i="2"/>
  <c r="AJ2174" i="2" s="1"/>
  <c r="AJ2164" i="2"/>
  <c r="AK2165" i="2" s="1"/>
  <c r="AJ2175" i="2" l="1"/>
  <c r="AK2176" i="2" s="1"/>
  <c r="AJ2200" i="2"/>
  <c r="AJ2191" i="2"/>
  <c r="AL2198" i="2"/>
  <c r="AJ2192" i="2"/>
  <c r="AJ2182" i="2"/>
  <c r="AJ2184" i="2" s="1"/>
  <c r="AJ2183" i="2"/>
  <c r="AJ2185" i="2" s="1"/>
  <c r="AJ2186" i="2" l="1"/>
  <c r="AK2187" i="2" s="1"/>
  <c r="AL2209" i="2"/>
  <c r="AJ2203" i="2"/>
  <c r="AJ2211" i="2"/>
  <c r="AJ2202" i="2"/>
  <c r="AJ2193" i="2"/>
  <c r="AJ2195" i="2" s="1"/>
  <c r="AJ2194" i="2"/>
  <c r="AJ2196" i="2" s="1"/>
  <c r="AJ2197" i="2" l="1"/>
  <c r="AK2198" i="2" s="1"/>
  <c r="AJ2214" i="2"/>
  <c r="AJ2222" i="2"/>
  <c r="AL2220" i="2"/>
  <c r="AJ2213" i="2"/>
  <c r="AJ2204" i="2"/>
  <c r="AJ2205" i="2"/>
  <c r="AJ2207" i="2" s="1"/>
  <c r="AJ2206" i="2" l="1"/>
  <c r="AJ2208" i="2" s="1"/>
  <c r="AK2209" i="2" s="1"/>
  <c r="AJ2225" i="2"/>
  <c r="AJ2224" i="2"/>
  <c r="AL2231" i="2"/>
  <c r="AJ2233" i="2"/>
  <c r="AJ2215" i="2"/>
  <c r="AJ2216" i="2"/>
  <c r="AJ2218" i="2" s="1"/>
  <c r="AJ2244" i="2" l="1"/>
  <c r="AJ2235" i="2"/>
  <c r="AL2242" i="2"/>
  <c r="AJ2236" i="2"/>
  <c r="AJ2217" i="2"/>
  <c r="AJ2219" i="2" s="1"/>
  <c r="AK2220" i="2" s="1"/>
  <c r="AJ2226" i="2"/>
  <c r="AJ2228" i="2" s="1"/>
  <c r="AJ2227" i="2"/>
  <c r="AJ2229" i="2" s="1"/>
  <c r="AJ2255" i="2" l="1"/>
  <c r="AJ2246" i="2"/>
  <c r="AL2253" i="2"/>
  <c r="AJ2247" i="2"/>
  <c r="AJ2237" i="2"/>
  <c r="AJ2238" i="2"/>
  <c r="AJ2240" i="2" s="1"/>
  <c r="AJ2230" i="2"/>
  <c r="AK2231" i="2" s="1"/>
  <c r="AJ2266" i="2" l="1"/>
  <c r="AJ2257" i="2"/>
  <c r="AL2264" i="2"/>
  <c r="AJ2258" i="2"/>
  <c r="AJ2239" i="2"/>
  <c r="AJ2241" i="2" s="1"/>
  <c r="AK2242" i="2" s="1"/>
  <c r="AJ2248" i="2"/>
  <c r="AJ2249" i="2"/>
  <c r="AJ2251" i="2" s="1"/>
  <c r="AL2275" i="2" l="1"/>
  <c r="AJ2269" i="2"/>
  <c r="AJ2277" i="2"/>
  <c r="AJ2268" i="2"/>
  <c r="AJ2259" i="2"/>
  <c r="AJ2260" i="2"/>
  <c r="AJ2262" i="2" s="1"/>
  <c r="AJ2250" i="2"/>
  <c r="AJ2252" i="2" s="1"/>
  <c r="AK2253" i="2" s="1"/>
  <c r="AJ2261" i="2" l="1"/>
  <c r="AJ2263" i="2" s="1"/>
  <c r="AK2264" i="2" s="1"/>
  <c r="AJ2288" i="2"/>
  <c r="AJ2279" i="2"/>
  <c r="AL2286" i="2"/>
  <c r="AJ2280" i="2"/>
  <c r="AJ2270" i="2"/>
  <c r="AJ2271" i="2"/>
  <c r="AJ2273" i="2" s="1"/>
  <c r="AJ2299" i="2" l="1"/>
  <c r="AJ2290" i="2"/>
  <c r="AL2297" i="2"/>
  <c r="AJ2291" i="2"/>
  <c r="AJ2272" i="2"/>
  <c r="AJ2274" i="2" s="1"/>
  <c r="AK2275" i="2" s="1"/>
  <c r="AJ2281" i="2"/>
  <c r="AJ2283" i="2" s="1"/>
  <c r="AJ2282" i="2"/>
  <c r="AJ2284" i="2" s="1"/>
  <c r="AJ2310" i="2" l="1"/>
  <c r="AL2308" i="2"/>
  <c r="AJ2301" i="2"/>
  <c r="AJ2302" i="2"/>
  <c r="AJ2292" i="2"/>
  <c r="AJ2293" i="2"/>
  <c r="AJ2295" i="2" s="1"/>
  <c r="AJ2285" i="2"/>
  <c r="AK2286" i="2" s="1"/>
  <c r="AJ2303" i="2" l="1"/>
  <c r="AJ2304" i="2"/>
  <c r="AJ2306" i="2" s="1"/>
  <c r="AL2319" i="2"/>
  <c r="AJ2313" i="2"/>
  <c r="AJ2321" i="2"/>
  <c r="AJ2312" i="2"/>
  <c r="AJ2294" i="2"/>
  <c r="AJ2296" i="2" s="1"/>
  <c r="AK2297" i="2" s="1"/>
  <c r="AJ2323" i="2" l="1"/>
  <c r="AL2330" i="2"/>
  <c r="AJ2324" i="2"/>
  <c r="AJ2332" i="2"/>
  <c r="AJ2305" i="2"/>
  <c r="AJ2307" i="2" s="1"/>
  <c r="AK2308" i="2" s="1"/>
  <c r="AJ2314" i="2"/>
  <c r="AJ2315" i="2"/>
  <c r="AJ2317" i="2" s="1"/>
  <c r="AJ2325" i="2" l="1"/>
  <c r="AJ2327" i="2" s="1"/>
  <c r="AJ2326" i="2"/>
  <c r="AJ2328" i="2" s="1"/>
  <c r="AJ2316" i="2"/>
  <c r="AJ2318" i="2" s="1"/>
  <c r="AK2319" i="2" s="1"/>
  <c r="AJ2335" i="2"/>
  <c r="AJ2343" i="2"/>
  <c r="AJ2334" i="2"/>
  <c r="AL2341" i="2"/>
  <c r="AJ2329" i="2" l="1"/>
  <c r="AK2330" i="2" s="1"/>
  <c r="AJ2346" i="2"/>
  <c r="AJ2354" i="2"/>
  <c r="AJ2345" i="2"/>
  <c r="AL2352" i="2"/>
  <c r="AJ2336" i="2"/>
  <c r="AJ2338" i="2" s="1"/>
  <c r="AJ2337" i="2"/>
  <c r="AJ2339" i="2" s="1"/>
  <c r="AJ2340" i="2" l="1"/>
  <c r="AK2341" i="2" s="1"/>
  <c r="AJ2365" i="2"/>
  <c r="AJ2357" i="2"/>
  <c r="AJ2356" i="2"/>
  <c r="AL2363" i="2"/>
  <c r="AJ2347" i="2"/>
  <c r="AJ2349" i="2" s="1"/>
  <c r="AJ2348" i="2"/>
  <c r="AJ2350" i="2" s="1"/>
  <c r="AJ2351" i="2" l="1"/>
  <c r="AK2352" i="2" s="1"/>
  <c r="AJ2376" i="2"/>
  <c r="AJ2367" i="2"/>
  <c r="AL2374" i="2"/>
  <c r="AJ2368" i="2"/>
  <c r="AJ2358" i="2"/>
  <c r="AJ2359" i="2"/>
  <c r="AJ2361" i="2" s="1"/>
  <c r="AJ2387" i="2" l="1"/>
  <c r="AJ2378" i="2"/>
  <c r="AL2385" i="2"/>
  <c r="AJ2379" i="2"/>
  <c r="AJ2360" i="2"/>
  <c r="AJ2362" i="2" s="1"/>
  <c r="AK2363" i="2" s="1"/>
  <c r="AJ2369" i="2"/>
  <c r="AJ2371" i="2" s="1"/>
  <c r="AJ2370" i="2"/>
  <c r="AJ2372" i="2" s="1"/>
  <c r="AJ2373" i="2" l="1"/>
  <c r="AK2374" i="2" s="1"/>
  <c r="AJ2389" i="2"/>
  <c r="AJ2390" i="2"/>
  <c r="AJ2398" i="2"/>
  <c r="AL2396" i="2"/>
  <c r="AJ2380" i="2"/>
  <c r="AJ2381" i="2"/>
  <c r="AJ2383" i="2" s="1"/>
  <c r="AJ2391" i="2" l="1"/>
  <c r="AJ2392" i="2"/>
  <c r="AJ2394" i="2" s="1"/>
  <c r="AJ2382" i="2"/>
  <c r="AJ2384" i="2" s="1"/>
  <c r="AK2385" i="2" s="1"/>
  <c r="AJ2401" i="2"/>
  <c r="AJ2400" i="2"/>
  <c r="AL2407" i="2"/>
  <c r="AJ2409" i="2"/>
  <c r="AJ2420" i="2" l="1"/>
  <c r="AJ2411" i="2"/>
  <c r="AL2418" i="2"/>
  <c r="AJ2412" i="2"/>
  <c r="AJ2393" i="2"/>
  <c r="AJ2395" i="2" s="1"/>
  <c r="AK2396" i="2" s="1"/>
  <c r="AJ2402" i="2"/>
  <c r="AJ2403" i="2"/>
  <c r="AJ2405" i="2" s="1"/>
  <c r="AJ2404" i="2" l="1"/>
  <c r="AJ2406" i="2" s="1"/>
  <c r="AK2407" i="2" s="1"/>
  <c r="AJ2431" i="2"/>
  <c r="AJ2422" i="2"/>
  <c r="AL2429" i="2"/>
  <c r="AJ2423" i="2"/>
  <c r="AJ2413" i="2"/>
  <c r="AJ2415" i="2" s="1"/>
  <c r="AJ2414" i="2"/>
  <c r="AJ2416" i="2" s="1"/>
  <c r="AJ2417" i="2" l="1"/>
  <c r="AK2418" i="2" s="1"/>
  <c r="AJ2424" i="2"/>
  <c r="AJ2426" i="2" s="1"/>
  <c r="AJ2425" i="2"/>
  <c r="AJ2427" i="2" s="1"/>
  <c r="AJ2433" i="2"/>
  <c r="AL2440" i="2"/>
  <c r="AJ2434" i="2"/>
  <c r="AJ2442" i="2"/>
  <c r="AJ2428" i="2" l="1"/>
  <c r="AK2429" i="2" s="1"/>
  <c r="AL2451" i="2"/>
  <c r="AJ2453" i="2"/>
  <c r="AJ2445" i="2"/>
  <c r="AJ2444" i="2"/>
  <c r="AJ2435" i="2"/>
  <c r="AJ2437" i="2" s="1"/>
  <c r="AJ2436" i="2"/>
  <c r="AJ2438" i="2" s="1"/>
  <c r="AJ2439" i="2" l="1"/>
  <c r="AK2440" i="2" s="1"/>
  <c r="AJ2446" i="2"/>
  <c r="AJ2447" i="2"/>
  <c r="AJ2449" i="2" s="1"/>
  <c r="AJ2455" i="2"/>
  <c r="AL2462" i="2"/>
  <c r="AJ2456" i="2"/>
  <c r="AJ2464" i="2"/>
  <c r="AJ2448" i="2" l="1"/>
  <c r="AJ2450" i="2" s="1"/>
  <c r="AK2451" i="2" s="1"/>
  <c r="AL2473" i="2"/>
  <c r="AJ2467" i="2"/>
  <c r="AJ2475" i="2"/>
  <c r="AJ2466" i="2"/>
  <c r="AJ2457" i="2"/>
  <c r="AJ2458" i="2"/>
  <c r="AJ2460" i="2" s="1"/>
  <c r="AJ2459" i="2" l="1"/>
  <c r="AJ2461" i="2" s="1"/>
  <c r="AK2462" i="2" s="1"/>
  <c r="AJ2486" i="2"/>
  <c r="AL2484" i="2"/>
  <c r="AJ2477" i="2"/>
  <c r="AJ2478" i="2"/>
  <c r="AJ2468" i="2"/>
  <c r="AJ2469" i="2"/>
  <c r="AJ2471" i="2" s="1"/>
  <c r="AJ2470" i="2" l="1"/>
  <c r="AJ2472" i="2" s="1"/>
  <c r="AK2473" i="2" s="1"/>
  <c r="AJ2479" i="2"/>
  <c r="AJ2480" i="2"/>
  <c r="AJ2482" i="2" s="1"/>
  <c r="AJ2489" i="2"/>
  <c r="AJ2488" i="2"/>
  <c r="AL2495" i="2"/>
  <c r="AJ2497" i="2"/>
  <c r="AJ2508" i="2" l="1"/>
  <c r="AJ2499" i="2"/>
  <c r="AL2506" i="2"/>
  <c r="AJ2500" i="2"/>
  <c r="AJ2490" i="2"/>
  <c r="AJ2492" i="2" s="1"/>
  <c r="AJ2491" i="2"/>
  <c r="AJ2493" i="2" s="1"/>
  <c r="AJ2481" i="2"/>
  <c r="AJ2483" i="2" s="1"/>
  <c r="AK2484" i="2" s="1"/>
  <c r="AJ2494" i="2" l="1"/>
  <c r="AK2495" i="2" s="1"/>
  <c r="AJ2519" i="2"/>
  <c r="AJ2510" i="2"/>
  <c r="AL2517" i="2"/>
  <c r="AJ2511" i="2"/>
  <c r="AJ2501" i="2"/>
  <c r="AJ2503" i="2" s="1"/>
  <c r="AJ2502" i="2"/>
  <c r="AJ2504" i="2" s="1"/>
  <c r="AJ2505" i="2" l="1"/>
  <c r="AK2506" i="2" s="1"/>
  <c r="AJ2530" i="2"/>
  <c r="AJ2521" i="2"/>
  <c r="AL2528" i="2"/>
  <c r="AJ2522" i="2"/>
  <c r="AJ2512" i="2"/>
  <c r="AJ2514" i="2" s="1"/>
  <c r="AJ2513" i="2"/>
  <c r="AJ2515" i="2" s="1"/>
  <c r="AJ2516" i="2" l="1"/>
  <c r="AK2517" i="2" s="1"/>
  <c r="AL2539" i="2"/>
  <c r="AJ2533" i="2"/>
  <c r="AJ2541" i="2"/>
  <c r="AJ2532" i="2"/>
  <c r="AJ2523" i="2"/>
  <c r="AJ2525" i="2" s="1"/>
  <c r="AJ2524" i="2"/>
  <c r="AJ2526" i="2" s="1"/>
  <c r="AJ2527" i="2" l="1"/>
  <c r="AK2528" i="2" s="1"/>
  <c r="AJ2534" i="2"/>
  <c r="AJ2536" i="2" s="1"/>
  <c r="AJ2535" i="2"/>
  <c r="AJ2537" i="2" s="1"/>
  <c r="AJ2543" i="2"/>
  <c r="AL2550" i="2"/>
  <c r="AJ2544" i="2"/>
  <c r="AJ2552" i="2"/>
  <c r="AJ2538" i="2" l="1"/>
  <c r="AK2539" i="2" s="1"/>
  <c r="AJ2563" i="2"/>
  <c r="AJ2554" i="2"/>
  <c r="AL2561" i="2"/>
  <c r="AJ2555" i="2"/>
  <c r="AJ2545" i="2"/>
  <c r="AJ2546" i="2"/>
  <c r="AJ2548" i="2" s="1"/>
  <c r="AJ2566" i="2" l="1"/>
  <c r="AJ2574" i="2"/>
  <c r="AL2572" i="2"/>
  <c r="AJ2565" i="2"/>
  <c r="AJ2547" i="2"/>
  <c r="AJ2549" i="2" s="1"/>
  <c r="AK2550" i="2" s="1"/>
  <c r="AJ2556" i="2"/>
  <c r="AJ2557" i="2"/>
  <c r="AJ2559" i="2" s="1"/>
  <c r="AJ2558" i="2" l="1"/>
  <c r="AJ2560" i="2" s="1"/>
  <c r="AK2561" i="2" s="1"/>
  <c r="AJ2567" i="2"/>
  <c r="AJ2568" i="2"/>
  <c r="AJ2570" i="2" s="1"/>
  <c r="AJ2577" i="2"/>
  <c r="AJ2585" i="2"/>
  <c r="AJ2576" i="2"/>
  <c r="AL2583" i="2"/>
  <c r="AJ2588" i="2" l="1"/>
  <c r="AJ2596" i="2"/>
  <c r="AJ2587" i="2"/>
  <c r="AL2594" i="2"/>
  <c r="AJ2578" i="2"/>
  <c r="AJ2580" i="2" s="1"/>
  <c r="AJ2579" i="2"/>
  <c r="AJ2581" i="2" s="1"/>
  <c r="AJ2569" i="2"/>
  <c r="AJ2571" i="2" s="1"/>
  <c r="AK2572" i="2" s="1"/>
  <c r="AJ2582" i="2" l="1"/>
  <c r="AK2583" i="2" s="1"/>
  <c r="AJ2599" i="2"/>
  <c r="AJ2607" i="2"/>
  <c r="AJ2598" i="2"/>
  <c r="AL2605" i="2"/>
  <c r="AJ2589" i="2"/>
  <c r="AJ2590" i="2"/>
  <c r="AJ2592" i="2" s="1"/>
  <c r="AJ2591" i="2" l="1"/>
  <c r="AJ2593" i="2" s="1"/>
  <c r="AK2594" i="2" s="1"/>
  <c r="AJ2610" i="2"/>
  <c r="AJ2618" i="2"/>
  <c r="AJ2609" i="2"/>
  <c r="AL2616" i="2"/>
  <c r="AJ2600" i="2"/>
  <c r="AJ2601" i="2"/>
  <c r="AJ2603" i="2" s="1"/>
  <c r="AJ2602" i="2" l="1"/>
  <c r="AJ2604" i="2" s="1"/>
  <c r="AK2605" i="2" s="1"/>
  <c r="AJ2621" i="2"/>
  <c r="AJ2620" i="2"/>
  <c r="AL2627" i="2"/>
  <c r="AJ2629" i="2"/>
  <c r="AJ2611" i="2"/>
  <c r="AJ2613" i="2" s="1"/>
  <c r="AJ2612" i="2"/>
  <c r="AJ2614" i="2" s="1"/>
  <c r="AJ2615" i="2" l="1"/>
  <c r="AK2616" i="2" s="1"/>
  <c r="AJ2622" i="2"/>
  <c r="AJ2624" i="2" s="1"/>
  <c r="AJ2623" i="2"/>
  <c r="AJ2625" i="2" s="1"/>
  <c r="AJ2632" i="2"/>
  <c r="AJ2640" i="2"/>
  <c r="AJ2631" i="2"/>
  <c r="AL2638" i="2"/>
  <c r="AJ2626" i="2" l="1"/>
  <c r="AK2627" i="2" s="1"/>
  <c r="AJ2642" i="2"/>
  <c r="AL2649" i="2"/>
  <c r="AJ2643" i="2"/>
  <c r="AJ2651" i="2"/>
  <c r="AJ2633" i="2"/>
  <c r="AJ2634" i="2"/>
  <c r="AJ2636" i="2" s="1"/>
  <c r="AL2660" i="2" l="1"/>
  <c r="AJ2653" i="2"/>
  <c r="AJ2654" i="2"/>
  <c r="AJ2662" i="2"/>
  <c r="AJ2644" i="2"/>
  <c r="AJ2646" i="2" s="1"/>
  <c r="AJ2645" i="2"/>
  <c r="AJ2647" i="2" s="1"/>
  <c r="AJ2635" i="2"/>
  <c r="AJ2637" i="2" s="1"/>
  <c r="AK2638" i="2" s="1"/>
  <c r="AJ2648" i="2" l="1"/>
  <c r="AK2649" i="2" s="1"/>
  <c r="AJ2665" i="2"/>
  <c r="AJ2664" i="2"/>
  <c r="AL2671" i="2"/>
  <c r="AJ2673" i="2"/>
  <c r="AJ2655" i="2"/>
  <c r="AJ2657" i="2" s="1"/>
  <c r="AJ2656" i="2"/>
  <c r="AJ2658" i="2" s="1"/>
  <c r="AJ2659" i="2" l="1"/>
  <c r="AK2660" i="2" s="1"/>
  <c r="AJ2676" i="2"/>
  <c r="AJ2684" i="2"/>
  <c r="AJ2675" i="2"/>
  <c r="AL2682" i="2"/>
  <c r="AJ2666" i="2"/>
  <c r="AJ2667" i="2"/>
  <c r="AJ2669" i="2" s="1"/>
  <c r="AJ2668" i="2" l="1"/>
  <c r="AJ2670" i="2" s="1"/>
  <c r="AK2671" i="2" s="1"/>
  <c r="AL2693" i="2"/>
  <c r="AJ2695" i="2"/>
  <c r="AJ2687" i="2"/>
  <c r="AJ2686" i="2"/>
  <c r="AJ2677" i="2"/>
  <c r="AJ2678" i="2"/>
  <c r="AJ2680" i="2" s="1"/>
  <c r="AJ2679" i="2" l="1"/>
  <c r="AJ2681" i="2" s="1"/>
  <c r="AK2682" i="2" s="1"/>
  <c r="AJ2698" i="2"/>
  <c r="AJ2697" i="2"/>
  <c r="AL2704" i="2"/>
  <c r="AJ2706" i="2"/>
  <c r="AJ2688" i="2"/>
  <c r="AJ2689" i="2"/>
  <c r="AJ2691" i="2" s="1"/>
  <c r="AJ2690" i="2" l="1"/>
  <c r="AJ2692" i="2" s="1"/>
  <c r="AK2693" i="2" s="1"/>
  <c r="AJ2699" i="2"/>
  <c r="AJ2700" i="2"/>
  <c r="AJ2702" i="2" s="1"/>
  <c r="AJ2708" i="2"/>
  <c r="AJ2709" i="2"/>
  <c r="AL2715" i="2"/>
  <c r="AJ2717" i="2"/>
  <c r="AJ2728" i="2" l="1"/>
  <c r="AL2726" i="2"/>
  <c r="AJ2720" i="2"/>
  <c r="AJ2719" i="2"/>
  <c r="AJ2710" i="2"/>
  <c r="AJ2712" i="2" s="1"/>
  <c r="AJ2711" i="2"/>
  <c r="AJ2713" i="2" s="1"/>
  <c r="AJ2701" i="2"/>
  <c r="AJ2703" i="2" s="1"/>
  <c r="AK2704" i="2" s="1"/>
  <c r="AJ2714" i="2" l="1"/>
  <c r="AK2715" i="2" s="1"/>
  <c r="AJ2721" i="2"/>
  <c r="AJ2723" i="2" s="1"/>
  <c r="AJ2722" i="2"/>
  <c r="AJ2724" i="2" s="1"/>
  <c r="AJ2731" i="2"/>
  <c r="AJ2739" i="2"/>
  <c r="AJ2730" i="2"/>
  <c r="AL2737" i="2"/>
  <c r="AJ2725" i="2" l="1"/>
  <c r="AK2726" i="2" s="1"/>
  <c r="AJ2750" i="2"/>
  <c r="AL2748" i="2"/>
  <c r="AJ2741" i="2"/>
  <c r="AJ2742" i="2"/>
  <c r="AJ2732" i="2"/>
  <c r="AJ2734" i="2" s="1"/>
  <c r="AJ2733" i="2"/>
  <c r="AJ2735" i="2" s="1"/>
  <c r="AJ2736" i="2" l="1"/>
  <c r="AK2737" i="2" s="1"/>
  <c r="AJ2761" i="2"/>
  <c r="AJ2753" i="2"/>
  <c r="AJ2752" i="2"/>
  <c r="AL2759" i="2"/>
  <c r="AJ2743" i="2"/>
  <c r="AJ2744" i="2"/>
  <c r="AJ2746" i="2" s="1"/>
  <c r="AJ2764" i="2" l="1"/>
  <c r="AJ2772" i="2"/>
  <c r="AJ2763" i="2"/>
  <c r="AL2770" i="2"/>
  <c r="AJ2745" i="2"/>
  <c r="AJ2747" i="2" s="1"/>
  <c r="AK2748" i="2" s="1"/>
  <c r="AJ2754" i="2"/>
  <c r="AJ2755" i="2"/>
  <c r="AJ2757" i="2" s="1"/>
  <c r="AJ2756" i="2" l="1"/>
  <c r="AJ2758" i="2" s="1"/>
  <c r="AK2759" i="2" s="1"/>
  <c r="AJ2783" i="2"/>
  <c r="AJ2774" i="2"/>
  <c r="AL2781" i="2"/>
  <c r="AJ2775" i="2"/>
  <c r="AJ2765" i="2"/>
  <c r="AJ2767" i="2" s="1"/>
  <c r="AJ2766" i="2"/>
  <c r="AJ2768" i="2" s="1"/>
  <c r="AJ2769" i="2" l="1"/>
  <c r="AK2770" i="2" s="1"/>
  <c r="AJ2776" i="2"/>
  <c r="AJ2778" i="2" s="1"/>
  <c r="AJ2777" i="2"/>
  <c r="AJ2779" i="2" s="1"/>
  <c r="AL2792" i="2"/>
  <c r="AJ2786" i="2"/>
  <c r="AJ2794" i="2"/>
  <c r="AJ2785" i="2"/>
  <c r="AJ2780" i="2" l="1"/>
  <c r="AK2781" i="2" s="1"/>
  <c r="AJ2796" i="2"/>
  <c r="AL2803" i="2"/>
  <c r="AJ2805" i="2"/>
  <c r="AJ2797" i="2"/>
  <c r="AJ2787" i="2"/>
  <c r="AJ2788" i="2"/>
  <c r="AJ2790" i="2" s="1"/>
  <c r="AJ2798" i="2" l="1"/>
  <c r="AJ2800" i="2" s="1"/>
  <c r="AJ2799" i="2"/>
  <c r="AJ2801" i="2" s="1"/>
  <c r="AJ2789" i="2"/>
  <c r="AJ2791" i="2" s="1"/>
  <c r="AK2792" i="2" s="1"/>
  <c r="AJ2808" i="2"/>
  <c r="AJ2816" i="2"/>
  <c r="AJ2807" i="2"/>
  <c r="AL2814" i="2"/>
  <c r="AJ2802" i="2" l="1"/>
  <c r="AK2803" i="2" s="1"/>
  <c r="AJ2819" i="2"/>
  <c r="AJ2827" i="2"/>
  <c r="AJ2818" i="2"/>
  <c r="AL2825" i="2"/>
  <c r="AJ2809" i="2"/>
  <c r="AJ2811" i="2" s="1"/>
  <c r="AJ2810" i="2"/>
  <c r="AJ2812" i="2" s="1"/>
  <c r="AJ2813" i="2" l="1"/>
  <c r="AK2814" i="2" s="1"/>
  <c r="AJ2830" i="2"/>
  <c r="AJ2838" i="2"/>
  <c r="AL2836" i="2"/>
  <c r="AJ2829" i="2"/>
  <c r="AJ2820" i="2"/>
  <c r="AJ2822" i="2" s="1"/>
  <c r="AJ2821" i="2"/>
  <c r="AJ2823" i="2" s="1"/>
  <c r="AJ2824" i="2" l="1"/>
  <c r="AK2825" i="2" s="1"/>
  <c r="AJ2831" i="2"/>
  <c r="AJ2832" i="2"/>
  <c r="AJ2834" i="2" s="1"/>
  <c r="AL2847" i="2"/>
  <c r="AJ2849" i="2"/>
  <c r="AJ2841" i="2"/>
  <c r="AJ2840" i="2"/>
  <c r="AJ2860" i="2" l="1"/>
  <c r="AJ2851" i="2"/>
  <c r="AJ2852" i="2"/>
  <c r="AL2858" i="2"/>
  <c r="AJ2833" i="2"/>
  <c r="AJ2835" i="2" s="1"/>
  <c r="AK2836" i="2" s="1"/>
  <c r="AJ2842" i="2"/>
  <c r="AJ2844" i="2" s="1"/>
  <c r="AJ2843" i="2"/>
  <c r="AJ2845" i="2" s="1"/>
  <c r="AJ2846" i="2" l="1"/>
  <c r="AK2847" i="2" s="1"/>
  <c r="AJ2863" i="2"/>
  <c r="AJ2871" i="2"/>
  <c r="AL2869" i="2"/>
  <c r="AJ2862" i="2"/>
  <c r="AJ2853" i="2"/>
  <c r="AJ2855" i="2" s="1"/>
  <c r="AJ2854" i="2"/>
  <c r="AJ2856" i="2" s="1"/>
  <c r="AJ2857" i="2" l="1"/>
  <c r="AK2858" i="2" s="1"/>
  <c r="AJ2864" i="2"/>
  <c r="AJ2866" i="2" s="1"/>
  <c r="AJ2865" i="2"/>
  <c r="AJ2867" i="2" s="1"/>
  <c r="AJ2882" i="2"/>
  <c r="AL2880" i="2"/>
  <c r="AJ2873" i="2"/>
  <c r="AJ2874" i="2"/>
  <c r="AJ2868" i="2" l="1"/>
  <c r="AK2869" i="2" s="1"/>
  <c r="AJ2875" i="2"/>
  <c r="AJ2877" i="2" s="1"/>
  <c r="AJ2876" i="2"/>
  <c r="AJ2878" i="2" s="1"/>
  <c r="AL2891" i="2"/>
  <c r="AJ2884" i="2"/>
  <c r="AJ2885" i="2"/>
  <c r="AJ2893" i="2"/>
  <c r="AJ2879" i="2" l="1"/>
  <c r="AK2880" i="2" s="1"/>
  <c r="AJ2886" i="2"/>
  <c r="AJ2887" i="2"/>
  <c r="AJ2889" i="2" s="1"/>
  <c r="AJ2896" i="2"/>
  <c r="AL2902" i="2"/>
  <c r="AJ2895" i="2"/>
  <c r="AJ2904" i="2"/>
  <c r="AJ2897" i="2" l="1"/>
  <c r="AJ2898" i="2"/>
  <c r="AJ2900" i="2" s="1"/>
  <c r="AJ2888" i="2"/>
  <c r="AJ2890" i="2" s="1"/>
  <c r="AK2891" i="2" s="1"/>
  <c r="AJ2915" i="2"/>
  <c r="AJ2906" i="2"/>
  <c r="AL2913" i="2"/>
  <c r="AJ2907" i="2"/>
  <c r="AJ2918" i="2" l="1"/>
  <c r="AJ2917" i="2"/>
  <c r="AL2924" i="2"/>
  <c r="AJ2926" i="2"/>
  <c r="AJ2899" i="2"/>
  <c r="AJ2901" i="2" s="1"/>
  <c r="AK2902" i="2" s="1"/>
  <c r="AJ2908" i="2"/>
  <c r="AJ2909" i="2"/>
  <c r="AJ2911" i="2" s="1"/>
  <c r="AJ2910" i="2" l="1"/>
  <c r="AJ2912" i="2" s="1"/>
  <c r="AK2913" i="2" s="1"/>
  <c r="AJ2937" i="2"/>
  <c r="AJ2928" i="2"/>
  <c r="AL2935" i="2"/>
  <c r="AJ2929" i="2"/>
  <c r="AJ2919" i="2"/>
  <c r="AJ2921" i="2" s="1"/>
  <c r="AJ2920" i="2"/>
  <c r="AJ2922" i="2" s="1"/>
  <c r="AJ2923" i="2" l="1"/>
  <c r="AK2924" i="2" s="1"/>
  <c r="AJ2930" i="2"/>
  <c r="AJ2931" i="2"/>
  <c r="AJ2933" i="2" s="1"/>
  <c r="AJ2939" i="2"/>
  <c r="AL2946" i="2"/>
  <c r="AJ2940" i="2"/>
  <c r="AJ2948" i="2"/>
  <c r="AJ2932" i="2" l="1"/>
  <c r="AJ2934" i="2" s="1"/>
  <c r="AK2935" i="2" s="1"/>
  <c r="AJ2950" i="2"/>
  <c r="AJ2951" i="2"/>
  <c r="AJ2959" i="2"/>
  <c r="AL2957" i="2"/>
  <c r="AJ2941" i="2"/>
  <c r="AJ2942" i="2"/>
  <c r="AJ2944" i="2" s="1"/>
  <c r="AJ2943" i="2" l="1"/>
  <c r="AJ2945" i="2" s="1"/>
  <c r="AK2946" i="2" s="1"/>
  <c r="AJ2962" i="2"/>
  <c r="AL2968" i="2"/>
  <c r="AJ2970" i="2"/>
  <c r="AJ2961" i="2"/>
  <c r="AJ2952" i="2"/>
  <c r="AJ2954" i="2" s="1"/>
  <c r="AJ2953" i="2"/>
  <c r="AJ2955" i="2" s="1"/>
  <c r="AJ2956" i="2" l="1"/>
  <c r="AK2957" i="2" s="1"/>
  <c r="AJ2973" i="2"/>
  <c r="AJ2981" i="2"/>
  <c r="AL2979" i="2"/>
  <c r="AJ2972" i="2"/>
  <c r="AJ2963" i="2"/>
  <c r="AJ2965" i="2" s="1"/>
  <c r="AJ2964" i="2"/>
  <c r="AJ2966" i="2" s="1"/>
  <c r="AJ2967" i="2" l="1"/>
  <c r="AK2968" i="2" s="1"/>
  <c r="AJ2974" i="2"/>
  <c r="AJ2976" i="2" s="1"/>
  <c r="AJ2975" i="2"/>
  <c r="AJ2977" i="2" s="1"/>
  <c r="AJ2984" i="2"/>
  <c r="AL2990" i="2"/>
  <c r="AJ2992" i="2"/>
  <c r="AJ2983" i="2"/>
  <c r="AJ2978" i="2" l="1"/>
  <c r="AK2979" i="2" s="1"/>
  <c r="AL3001" i="2"/>
  <c r="AJ2995" i="2"/>
  <c r="AJ3003" i="2"/>
  <c r="AJ2994" i="2"/>
  <c r="AJ2985" i="2"/>
  <c r="AJ2986" i="2"/>
  <c r="AJ2988" i="2" s="1"/>
  <c r="AJ2996" i="2" l="1"/>
  <c r="AJ2997" i="2"/>
  <c r="AJ2999" i="2" s="1"/>
  <c r="AJ2987" i="2"/>
  <c r="AJ2989" i="2" s="1"/>
  <c r="AK2990" i="2" s="1"/>
  <c r="AJ3006" i="2"/>
  <c r="AL3012" i="2"/>
  <c r="AJ3014" i="2"/>
  <c r="AJ3005" i="2"/>
  <c r="AJ3007" i="2" l="1"/>
  <c r="AJ3008" i="2"/>
  <c r="AJ3010" i="2" s="1"/>
  <c r="AJ2998" i="2"/>
  <c r="AJ3000" i="2" s="1"/>
  <c r="AK3001" i="2" s="1"/>
  <c r="AJ3025" i="2"/>
  <c r="AJ3016" i="2"/>
  <c r="AL3023" i="2"/>
  <c r="AJ3017" i="2"/>
  <c r="AL3034" i="2" l="1"/>
  <c r="AJ3036" i="2"/>
  <c r="AJ3027" i="2"/>
  <c r="AJ3028" i="2"/>
  <c r="AJ3009" i="2"/>
  <c r="AJ3011" i="2" s="1"/>
  <c r="AK3012" i="2" s="1"/>
  <c r="AJ3018" i="2"/>
  <c r="AJ3020" i="2" s="1"/>
  <c r="AJ3019" i="2"/>
  <c r="AJ3021" i="2" s="1"/>
  <c r="AJ3022" i="2" l="1"/>
  <c r="AK3023" i="2" s="1"/>
  <c r="AL3045" i="2"/>
  <c r="AJ3038" i="2"/>
  <c r="AJ3039" i="2"/>
  <c r="AJ3047" i="2"/>
  <c r="AJ3029" i="2"/>
  <c r="AJ3030" i="2"/>
  <c r="AJ3032" i="2" s="1"/>
  <c r="AJ3049" i="2" l="1"/>
  <c r="AJ3050" i="2"/>
  <c r="AJ3058" i="2"/>
  <c r="AL3056" i="2"/>
  <c r="AJ3031" i="2"/>
  <c r="AJ3033" i="2" s="1"/>
  <c r="AK3034" i="2" s="1"/>
  <c r="AJ3040" i="2"/>
  <c r="AJ3042" i="2" s="1"/>
  <c r="AJ3041" i="2"/>
  <c r="AJ3043" i="2" s="1"/>
  <c r="AJ3044" i="2" l="1"/>
  <c r="AK3045" i="2" s="1"/>
  <c r="AJ3051" i="2"/>
  <c r="AJ3053" i="2" s="1"/>
  <c r="AJ3052" i="2"/>
  <c r="AJ3054" i="2" s="1"/>
  <c r="AJ3069" i="2"/>
  <c r="AL3067" i="2"/>
  <c r="AJ3060" i="2"/>
  <c r="AJ3061" i="2"/>
  <c r="AJ3055" i="2" l="1"/>
  <c r="AK3056" i="2" s="1"/>
  <c r="AJ3062" i="2"/>
  <c r="AJ3063" i="2"/>
  <c r="AJ3065" i="2" s="1"/>
  <c r="AL3078" i="2"/>
  <c r="AJ3071" i="2"/>
  <c r="AJ3072" i="2"/>
  <c r="AJ3080" i="2"/>
  <c r="AJ3073" i="2" l="1"/>
  <c r="AJ3075" i="2" s="1"/>
  <c r="AJ3074" i="2"/>
  <c r="AJ3076" i="2" s="1"/>
  <c r="AJ3064" i="2"/>
  <c r="AJ3066" i="2" s="1"/>
  <c r="AK3067" i="2" s="1"/>
  <c r="AJ3091" i="2"/>
  <c r="AL3089" i="2"/>
  <c r="AJ3082" i="2"/>
  <c r="AJ3083" i="2"/>
  <c r="AJ3077" i="2" l="1"/>
  <c r="AK3078" i="2" s="1"/>
  <c r="AJ3093" i="2"/>
  <c r="AL3100" i="2"/>
  <c r="AJ3102" i="2"/>
  <c r="AJ3094" i="2"/>
  <c r="AJ3084" i="2"/>
  <c r="AJ3086" i="2" s="1"/>
  <c r="AJ3085" i="2"/>
  <c r="AJ3087" i="2" s="1"/>
  <c r="AJ3088" i="2" l="1"/>
  <c r="AK3089" i="2" s="1"/>
  <c r="AJ3095" i="2"/>
  <c r="AJ3096" i="2"/>
  <c r="AJ3098" i="2" s="1"/>
  <c r="AJ3105" i="2"/>
  <c r="AJ3113" i="2"/>
  <c r="AJ3104" i="2"/>
  <c r="AL3111" i="2"/>
  <c r="AJ3106" i="2" l="1"/>
  <c r="AJ3107" i="2"/>
  <c r="AJ3109" i="2" s="1"/>
  <c r="AJ3097" i="2"/>
  <c r="AJ3099" i="2" s="1"/>
  <c r="AK3100" i="2" s="1"/>
  <c r="AL3122" i="2"/>
  <c r="AJ3116" i="2"/>
  <c r="AJ3124" i="2"/>
  <c r="AJ3115" i="2"/>
  <c r="AJ3135" i="2" l="1"/>
  <c r="AJ3126" i="2"/>
  <c r="AL3133" i="2"/>
  <c r="AJ3127" i="2"/>
  <c r="AJ3108" i="2"/>
  <c r="AJ3110" i="2" s="1"/>
  <c r="AK3111" i="2" s="1"/>
  <c r="AJ3117" i="2"/>
  <c r="AJ3118" i="2"/>
  <c r="AJ3120" i="2" s="1"/>
  <c r="AJ3137" i="2" l="1"/>
  <c r="AL3144" i="2"/>
  <c r="AJ3138" i="2"/>
  <c r="AJ3146" i="2"/>
  <c r="AJ3128" i="2"/>
  <c r="AJ3130" i="2" s="1"/>
  <c r="AJ3129" i="2"/>
  <c r="AJ3131" i="2" s="1"/>
  <c r="AJ3119" i="2"/>
  <c r="AJ3121" i="2" s="1"/>
  <c r="AK3122" i="2" s="1"/>
  <c r="AJ3132" i="2" l="1"/>
  <c r="AK3133" i="2" s="1"/>
  <c r="AJ3139" i="2"/>
  <c r="AJ3140" i="2"/>
  <c r="AJ3142" i="2" s="1"/>
  <c r="AJ3149" i="2"/>
  <c r="AJ3157" i="2"/>
  <c r="AJ3148" i="2"/>
  <c r="AL3155" i="2"/>
  <c r="AJ3159" i="2" l="1"/>
  <c r="AL3166" i="2"/>
  <c r="AJ3160" i="2"/>
  <c r="AJ3168" i="2"/>
  <c r="AJ3150" i="2"/>
  <c r="AJ3152" i="2" s="1"/>
  <c r="AJ3151" i="2"/>
  <c r="AJ3153" i="2" s="1"/>
  <c r="AJ3141" i="2"/>
  <c r="AJ3143" i="2" s="1"/>
  <c r="AK3144" i="2" s="1"/>
  <c r="AJ3154" i="2" l="1"/>
  <c r="AK3155" i="2" s="1"/>
  <c r="AJ3161" i="2"/>
  <c r="AJ3162" i="2"/>
  <c r="AJ3164" i="2" s="1"/>
  <c r="AJ3171" i="2"/>
  <c r="AJ3179" i="2"/>
  <c r="AL3177" i="2"/>
  <c r="AJ3170" i="2"/>
  <c r="AJ3163" i="2" l="1"/>
  <c r="AJ3165" i="2" s="1"/>
  <c r="AK3166" i="2" s="1"/>
  <c r="AJ3172" i="2"/>
  <c r="AJ3174" i="2" s="1"/>
  <c r="AJ3173" i="2"/>
  <c r="AJ3175" i="2" s="1"/>
  <c r="AJ3182" i="2"/>
  <c r="AJ3181" i="2"/>
  <c r="AL3188" i="2"/>
  <c r="AJ3190" i="2"/>
  <c r="AJ3176" i="2" l="1"/>
  <c r="AK3177" i="2" s="1"/>
  <c r="AJ3183" i="2"/>
  <c r="AJ3184" i="2"/>
  <c r="AJ3186" i="2" s="1"/>
  <c r="AJ3193" i="2"/>
  <c r="AJ3201" i="2"/>
  <c r="AJ3192" i="2"/>
  <c r="AL3199" i="2"/>
  <c r="AJ3194" i="2" l="1"/>
  <c r="AJ3196" i="2" s="1"/>
  <c r="AJ3195" i="2"/>
  <c r="AJ3197" i="2" s="1"/>
  <c r="AJ3185" i="2"/>
  <c r="AJ3187" i="2" s="1"/>
  <c r="AK3188" i="2" s="1"/>
  <c r="AJ3203" i="2"/>
  <c r="AL3210" i="2"/>
  <c r="AJ3204" i="2"/>
  <c r="AJ3212" i="2"/>
  <c r="AJ3198" i="2" l="1"/>
  <c r="AK3199" i="2" s="1"/>
  <c r="AJ3205" i="2"/>
  <c r="AJ3206" i="2"/>
  <c r="AJ3208" i="2" s="1"/>
  <c r="AJ3223" i="2"/>
  <c r="AJ3214" i="2"/>
  <c r="AL3221" i="2"/>
  <c r="AJ3215" i="2"/>
  <c r="AJ3207" i="2" l="1"/>
  <c r="AJ3209" i="2" s="1"/>
  <c r="AK3210" i="2" s="1"/>
  <c r="AJ3226" i="2"/>
  <c r="AJ3234" i="2"/>
  <c r="AJ3225" i="2"/>
  <c r="AL3232" i="2"/>
  <c r="AJ3216" i="2"/>
  <c r="AJ3217" i="2"/>
  <c r="AJ3219" i="2" s="1"/>
  <c r="AJ3227" i="2" l="1"/>
  <c r="AJ3229" i="2" s="1"/>
  <c r="AJ3228" i="2"/>
  <c r="AJ3230" i="2" s="1"/>
  <c r="AJ3218" i="2"/>
  <c r="AJ3220" i="2" s="1"/>
  <c r="AK3221" i="2" s="1"/>
  <c r="AJ3236" i="2"/>
  <c r="AL3243" i="2"/>
  <c r="AJ3237" i="2"/>
  <c r="AJ3245" i="2"/>
  <c r="AJ3231" i="2" l="1"/>
  <c r="AK3232" i="2" s="1"/>
  <c r="AJ3238" i="2"/>
  <c r="AJ3239" i="2"/>
  <c r="AJ3241" i="2" s="1"/>
  <c r="AJ3248" i="2"/>
  <c r="AJ3256" i="2"/>
  <c r="AJ3247" i="2"/>
  <c r="AL3254" i="2"/>
  <c r="AJ3249" i="2" l="1"/>
  <c r="AJ3251" i="2" s="1"/>
  <c r="AJ3250" i="2"/>
  <c r="AJ3252" i="2" s="1"/>
  <c r="AJ3240" i="2"/>
  <c r="AJ3242" i="2" s="1"/>
  <c r="AK3243" i="2" s="1"/>
  <c r="AJ3267" i="2"/>
  <c r="AL3265" i="2"/>
  <c r="AJ3258" i="2"/>
  <c r="AJ3259" i="2"/>
  <c r="AJ3253" i="2" l="1"/>
  <c r="AK3254" i="2" s="1"/>
  <c r="AJ3278" i="2"/>
  <c r="AJ3270" i="2"/>
  <c r="AJ3269" i="2"/>
  <c r="AL3276" i="2"/>
  <c r="AJ3260" i="2"/>
  <c r="AJ3262" i="2" s="1"/>
  <c r="AJ3261" i="2"/>
  <c r="AJ3263" i="2" s="1"/>
  <c r="AJ3264" i="2" l="1"/>
  <c r="AK3265" i="2" s="1"/>
  <c r="AJ3289" i="2"/>
  <c r="AJ3280" i="2"/>
  <c r="AL3287" i="2"/>
  <c r="AJ3281" i="2"/>
  <c r="AJ3271" i="2"/>
  <c r="AJ3272" i="2"/>
  <c r="AJ3274" i="2" s="1"/>
  <c r="AJ3300" i="2" l="1"/>
  <c r="AJ3291" i="2"/>
  <c r="AL3298" i="2"/>
  <c r="AJ3292" i="2"/>
  <c r="AJ3273" i="2"/>
  <c r="AJ3275" i="2" s="1"/>
  <c r="AK3276" i="2" s="1"/>
  <c r="AJ3282" i="2"/>
  <c r="AJ3283" i="2"/>
  <c r="AJ3285" i="2" s="1"/>
  <c r="AJ3311" i="2" l="1"/>
  <c r="AJ3302" i="2"/>
  <c r="AL3309" i="2"/>
  <c r="AJ3303" i="2"/>
  <c r="AJ3293" i="2"/>
  <c r="AJ3295" i="2" s="1"/>
  <c r="AJ3294" i="2"/>
  <c r="AJ3296" i="2" s="1"/>
  <c r="AJ3284" i="2"/>
  <c r="AJ3286" i="2" s="1"/>
  <c r="AK3287" i="2" s="1"/>
  <c r="AJ3297" i="2" l="1"/>
  <c r="AK3298" i="2" s="1"/>
  <c r="AJ3304" i="2"/>
  <c r="AJ3306" i="2" s="1"/>
  <c r="AJ3305" i="2"/>
  <c r="AJ3307" i="2" s="1"/>
  <c r="AJ3314" i="2"/>
  <c r="AJ3322" i="2"/>
  <c r="AJ3313" i="2"/>
  <c r="AL3320" i="2"/>
  <c r="AJ3308" i="2" l="1"/>
  <c r="AK3309" i="2" s="1"/>
  <c r="AJ3315" i="2"/>
  <c r="AJ3317" i="2" s="1"/>
  <c r="AJ3316" i="2"/>
  <c r="AJ3318" i="2" s="1"/>
  <c r="AL3331" i="2"/>
  <c r="AJ3325" i="2"/>
  <c r="AJ3333" i="2"/>
  <c r="AJ3324" i="2"/>
  <c r="AJ3319" i="2" l="1"/>
  <c r="AK3320" i="2" s="1"/>
  <c r="AJ3326" i="2"/>
  <c r="AJ3327" i="2"/>
  <c r="AJ3329" i="2" s="1"/>
  <c r="AL3342" i="2"/>
  <c r="AJ3336" i="2"/>
  <c r="AJ3344" i="2"/>
  <c r="AJ3335" i="2"/>
  <c r="AL3353" i="2" l="1"/>
  <c r="AJ3346" i="2"/>
  <c r="AJ3347" i="2"/>
  <c r="AJ3355" i="2"/>
  <c r="AJ3328" i="2"/>
  <c r="AJ3330" i="2" s="1"/>
  <c r="AK3331" i="2" s="1"/>
  <c r="AJ3337" i="2"/>
  <c r="AJ3338" i="2"/>
  <c r="AJ3340" i="2" s="1"/>
  <c r="AJ3348" i="2" l="1"/>
  <c r="AJ3350" i="2" s="1"/>
  <c r="AJ3349" i="2"/>
  <c r="AJ3351" i="2" s="1"/>
  <c r="AJ3339" i="2"/>
  <c r="AJ3341" i="2" s="1"/>
  <c r="AK3342" i="2" s="1"/>
  <c r="AJ3357" i="2"/>
  <c r="AL3364" i="2"/>
  <c r="AJ3366" i="2"/>
  <c r="AJ3358" i="2"/>
  <c r="AJ3352" i="2" l="1"/>
  <c r="AK3353" i="2" s="1"/>
  <c r="AJ3359" i="2"/>
  <c r="AJ3360" i="2"/>
  <c r="AJ3362" i="2" s="1"/>
  <c r="AJ3369" i="2"/>
  <c r="AJ3377" i="2"/>
  <c r="AJ3368" i="2"/>
  <c r="AL3375" i="2"/>
  <c r="AJ3370" i="2" l="1"/>
  <c r="AJ3372" i="2" s="1"/>
  <c r="AJ3371" i="2"/>
  <c r="AJ3373" i="2" s="1"/>
  <c r="AJ3361" i="2"/>
  <c r="AJ3363" i="2" s="1"/>
  <c r="AK3364" i="2" s="1"/>
  <c r="AJ3388" i="2"/>
  <c r="AJ3379" i="2"/>
  <c r="AL3386" i="2"/>
  <c r="AJ3380" i="2"/>
  <c r="AJ3374" i="2" l="1"/>
  <c r="AK3375" i="2" s="1"/>
  <c r="AJ3391" i="2"/>
  <c r="AJ3399" i="2"/>
  <c r="AJ3390" i="2"/>
  <c r="AL3397" i="2"/>
  <c r="AJ3381" i="2"/>
  <c r="AJ3383" i="2" s="1"/>
  <c r="AJ3382" i="2"/>
  <c r="AJ3384" i="2" s="1"/>
  <c r="AJ3385" i="2" l="1"/>
  <c r="AK3386" i="2" s="1"/>
  <c r="AJ3392" i="2"/>
  <c r="AJ3394" i="2" s="1"/>
  <c r="AJ3393" i="2"/>
  <c r="AJ3395" i="2" s="1"/>
  <c r="AL3408" i="2"/>
  <c r="AJ3402" i="2"/>
  <c r="AJ3410" i="2"/>
  <c r="AJ3401" i="2"/>
  <c r="AJ3396" i="2" l="1"/>
  <c r="AK3397" i="2" s="1"/>
  <c r="AJ3421" i="2"/>
  <c r="AJ3412" i="2"/>
  <c r="AL3419" i="2"/>
  <c r="AJ3413" i="2"/>
  <c r="AJ3403" i="2"/>
  <c r="AJ3404" i="2"/>
  <c r="AJ3406" i="2" s="1"/>
  <c r="AJ3424" i="2" l="1"/>
  <c r="AJ3432" i="2"/>
  <c r="AJ3423" i="2"/>
  <c r="AL3430" i="2"/>
  <c r="AJ3405" i="2"/>
  <c r="AJ3407" i="2" s="1"/>
  <c r="AK3408" i="2" s="1"/>
  <c r="AJ3414" i="2"/>
  <c r="AJ3415" i="2"/>
  <c r="AJ3417" i="2" s="1"/>
  <c r="AJ3425" i="2" l="1"/>
  <c r="AJ3427" i="2" s="1"/>
  <c r="AJ3426" i="2"/>
  <c r="AJ3428" i="2" s="1"/>
  <c r="AL3441" i="2"/>
  <c r="AJ3434" i="2"/>
  <c r="AJ3435" i="2"/>
  <c r="AJ3443" i="2"/>
  <c r="AJ3416" i="2"/>
  <c r="AJ3418" i="2" s="1"/>
  <c r="AK3419" i="2" s="1"/>
  <c r="AJ3429" i="2" l="1"/>
  <c r="AK3430" i="2" s="1"/>
  <c r="AJ3446" i="2"/>
  <c r="AJ3445" i="2"/>
  <c r="AL3452" i="2"/>
  <c r="AJ3454" i="2"/>
  <c r="AJ3436" i="2"/>
  <c r="AJ3438" i="2" s="1"/>
  <c r="AJ3437" i="2"/>
  <c r="AJ3439" i="2" s="1"/>
  <c r="AJ3440" i="2" l="1"/>
  <c r="AK3441" i="2" s="1"/>
  <c r="AJ3447" i="2"/>
  <c r="AJ3448" i="2"/>
  <c r="AJ3450" i="2" s="1"/>
  <c r="AJ3457" i="2"/>
  <c r="AJ3465" i="2"/>
  <c r="AJ3456" i="2"/>
  <c r="AL3463" i="2"/>
  <c r="AJ3458" i="2" l="1"/>
  <c r="AJ3459" i="2"/>
  <c r="AJ3461" i="2" s="1"/>
  <c r="AJ3449" i="2"/>
  <c r="AJ3451" i="2" s="1"/>
  <c r="AK3452" i="2" s="1"/>
  <c r="AJ3476" i="2"/>
  <c r="AJ3467" i="2"/>
  <c r="AL3474" i="2"/>
  <c r="AJ3468" i="2"/>
  <c r="AJ3487" i="2" l="1"/>
  <c r="AJ3478" i="2"/>
  <c r="AL3485" i="2"/>
  <c r="AJ3479" i="2"/>
  <c r="AJ3460" i="2"/>
  <c r="AJ3462" i="2" s="1"/>
  <c r="AK3463" i="2" s="1"/>
  <c r="AJ3469" i="2"/>
  <c r="AJ3470" i="2"/>
  <c r="AJ3472" i="2" s="1"/>
  <c r="AL3496" i="2" l="1"/>
  <c r="AJ3490" i="2"/>
  <c r="AJ3498" i="2"/>
  <c r="AJ3489" i="2"/>
  <c r="AJ3480" i="2"/>
  <c r="AJ3482" i="2" s="1"/>
  <c r="AJ3481" i="2"/>
  <c r="AJ3483" i="2" s="1"/>
  <c r="AJ3471" i="2"/>
  <c r="AJ3473" i="2" s="1"/>
  <c r="AK3474" i="2" s="1"/>
  <c r="AJ3484" i="2" l="1"/>
  <c r="AK3485" i="2" s="1"/>
  <c r="AJ3509" i="2"/>
  <c r="AJ3500" i="2"/>
  <c r="AL3507" i="2"/>
  <c r="AJ3501" i="2"/>
  <c r="AJ3491" i="2"/>
  <c r="AJ3492" i="2"/>
  <c r="AJ3494" i="2" s="1"/>
  <c r="AJ3520" i="2" l="1"/>
  <c r="AJ3511" i="2"/>
  <c r="AL3518" i="2"/>
  <c r="AJ3512" i="2"/>
  <c r="AJ3493" i="2"/>
  <c r="AJ3495" i="2" s="1"/>
  <c r="AK3496" i="2" s="1"/>
  <c r="AJ3502" i="2"/>
  <c r="AJ3503" i="2"/>
  <c r="AJ3505" i="2" s="1"/>
  <c r="AJ3531" i="2" l="1"/>
  <c r="AJ3522" i="2"/>
  <c r="AL3529" i="2"/>
  <c r="AJ3523" i="2"/>
  <c r="AJ3513" i="2"/>
  <c r="AJ3514" i="2"/>
  <c r="AJ3516" i="2" s="1"/>
  <c r="AJ3504" i="2"/>
  <c r="AJ3506" i="2" s="1"/>
  <c r="AK3507" i="2" s="1"/>
  <c r="AJ3515" i="2" l="1"/>
  <c r="AJ3517" i="2" s="1"/>
  <c r="AK3518" i="2" s="1"/>
  <c r="AJ3533" i="2"/>
  <c r="AL3540" i="2"/>
  <c r="AJ3534" i="2"/>
  <c r="AJ3542" i="2"/>
  <c r="AJ3524" i="2"/>
  <c r="AJ3526" i="2" s="1"/>
  <c r="AJ3525" i="2"/>
  <c r="AJ3527" i="2" s="1"/>
  <c r="AJ3545" i="2" l="1"/>
  <c r="AJ3544" i="2"/>
  <c r="AL3551" i="2"/>
  <c r="AJ3553" i="2"/>
  <c r="AJ3535" i="2"/>
  <c r="AJ3536" i="2"/>
  <c r="AJ3538" i="2" s="1"/>
  <c r="AJ3528" i="2"/>
  <c r="AK3529" i="2" s="1"/>
  <c r="AJ3537" i="2" l="1"/>
  <c r="AJ3539" i="2" s="1"/>
  <c r="AK3540" i="2" s="1"/>
  <c r="AJ3546" i="2"/>
  <c r="AJ3547" i="2"/>
  <c r="AJ3549" i="2" s="1"/>
  <c r="AJ3555" i="2"/>
  <c r="AL3562" i="2"/>
  <c r="AJ3556" i="2"/>
  <c r="AJ3564" i="2"/>
  <c r="AJ3557" i="2" l="1"/>
  <c r="AJ3559" i="2" s="1"/>
  <c r="AJ3558" i="2"/>
  <c r="AJ3560" i="2" s="1"/>
  <c r="AJ3548" i="2"/>
  <c r="AJ3550" i="2" s="1"/>
  <c r="AK3551" i="2" s="1"/>
  <c r="AL3573" i="2"/>
  <c r="AJ3575" i="2"/>
  <c r="AJ3566" i="2"/>
  <c r="AJ3567" i="2"/>
  <c r="AJ3561" i="2" l="1"/>
  <c r="AK3562" i="2" s="1"/>
  <c r="AJ3578" i="2"/>
  <c r="AJ3577" i="2"/>
  <c r="AL3584" i="2"/>
  <c r="AJ3586" i="2"/>
  <c r="AJ3568" i="2"/>
  <c r="AJ3569" i="2"/>
  <c r="AJ3571" i="2" s="1"/>
  <c r="AJ3570" i="2" l="1"/>
  <c r="AJ3572" i="2" s="1"/>
  <c r="AK3573" i="2" s="1"/>
  <c r="AJ3579" i="2"/>
  <c r="AJ3581" i="2" s="1"/>
  <c r="AJ3580" i="2"/>
  <c r="AJ3582" i="2" s="1"/>
  <c r="AJ3589" i="2"/>
  <c r="AJ3597" i="2"/>
  <c r="AL3595" i="2"/>
  <c r="AJ3588" i="2"/>
  <c r="AJ3583" i="2" l="1"/>
  <c r="AK3584" i="2" s="1"/>
  <c r="AL3606" i="2"/>
  <c r="AJ3600" i="2"/>
  <c r="AJ3608" i="2"/>
  <c r="AJ3599" i="2"/>
  <c r="AJ3590" i="2"/>
  <c r="AJ3592" i="2" s="1"/>
  <c r="AJ3591" i="2"/>
  <c r="AJ3593" i="2" s="1"/>
  <c r="AJ3594" i="2" l="1"/>
  <c r="AK3595" i="2" s="1"/>
  <c r="AJ3611" i="2"/>
  <c r="AJ3619" i="2"/>
  <c r="AL3617" i="2"/>
  <c r="AJ3610" i="2"/>
  <c r="AJ3601" i="2"/>
  <c r="AJ3602" i="2"/>
  <c r="AJ3604" i="2" s="1"/>
  <c r="AJ3603" i="2" l="1"/>
  <c r="AJ3605" i="2" s="1"/>
  <c r="AK3606" i="2" s="1"/>
  <c r="AJ3630" i="2"/>
  <c r="AJ3621" i="2"/>
  <c r="AL3628" i="2"/>
  <c r="AJ3622" i="2"/>
  <c r="AJ3612" i="2"/>
  <c r="AJ3614" i="2" s="1"/>
  <c r="AJ3613" i="2"/>
  <c r="AJ3615" i="2" s="1"/>
  <c r="AJ3641" i="2" l="1"/>
  <c r="AJ3633" i="2"/>
  <c r="AJ3632" i="2"/>
  <c r="AL3639" i="2"/>
  <c r="AJ3623" i="2"/>
  <c r="AJ3624" i="2"/>
  <c r="AJ3626" i="2" s="1"/>
  <c r="AJ3616" i="2"/>
  <c r="AK3617" i="2" s="1"/>
  <c r="AJ3634" i="2" l="1"/>
  <c r="AJ3635" i="2"/>
  <c r="AJ3637" i="2" s="1"/>
  <c r="AJ3644" i="2"/>
  <c r="AJ3652" i="2"/>
  <c r="AJ3643" i="2"/>
  <c r="AL3650" i="2"/>
  <c r="AJ3625" i="2"/>
  <c r="AJ3627" i="2" s="1"/>
  <c r="AK3628" i="2" s="1"/>
  <c r="AJ3645" i="2" l="1"/>
  <c r="AJ3647" i="2" s="1"/>
  <c r="AJ3646" i="2"/>
  <c r="AJ3648" i="2" s="1"/>
  <c r="AJ3636" i="2"/>
  <c r="AJ3638" i="2" s="1"/>
  <c r="AK3639" i="2" s="1"/>
  <c r="AJ3654" i="2"/>
  <c r="AL3661" i="2"/>
  <c r="AJ3655" i="2"/>
  <c r="AJ3663" i="2"/>
  <c r="AJ3649" i="2" l="1"/>
  <c r="AK3650" i="2" s="1"/>
  <c r="AJ3656" i="2"/>
  <c r="AJ3657" i="2"/>
  <c r="AJ3659" i="2" s="1"/>
  <c r="AJ3665" i="2"/>
  <c r="AL3672" i="2"/>
  <c r="AJ3674" i="2"/>
  <c r="AJ3666" i="2"/>
  <c r="AJ3677" i="2" l="1"/>
  <c r="AL3683" i="2"/>
  <c r="AJ3685" i="2"/>
  <c r="AJ3676" i="2"/>
  <c r="AJ3658" i="2"/>
  <c r="AJ3660" i="2" s="1"/>
  <c r="AK3661" i="2" s="1"/>
  <c r="AJ3667" i="2"/>
  <c r="AJ3669" i="2" s="1"/>
  <c r="AJ3668" i="2"/>
  <c r="AJ3670" i="2" s="1"/>
  <c r="AJ3687" i="2" l="1"/>
  <c r="AJ3688" i="2"/>
  <c r="AL3694" i="2"/>
  <c r="AJ3696" i="2"/>
  <c r="AJ3678" i="2"/>
  <c r="AJ3679" i="2"/>
  <c r="AJ3681" i="2" s="1"/>
  <c r="AJ3671" i="2"/>
  <c r="AK3672" i="2" s="1"/>
  <c r="AJ3689" i="2" l="1"/>
  <c r="AJ3690" i="2"/>
  <c r="AJ3692" i="2" s="1"/>
  <c r="AJ3680" i="2"/>
  <c r="AJ3682" i="2" s="1"/>
  <c r="AK3683" i="2" s="1"/>
  <c r="AJ3707" i="2"/>
  <c r="AJ3699" i="2"/>
  <c r="AJ3698" i="2"/>
  <c r="AL3705" i="2"/>
  <c r="AJ3709" i="2" l="1"/>
  <c r="AJ3718" i="2"/>
  <c r="AL3716" i="2"/>
  <c r="AJ3710" i="2"/>
  <c r="AJ3691" i="2"/>
  <c r="AJ3693" i="2" s="1"/>
  <c r="AK3694" i="2" s="1"/>
  <c r="AJ3700" i="2"/>
  <c r="AJ3701" i="2"/>
  <c r="AJ3703" i="2" s="1"/>
  <c r="AJ3711" i="2" l="1"/>
  <c r="AJ3712" i="2"/>
  <c r="AJ3714" i="2" s="1"/>
  <c r="AJ3729" i="2"/>
  <c r="AJ3720" i="2"/>
  <c r="AJ3721" i="2"/>
  <c r="AL3727" i="2"/>
  <c r="AJ3702" i="2"/>
  <c r="AJ3704" i="2" s="1"/>
  <c r="AK3705" i="2" s="1"/>
  <c r="AJ3713" i="2" l="1"/>
  <c r="AJ3715" i="2" s="1"/>
  <c r="AK3716" i="2" s="1"/>
  <c r="AJ3732" i="2"/>
  <c r="AJ3740" i="2"/>
  <c r="AJ3731" i="2"/>
  <c r="AL3738" i="2"/>
  <c r="AJ3722" i="2"/>
  <c r="AJ3723" i="2"/>
  <c r="AJ3725" i="2" s="1"/>
  <c r="AJ3733" i="2" l="1"/>
  <c r="AJ3734" i="2"/>
  <c r="AJ3736" i="2" s="1"/>
  <c r="AJ3724" i="2"/>
  <c r="AJ3726" i="2" s="1"/>
  <c r="AK3727" i="2" s="1"/>
  <c r="AJ3751" i="2"/>
  <c r="AJ3743" i="2"/>
  <c r="AL3749" i="2"/>
  <c r="AJ3742" i="2"/>
  <c r="AL3760" i="2" l="1"/>
  <c r="AJ3762" i="2"/>
  <c r="AJ3754" i="2"/>
  <c r="AJ3753" i="2"/>
  <c r="AJ3735" i="2"/>
  <c r="AJ3737" i="2" s="1"/>
  <c r="AK3738" i="2" s="1"/>
  <c r="AJ3744" i="2"/>
  <c r="AJ3745" i="2"/>
  <c r="AJ3747" i="2" s="1"/>
  <c r="AJ3764" i="2" l="1"/>
  <c r="AL3771" i="2"/>
  <c r="AJ3765" i="2"/>
  <c r="AJ3773" i="2"/>
  <c r="AJ3746" i="2"/>
  <c r="AJ3748" i="2" s="1"/>
  <c r="AK3749" i="2" s="1"/>
  <c r="AJ3755" i="2"/>
  <c r="AJ3756" i="2"/>
  <c r="AJ3758" i="2" s="1"/>
  <c r="AJ3766" i="2" l="1"/>
  <c r="AJ3767" i="2"/>
  <c r="AJ3769" i="2" s="1"/>
  <c r="AJ3757" i="2"/>
  <c r="AJ3759" i="2" s="1"/>
  <c r="AK3760" i="2" s="1"/>
  <c r="AJ3775" i="2"/>
  <c r="AL3782" i="2"/>
  <c r="AJ3784" i="2"/>
  <c r="AJ3776" i="2"/>
  <c r="AJ3777" i="2" l="1"/>
  <c r="AJ3778" i="2"/>
  <c r="AJ3780" i="2" s="1"/>
  <c r="AJ3768" i="2"/>
  <c r="AJ3770" i="2" s="1"/>
  <c r="AK3771" i="2" s="1"/>
  <c r="AL3793" i="2"/>
  <c r="AJ3786" i="2"/>
  <c r="AJ3795" i="2"/>
  <c r="AJ3787" i="2"/>
  <c r="AJ3779" i="2" l="1"/>
  <c r="AJ3781" i="2" s="1"/>
  <c r="AK3782" i="2" s="1"/>
  <c r="AJ3788" i="2"/>
  <c r="AJ3790" i="2" s="1"/>
  <c r="AJ3789" i="2"/>
  <c r="AJ3791" i="2" s="1"/>
  <c r="AJ3798" i="2"/>
  <c r="AJ3806" i="2"/>
  <c r="AJ3797" i="2"/>
  <c r="AL3804" i="2"/>
  <c r="AJ3792" i="2" l="1"/>
  <c r="AK3793" i="2" s="1"/>
  <c r="AJ3808" i="2"/>
  <c r="AL3815" i="2"/>
  <c r="AJ3817" i="2"/>
  <c r="AJ3809" i="2"/>
  <c r="AJ3799" i="2"/>
  <c r="AJ3801" i="2" s="1"/>
  <c r="AJ3800" i="2"/>
  <c r="AJ3802" i="2" s="1"/>
  <c r="AJ3803" i="2" l="1"/>
  <c r="AK3804" i="2" s="1"/>
  <c r="AJ3810" i="2"/>
  <c r="AJ3811" i="2"/>
  <c r="AJ3813" i="2" s="1"/>
  <c r="AJ3819" i="2"/>
  <c r="AJ3828" i="2"/>
  <c r="AL3826" i="2"/>
  <c r="AJ3820" i="2"/>
  <c r="AJ3812" i="2" l="1"/>
  <c r="AJ3814" i="2" s="1"/>
  <c r="AK3815" i="2" s="1"/>
  <c r="AJ3821" i="2"/>
  <c r="AJ3822" i="2"/>
  <c r="AJ3824" i="2" s="1"/>
  <c r="AJ3830" i="2"/>
  <c r="AJ3831" i="2"/>
  <c r="AL3837" i="2"/>
  <c r="AJ3839" i="2"/>
  <c r="AJ3832" i="2" l="1"/>
  <c r="AJ3834" i="2" s="1"/>
  <c r="AJ3833" i="2"/>
  <c r="AJ3835" i="2" s="1"/>
  <c r="AJ3823" i="2"/>
  <c r="AJ3825" i="2" s="1"/>
  <c r="AK3826" i="2" s="1"/>
  <c r="AJ3842" i="2"/>
  <c r="AJ3850" i="2"/>
  <c r="AJ3841" i="2"/>
  <c r="AL3848" i="2"/>
  <c r="AJ3836" i="2" l="1"/>
  <c r="AK3837" i="2" s="1"/>
  <c r="AJ3861" i="2"/>
  <c r="AL3859" i="2"/>
  <c r="AJ3852" i="2"/>
  <c r="AJ3853" i="2"/>
  <c r="AJ3843" i="2"/>
  <c r="AJ3845" i="2" s="1"/>
  <c r="AJ3844" i="2"/>
  <c r="AJ3846" i="2" s="1"/>
  <c r="AJ3847" i="2" l="1"/>
  <c r="AK3848" i="2" s="1"/>
  <c r="AJ3864" i="2"/>
  <c r="AL3870" i="2"/>
  <c r="AJ3872" i="2"/>
  <c r="AJ3863" i="2"/>
  <c r="AJ3854" i="2"/>
  <c r="AJ3856" i="2" s="1"/>
  <c r="AJ3855" i="2"/>
  <c r="AJ3857" i="2" s="1"/>
  <c r="AJ3858" i="2" l="1"/>
  <c r="AK3859" i="2" s="1"/>
  <c r="AJ3874" i="2"/>
  <c r="AL3881" i="2"/>
  <c r="AJ3875" i="2"/>
  <c r="AJ3883" i="2"/>
  <c r="AJ3865" i="2"/>
  <c r="AJ3867" i="2" s="1"/>
  <c r="AJ3866" i="2"/>
  <c r="AJ3868" i="2" s="1"/>
  <c r="AJ3869" i="2" l="1"/>
  <c r="AK3870" i="2" s="1"/>
  <c r="AJ3876" i="2"/>
  <c r="AJ3878" i="2" s="1"/>
  <c r="AJ3877" i="2"/>
  <c r="AJ3879" i="2" s="1"/>
  <c r="AJ3885" i="2"/>
  <c r="AJ3894" i="2"/>
  <c r="AL3892" i="2"/>
  <c r="AJ3886" i="2"/>
  <c r="AJ3880" i="2" l="1"/>
  <c r="AK3881" i="2" s="1"/>
  <c r="AJ3887" i="2"/>
  <c r="AJ3888" i="2"/>
  <c r="AJ3890" i="2" s="1"/>
  <c r="AJ3897" i="2"/>
  <c r="AL3903" i="2"/>
  <c r="AJ3905" i="2"/>
  <c r="AJ3896" i="2"/>
  <c r="AJ3916" i="2" l="1"/>
  <c r="AL3914" i="2"/>
  <c r="AJ3908" i="2"/>
  <c r="AJ3907" i="2"/>
  <c r="AJ3889" i="2"/>
  <c r="AJ3891" i="2" s="1"/>
  <c r="AK3892" i="2" s="1"/>
  <c r="AJ3898" i="2"/>
  <c r="AJ3899" i="2"/>
  <c r="AJ3901" i="2" s="1"/>
  <c r="AJ3918" i="2" l="1"/>
  <c r="AL3925" i="2"/>
  <c r="AJ3919" i="2"/>
  <c r="AJ3927" i="2"/>
  <c r="AJ3900" i="2"/>
  <c r="AJ3902" i="2" s="1"/>
  <c r="AK3903" i="2" s="1"/>
  <c r="AJ3909" i="2"/>
  <c r="AJ3910" i="2"/>
  <c r="AJ3912" i="2" s="1"/>
  <c r="AJ3920" i="2" l="1"/>
  <c r="AJ3922" i="2" s="1"/>
  <c r="AJ3921" i="2"/>
  <c r="AJ3923" i="2" s="1"/>
  <c r="AJ3911" i="2"/>
  <c r="AJ3913" i="2" s="1"/>
  <c r="AK3914" i="2" s="1"/>
  <c r="AJ3930" i="2"/>
  <c r="AL3936" i="2"/>
  <c r="AJ3929" i="2"/>
  <c r="AJ3938" i="2"/>
  <c r="AJ3924" i="2" l="1"/>
  <c r="AK3925" i="2" s="1"/>
  <c r="AJ3931" i="2"/>
  <c r="AJ3933" i="2" s="1"/>
  <c r="AJ3932" i="2"/>
  <c r="AJ3934" i="2" s="1"/>
  <c r="AL3947" i="2"/>
  <c r="AJ3940" i="2"/>
  <c r="AJ3941" i="2"/>
  <c r="AJ3949" i="2"/>
  <c r="AJ3935" i="2" l="1"/>
  <c r="AK3936" i="2" s="1"/>
  <c r="AL3958" i="2"/>
  <c r="AJ3960" i="2"/>
  <c r="AJ3952" i="2"/>
  <c r="AJ3951" i="2"/>
  <c r="AJ3942" i="2"/>
  <c r="AJ3943" i="2"/>
  <c r="AJ3945" i="2" s="1"/>
  <c r="AJ3944" i="2" l="1"/>
  <c r="AJ3946" i="2" s="1"/>
  <c r="AK3947" i="2" s="1"/>
  <c r="AJ3971" i="2"/>
  <c r="AJ3963" i="2"/>
  <c r="AJ3962" i="2"/>
  <c r="AL3969" i="2"/>
  <c r="AJ3953" i="2"/>
  <c r="AJ3954" i="2"/>
  <c r="AJ3956" i="2" s="1"/>
  <c r="AJ3964" i="2" l="1"/>
  <c r="AJ3965" i="2"/>
  <c r="AJ3967" i="2" s="1"/>
  <c r="AL3980" i="2"/>
  <c r="AJ3974" i="2"/>
  <c r="AJ3982" i="2"/>
  <c r="AJ3973" i="2"/>
  <c r="AJ3955" i="2"/>
  <c r="AJ3957" i="2" s="1"/>
  <c r="AK3958" i="2" s="1"/>
  <c r="AJ3985" i="2" l="1"/>
  <c r="AJ3993" i="2"/>
  <c r="AJ3984" i="2"/>
  <c r="AL3991" i="2"/>
  <c r="AJ3966" i="2"/>
  <c r="AJ3968" i="2" s="1"/>
  <c r="AK3969" i="2" s="1"/>
  <c r="AJ3975" i="2"/>
  <c r="AJ3976" i="2"/>
  <c r="AJ3978" i="2" s="1"/>
  <c r="AL4002" i="2" l="1"/>
  <c r="AJ3996" i="2"/>
  <c r="AJ4004" i="2"/>
  <c r="AJ3995" i="2"/>
  <c r="AJ3986" i="2"/>
  <c r="AJ3987" i="2"/>
  <c r="AJ3989" i="2" s="1"/>
  <c r="AJ3977" i="2"/>
  <c r="AJ3979" i="2" s="1"/>
  <c r="AK3980" i="2" s="1"/>
  <c r="AJ3988" i="2" l="1"/>
  <c r="AJ3990" i="2" s="1"/>
  <c r="AK3991" i="2" s="1"/>
  <c r="AJ4015" i="2"/>
  <c r="AJ4006" i="2"/>
  <c r="AL4013" i="2"/>
  <c r="AJ4007" i="2"/>
  <c r="AJ3997" i="2"/>
  <c r="AJ3998" i="2"/>
  <c r="AJ4000" i="2" s="1"/>
  <c r="AL4024" i="2" l="1"/>
  <c r="AJ4018" i="2"/>
  <c r="AJ4026" i="2"/>
  <c r="AJ4017" i="2"/>
  <c r="AJ3999" i="2"/>
  <c r="AJ4001" i="2" s="1"/>
  <c r="AK4002" i="2" s="1"/>
  <c r="AJ4008" i="2"/>
  <c r="AJ4009" i="2"/>
  <c r="AJ4011" i="2" s="1"/>
  <c r="AL4035" i="2" l="1"/>
  <c r="AJ4028" i="2"/>
  <c r="AJ4029" i="2"/>
  <c r="AJ4037" i="2"/>
  <c r="AJ4010" i="2"/>
  <c r="AJ4012" i="2" s="1"/>
  <c r="AK4013" i="2" s="1"/>
  <c r="AJ4019" i="2"/>
  <c r="AJ4021" i="2" s="1"/>
  <c r="AJ4020" i="2"/>
  <c r="AJ4022" i="2" s="1"/>
  <c r="AJ4030" i="2" l="1"/>
  <c r="AJ4032" i="2" s="1"/>
  <c r="AJ4031" i="2"/>
  <c r="AJ4033" i="2" s="1"/>
  <c r="AL4046" i="2"/>
  <c r="AJ4040" i="2"/>
  <c r="AJ4048" i="2"/>
  <c r="AJ4039" i="2"/>
  <c r="AJ4023" i="2"/>
  <c r="AK4024" i="2" s="1"/>
  <c r="AJ4034" i="2" l="1"/>
  <c r="AK4035" i="2" s="1"/>
  <c r="AJ4050" i="2"/>
  <c r="AL4057" i="2"/>
  <c r="AJ4059" i="2"/>
  <c r="AJ4051" i="2"/>
  <c r="AJ4041" i="2"/>
  <c r="AJ4042" i="2"/>
  <c r="AJ4044" i="2" s="1"/>
  <c r="AJ4052" i="2" l="1"/>
  <c r="AJ4054" i="2" s="1"/>
  <c r="AJ4053" i="2"/>
  <c r="AJ4055" i="2" s="1"/>
  <c r="AJ4043" i="2"/>
  <c r="AJ4045" i="2" s="1"/>
  <c r="AK4046" i="2" s="1"/>
  <c r="AJ4061" i="2"/>
  <c r="AL4068" i="2"/>
  <c r="AJ4062" i="2"/>
  <c r="AJ4070" i="2"/>
  <c r="AJ4056" i="2" l="1"/>
  <c r="AK4057" i="2" s="1"/>
  <c r="AJ4063" i="2"/>
  <c r="AJ4065" i="2" s="1"/>
  <c r="AJ4064" i="2"/>
  <c r="AJ4066" i="2" s="1"/>
  <c r="AJ4072" i="2"/>
  <c r="AL4079" i="2"/>
  <c r="AJ4073" i="2"/>
  <c r="AJ4081" i="2"/>
  <c r="AJ4067" i="2" l="1"/>
  <c r="AK4068" i="2" s="1"/>
  <c r="AJ4084" i="2"/>
  <c r="AJ4092" i="2"/>
  <c r="AJ4083" i="2"/>
  <c r="AL4090" i="2"/>
  <c r="AJ4074" i="2"/>
  <c r="AJ4075" i="2"/>
  <c r="AJ4077" i="2" s="1"/>
  <c r="AJ4076" i="2" l="1"/>
  <c r="AJ4078" i="2" s="1"/>
  <c r="AK4079" i="2" s="1"/>
  <c r="AL4101" i="2"/>
  <c r="AJ4095" i="2"/>
  <c r="AJ4103" i="2"/>
  <c r="AJ4094" i="2"/>
  <c r="AJ4085" i="2"/>
  <c r="AJ4086" i="2"/>
  <c r="AJ4088" i="2" s="1"/>
  <c r="AJ4114" i="2" l="1"/>
  <c r="AJ4105" i="2"/>
  <c r="AL4112" i="2"/>
  <c r="AJ4106" i="2"/>
  <c r="AJ4096" i="2"/>
  <c r="AJ4098" i="2" s="1"/>
  <c r="AJ4097" i="2"/>
  <c r="AJ4099" i="2" s="1"/>
  <c r="AJ4087" i="2"/>
  <c r="AJ4089" i="2" s="1"/>
  <c r="AK4090" i="2" s="1"/>
  <c r="AJ4100" i="2" l="1"/>
  <c r="AK4101" i="2" s="1"/>
  <c r="AJ4117" i="2"/>
  <c r="AJ4125" i="2"/>
  <c r="AL4123" i="2"/>
  <c r="AJ4116" i="2"/>
  <c r="AJ4107" i="2"/>
  <c r="AJ4109" i="2" s="1"/>
  <c r="AJ4108" i="2"/>
  <c r="AJ4110" i="2" s="1"/>
  <c r="AJ4111" i="2" l="1"/>
  <c r="AK4112" i="2" s="1"/>
  <c r="AJ4136" i="2"/>
  <c r="AJ4127" i="2"/>
  <c r="AL4134" i="2"/>
  <c r="AJ4128" i="2"/>
  <c r="AJ4118" i="2"/>
  <c r="AJ4119" i="2"/>
  <c r="AJ4121" i="2" s="1"/>
  <c r="AL4145" i="2" l="1"/>
  <c r="AJ4147" i="2"/>
  <c r="AJ4139" i="2"/>
  <c r="AJ4138" i="2"/>
  <c r="AJ4120" i="2"/>
  <c r="AJ4122" i="2" s="1"/>
  <c r="AK4123" i="2" s="1"/>
  <c r="AJ4129" i="2"/>
  <c r="AJ4131" i="2" s="1"/>
  <c r="AJ4130" i="2"/>
  <c r="AJ4132" i="2" s="1"/>
  <c r="AL4156" i="2" l="1"/>
  <c r="AJ4150" i="2"/>
  <c r="AJ4158" i="2"/>
  <c r="AJ4149" i="2"/>
  <c r="AJ4140" i="2"/>
  <c r="AJ4141" i="2"/>
  <c r="AJ4143" i="2" s="1"/>
  <c r="AJ4133" i="2"/>
  <c r="AK4134" i="2" s="1"/>
  <c r="AJ4142" i="2" l="1"/>
  <c r="AJ4144" i="2" s="1"/>
  <c r="AK4145" i="2" s="1"/>
  <c r="AJ4160" i="2"/>
  <c r="AL4167" i="2"/>
  <c r="AJ4161" i="2"/>
  <c r="AJ4169" i="2"/>
  <c r="AJ4151" i="2"/>
  <c r="AJ4153" i="2" s="1"/>
  <c r="AJ4152" i="2"/>
  <c r="AJ4154" i="2" s="1"/>
  <c r="AJ4172" i="2" l="1"/>
  <c r="AJ4180" i="2"/>
  <c r="AJ4171" i="2"/>
  <c r="AL4178" i="2"/>
  <c r="AJ4162" i="2"/>
  <c r="AJ4163" i="2"/>
  <c r="AJ4165" i="2" s="1"/>
  <c r="AJ4155" i="2"/>
  <c r="AK4156" i="2" s="1"/>
  <c r="AJ4164" i="2" l="1"/>
  <c r="AJ4166" i="2" s="1"/>
  <c r="AK4167" i="2" s="1"/>
  <c r="AJ4191" i="2"/>
  <c r="AJ4182" i="2"/>
  <c r="AL4189" i="2"/>
  <c r="AJ4183" i="2"/>
  <c r="AJ4173" i="2"/>
  <c r="AJ4174" i="2"/>
  <c r="AJ4176" i="2" s="1"/>
  <c r="AL4200" i="2" l="1"/>
  <c r="AJ4194" i="2"/>
  <c r="AJ4202" i="2"/>
  <c r="AJ4193" i="2"/>
  <c r="AJ4175" i="2"/>
  <c r="AJ4177" i="2" s="1"/>
  <c r="AK4178" i="2" s="1"/>
  <c r="AJ4184" i="2"/>
  <c r="AJ4185" i="2"/>
  <c r="AJ4187" i="2" s="1"/>
  <c r="AJ4205" i="2" l="1"/>
  <c r="AJ4213" i="2"/>
  <c r="AL4211" i="2"/>
  <c r="AJ4204" i="2"/>
  <c r="AJ4186" i="2"/>
  <c r="AJ4188" i="2" s="1"/>
  <c r="AK4189" i="2" s="1"/>
  <c r="AJ4195" i="2"/>
  <c r="AJ4196" i="2"/>
  <c r="AJ4198" i="2" s="1"/>
  <c r="AJ4216" i="2" l="1"/>
  <c r="AJ4224" i="2"/>
  <c r="AJ4215" i="2"/>
  <c r="AL4222" i="2"/>
  <c r="AJ4197" i="2"/>
  <c r="AJ4199" i="2" s="1"/>
  <c r="AK4200" i="2" s="1"/>
  <c r="AJ4206" i="2"/>
  <c r="AJ4207" i="2"/>
  <c r="AJ4209" i="2" s="1"/>
  <c r="AJ4226" i="2" l="1"/>
  <c r="AL4233" i="2"/>
  <c r="AJ4235" i="2"/>
  <c r="AJ4227" i="2"/>
  <c r="AJ4217" i="2"/>
  <c r="AJ4218" i="2"/>
  <c r="AJ4220" i="2" s="1"/>
  <c r="AJ4208" i="2"/>
  <c r="AJ4210" i="2" s="1"/>
  <c r="AK4211" i="2" s="1"/>
  <c r="AJ4228" i="2" l="1"/>
  <c r="AJ4230" i="2" s="1"/>
  <c r="AJ4229" i="2"/>
  <c r="AJ4231" i="2" s="1"/>
  <c r="AJ4219" i="2"/>
  <c r="AJ4221" i="2" s="1"/>
  <c r="AK4222" i="2" s="1"/>
  <c r="AJ4246" i="2"/>
  <c r="AJ4237" i="2"/>
  <c r="AL4244" i="2"/>
  <c r="AJ4238" i="2"/>
  <c r="AJ4232" i="2" l="1"/>
  <c r="AK4233" i="2" s="1"/>
  <c r="AJ4249" i="2"/>
  <c r="AJ4257" i="2"/>
  <c r="AJ4248" i="2"/>
  <c r="AL4255" i="2"/>
  <c r="AJ4239" i="2"/>
  <c r="AJ4240" i="2"/>
  <c r="AJ4242" i="2" s="1"/>
  <c r="AJ4241" i="2" l="1"/>
  <c r="AJ4243" i="2" s="1"/>
  <c r="AK4244" i="2" s="1"/>
  <c r="AL4266" i="2"/>
  <c r="AJ4260" i="2"/>
  <c r="AJ4268" i="2"/>
  <c r="AJ4259" i="2"/>
  <c r="AJ4250" i="2"/>
  <c r="AJ4252" i="2" s="1"/>
  <c r="AJ4251" i="2"/>
  <c r="AJ4253" i="2" s="1"/>
  <c r="AJ4279" i="2" l="1"/>
  <c r="AJ4270" i="2"/>
  <c r="AL4277" i="2"/>
  <c r="AJ4271" i="2"/>
  <c r="AJ4261" i="2"/>
  <c r="AJ4263" i="2" s="1"/>
  <c r="AJ4262" i="2"/>
  <c r="AJ4264" i="2" s="1"/>
  <c r="AJ4254" i="2"/>
  <c r="AK4255" i="2" s="1"/>
  <c r="AJ4265" i="2" l="1"/>
  <c r="AK4266" i="2" s="1"/>
  <c r="AJ4290" i="2"/>
  <c r="AJ4281" i="2"/>
  <c r="AL4288" i="2"/>
  <c r="AJ4282" i="2"/>
  <c r="AJ4272" i="2"/>
  <c r="AJ4274" i="2" s="1"/>
  <c r="AJ4273" i="2"/>
  <c r="AJ4275" i="2" s="1"/>
  <c r="AJ4276" i="2" l="1"/>
  <c r="AK4277" i="2" s="1"/>
  <c r="AL4299" i="2"/>
  <c r="AJ4292" i="2"/>
  <c r="AJ4293" i="2"/>
  <c r="AJ4301" i="2"/>
  <c r="AJ4283" i="2"/>
  <c r="AJ4285" i="2" s="1"/>
  <c r="AJ4284" i="2"/>
  <c r="AJ4286" i="2" s="1"/>
  <c r="AJ4287" i="2" l="1"/>
  <c r="AK4288" i="2" s="1"/>
  <c r="AJ4294" i="2"/>
  <c r="AJ4295" i="2"/>
  <c r="AJ4297" i="2" s="1"/>
  <c r="AJ4304" i="2"/>
  <c r="AJ4312" i="2"/>
  <c r="AJ4303" i="2"/>
  <c r="AL4310" i="2"/>
  <c r="AJ4305" i="2" l="1"/>
  <c r="AJ4306" i="2"/>
  <c r="AJ4308" i="2" s="1"/>
  <c r="AJ4296" i="2"/>
  <c r="AJ4298" i="2" s="1"/>
  <c r="AK4299" i="2" s="1"/>
  <c r="AJ4314" i="2"/>
  <c r="AL4321" i="2"/>
  <c r="AJ4323" i="2"/>
  <c r="AJ4315" i="2"/>
  <c r="AJ4316" i="2" l="1"/>
  <c r="AJ4318" i="2" s="1"/>
  <c r="AJ4317" i="2"/>
  <c r="AJ4319" i="2" s="1"/>
  <c r="AJ4307" i="2"/>
  <c r="AJ4309" i="2" s="1"/>
  <c r="AK4310" i="2" s="1"/>
  <c r="AJ4334" i="2"/>
  <c r="AJ4325" i="2"/>
  <c r="AL4332" i="2"/>
  <c r="AJ4326" i="2"/>
  <c r="AJ4320" i="2" l="1"/>
  <c r="AK4321" i="2" s="1"/>
  <c r="AJ4337" i="2"/>
  <c r="AJ4345" i="2"/>
  <c r="AJ4336" i="2"/>
  <c r="AL4343" i="2"/>
  <c r="AJ4327" i="2"/>
  <c r="AJ4328" i="2"/>
  <c r="AJ4330" i="2" s="1"/>
  <c r="AJ4329" i="2" l="1"/>
  <c r="AJ4331" i="2" s="1"/>
  <c r="AK4332" i="2" s="1"/>
  <c r="AJ4347" i="2"/>
  <c r="AL4354" i="2"/>
  <c r="AJ4348" i="2"/>
  <c r="AJ4356" i="2"/>
  <c r="AJ4338" i="2"/>
  <c r="AJ4340" i="2" s="1"/>
  <c r="AJ4339" i="2"/>
  <c r="AJ4341" i="2" s="1"/>
  <c r="AL4365" i="2" l="1"/>
  <c r="AJ4359" i="2"/>
  <c r="AJ4367" i="2"/>
  <c r="AJ4358" i="2"/>
  <c r="AJ4349" i="2"/>
  <c r="AJ4351" i="2" s="1"/>
  <c r="AJ4350" i="2"/>
  <c r="AJ4352" i="2" s="1"/>
  <c r="AJ4342" i="2"/>
  <c r="AK4343" i="2" s="1"/>
  <c r="AJ4353" i="2" l="1"/>
  <c r="AK4354" i="2" s="1"/>
  <c r="AJ4369" i="2"/>
  <c r="AL4376" i="2"/>
  <c r="AJ4370" i="2"/>
  <c r="AJ4378" i="2"/>
  <c r="AJ4360" i="2"/>
  <c r="AJ4362" i="2" s="1"/>
  <c r="AJ4361" i="2"/>
  <c r="AJ4363" i="2" s="1"/>
  <c r="AJ4364" i="2" l="1"/>
  <c r="AK4365" i="2" s="1"/>
  <c r="AJ4371" i="2"/>
  <c r="AJ4373" i="2" s="1"/>
  <c r="AJ4372" i="2"/>
  <c r="AJ4374" i="2" s="1"/>
  <c r="AJ4389" i="2"/>
  <c r="AL4387" i="2"/>
  <c r="AJ4380" i="2"/>
  <c r="AJ4381" i="2"/>
  <c r="AJ4375" i="2" l="1"/>
  <c r="AK4376" i="2" s="1"/>
  <c r="AJ4382" i="2"/>
  <c r="AJ4383" i="2"/>
  <c r="AJ4385" i="2" s="1"/>
  <c r="AL4398" i="2"/>
  <c r="AJ4392" i="2"/>
  <c r="AJ4400" i="2"/>
  <c r="AJ4391" i="2"/>
  <c r="AJ4402" i="2" l="1"/>
  <c r="AL4409" i="2"/>
  <c r="AJ4411" i="2"/>
  <c r="AJ4403" i="2"/>
  <c r="AJ4384" i="2"/>
  <c r="AJ4386" i="2" s="1"/>
  <c r="AK4387" i="2" s="1"/>
  <c r="AJ4393" i="2"/>
  <c r="AJ4394" i="2"/>
  <c r="AJ4396" i="2" s="1"/>
  <c r="AJ4404" i="2" l="1"/>
  <c r="AJ4405" i="2"/>
  <c r="AJ4407" i="2" s="1"/>
  <c r="AJ4422" i="2"/>
  <c r="AJ4413" i="2"/>
  <c r="AL4420" i="2"/>
  <c r="AJ4414" i="2"/>
  <c r="AJ4395" i="2"/>
  <c r="AJ4397" i="2" s="1"/>
  <c r="AK4398" i="2" s="1"/>
  <c r="AJ4406" i="2" l="1"/>
  <c r="AJ4408" i="2" s="1"/>
  <c r="AK4409" i="2" s="1"/>
  <c r="AJ4424" i="2"/>
  <c r="AL4431" i="2"/>
  <c r="AJ4425" i="2"/>
  <c r="AJ4433" i="2"/>
  <c r="AJ4415" i="2"/>
  <c r="AJ4416" i="2"/>
  <c r="AJ4418" i="2" s="1"/>
  <c r="AJ4436" i="2" l="1"/>
  <c r="AJ4444" i="2"/>
  <c r="AJ4435" i="2"/>
  <c r="AL4442" i="2"/>
  <c r="AJ4426" i="2"/>
  <c r="AJ4428" i="2" s="1"/>
  <c r="AJ4427" i="2"/>
  <c r="AJ4429" i="2" s="1"/>
  <c r="AJ4417" i="2"/>
  <c r="AJ4419" i="2" s="1"/>
  <c r="AK4420" i="2" s="1"/>
  <c r="AJ4430" i="2" l="1"/>
  <c r="AK4431" i="2" s="1"/>
  <c r="AL4453" i="2"/>
  <c r="AJ4447" i="2"/>
  <c r="AJ4455" i="2"/>
  <c r="AJ4446" i="2"/>
  <c r="AJ4437" i="2"/>
  <c r="AJ4438" i="2"/>
  <c r="AJ4440" i="2" s="1"/>
  <c r="AJ4439" i="2" l="1"/>
  <c r="AJ4441" i="2" s="1"/>
  <c r="AK4442" i="2" s="1"/>
  <c r="AL4464" i="2"/>
  <c r="AJ4458" i="2"/>
  <c r="AJ4466" i="2"/>
  <c r="AJ4457" i="2"/>
  <c r="AJ4448" i="2"/>
  <c r="AJ4449" i="2"/>
  <c r="AJ4451" i="2" s="1"/>
  <c r="AL4475" i="2" l="1"/>
  <c r="AJ4468" i="2"/>
  <c r="AJ4469" i="2"/>
  <c r="AJ4477" i="2"/>
  <c r="AJ4459" i="2"/>
  <c r="AJ4460" i="2"/>
  <c r="AJ4462" i="2" s="1"/>
  <c r="AJ4450" i="2"/>
  <c r="AJ4452" i="2" s="1"/>
  <c r="AK4453" i="2" s="1"/>
  <c r="AJ4461" i="2" l="1"/>
  <c r="AJ4463" i="2" s="1"/>
  <c r="AK4464" i="2" s="1"/>
  <c r="AJ4470" i="2"/>
  <c r="AJ4471" i="2"/>
  <c r="AJ4473" i="2" s="1"/>
  <c r="AJ4488" i="2"/>
  <c r="AJ4479" i="2"/>
  <c r="AL4486" i="2"/>
  <c r="AJ4480" i="2"/>
  <c r="AL4497" i="2" l="1"/>
  <c r="AJ4499" i="2"/>
  <c r="AJ4491" i="2"/>
  <c r="AJ4490" i="2"/>
  <c r="AJ4481" i="2"/>
  <c r="AJ4483" i="2" s="1"/>
  <c r="AJ4482" i="2"/>
  <c r="AJ4484" i="2" s="1"/>
  <c r="AJ4472" i="2"/>
  <c r="AJ4474" i="2" s="1"/>
  <c r="AK4475" i="2" s="1"/>
  <c r="AJ4485" i="2" l="1"/>
  <c r="AK4486" i="2" s="1"/>
  <c r="AJ4510" i="2"/>
  <c r="AJ4501" i="2"/>
  <c r="AL4508" i="2"/>
  <c r="AJ4502" i="2"/>
  <c r="AJ4492" i="2"/>
  <c r="AJ4493" i="2"/>
  <c r="AJ4495" i="2" s="1"/>
  <c r="AJ4513" i="2" l="1"/>
  <c r="AJ4521" i="2"/>
  <c r="AJ4512" i="2"/>
  <c r="AL4519" i="2"/>
  <c r="AJ4494" i="2"/>
  <c r="AJ4496" i="2" s="1"/>
  <c r="AK4497" i="2" s="1"/>
  <c r="AJ4503" i="2"/>
  <c r="AJ4504" i="2"/>
  <c r="AJ4506" i="2" s="1"/>
  <c r="AJ4523" i="2" l="1"/>
  <c r="AL4530" i="2"/>
  <c r="AJ4524" i="2"/>
  <c r="AJ4532" i="2"/>
  <c r="AJ4514" i="2"/>
  <c r="AJ4516" i="2" s="1"/>
  <c r="AJ4515" i="2"/>
  <c r="AJ4517" i="2" s="1"/>
  <c r="AJ4505" i="2"/>
  <c r="AJ4507" i="2" s="1"/>
  <c r="AK4508" i="2" s="1"/>
  <c r="AJ4518" i="2" l="1"/>
  <c r="AK4519" i="2" s="1"/>
  <c r="AJ4525" i="2"/>
  <c r="AJ4527" i="2" s="1"/>
  <c r="AJ4526" i="2"/>
  <c r="AJ4528" i="2" s="1"/>
  <c r="AL4541" i="2"/>
  <c r="AJ4535" i="2"/>
  <c r="AJ4543" i="2"/>
  <c r="AJ4534" i="2"/>
  <c r="AJ4529" i="2" l="1"/>
  <c r="AK4530" i="2" s="1"/>
  <c r="AJ4545" i="2"/>
  <c r="AL4552" i="2"/>
  <c r="AJ4546" i="2"/>
  <c r="AJ4554" i="2"/>
  <c r="AJ4536" i="2"/>
  <c r="AJ4538" i="2" s="1"/>
  <c r="AJ4537" i="2"/>
  <c r="AJ4539" i="2" s="1"/>
  <c r="AJ4540" i="2" l="1"/>
  <c r="AK4541" i="2" s="1"/>
  <c r="AJ4547" i="2"/>
  <c r="AJ4549" i="2" s="1"/>
  <c r="AJ4548" i="2"/>
  <c r="AJ4550" i="2" s="1"/>
  <c r="AJ4557" i="2"/>
  <c r="AJ4565" i="2"/>
  <c r="AL4563" i="2"/>
  <c r="AJ4556" i="2"/>
  <c r="AJ4551" i="2" l="1"/>
  <c r="AK4552" i="2" s="1"/>
  <c r="AJ4558" i="2"/>
  <c r="AJ4559" i="2"/>
  <c r="AJ4561" i="2" s="1"/>
  <c r="AL4574" i="2"/>
  <c r="AJ4568" i="2"/>
  <c r="AJ4576" i="2"/>
  <c r="AJ4567" i="2"/>
  <c r="AJ4579" i="2" l="1"/>
  <c r="AJ4578" i="2"/>
  <c r="AL4585" i="2"/>
  <c r="AJ4587" i="2"/>
  <c r="AJ4560" i="2"/>
  <c r="AJ4562" i="2" s="1"/>
  <c r="AK4563" i="2" s="1"/>
  <c r="AJ4569" i="2"/>
  <c r="AJ4570" i="2"/>
  <c r="AJ4572" i="2" s="1"/>
  <c r="AJ4580" i="2" l="1"/>
  <c r="AJ4581" i="2"/>
  <c r="AJ4583" i="2" s="1"/>
  <c r="AJ4571" i="2"/>
  <c r="AJ4573" i="2" s="1"/>
  <c r="AK4574" i="2" s="1"/>
  <c r="AJ4590" i="2"/>
  <c r="AJ4589" i="2"/>
  <c r="AL4596" i="2"/>
  <c r="AJ4598" i="2"/>
  <c r="AJ4582" i="2" l="1"/>
  <c r="AJ4584" i="2" s="1"/>
  <c r="AK4585" i="2" s="1"/>
  <c r="AJ4591" i="2"/>
  <c r="AJ4592" i="2"/>
  <c r="AJ4594" i="2" s="1"/>
  <c r="AL4607" i="2"/>
  <c r="AJ4609" i="2"/>
  <c r="AJ4601" i="2"/>
  <c r="AJ4600" i="2"/>
  <c r="AL4618" i="2" l="1"/>
  <c r="AJ4620" i="2"/>
  <c r="AJ4611" i="2"/>
  <c r="AJ4612" i="2"/>
  <c r="AJ4593" i="2"/>
  <c r="AJ4595" i="2" s="1"/>
  <c r="AK4596" i="2" s="1"/>
  <c r="AJ4602" i="2"/>
  <c r="AJ4604" i="2" s="1"/>
  <c r="AJ4603" i="2"/>
  <c r="AJ4605" i="2" s="1"/>
  <c r="AL4629" i="2" l="1"/>
  <c r="AJ4623" i="2"/>
  <c r="AJ4631" i="2"/>
  <c r="AJ4622" i="2"/>
  <c r="AJ4613" i="2"/>
  <c r="AJ4615" i="2" s="1"/>
  <c r="AJ4614" i="2"/>
  <c r="AJ4616" i="2" s="1"/>
  <c r="AJ4606" i="2"/>
  <c r="AK4607" i="2" s="1"/>
  <c r="AJ4617" i="2" l="1"/>
  <c r="AK4618" i="2" s="1"/>
  <c r="AJ4642" i="2"/>
  <c r="AJ4633" i="2"/>
  <c r="AL4640" i="2"/>
  <c r="AJ4634" i="2"/>
  <c r="AJ4624" i="2"/>
  <c r="AJ4626" i="2" s="1"/>
  <c r="AJ4625" i="2"/>
  <c r="AJ4627" i="2" s="1"/>
  <c r="AJ4628" i="2" l="1"/>
  <c r="AK4629" i="2" s="1"/>
  <c r="AJ4653" i="2"/>
  <c r="AL4651" i="2"/>
  <c r="AJ4644" i="2"/>
  <c r="AJ4645" i="2"/>
  <c r="AJ4635" i="2"/>
  <c r="AJ4636" i="2"/>
  <c r="AJ4638" i="2" s="1"/>
  <c r="AJ4655" i="2" l="1"/>
  <c r="AL4662" i="2"/>
  <c r="AJ4656" i="2"/>
  <c r="AJ4637" i="2"/>
  <c r="AJ4639" i="2" s="1"/>
  <c r="AK4640" i="2" s="1"/>
  <c r="AJ4646" i="2"/>
  <c r="AJ4648" i="2" s="1"/>
  <c r="AJ4647" i="2"/>
  <c r="AJ4649" i="2" s="1"/>
  <c r="AJ4650" i="2" l="1"/>
  <c r="AK4651" i="2" s="1"/>
  <c r="AJ4657" i="2"/>
  <c r="AJ4659" i="2" s="1"/>
  <c r="AJ4658" i="2"/>
  <c r="AJ4660" i="2" s="1"/>
  <c r="AJ4661" i="2" l="1"/>
  <c r="AK4662" i="2" s="1"/>
  <c r="AL18" i="2" s="1"/>
  <c r="AL20" i="2" s="1"/>
  <c r="AL19" i="2" l="1"/>
  <c r="AM33" i="2" s="1"/>
  <c r="AM36" i="2" l="1"/>
  <c r="AM35" i="2"/>
  <c r="P40" i="3"/>
  <c r="AM37" i="2" l="1"/>
  <c r="AM38" i="2"/>
  <c r="AM40" i="2" s="1"/>
  <c r="O40" i="3"/>
  <c r="N44" i="3" s="1"/>
  <c r="N41" i="3" s="1"/>
  <c r="O44" i="3"/>
  <c r="AM44" i="2"/>
  <c r="AM55" i="2" s="1"/>
  <c r="AM57" i="2" s="1"/>
  <c r="AO42" i="2"/>
  <c r="AM39" i="2" l="1"/>
  <c r="AM41" i="2" s="1"/>
  <c r="O41" i="3"/>
  <c r="AM66" i="2"/>
  <c r="AM77" i="2" s="1"/>
  <c r="AM46" i="2"/>
  <c r="AM49" i="2" s="1"/>
  <c r="AM51" i="2" s="1"/>
  <c r="AO64" i="2"/>
  <c r="AM58" i="2"/>
  <c r="AM59" i="2" s="1"/>
  <c r="AM61" i="2" s="1"/>
  <c r="AO53" i="2"/>
  <c r="AM47" i="2"/>
  <c r="AM60" i="2"/>
  <c r="AM62" i="2" s="1"/>
  <c r="AM68" i="2" l="1"/>
  <c r="AM71" i="2" s="1"/>
  <c r="AM73" i="2" s="1"/>
  <c r="AO75" i="2"/>
  <c r="AM69" i="2"/>
  <c r="AM63" i="2"/>
  <c r="AN64" i="2" s="1"/>
  <c r="AM48" i="2"/>
  <c r="AN42" i="2"/>
  <c r="AO86" i="2"/>
  <c r="AM80" i="2"/>
  <c r="AM88" i="2"/>
  <c r="AM79" i="2"/>
  <c r="AM70" i="2" l="1"/>
  <c r="AM72" i="2" s="1"/>
  <c r="AM50" i="2"/>
  <c r="AM52" i="2" s="1"/>
  <c r="AN53" i="2" s="1"/>
  <c r="AM81" i="2"/>
  <c r="AM83" i="2" s="1"/>
  <c r="AM82" i="2"/>
  <c r="AM84" i="2" s="1"/>
  <c r="AO97" i="2"/>
  <c r="AM91" i="2"/>
  <c r="AM99" i="2"/>
  <c r="AM90" i="2"/>
  <c r="AM74" i="2" l="1"/>
  <c r="AN75" i="2" s="1"/>
  <c r="AM85" i="2"/>
  <c r="AN86" i="2" s="1"/>
  <c r="AM102" i="2"/>
  <c r="AM110" i="2"/>
  <c r="AM101" i="2"/>
  <c r="AO108" i="2"/>
  <c r="AM92" i="2"/>
  <c r="AM94" i="2" s="1"/>
  <c r="AM93" i="2"/>
  <c r="AM95" i="2" s="1"/>
  <c r="AM96" i="2" l="1"/>
  <c r="AN97" i="2" s="1"/>
  <c r="AM112" i="2"/>
  <c r="AO119" i="2"/>
  <c r="AM113" i="2"/>
  <c r="AM121" i="2"/>
  <c r="AM103" i="2"/>
  <c r="AM105" i="2" s="1"/>
  <c r="AM104" i="2"/>
  <c r="AM106" i="2" s="1"/>
  <c r="AM107" i="2" l="1"/>
  <c r="AN108" i="2" s="1"/>
  <c r="AM114" i="2"/>
  <c r="AM116" i="2" s="1"/>
  <c r="AM115" i="2"/>
  <c r="AM117" i="2" s="1"/>
  <c r="AO130" i="2"/>
  <c r="AM124" i="2"/>
  <c r="AM132" i="2"/>
  <c r="AM123" i="2"/>
  <c r="AM118" i="2" l="1"/>
  <c r="AN119" i="2" s="1"/>
  <c r="AO141" i="2"/>
  <c r="AM135" i="2"/>
  <c r="AM143" i="2"/>
  <c r="AM134" i="2"/>
  <c r="AM125" i="2"/>
  <c r="AM127" i="2" s="1"/>
  <c r="AM126" i="2"/>
  <c r="AM128" i="2" s="1"/>
  <c r="AM129" i="2" l="1"/>
  <c r="AN130" i="2" s="1"/>
  <c r="AO152" i="2"/>
  <c r="AM146" i="2"/>
  <c r="AM154" i="2"/>
  <c r="AM145" i="2"/>
  <c r="AM136" i="2"/>
  <c r="AM138" i="2" s="1"/>
  <c r="AM137" i="2"/>
  <c r="AM139" i="2" s="1"/>
  <c r="AM140" i="2" l="1"/>
  <c r="AN141" i="2" s="1"/>
  <c r="AM156" i="2"/>
  <c r="AM165" i="2"/>
  <c r="AO163" i="2"/>
  <c r="AM157" i="2"/>
  <c r="AM147" i="2"/>
  <c r="AM148" i="2"/>
  <c r="AM150" i="2" s="1"/>
  <c r="AM158" i="2" l="1"/>
  <c r="AM160" i="2" s="1"/>
  <c r="AM159" i="2"/>
  <c r="AM161" i="2" s="1"/>
  <c r="AM149" i="2"/>
  <c r="AM151" i="2" s="1"/>
  <c r="AN152" i="2" s="1"/>
  <c r="AO174" i="2"/>
  <c r="AM176" i="2"/>
  <c r="AM168" i="2"/>
  <c r="AM167" i="2"/>
  <c r="AM162" i="2" l="1"/>
  <c r="AN163" i="2" s="1"/>
  <c r="AM178" i="2"/>
  <c r="AO185" i="2"/>
  <c r="AM179" i="2"/>
  <c r="AM187" i="2"/>
  <c r="AM169" i="2"/>
  <c r="AM171" i="2" s="1"/>
  <c r="AM170" i="2"/>
  <c r="AM172" i="2" s="1"/>
  <c r="AM173" i="2" l="1"/>
  <c r="AN174" i="2" s="1"/>
  <c r="AM180" i="2"/>
  <c r="AM181" i="2"/>
  <c r="AM183" i="2" s="1"/>
  <c r="AM190" i="2"/>
  <c r="AM198" i="2"/>
  <c r="AM189" i="2"/>
  <c r="AO196" i="2"/>
  <c r="AM191" i="2" l="1"/>
  <c r="AM193" i="2" s="1"/>
  <c r="AM192" i="2"/>
  <c r="AM194" i="2" s="1"/>
  <c r="AM182" i="2"/>
  <c r="AM184" i="2" s="1"/>
  <c r="AN185" i="2" s="1"/>
  <c r="AM201" i="2"/>
  <c r="AM209" i="2"/>
  <c r="AM200" i="2"/>
  <c r="AO207" i="2"/>
  <c r="AM195" i="2" l="1"/>
  <c r="AN196" i="2" s="1"/>
  <c r="AM212" i="2"/>
  <c r="AM220" i="2"/>
  <c r="AM211" i="2"/>
  <c r="AO218" i="2"/>
  <c r="AM202" i="2"/>
  <c r="AM204" i="2" s="1"/>
  <c r="AM203" i="2"/>
  <c r="AM205" i="2" s="1"/>
  <c r="AM206" i="2" l="1"/>
  <c r="AN207" i="2" s="1"/>
  <c r="AM222" i="2"/>
  <c r="AO229" i="2"/>
  <c r="AM223" i="2"/>
  <c r="AM231" i="2"/>
  <c r="AM213" i="2"/>
  <c r="AM214" i="2"/>
  <c r="AM216" i="2" s="1"/>
  <c r="AM224" i="2" l="1"/>
  <c r="AM226" i="2" s="1"/>
  <c r="AM225" i="2"/>
  <c r="AM227" i="2" s="1"/>
  <c r="AM215" i="2"/>
  <c r="AM217" i="2" s="1"/>
  <c r="AN218" i="2" s="1"/>
  <c r="AM242" i="2"/>
  <c r="AM233" i="2"/>
  <c r="AO240" i="2"/>
  <c r="AM234" i="2"/>
  <c r="AM228" i="2" l="1"/>
  <c r="AN229" i="2" s="1"/>
  <c r="AO251" i="2"/>
  <c r="AM245" i="2"/>
  <c r="AM253" i="2"/>
  <c r="AM244" i="2"/>
  <c r="AM235" i="2"/>
  <c r="AM237" i="2" s="1"/>
  <c r="AM236" i="2"/>
  <c r="AM238" i="2" s="1"/>
  <c r="AM239" i="2" l="1"/>
  <c r="AN240" i="2" s="1"/>
  <c r="AO262" i="2"/>
  <c r="AM256" i="2"/>
  <c r="AM264" i="2"/>
  <c r="AM255" i="2"/>
  <c r="AM246" i="2"/>
  <c r="AM248" i="2" s="1"/>
  <c r="AM247" i="2"/>
  <c r="AM249" i="2" s="1"/>
  <c r="AM250" i="2" l="1"/>
  <c r="AN251" i="2" s="1"/>
  <c r="AO273" i="2"/>
  <c r="AM267" i="2"/>
  <c r="AM275" i="2"/>
  <c r="AM266" i="2"/>
  <c r="AM257" i="2"/>
  <c r="AM259" i="2" s="1"/>
  <c r="AM258" i="2"/>
  <c r="AM260" i="2" s="1"/>
  <c r="AM261" i="2" l="1"/>
  <c r="AN262" i="2" s="1"/>
  <c r="AO284" i="2"/>
  <c r="AM278" i="2"/>
  <c r="AM286" i="2"/>
  <c r="AM277" i="2"/>
  <c r="AM268" i="2"/>
  <c r="AM269" i="2"/>
  <c r="AM271" i="2" s="1"/>
  <c r="AM270" i="2" l="1"/>
  <c r="AM272" i="2" s="1"/>
  <c r="AN273" i="2" s="1"/>
  <c r="AM288" i="2"/>
  <c r="AO295" i="2"/>
  <c r="AM289" i="2"/>
  <c r="AM297" i="2"/>
  <c r="AM279" i="2"/>
  <c r="AM280" i="2"/>
  <c r="AM282" i="2" s="1"/>
  <c r="AM308" i="2" l="1"/>
  <c r="AM299" i="2"/>
  <c r="AO306" i="2"/>
  <c r="AM300" i="2"/>
  <c r="AM290" i="2"/>
  <c r="AM291" i="2"/>
  <c r="AM293" i="2" s="1"/>
  <c r="AM281" i="2"/>
  <c r="AM283" i="2" s="1"/>
  <c r="AN284" i="2" s="1"/>
  <c r="AM310" i="2" l="1"/>
  <c r="AO317" i="2"/>
  <c r="AM311" i="2"/>
  <c r="AM319" i="2"/>
  <c r="AM292" i="2"/>
  <c r="AM294" i="2" s="1"/>
  <c r="AN295" i="2" s="1"/>
  <c r="AM301" i="2"/>
  <c r="AM303" i="2" s="1"/>
  <c r="AM302" i="2"/>
  <c r="AM304" i="2" s="1"/>
  <c r="AM312" i="2" l="1"/>
  <c r="AM314" i="2" s="1"/>
  <c r="AM313" i="2"/>
  <c r="AM315" i="2" s="1"/>
  <c r="AO328" i="2"/>
  <c r="AM322" i="2"/>
  <c r="AM330" i="2"/>
  <c r="AM321" i="2"/>
  <c r="AM305" i="2"/>
  <c r="AN306" i="2" s="1"/>
  <c r="AM316" i="2" l="1"/>
  <c r="AN317" i="2" s="1"/>
  <c r="AO339" i="2"/>
  <c r="AM333" i="2"/>
  <c r="AM341" i="2"/>
  <c r="AM332" i="2"/>
  <c r="AM323" i="2"/>
  <c r="AM325" i="2" s="1"/>
  <c r="AM324" i="2"/>
  <c r="AM326" i="2" s="1"/>
  <c r="AM327" i="2" l="1"/>
  <c r="AN328" i="2" s="1"/>
  <c r="AM344" i="2"/>
  <c r="AM352" i="2"/>
  <c r="AM343" i="2"/>
  <c r="AO350" i="2"/>
  <c r="AM334" i="2"/>
  <c r="AM335" i="2"/>
  <c r="AM337" i="2" s="1"/>
  <c r="AM336" i="2" l="1"/>
  <c r="AM338" i="2" s="1"/>
  <c r="AN339" i="2" s="1"/>
  <c r="AO361" i="2"/>
  <c r="AM355" i="2"/>
  <c r="AM363" i="2"/>
  <c r="AM354" i="2"/>
  <c r="AM345" i="2"/>
  <c r="AM346" i="2"/>
  <c r="AM348" i="2" s="1"/>
  <c r="AM365" i="2" l="1"/>
  <c r="AO372" i="2"/>
  <c r="AM366" i="2"/>
  <c r="AM374" i="2"/>
  <c r="AM356" i="2"/>
  <c r="AM357" i="2"/>
  <c r="AM359" i="2" s="1"/>
  <c r="AM347" i="2"/>
  <c r="AM349" i="2" s="1"/>
  <c r="AN350" i="2" s="1"/>
  <c r="AM367" i="2" l="1"/>
  <c r="AM368" i="2"/>
  <c r="AM370" i="2" s="1"/>
  <c r="AM358" i="2"/>
  <c r="AM360" i="2" s="1"/>
  <c r="AN361" i="2" s="1"/>
  <c r="AM376" i="2"/>
  <c r="AO383" i="2"/>
  <c r="AM377" i="2"/>
  <c r="AM385" i="2"/>
  <c r="AM378" i="2" l="1"/>
  <c r="AM380" i="2" s="1"/>
  <c r="AM379" i="2"/>
  <c r="AM381" i="2" s="1"/>
  <c r="AM369" i="2"/>
  <c r="AM371" i="2" s="1"/>
  <c r="AN372" i="2" s="1"/>
  <c r="AM396" i="2"/>
  <c r="AM387" i="2"/>
  <c r="AO394" i="2"/>
  <c r="AM388" i="2"/>
  <c r="AM382" i="2" l="1"/>
  <c r="AN383" i="2" s="1"/>
  <c r="AO405" i="2"/>
  <c r="AM407" i="2"/>
  <c r="AM399" i="2"/>
  <c r="AM398" i="2"/>
  <c r="AM389" i="2"/>
  <c r="AM390" i="2"/>
  <c r="AM392" i="2" s="1"/>
  <c r="AM391" i="2" l="1"/>
  <c r="AM393" i="2" s="1"/>
  <c r="AN394" i="2" s="1"/>
  <c r="AM409" i="2"/>
  <c r="AM410" i="2"/>
  <c r="AO416" i="2"/>
  <c r="AM418" i="2"/>
  <c r="AM400" i="2"/>
  <c r="AM402" i="2" s="1"/>
  <c r="AM401" i="2"/>
  <c r="AM403" i="2" s="1"/>
  <c r="AO427" i="2" l="1"/>
  <c r="AM421" i="2"/>
  <c r="AM429" i="2"/>
  <c r="AM420" i="2"/>
  <c r="AM411" i="2"/>
  <c r="AM412" i="2"/>
  <c r="AM414" i="2" s="1"/>
  <c r="AM404" i="2"/>
  <c r="AN405" i="2" s="1"/>
  <c r="AM431" i="2" l="1"/>
  <c r="AO438" i="2"/>
  <c r="AM432" i="2"/>
  <c r="AM440" i="2"/>
  <c r="AM413" i="2"/>
  <c r="AM415" i="2" s="1"/>
  <c r="AN416" i="2" s="1"/>
  <c r="AM422" i="2"/>
  <c r="AM424" i="2" s="1"/>
  <c r="AM423" i="2"/>
  <c r="AM425" i="2" s="1"/>
  <c r="AM433" i="2" l="1"/>
  <c r="AM434" i="2"/>
  <c r="AM436" i="2" s="1"/>
  <c r="AM443" i="2"/>
  <c r="AM451" i="2"/>
  <c r="AM442" i="2"/>
  <c r="AO449" i="2"/>
  <c r="AM426" i="2"/>
  <c r="AN427" i="2" s="1"/>
  <c r="AM444" i="2" l="1"/>
  <c r="AM445" i="2"/>
  <c r="AM447" i="2" s="1"/>
  <c r="AM435" i="2"/>
  <c r="AM437" i="2" s="1"/>
  <c r="AN438" i="2" s="1"/>
  <c r="AM462" i="2"/>
  <c r="AM453" i="2"/>
  <c r="AO460" i="2"/>
  <c r="AM454" i="2"/>
  <c r="AO471" i="2" l="1"/>
  <c r="AM465" i="2"/>
  <c r="AM473" i="2"/>
  <c r="AM464" i="2"/>
  <c r="AM446" i="2"/>
  <c r="AM448" i="2" s="1"/>
  <c r="AN449" i="2" s="1"/>
  <c r="AM455" i="2"/>
  <c r="AM456" i="2"/>
  <c r="AM458" i="2" s="1"/>
  <c r="AM484" i="2" l="1"/>
  <c r="AM475" i="2"/>
  <c r="AO482" i="2"/>
  <c r="AM476" i="2"/>
  <c r="AM457" i="2"/>
  <c r="AM459" i="2" s="1"/>
  <c r="AN460" i="2" s="1"/>
  <c r="AM466" i="2"/>
  <c r="AM468" i="2" s="1"/>
  <c r="AM467" i="2"/>
  <c r="AM469" i="2" s="1"/>
  <c r="AM487" i="2" l="1"/>
  <c r="AM495" i="2"/>
  <c r="AM486" i="2"/>
  <c r="AO493" i="2"/>
  <c r="AM477" i="2"/>
  <c r="AM479" i="2" s="1"/>
  <c r="AM478" i="2"/>
  <c r="AM480" i="2" s="1"/>
  <c r="AM470" i="2"/>
  <c r="AN471" i="2" s="1"/>
  <c r="AM481" i="2" l="1"/>
  <c r="AN482" i="2" s="1"/>
  <c r="AM498" i="2"/>
  <c r="AM506" i="2"/>
  <c r="AM497" i="2"/>
  <c r="AO504" i="2"/>
  <c r="AM488" i="2"/>
  <c r="AM489" i="2"/>
  <c r="AM491" i="2" s="1"/>
  <c r="AM499" i="2" l="1"/>
  <c r="AM501" i="2" s="1"/>
  <c r="AM500" i="2"/>
  <c r="AM502" i="2" s="1"/>
  <c r="AM490" i="2"/>
  <c r="AM492" i="2" s="1"/>
  <c r="AN493" i="2" s="1"/>
  <c r="AM508" i="2"/>
  <c r="AO515" i="2"/>
  <c r="AM509" i="2"/>
  <c r="AM517" i="2"/>
  <c r="AM503" i="2" l="1"/>
  <c r="AN504" i="2" s="1"/>
  <c r="AM510" i="2"/>
  <c r="AM512" i="2" s="1"/>
  <c r="AM511" i="2"/>
  <c r="AM513" i="2" s="1"/>
  <c r="AM528" i="2"/>
  <c r="AO526" i="2"/>
  <c r="AM519" i="2"/>
  <c r="AM520" i="2"/>
  <c r="AM514" i="2" l="1"/>
  <c r="AN515" i="2" s="1"/>
  <c r="AM521" i="2"/>
  <c r="AM523" i="2" s="1"/>
  <c r="AM522" i="2"/>
  <c r="AM524" i="2" s="1"/>
  <c r="AM531" i="2"/>
  <c r="AM539" i="2"/>
  <c r="AM530" i="2"/>
  <c r="AO537" i="2"/>
  <c r="AM525" i="2" l="1"/>
  <c r="AN526" i="2" s="1"/>
  <c r="AM532" i="2"/>
  <c r="AM534" i="2" s="1"/>
  <c r="AM533" i="2"/>
  <c r="AM535" i="2" s="1"/>
  <c r="AM550" i="2"/>
  <c r="AM541" i="2"/>
  <c r="AO548" i="2"/>
  <c r="AM542" i="2"/>
  <c r="AM536" i="2" l="1"/>
  <c r="AN537" i="2" s="1"/>
  <c r="AO559" i="2"/>
  <c r="AM553" i="2"/>
  <c r="AM561" i="2"/>
  <c r="AM552" i="2"/>
  <c r="AM543" i="2"/>
  <c r="AM545" i="2" s="1"/>
  <c r="AM544" i="2"/>
  <c r="AM546" i="2" s="1"/>
  <c r="AM547" i="2" l="1"/>
  <c r="AN548" i="2" s="1"/>
  <c r="AM572" i="2"/>
  <c r="AM563" i="2"/>
  <c r="AO570" i="2"/>
  <c r="AM564" i="2"/>
  <c r="AM554" i="2"/>
  <c r="AM556" i="2" s="1"/>
  <c r="AM555" i="2"/>
  <c r="AM557" i="2" s="1"/>
  <c r="AM558" i="2" l="1"/>
  <c r="AN559" i="2" s="1"/>
  <c r="AM575" i="2"/>
  <c r="AM583" i="2"/>
  <c r="AM574" i="2"/>
  <c r="AO581" i="2"/>
  <c r="AM565" i="2"/>
  <c r="AM566" i="2"/>
  <c r="AM568" i="2" s="1"/>
  <c r="AM567" i="2" l="1"/>
  <c r="AM569" i="2" s="1"/>
  <c r="AN570" i="2" s="1"/>
  <c r="AM586" i="2"/>
  <c r="AM594" i="2"/>
  <c r="AM585" i="2"/>
  <c r="AO592" i="2"/>
  <c r="AM576" i="2"/>
  <c r="AM578" i="2" s="1"/>
  <c r="AM577" i="2"/>
  <c r="AM579" i="2" s="1"/>
  <c r="AM587" i="2" l="1"/>
  <c r="AM589" i="2" s="1"/>
  <c r="AM588" i="2"/>
  <c r="AM590" i="2" s="1"/>
  <c r="AO603" i="2"/>
  <c r="AM605" i="2"/>
  <c r="AM596" i="2"/>
  <c r="AM597" i="2"/>
  <c r="AM580" i="2"/>
  <c r="AN581" i="2" s="1"/>
  <c r="AM591" i="2" l="1"/>
  <c r="AN592" i="2" s="1"/>
  <c r="AM598" i="2"/>
  <c r="AM600" i="2" s="1"/>
  <c r="AM599" i="2"/>
  <c r="AM601" i="2" s="1"/>
  <c r="AM608" i="2"/>
  <c r="AM607" i="2"/>
  <c r="AO614" i="2"/>
  <c r="AM616" i="2"/>
  <c r="AM602" i="2" l="1"/>
  <c r="AN603" i="2" s="1"/>
  <c r="AM609" i="2"/>
  <c r="AM611" i="2" s="1"/>
  <c r="AM610" i="2"/>
  <c r="AM612" i="2" s="1"/>
  <c r="AM619" i="2"/>
  <c r="AM618" i="2"/>
  <c r="AO625" i="2"/>
  <c r="AM627" i="2"/>
  <c r="AM613" i="2" l="1"/>
  <c r="AN614" i="2" s="1"/>
  <c r="AM620" i="2"/>
  <c r="AM621" i="2"/>
  <c r="AM623" i="2" s="1"/>
  <c r="AM638" i="2"/>
  <c r="AO636" i="2"/>
  <c r="AM629" i="2"/>
  <c r="AM630" i="2"/>
  <c r="AM631" i="2" l="1"/>
  <c r="AM633" i="2" s="1"/>
  <c r="AM632" i="2"/>
  <c r="AM634" i="2" s="1"/>
  <c r="AM622" i="2"/>
  <c r="AM624" i="2" s="1"/>
  <c r="AN625" i="2" s="1"/>
  <c r="AM641" i="2"/>
  <c r="AM649" i="2"/>
  <c r="AM640" i="2"/>
  <c r="AO647" i="2"/>
  <c r="AM635" i="2" l="1"/>
  <c r="AN636" i="2" s="1"/>
  <c r="AM660" i="2"/>
  <c r="AM651" i="2"/>
  <c r="AO658" i="2"/>
  <c r="AM652" i="2"/>
  <c r="AM642" i="2"/>
  <c r="AM644" i="2" s="1"/>
  <c r="AM643" i="2"/>
  <c r="AM645" i="2" s="1"/>
  <c r="AM646" i="2" l="1"/>
  <c r="AN647" i="2" s="1"/>
  <c r="AM662" i="2"/>
  <c r="AO669" i="2"/>
  <c r="AM663" i="2"/>
  <c r="AM671" i="2"/>
  <c r="AM653" i="2"/>
  <c r="AM655" i="2" s="1"/>
  <c r="AM654" i="2"/>
  <c r="AM656" i="2" s="1"/>
  <c r="AM657" i="2" l="1"/>
  <c r="AN658" i="2" s="1"/>
  <c r="AM682" i="2"/>
  <c r="AM673" i="2"/>
  <c r="AO680" i="2"/>
  <c r="AM674" i="2"/>
  <c r="AM664" i="2"/>
  <c r="AM666" i="2" s="1"/>
  <c r="AM665" i="2"/>
  <c r="AM667" i="2" s="1"/>
  <c r="AM668" i="2" l="1"/>
  <c r="AN669" i="2" s="1"/>
  <c r="AM684" i="2"/>
  <c r="AO691" i="2"/>
  <c r="AM685" i="2"/>
  <c r="AM693" i="2"/>
  <c r="AM675" i="2"/>
  <c r="AM677" i="2" s="1"/>
  <c r="AM676" i="2"/>
  <c r="AM678" i="2" s="1"/>
  <c r="AM679" i="2" l="1"/>
  <c r="AN680" i="2" s="1"/>
  <c r="AM704" i="2"/>
  <c r="AM695" i="2"/>
  <c r="AO702" i="2"/>
  <c r="AM696" i="2"/>
  <c r="AM686" i="2"/>
  <c r="AM687" i="2"/>
  <c r="AM689" i="2" s="1"/>
  <c r="AO713" i="2" l="1"/>
  <c r="AM715" i="2"/>
  <c r="AM707" i="2"/>
  <c r="AM706" i="2"/>
  <c r="AM688" i="2"/>
  <c r="AM690" i="2" s="1"/>
  <c r="AN691" i="2" s="1"/>
  <c r="AM697" i="2"/>
  <c r="AM699" i="2" s="1"/>
  <c r="AM698" i="2"/>
  <c r="AM700" i="2" s="1"/>
  <c r="AM701" i="2" l="1"/>
  <c r="AN702" i="2" s="1"/>
  <c r="AM708" i="2"/>
  <c r="AM710" i="2" s="1"/>
  <c r="AM709" i="2"/>
  <c r="AM711" i="2" s="1"/>
  <c r="AM726" i="2"/>
  <c r="AO724" i="2"/>
  <c r="AM718" i="2"/>
  <c r="AM717" i="2"/>
  <c r="AM712" i="2" l="1"/>
  <c r="AN713" i="2" s="1"/>
  <c r="AM719" i="2"/>
  <c r="AM721" i="2" s="1"/>
  <c r="AM720" i="2"/>
  <c r="AM722" i="2" s="1"/>
  <c r="AO735" i="2"/>
  <c r="AM737" i="2"/>
  <c r="AM728" i="2"/>
  <c r="AM729" i="2"/>
  <c r="AM723" i="2" l="1"/>
  <c r="AN724" i="2" s="1"/>
  <c r="AM748" i="2"/>
  <c r="AO746" i="2"/>
  <c r="AM739" i="2"/>
  <c r="AM740" i="2"/>
  <c r="AM730" i="2"/>
  <c r="AM732" i="2" s="1"/>
  <c r="AM731" i="2"/>
  <c r="AM733" i="2" s="1"/>
  <c r="AM734" i="2" l="1"/>
  <c r="AN735" i="2" s="1"/>
  <c r="AM751" i="2"/>
  <c r="AM759" i="2"/>
  <c r="AM750" i="2"/>
  <c r="AO757" i="2"/>
  <c r="AM741" i="2"/>
  <c r="AM743" i="2" s="1"/>
  <c r="AM742" i="2"/>
  <c r="AM744" i="2" s="1"/>
  <c r="AM745" i="2" l="1"/>
  <c r="AN746" i="2" s="1"/>
  <c r="AO768" i="2"/>
  <c r="AM761" i="2"/>
  <c r="AM762" i="2"/>
  <c r="AM770" i="2"/>
  <c r="AM752" i="2"/>
  <c r="AM754" i="2" s="1"/>
  <c r="AM753" i="2"/>
  <c r="AM755" i="2" s="1"/>
  <c r="AM756" i="2" l="1"/>
  <c r="AN757" i="2" s="1"/>
  <c r="AM773" i="2"/>
  <c r="AM772" i="2"/>
  <c r="AO779" i="2"/>
  <c r="AM781" i="2"/>
  <c r="AM763" i="2"/>
  <c r="AM765" i="2" s="1"/>
  <c r="AM764" i="2"/>
  <c r="AM766" i="2" s="1"/>
  <c r="AM767" i="2" l="1"/>
  <c r="AN768" i="2" s="1"/>
  <c r="AM784" i="2"/>
  <c r="AM783" i="2"/>
  <c r="AO790" i="2"/>
  <c r="AM792" i="2"/>
  <c r="AM774" i="2"/>
  <c r="AM776" i="2" s="1"/>
  <c r="AM775" i="2"/>
  <c r="AM777" i="2" s="1"/>
  <c r="AM778" i="2" l="1"/>
  <c r="AN779" i="2" s="1"/>
  <c r="AM795" i="2"/>
  <c r="AM803" i="2"/>
  <c r="AM794" i="2"/>
  <c r="AO801" i="2"/>
  <c r="AM785" i="2"/>
  <c r="AM787" i="2" s="1"/>
  <c r="AM786" i="2"/>
  <c r="AM788" i="2" s="1"/>
  <c r="AM789" i="2" l="1"/>
  <c r="AN790" i="2" s="1"/>
  <c r="AM806" i="2"/>
  <c r="AM805" i="2"/>
  <c r="AM814" i="2"/>
  <c r="AO812" i="2"/>
  <c r="AM796" i="2"/>
  <c r="AM798" i="2" s="1"/>
  <c r="AM797" i="2"/>
  <c r="AM799" i="2" s="1"/>
  <c r="AM800" i="2" l="1"/>
  <c r="AN801" i="2" s="1"/>
  <c r="AM807" i="2"/>
  <c r="AM809" i="2" s="1"/>
  <c r="AM808" i="2"/>
  <c r="AM810" i="2" s="1"/>
  <c r="AM817" i="2"/>
  <c r="AO823" i="2"/>
  <c r="AM825" i="2"/>
  <c r="AM816" i="2"/>
  <c r="AM811" i="2" l="1"/>
  <c r="AN812" i="2" s="1"/>
  <c r="AM836" i="2"/>
  <c r="AO834" i="2"/>
  <c r="AM828" i="2"/>
  <c r="AM827" i="2"/>
  <c r="AM818" i="2"/>
  <c r="AM819" i="2"/>
  <c r="AM821" i="2" s="1"/>
  <c r="AM829" i="2" l="1"/>
  <c r="AM831" i="2" s="1"/>
  <c r="AM830" i="2"/>
  <c r="AM832" i="2" s="1"/>
  <c r="AO845" i="2"/>
  <c r="AM839" i="2"/>
  <c r="AM847" i="2"/>
  <c r="AM838" i="2"/>
  <c r="AM820" i="2"/>
  <c r="AM822" i="2" s="1"/>
  <c r="AN823" i="2" s="1"/>
  <c r="AM833" i="2" l="1"/>
  <c r="AN834" i="2" s="1"/>
  <c r="AM858" i="2"/>
  <c r="AM849" i="2"/>
  <c r="AO856" i="2"/>
  <c r="AM850" i="2"/>
  <c r="AM840" i="2"/>
  <c r="AM842" i="2" s="1"/>
  <c r="AM841" i="2"/>
  <c r="AM843" i="2" s="1"/>
  <c r="AM844" i="2" l="1"/>
  <c r="AN845" i="2" s="1"/>
  <c r="AM860" i="2"/>
  <c r="AO867" i="2"/>
  <c r="AM861" i="2"/>
  <c r="AM869" i="2"/>
  <c r="AM851" i="2"/>
  <c r="AM853" i="2" s="1"/>
  <c r="AM852" i="2"/>
  <c r="AM854" i="2" s="1"/>
  <c r="AM855" i="2" l="1"/>
  <c r="AN856" i="2" s="1"/>
  <c r="AM872" i="2"/>
  <c r="AM880" i="2"/>
  <c r="AM871" i="2"/>
  <c r="AO878" i="2"/>
  <c r="AM862" i="2"/>
  <c r="AM864" i="2" s="1"/>
  <c r="AM863" i="2"/>
  <c r="AM865" i="2" s="1"/>
  <c r="AM866" i="2" l="1"/>
  <c r="AN867" i="2" s="1"/>
  <c r="AM882" i="2"/>
  <c r="AM891" i="2"/>
  <c r="AO889" i="2"/>
  <c r="AM883" i="2"/>
  <c r="AM873" i="2"/>
  <c r="AM875" i="2" s="1"/>
  <c r="AM874" i="2"/>
  <c r="AM876" i="2" s="1"/>
  <c r="AM877" i="2" l="1"/>
  <c r="AN878" i="2" s="1"/>
  <c r="AM884" i="2"/>
  <c r="AM886" i="2" s="1"/>
  <c r="AM885" i="2"/>
  <c r="AM887" i="2" s="1"/>
  <c r="AM902" i="2"/>
  <c r="AM893" i="2"/>
  <c r="AO900" i="2"/>
  <c r="AM894" i="2"/>
  <c r="AM888" i="2" l="1"/>
  <c r="AN889" i="2" s="1"/>
  <c r="AM895" i="2"/>
  <c r="AM897" i="2" s="1"/>
  <c r="AM896" i="2"/>
  <c r="AM898" i="2" s="1"/>
  <c r="AM905" i="2"/>
  <c r="AM913" i="2"/>
  <c r="AM904" i="2"/>
  <c r="AO911" i="2"/>
  <c r="AM899" i="2" l="1"/>
  <c r="AN900" i="2" s="1"/>
  <c r="AM916" i="2"/>
  <c r="AM924" i="2"/>
  <c r="AM915" i="2"/>
  <c r="AO922" i="2"/>
  <c r="AM906" i="2"/>
  <c r="AM908" i="2" s="1"/>
  <c r="AM907" i="2"/>
  <c r="AM909" i="2" s="1"/>
  <c r="AM910" i="2" l="1"/>
  <c r="AN911" i="2" s="1"/>
  <c r="AM927" i="2"/>
  <c r="AM935" i="2"/>
  <c r="AM926" i="2"/>
  <c r="AO933" i="2"/>
  <c r="AM917" i="2"/>
  <c r="AM919" i="2" s="1"/>
  <c r="AM918" i="2"/>
  <c r="AM920" i="2" s="1"/>
  <c r="AM921" i="2" l="1"/>
  <c r="AN922" i="2" s="1"/>
  <c r="AO944" i="2"/>
  <c r="AM938" i="2"/>
  <c r="AM946" i="2"/>
  <c r="AM937" i="2"/>
  <c r="AM928" i="2"/>
  <c r="AM930" i="2" s="1"/>
  <c r="AM929" i="2"/>
  <c r="AM931" i="2" s="1"/>
  <c r="AM932" i="2" l="1"/>
  <c r="AN933" i="2" s="1"/>
  <c r="AM939" i="2"/>
  <c r="AM941" i="2" s="1"/>
  <c r="AM940" i="2"/>
  <c r="AM942" i="2" s="1"/>
  <c r="AO955" i="2"/>
  <c r="AM949" i="2"/>
  <c r="AM957" i="2"/>
  <c r="AM948" i="2"/>
  <c r="AM943" i="2" l="1"/>
  <c r="AN944" i="2" s="1"/>
  <c r="AO966" i="2"/>
  <c r="AM960" i="2"/>
  <c r="AM968" i="2"/>
  <c r="AM959" i="2"/>
  <c r="AM950" i="2"/>
  <c r="AM952" i="2" s="1"/>
  <c r="AM951" i="2"/>
  <c r="AM953" i="2" s="1"/>
  <c r="AM954" i="2" l="1"/>
  <c r="AN955" i="2" s="1"/>
  <c r="AM961" i="2"/>
  <c r="AM963" i="2" s="1"/>
  <c r="AM962" i="2"/>
  <c r="AM964" i="2" s="1"/>
  <c r="AO977" i="2"/>
  <c r="AM971" i="2"/>
  <c r="AM979" i="2"/>
  <c r="AM970" i="2"/>
  <c r="AM965" i="2" l="1"/>
  <c r="AN966" i="2" s="1"/>
  <c r="AO988" i="2"/>
  <c r="AM982" i="2"/>
  <c r="AM990" i="2"/>
  <c r="AM981" i="2"/>
  <c r="AM972" i="2"/>
  <c r="AM974" i="2" s="1"/>
  <c r="AM973" i="2"/>
  <c r="AM975" i="2" s="1"/>
  <c r="AM976" i="2" l="1"/>
  <c r="AN977" i="2" s="1"/>
  <c r="AM983" i="2"/>
  <c r="AM985" i="2" s="1"/>
  <c r="AM984" i="2"/>
  <c r="AM986" i="2" s="1"/>
  <c r="AO999" i="2"/>
  <c r="AM993" i="2"/>
  <c r="AM1001" i="2"/>
  <c r="AM992" i="2"/>
  <c r="AM987" i="2" l="1"/>
  <c r="AN988" i="2" s="1"/>
  <c r="AM1004" i="2"/>
  <c r="AM1012" i="2"/>
  <c r="AM1003" i="2"/>
  <c r="AO1010" i="2"/>
  <c r="AM994" i="2"/>
  <c r="AM996" i="2" s="1"/>
  <c r="AM995" i="2"/>
  <c r="AM997" i="2" s="1"/>
  <c r="AM998" i="2" l="1"/>
  <c r="AN999" i="2" s="1"/>
  <c r="AO1021" i="2"/>
  <c r="AM1015" i="2"/>
  <c r="AM1023" i="2"/>
  <c r="AM1014" i="2"/>
  <c r="AM1005" i="2"/>
  <c r="AM1007" i="2" s="1"/>
  <c r="AM1006" i="2"/>
  <c r="AM1008" i="2" s="1"/>
  <c r="AM1009" i="2" l="1"/>
  <c r="AN1010" i="2" s="1"/>
  <c r="AM1016" i="2"/>
  <c r="AM1018" i="2" s="1"/>
  <c r="AM1017" i="2"/>
  <c r="AM1019" i="2" s="1"/>
  <c r="AM1034" i="2"/>
  <c r="AM1025" i="2"/>
  <c r="AO1032" i="2"/>
  <c r="AM1026" i="2"/>
  <c r="AM1020" i="2" l="1"/>
  <c r="AN1021" i="2" s="1"/>
  <c r="AM1027" i="2"/>
  <c r="AM1029" i="2" s="1"/>
  <c r="AM1028" i="2"/>
  <c r="AM1030" i="2" s="1"/>
  <c r="AM1037" i="2"/>
  <c r="AM1045" i="2"/>
  <c r="AM1036" i="2"/>
  <c r="AO1043" i="2"/>
  <c r="AM1031" i="2" l="1"/>
  <c r="AN1032" i="2" s="1"/>
  <c r="AM1048" i="2"/>
  <c r="AM1056" i="2"/>
  <c r="AM1047" i="2"/>
  <c r="AO1054" i="2"/>
  <c r="AM1038" i="2"/>
  <c r="AM1040" i="2" s="1"/>
  <c r="AM1039" i="2"/>
  <c r="AM1041" i="2" s="1"/>
  <c r="AM1042" i="2" l="1"/>
  <c r="AN1043" i="2" s="1"/>
  <c r="AO1065" i="2"/>
  <c r="AM1059" i="2"/>
  <c r="AM1067" i="2"/>
  <c r="AM1058" i="2"/>
  <c r="AM1049" i="2"/>
  <c r="AM1051" i="2" s="1"/>
  <c r="AM1050" i="2"/>
  <c r="AM1052" i="2" s="1"/>
  <c r="AM1053" i="2" l="1"/>
  <c r="AN1054" i="2" s="1"/>
  <c r="AM1060" i="2"/>
  <c r="AM1062" i="2" s="1"/>
  <c r="AM1061" i="2"/>
  <c r="AM1063" i="2" s="1"/>
  <c r="AO1076" i="2"/>
  <c r="AM1070" i="2"/>
  <c r="AM1078" i="2"/>
  <c r="AM1069" i="2"/>
  <c r="AM1064" i="2" l="1"/>
  <c r="AN1065" i="2" s="1"/>
  <c r="AM1080" i="2"/>
  <c r="AO1087" i="2"/>
  <c r="AM1081" i="2"/>
  <c r="AM1089" i="2"/>
  <c r="AM1071" i="2"/>
  <c r="AM1073" i="2" s="1"/>
  <c r="AM1072" i="2"/>
  <c r="AM1074" i="2" s="1"/>
  <c r="AM1075" i="2" l="1"/>
  <c r="AN1076" i="2" s="1"/>
  <c r="AM1100" i="2"/>
  <c r="AM1091" i="2"/>
  <c r="AO1098" i="2"/>
  <c r="AM1092" i="2"/>
  <c r="AM1082" i="2"/>
  <c r="AM1084" i="2" s="1"/>
  <c r="AM1083" i="2"/>
  <c r="AM1085" i="2" s="1"/>
  <c r="AM1086" i="2" l="1"/>
  <c r="AN1087" i="2" s="1"/>
  <c r="AM1103" i="2"/>
  <c r="AM1111" i="2"/>
  <c r="AM1102" i="2"/>
  <c r="AO1109" i="2"/>
  <c r="AM1093" i="2"/>
  <c r="AM1095" i="2" s="1"/>
  <c r="AM1094" i="2"/>
  <c r="AM1096" i="2" s="1"/>
  <c r="AM1097" i="2" l="1"/>
  <c r="AN1098" i="2" s="1"/>
  <c r="AM1114" i="2"/>
  <c r="AM1122" i="2"/>
  <c r="AM1113" i="2"/>
  <c r="AO1120" i="2"/>
  <c r="AM1104" i="2"/>
  <c r="AM1106" i="2" s="1"/>
  <c r="AM1105" i="2"/>
  <c r="AM1107" i="2" s="1"/>
  <c r="AM1108" i="2" l="1"/>
  <c r="AN1109" i="2" s="1"/>
  <c r="AM1124" i="2"/>
  <c r="AO1131" i="2"/>
  <c r="AM1125" i="2"/>
  <c r="AM1133" i="2"/>
  <c r="AM1115" i="2"/>
  <c r="AM1117" i="2" s="1"/>
  <c r="AM1116" i="2"/>
  <c r="AM1118" i="2" s="1"/>
  <c r="AM1119" i="2" l="1"/>
  <c r="AN1120" i="2" s="1"/>
  <c r="AM1144" i="2"/>
  <c r="AM1135" i="2"/>
  <c r="AO1142" i="2"/>
  <c r="AM1136" i="2"/>
  <c r="AM1126" i="2"/>
  <c r="AM1128" i="2" s="1"/>
  <c r="AM1127" i="2"/>
  <c r="AM1129" i="2" s="1"/>
  <c r="AM1130" i="2" l="1"/>
  <c r="AN1131" i="2" s="1"/>
  <c r="AO1153" i="2"/>
  <c r="AM1147" i="2"/>
  <c r="AM1155" i="2"/>
  <c r="AM1146" i="2"/>
  <c r="AM1137" i="2"/>
  <c r="AM1139" i="2" s="1"/>
  <c r="AM1138" i="2"/>
  <c r="AM1140" i="2" s="1"/>
  <c r="AM1141" i="2" l="1"/>
  <c r="AN1142" i="2" s="1"/>
  <c r="AM1148" i="2"/>
  <c r="AM1150" i="2" s="1"/>
  <c r="AM1149" i="2"/>
  <c r="AM1151" i="2" s="1"/>
  <c r="AM1158" i="2"/>
  <c r="AM1166" i="2"/>
  <c r="AM1157" i="2"/>
  <c r="AO1164" i="2"/>
  <c r="AM1152" i="2" l="1"/>
  <c r="AN1153" i="2" s="1"/>
  <c r="AO1175" i="2"/>
  <c r="AM1169" i="2"/>
  <c r="AM1177" i="2"/>
  <c r="AM1168" i="2"/>
  <c r="AM1159" i="2"/>
  <c r="AM1161" i="2" s="1"/>
  <c r="AM1160" i="2"/>
  <c r="AM1162" i="2" s="1"/>
  <c r="AM1163" i="2" l="1"/>
  <c r="AN1164" i="2" s="1"/>
  <c r="AM1170" i="2"/>
  <c r="AM1172" i="2" s="1"/>
  <c r="AM1171" i="2"/>
  <c r="AM1173" i="2" s="1"/>
  <c r="AM1188" i="2"/>
  <c r="AM1179" i="2"/>
  <c r="AO1186" i="2"/>
  <c r="AM1180" i="2"/>
  <c r="AM1174" i="2" l="1"/>
  <c r="AN1175" i="2" s="1"/>
  <c r="AM1181" i="2"/>
  <c r="AM1183" i="2" s="1"/>
  <c r="AM1182" i="2"/>
  <c r="AM1184" i="2" s="1"/>
  <c r="AM1191" i="2"/>
  <c r="AM1199" i="2"/>
  <c r="AM1190" i="2"/>
  <c r="AO1197" i="2"/>
  <c r="AM1185" i="2" l="1"/>
  <c r="AN1186" i="2" s="1"/>
  <c r="AM1202" i="2"/>
  <c r="AM1210" i="2"/>
  <c r="AM1201" i="2"/>
  <c r="AO1208" i="2"/>
  <c r="AM1192" i="2"/>
  <c r="AM1194" i="2" s="1"/>
  <c r="AM1193" i="2"/>
  <c r="AM1195" i="2" s="1"/>
  <c r="AM1196" i="2" l="1"/>
  <c r="AN1197" i="2" s="1"/>
  <c r="AM1212" i="2"/>
  <c r="AO1219" i="2"/>
  <c r="AM1213" i="2"/>
  <c r="AM1221" i="2"/>
  <c r="AM1203" i="2"/>
  <c r="AM1205" i="2" s="1"/>
  <c r="AM1204" i="2"/>
  <c r="AM1206" i="2" s="1"/>
  <c r="AM1207" i="2" l="1"/>
  <c r="AN1208" i="2" s="1"/>
  <c r="AM1232" i="2"/>
  <c r="AM1223" i="2"/>
  <c r="AO1230" i="2"/>
  <c r="AM1224" i="2"/>
  <c r="AM1214" i="2"/>
  <c r="AM1215" i="2"/>
  <c r="AM1217" i="2" s="1"/>
  <c r="AO1241" i="2" l="1"/>
  <c r="AM1235" i="2"/>
  <c r="AM1243" i="2"/>
  <c r="AM1234" i="2"/>
  <c r="AM1216" i="2"/>
  <c r="AM1218" i="2" s="1"/>
  <c r="AN1219" i="2" s="1"/>
  <c r="AM1225" i="2"/>
  <c r="AM1227" i="2" s="1"/>
  <c r="AM1226" i="2"/>
  <c r="AM1228" i="2" s="1"/>
  <c r="AM1229" i="2" l="1"/>
  <c r="AN1230" i="2" s="1"/>
  <c r="AM1236" i="2"/>
  <c r="AM1238" i="2" s="1"/>
  <c r="AM1237" i="2"/>
  <c r="AM1239" i="2" s="1"/>
  <c r="AM1246" i="2"/>
  <c r="AM1254" i="2"/>
  <c r="AM1245" i="2"/>
  <c r="AO1252" i="2"/>
  <c r="AM1240" i="2" l="1"/>
  <c r="AN1241" i="2" s="1"/>
  <c r="AO1263" i="2"/>
  <c r="AM1257" i="2"/>
  <c r="AM1265" i="2"/>
  <c r="AM1256" i="2"/>
  <c r="AM1247" i="2"/>
  <c r="AM1249" i="2" s="1"/>
  <c r="AM1248" i="2"/>
  <c r="AM1250" i="2" s="1"/>
  <c r="AM1251" i="2" l="1"/>
  <c r="AN1252" i="2" s="1"/>
  <c r="AM1258" i="2"/>
  <c r="AM1260" i="2" s="1"/>
  <c r="AM1259" i="2"/>
  <c r="AM1261" i="2" s="1"/>
  <c r="AM1268" i="2"/>
  <c r="AM1276" i="2"/>
  <c r="AM1267" i="2"/>
  <c r="AO1274" i="2"/>
  <c r="AM1262" i="2" l="1"/>
  <c r="AN1263" i="2" s="1"/>
  <c r="AM1279" i="2"/>
  <c r="AM1287" i="2"/>
  <c r="AM1278" i="2"/>
  <c r="AO1285" i="2"/>
  <c r="AM1269" i="2"/>
  <c r="AM1271" i="2" s="1"/>
  <c r="AM1270" i="2"/>
  <c r="AM1272" i="2" s="1"/>
  <c r="AM1273" i="2" l="1"/>
  <c r="AN1274" i="2" s="1"/>
  <c r="AM1298" i="2"/>
  <c r="AM1289" i="2"/>
  <c r="AO1296" i="2"/>
  <c r="AM1290" i="2"/>
  <c r="AM1280" i="2"/>
  <c r="AM1282" i="2" s="1"/>
  <c r="AM1281" i="2"/>
  <c r="AM1283" i="2" s="1"/>
  <c r="AM1284" i="2" l="1"/>
  <c r="AN1285" i="2" s="1"/>
  <c r="AM1301" i="2"/>
  <c r="AM1309" i="2"/>
  <c r="AM1300" i="2"/>
  <c r="AO1307" i="2"/>
  <c r="AM1291" i="2"/>
  <c r="AM1293" i="2" s="1"/>
  <c r="AM1292" i="2"/>
  <c r="AM1294" i="2" s="1"/>
  <c r="AM1295" i="2" l="1"/>
  <c r="AN1296" i="2" s="1"/>
  <c r="AM1312" i="2"/>
  <c r="AM1320" i="2"/>
  <c r="AM1311" i="2"/>
  <c r="AO1318" i="2"/>
  <c r="AM1302" i="2"/>
  <c r="AM1304" i="2" s="1"/>
  <c r="AM1303" i="2"/>
  <c r="AM1305" i="2" s="1"/>
  <c r="AM1306" i="2" l="1"/>
  <c r="AN1307" i="2" s="1"/>
  <c r="AO1329" i="2"/>
  <c r="AM1323" i="2"/>
  <c r="AM1331" i="2"/>
  <c r="AM1322" i="2"/>
  <c r="AM1313" i="2"/>
  <c r="AM1315" i="2" s="1"/>
  <c r="AM1314" i="2"/>
  <c r="AM1316" i="2" s="1"/>
  <c r="AM1317" i="2" l="1"/>
  <c r="AN1318" i="2" s="1"/>
  <c r="AM1342" i="2"/>
  <c r="AM1333" i="2"/>
  <c r="AO1340" i="2"/>
  <c r="AM1334" i="2"/>
  <c r="AM1324" i="2"/>
  <c r="AM1326" i="2" s="1"/>
  <c r="AM1325" i="2"/>
  <c r="AM1327" i="2" s="1"/>
  <c r="AM1328" i="2" l="1"/>
  <c r="AN1329" i="2" s="1"/>
  <c r="AO1351" i="2"/>
  <c r="AM1345" i="2"/>
  <c r="AM1353" i="2"/>
  <c r="AM1344" i="2"/>
  <c r="AM1335" i="2"/>
  <c r="AM1337" i="2" s="1"/>
  <c r="AM1336" i="2"/>
  <c r="AM1338" i="2" s="1"/>
  <c r="AM1339" i="2" l="1"/>
  <c r="AN1340" i="2" s="1"/>
  <c r="AM1356" i="2"/>
  <c r="AM1364" i="2"/>
  <c r="AM1355" i="2"/>
  <c r="AO1362" i="2"/>
  <c r="AM1346" i="2"/>
  <c r="AM1348" i="2" s="1"/>
  <c r="AM1347" i="2"/>
  <c r="AM1349" i="2" s="1"/>
  <c r="AM1350" i="2" l="1"/>
  <c r="AN1351" i="2" s="1"/>
  <c r="AM1357" i="2"/>
  <c r="AM1359" i="2" s="1"/>
  <c r="AM1358" i="2"/>
  <c r="AM1360" i="2" s="1"/>
  <c r="AO1373" i="2"/>
  <c r="AM1367" i="2"/>
  <c r="AM1375" i="2"/>
  <c r="AM1366" i="2"/>
  <c r="AM1361" i="2" l="1"/>
  <c r="AN1362" i="2" s="1"/>
  <c r="AM1378" i="2"/>
  <c r="AM1386" i="2"/>
  <c r="AM1377" i="2"/>
  <c r="AO1384" i="2"/>
  <c r="AM1368" i="2"/>
  <c r="AM1370" i="2" s="1"/>
  <c r="AM1369" i="2"/>
  <c r="AM1371" i="2" s="1"/>
  <c r="AM1372" i="2" l="1"/>
  <c r="AN1373" i="2" s="1"/>
  <c r="AM1388" i="2"/>
  <c r="AO1395" i="2"/>
  <c r="AM1389" i="2"/>
  <c r="AM1397" i="2"/>
  <c r="AM1379" i="2"/>
  <c r="AM1381" i="2" s="1"/>
  <c r="AM1380" i="2"/>
  <c r="AM1382" i="2" s="1"/>
  <c r="AM1383" i="2" l="1"/>
  <c r="AN1384" i="2" s="1"/>
  <c r="AM1390" i="2"/>
  <c r="AM1392" i="2" s="1"/>
  <c r="AM1391" i="2"/>
  <c r="AM1393" i="2" s="1"/>
  <c r="AM1408" i="2"/>
  <c r="AM1399" i="2"/>
  <c r="AO1406" i="2"/>
  <c r="AM1400" i="2"/>
  <c r="AM1394" i="2" l="1"/>
  <c r="AN1395" i="2" s="1"/>
  <c r="AM1411" i="2"/>
  <c r="AM1419" i="2"/>
  <c r="AM1410" i="2"/>
  <c r="AO1417" i="2"/>
  <c r="AM1401" i="2"/>
  <c r="AM1403" i="2" s="1"/>
  <c r="AM1402" i="2"/>
  <c r="AM1404" i="2" s="1"/>
  <c r="AM1405" i="2" l="1"/>
  <c r="AN1406" i="2" s="1"/>
  <c r="AM1430" i="2"/>
  <c r="AM1421" i="2"/>
  <c r="AO1428" i="2"/>
  <c r="AM1422" i="2"/>
  <c r="AM1412" i="2"/>
  <c r="AM1414" i="2" s="1"/>
  <c r="AM1413" i="2"/>
  <c r="AM1415" i="2" s="1"/>
  <c r="AM1416" i="2" l="1"/>
  <c r="AN1417" i="2" s="1"/>
  <c r="AO1439" i="2"/>
  <c r="AM1433" i="2"/>
  <c r="AM1441" i="2"/>
  <c r="AM1432" i="2"/>
  <c r="AM1423" i="2"/>
  <c r="AM1425" i="2" s="1"/>
  <c r="AM1424" i="2"/>
  <c r="AM1426" i="2" s="1"/>
  <c r="AM1427" i="2" l="1"/>
  <c r="AN1428" i="2" s="1"/>
  <c r="AM1452" i="2"/>
  <c r="AM1443" i="2"/>
  <c r="AO1450" i="2"/>
  <c r="AM1444" i="2"/>
  <c r="AM1434" i="2"/>
  <c r="AM1436" i="2" s="1"/>
  <c r="AM1435" i="2"/>
  <c r="AM1437" i="2" s="1"/>
  <c r="AM1438" i="2" l="1"/>
  <c r="AN1439" i="2" s="1"/>
  <c r="AM1455" i="2"/>
  <c r="AM1463" i="2"/>
  <c r="AM1454" i="2"/>
  <c r="AO1461" i="2"/>
  <c r="AM1445" i="2"/>
  <c r="AM1447" i="2" s="1"/>
  <c r="AM1446" i="2"/>
  <c r="AM1448" i="2" s="1"/>
  <c r="AM1449" i="2" l="1"/>
  <c r="AN1450" i="2" s="1"/>
  <c r="AM1474" i="2"/>
  <c r="AM1465" i="2"/>
  <c r="AO1472" i="2"/>
  <c r="AM1466" i="2"/>
  <c r="AM1456" i="2"/>
  <c r="AM1458" i="2" s="1"/>
  <c r="AM1457" i="2"/>
  <c r="AM1459" i="2" s="1"/>
  <c r="AM1460" i="2" l="1"/>
  <c r="AN1461" i="2" s="1"/>
  <c r="AO1483" i="2"/>
  <c r="AM1485" i="2"/>
  <c r="AM1477" i="2"/>
  <c r="AM1476" i="2"/>
  <c r="AM1467" i="2"/>
  <c r="AM1469" i="2" s="1"/>
  <c r="AM1468" i="2"/>
  <c r="AM1470" i="2" s="1"/>
  <c r="AM1471" i="2" l="1"/>
  <c r="AN1472" i="2" s="1"/>
  <c r="AM1496" i="2"/>
  <c r="AM1487" i="2"/>
  <c r="AO1494" i="2"/>
  <c r="AM1488" i="2"/>
  <c r="AM1478" i="2"/>
  <c r="AM1480" i="2" s="1"/>
  <c r="AM1479" i="2"/>
  <c r="AM1481" i="2" s="1"/>
  <c r="AM1482" i="2" l="1"/>
  <c r="AN1483" i="2" s="1"/>
  <c r="AO1505" i="2"/>
  <c r="AM1507" i="2"/>
  <c r="AM1499" i="2"/>
  <c r="AM1498" i="2"/>
  <c r="AM1489" i="2"/>
  <c r="AM1491" i="2" s="1"/>
  <c r="AM1490" i="2"/>
  <c r="AM1492" i="2" s="1"/>
  <c r="AM1493" i="2" l="1"/>
  <c r="AN1494" i="2" s="1"/>
  <c r="AM1518" i="2"/>
  <c r="AO1516" i="2"/>
  <c r="AM1509" i="2"/>
  <c r="AM1510" i="2"/>
  <c r="AM1500" i="2"/>
  <c r="AM1502" i="2" s="1"/>
  <c r="AM1501" i="2"/>
  <c r="AM1503" i="2" s="1"/>
  <c r="AM1504" i="2" l="1"/>
  <c r="AN1505" i="2" s="1"/>
  <c r="AM1521" i="2"/>
  <c r="AM1529" i="2"/>
  <c r="AM1520" i="2"/>
  <c r="AO1527" i="2"/>
  <c r="AM1511" i="2"/>
  <c r="AM1513" i="2" s="1"/>
  <c r="AM1512" i="2"/>
  <c r="AM1514" i="2" s="1"/>
  <c r="AM1515" i="2" l="1"/>
  <c r="AN1516" i="2" s="1"/>
  <c r="AM1540" i="2"/>
  <c r="AM1531" i="2"/>
  <c r="AO1538" i="2"/>
  <c r="AM1532" i="2"/>
  <c r="AM1522" i="2"/>
  <c r="AM1524" i="2" s="1"/>
  <c r="AM1523" i="2"/>
  <c r="AM1525" i="2" s="1"/>
  <c r="AM1526" i="2" l="1"/>
  <c r="AN1527" i="2" s="1"/>
  <c r="AM1543" i="2"/>
  <c r="AM1551" i="2"/>
  <c r="AM1542" i="2"/>
  <c r="AO1549" i="2"/>
  <c r="AM1533" i="2"/>
  <c r="AM1535" i="2" s="1"/>
  <c r="AM1534" i="2"/>
  <c r="AM1536" i="2" s="1"/>
  <c r="AM1537" i="2" l="1"/>
  <c r="AN1538" i="2" s="1"/>
  <c r="AM1562" i="2"/>
  <c r="AM1553" i="2"/>
  <c r="AO1560" i="2"/>
  <c r="AM1554" i="2"/>
  <c r="AM1544" i="2"/>
  <c r="AM1546" i="2" s="1"/>
  <c r="AM1545" i="2"/>
  <c r="AM1547" i="2" s="1"/>
  <c r="AM1548" i="2" l="1"/>
  <c r="AN1549" i="2" s="1"/>
  <c r="AO1571" i="2"/>
  <c r="AM1565" i="2"/>
  <c r="AM1573" i="2"/>
  <c r="AM1564" i="2"/>
  <c r="AM1555" i="2"/>
  <c r="AM1557" i="2" s="1"/>
  <c r="AM1556" i="2"/>
  <c r="AM1558" i="2" s="1"/>
  <c r="AM1559" i="2" l="1"/>
  <c r="AN1560" i="2" s="1"/>
  <c r="AM1584" i="2"/>
  <c r="AM1575" i="2"/>
  <c r="AO1582" i="2"/>
  <c r="AM1576" i="2"/>
  <c r="AM1566" i="2"/>
  <c r="AM1568" i="2" s="1"/>
  <c r="AM1567" i="2"/>
  <c r="AM1569" i="2" s="1"/>
  <c r="AM1570" i="2" l="1"/>
  <c r="AN1571" i="2" s="1"/>
  <c r="AM1587" i="2"/>
  <c r="AM1595" i="2"/>
  <c r="AM1586" i="2"/>
  <c r="AO1593" i="2"/>
  <c r="AM1577" i="2"/>
  <c r="AM1579" i="2" s="1"/>
  <c r="AM1578" i="2"/>
  <c r="AM1580" i="2" s="1"/>
  <c r="AM1581" i="2" l="1"/>
  <c r="AN1582" i="2" s="1"/>
  <c r="AM1606" i="2"/>
  <c r="AM1597" i="2"/>
  <c r="AO1604" i="2"/>
  <c r="AM1598" i="2"/>
  <c r="AM1588" i="2"/>
  <c r="AM1590" i="2" s="1"/>
  <c r="AM1589" i="2"/>
  <c r="AM1591" i="2" s="1"/>
  <c r="AM1592" i="2" l="1"/>
  <c r="AN1593" i="2" s="1"/>
  <c r="AO1615" i="2"/>
  <c r="AM1609" i="2"/>
  <c r="AM1617" i="2"/>
  <c r="AM1608" i="2"/>
  <c r="AM1599" i="2"/>
  <c r="AM1601" i="2" s="1"/>
  <c r="AM1600" i="2"/>
  <c r="AM1602" i="2" s="1"/>
  <c r="AM1603" i="2" l="1"/>
  <c r="AN1604" i="2" s="1"/>
  <c r="AM1628" i="2"/>
  <c r="AM1619" i="2"/>
  <c r="AO1626" i="2"/>
  <c r="AM1620" i="2"/>
  <c r="AM1610" i="2"/>
  <c r="AM1612" i="2" s="1"/>
  <c r="AM1611" i="2"/>
  <c r="AM1613" i="2" s="1"/>
  <c r="AM1614" i="2" l="1"/>
  <c r="AN1615" i="2" s="1"/>
  <c r="AO1637" i="2"/>
  <c r="AM1631" i="2"/>
  <c r="AM1639" i="2"/>
  <c r="AM1630" i="2"/>
  <c r="AM1621" i="2"/>
  <c r="AM1623" i="2" s="1"/>
  <c r="AM1622" i="2"/>
  <c r="AM1624" i="2" s="1"/>
  <c r="AM1625" i="2" l="1"/>
  <c r="AN1626" i="2" s="1"/>
  <c r="AM1650" i="2"/>
  <c r="AM1641" i="2"/>
  <c r="AO1648" i="2"/>
  <c r="AM1642" i="2"/>
  <c r="AM1632" i="2"/>
  <c r="AM1634" i="2" s="1"/>
  <c r="AM1633" i="2"/>
  <c r="AM1635" i="2" s="1"/>
  <c r="AM1636" i="2" l="1"/>
  <c r="AN1637" i="2" s="1"/>
  <c r="AM1653" i="2"/>
  <c r="AM1661" i="2"/>
  <c r="AM1652" i="2"/>
  <c r="AO1659" i="2"/>
  <c r="AM1643" i="2"/>
  <c r="AM1645" i="2" s="1"/>
  <c r="AM1644" i="2"/>
  <c r="AM1646" i="2" s="1"/>
  <c r="AM1647" i="2" l="1"/>
  <c r="AN1648" i="2" s="1"/>
  <c r="AM1672" i="2"/>
  <c r="AM1663" i="2"/>
  <c r="AO1670" i="2"/>
  <c r="AM1664" i="2"/>
  <c r="AM1654" i="2"/>
  <c r="AM1656" i="2" s="1"/>
  <c r="AM1655" i="2"/>
  <c r="AM1657" i="2" s="1"/>
  <c r="AM1658" i="2" l="1"/>
  <c r="AN1659" i="2" s="1"/>
  <c r="AO1681" i="2"/>
  <c r="AM1675" i="2"/>
  <c r="AM1683" i="2"/>
  <c r="AM1674" i="2"/>
  <c r="AM1665" i="2"/>
  <c r="AM1667" i="2" s="1"/>
  <c r="AM1666" i="2"/>
  <c r="AM1668" i="2" s="1"/>
  <c r="AM1669" i="2" l="1"/>
  <c r="AN1670" i="2" s="1"/>
  <c r="AM1694" i="2"/>
  <c r="AO1692" i="2"/>
  <c r="AM1686" i="2"/>
  <c r="AM1685" i="2"/>
  <c r="AM1676" i="2"/>
  <c r="AM1678" i="2" s="1"/>
  <c r="AM1677" i="2"/>
  <c r="AM1679" i="2" s="1"/>
  <c r="AM1680" i="2" l="1"/>
  <c r="AN1681" i="2" s="1"/>
  <c r="AM1697" i="2"/>
  <c r="AM1705" i="2"/>
  <c r="AM1696" i="2"/>
  <c r="AO1703" i="2"/>
  <c r="AM1687" i="2"/>
  <c r="AM1689" i="2" s="1"/>
  <c r="AM1688" i="2"/>
  <c r="AM1690" i="2" s="1"/>
  <c r="AM1691" i="2" l="1"/>
  <c r="AN1692" i="2" s="1"/>
  <c r="AM1716" i="2"/>
  <c r="AM1707" i="2"/>
  <c r="AO1714" i="2"/>
  <c r="AM1708" i="2"/>
  <c r="AM1698" i="2"/>
  <c r="AM1700" i="2" s="1"/>
  <c r="AM1699" i="2"/>
  <c r="AM1701" i="2" s="1"/>
  <c r="AM1702" i="2" l="1"/>
  <c r="AN1703" i="2" s="1"/>
  <c r="AM1719" i="2"/>
  <c r="AM1727" i="2"/>
  <c r="AM1718" i="2"/>
  <c r="AO1725" i="2"/>
  <c r="AM1709" i="2"/>
  <c r="AM1711" i="2" s="1"/>
  <c r="AM1710" i="2"/>
  <c r="AM1712" i="2" s="1"/>
  <c r="AM1713" i="2" l="1"/>
  <c r="AN1714" i="2" s="1"/>
  <c r="AM1730" i="2"/>
  <c r="AM1729" i="2"/>
  <c r="AM1738" i="2"/>
  <c r="AO1736" i="2"/>
  <c r="AM1720" i="2"/>
  <c r="AM1722" i="2" s="1"/>
  <c r="AM1721" i="2"/>
  <c r="AM1723" i="2" s="1"/>
  <c r="AM1724" i="2" l="1"/>
  <c r="AN1725" i="2" s="1"/>
  <c r="AM1731" i="2"/>
  <c r="AM1733" i="2" s="1"/>
  <c r="AM1732" i="2"/>
  <c r="AM1734" i="2" s="1"/>
  <c r="AO1747" i="2"/>
  <c r="AM1741" i="2"/>
  <c r="AM1749" i="2"/>
  <c r="AM1740" i="2"/>
  <c r="AM1735" i="2" l="1"/>
  <c r="AN1736" i="2" s="1"/>
  <c r="AM1760" i="2"/>
  <c r="AM1751" i="2"/>
  <c r="AO1758" i="2"/>
  <c r="AM1752" i="2"/>
  <c r="AM1742" i="2"/>
  <c r="AM1744" i="2" s="1"/>
  <c r="AM1743" i="2"/>
  <c r="AM1745" i="2" s="1"/>
  <c r="AM1746" i="2" l="1"/>
  <c r="AN1747" i="2" s="1"/>
  <c r="AM1763" i="2"/>
  <c r="AM1771" i="2"/>
  <c r="AM1762" i="2"/>
  <c r="AO1769" i="2"/>
  <c r="AM1753" i="2"/>
  <c r="AM1755" i="2" s="1"/>
  <c r="AM1754" i="2"/>
  <c r="AM1756" i="2" s="1"/>
  <c r="AM1757" i="2" l="1"/>
  <c r="AN1758" i="2" s="1"/>
  <c r="AM1782" i="2"/>
  <c r="AM1773" i="2"/>
  <c r="AO1780" i="2"/>
  <c r="AM1774" i="2"/>
  <c r="AM1764" i="2"/>
  <c r="AM1766" i="2" s="1"/>
  <c r="AM1765" i="2"/>
  <c r="AM1767" i="2" s="1"/>
  <c r="AM1768" i="2" l="1"/>
  <c r="AN1769" i="2" s="1"/>
  <c r="AO1791" i="2"/>
  <c r="AM1785" i="2"/>
  <c r="AM1793" i="2"/>
  <c r="AM1784" i="2"/>
  <c r="AM1775" i="2"/>
  <c r="AM1777" i="2" s="1"/>
  <c r="AM1776" i="2"/>
  <c r="AM1778" i="2" s="1"/>
  <c r="AM1779" i="2" l="1"/>
  <c r="AN1780" i="2" s="1"/>
  <c r="AO1802" i="2"/>
  <c r="AM1796" i="2"/>
  <c r="AM1804" i="2"/>
  <c r="AM1795" i="2"/>
  <c r="AM1786" i="2"/>
  <c r="AM1788" i="2" s="1"/>
  <c r="AM1787" i="2"/>
  <c r="AM1789" i="2" s="1"/>
  <c r="AM1790" i="2" l="1"/>
  <c r="AN1791" i="2" s="1"/>
  <c r="AM1807" i="2"/>
  <c r="AM1806" i="2"/>
  <c r="AM1815" i="2"/>
  <c r="AO1813" i="2"/>
  <c r="AM1797" i="2"/>
  <c r="AM1799" i="2" s="1"/>
  <c r="AM1798" i="2"/>
  <c r="AM1800" i="2" s="1"/>
  <c r="AM1801" i="2" l="1"/>
  <c r="AN1802" i="2" s="1"/>
  <c r="AM1808" i="2"/>
  <c r="AM1810" i="2" s="1"/>
  <c r="AM1809" i="2"/>
  <c r="AM1811" i="2" s="1"/>
  <c r="AM1826" i="2"/>
  <c r="AM1817" i="2"/>
  <c r="AO1824" i="2"/>
  <c r="AM1818" i="2"/>
  <c r="AM1812" i="2" l="1"/>
  <c r="AN1813" i="2" s="1"/>
  <c r="AO1835" i="2"/>
  <c r="AM1829" i="2"/>
  <c r="AM1837" i="2"/>
  <c r="AM1828" i="2"/>
  <c r="AM1819" i="2"/>
  <c r="AM1821" i="2" s="1"/>
  <c r="AM1820" i="2"/>
  <c r="AM1822" i="2" s="1"/>
  <c r="AM1823" i="2" l="1"/>
  <c r="AN1824" i="2" s="1"/>
  <c r="AM1848" i="2"/>
  <c r="AM1839" i="2"/>
  <c r="AO1846" i="2"/>
  <c r="AM1840" i="2"/>
  <c r="AM1830" i="2"/>
  <c r="AM1832" i="2" s="1"/>
  <c r="AM1831" i="2"/>
  <c r="AM1833" i="2" s="1"/>
  <c r="AM1834" i="2" l="1"/>
  <c r="AN1835" i="2" s="1"/>
  <c r="AM1850" i="2"/>
  <c r="AO1857" i="2"/>
  <c r="AM1851" i="2"/>
  <c r="AM1859" i="2"/>
  <c r="AM1841" i="2"/>
  <c r="AM1843" i="2" s="1"/>
  <c r="AM1842" i="2"/>
  <c r="AM1844" i="2" s="1"/>
  <c r="AM1845" i="2" l="1"/>
  <c r="AN1846" i="2" s="1"/>
  <c r="AM1852" i="2"/>
  <c r="AM1854" i="2" s="1"/>
  <c r="AM1853" i="2"/>
  <c r="AM1855" i="2" s="1"/>
  <c r="AM1861" i="2"/>
  <c r="AO1868" i="2"/>
  <c r="AM1862" i="2"/>
  <c r="AM1870" i="2"/>
  <c r="AM1856" i="2" l="1"/>
  <c r="AN1857" i="2" s="1"/>
  <c r="AO1879" i="2"/>
  <c r="AM1873" i="2"/>
  <c r="AM1881" i="2"/>
  <c r="AM1872" i="2"/>
  <c r="AM1863" i="2"/>
  <c r="AM1865" i="2" s="1"/>
  <c r="AM1864" i="2"/>
  <c r="AM1866" i="2" s="1"/>
  <c r="AM1867" i="2" l="1"/>
  <c r="AN1868" i="2" s="1"/>
  <c r="AM1892" i="2"/>
  <c r="AM1883" i="2"/>
  <c r="AO1890" i="2"/>
  <c r="AM1884" i="2"/>
  <c r="AM1874" i="2"/>
  <c r="AM1876" i="2" s="1"/>
  <c r="AM1875" i="2"/>
  <c r="AM1877" i="2" s="1"/>
  <c r="AM1878" i="2" l="1"/>
  <c r="AN1879" i="2" s="1"/>
  <c r="AM1903" i="2"/>
  <c r="AM1894" i="2"/>
  <c r="AO1901" i="2"/>
  <c r="AM1895" i="2"/>
  <c r="AM1885" i="2"/>
  <c r="AM1887" i="2" s="1"/>
  <c r="AM1886" i="2"/>
  <c r="AM1888" i="2" s="1"/>
  <c r="AM1889" i="2" l="1"/>
  <c r="AN1890" i="2" s="1"/>
  <c r="AM1914" i="2"/>
  <c r="AM1905" i="2"/>
  <c r="AO1912" i="2"/>
  <c r="AM1906" i="2"/>
  <c r="AM1896" i="2"/>
  <c r="AM1898" i="2" s="1"/>
  <c r="AM1897" i="2"/>
  <c r="AM1899" i="2" s="1"/>
  <c r="AM1900" i="2" l="1"/>
  <c r="AN1901" i="2" s="1"/>
  <c r="AM1916" i="2"/>
  <c r="AO1923" i="2"/>
  <c r="AM1917" i="2"/>
  <c r="AM1925" i="2"/>
  <c r="AM1907" i="2"/>
  <c r="AM1909" i="2" s="1"/>
  <c r="AM1908" i="2"/>
  <c r="AM1910" i="2" s="1"/>
  <c r="AM1911" i="2" l="1"/>
  <c r="AN1912" i="2" s="1"/>
  <c r="AM1918" i="2"/>
  <c r="AM1920" i="2" s="1"/>
  <c r="AM1919" i="2"/>
  <c r="AM1921" i="2" s="1"/>
  <c r="AM1928" i="2"/>
  <c r="AM1936" i="2"/>
  <c r="AM1927" i="2"/>
  <c r="AO1934" i="2"/>
  <c r="AM1922" i="2" l="1"/>
  <c r="AN1923" i="2" s="1"/>
  <c r="AM1929" i="2"/>
  <c r="AM1931" i="2" s="1"/>
  <c r="AM1930" i="2"/>
  <c r="AM1932" i="2" s="1"/>
  <c r="AM1938" i="2"/>
  <c r="AO1945" i="2"/>
  <c r="AM1939" i="2"/>
  <c r="AM1947" i="2"/>
  <c r="AM1933" i="2" l="1"/>
  <c r="AN1934" i="2" s="1"/>
  <c r="AM1958" i="2"/>
  <c r="AM1949" i="2"/>
  <c r="AO1956" i="2"/>
  <c r="AM1950" i="2"/>
  <c r="AM1940" i="2"/>
  <c r="AM1942" i="2" s="1"/>
  <c r="AM1941" i="2"/>
  <c r="AM1943" i="2" s="1"/>
  <c r="AM1944" i="2" l="1"/>
  <c r="AN1945" i="2" s="1"/>
  <c r="AM1960" i="2"/>
  <c r="AO1967" i="2"/>
  <c r="AM1961" i="2"/>
  <c r="AM1969" i="2"/>
  <c r="AM1951" i="2"/>
  <c r="AM1953" i="2" s="1"/>
  <c r="AM1952" i="2"/>
  <c r="AM1954" i="2" s="1"/>
  <c r="AM1955" i="2" l="1"/>
  <c r="AN1956" i="2" s="1"/>
  <c r="AM1962" i="2"/>
  <c r="AM1964" i="2" s="1"/>
  <c r="AM1963" i="2"/>
  <c r="AM1965" i="2" s="1"/>
  <c r="AO1978" i="2"/>
  <c r="AM1972" i="2"/>
  <c r="AM1980" i="2"/>
  <c r="AM1971" i="2"/>
  <c r="AM1966" i="2" l="1"/>
  <c r="AN1967" i="2" s="1"/>
  <c r="AO1989" i="2"/>
  <c r="AM1983" i="2"/>
  <c r="AM1991" i="2"/>
  <c r="AM1982" i="2"/>
  <c r="AM1973" i="2"/>
  <c r="AM1975" i="2" s="1"/>
  <c r="AM1974" i="2"/>
  <c r="AM1976" i="2" s="1"/>
  <c r="AM1977" i="2" l="1"/>
  <c r="AN1978" i="2" s="1"/>
  <c r="AM1994" i="2"/>
  <c r="AM2002" i="2"/>
  <c r="AM1993" i="2"/>
  <c r="AO2000" i="2"/>
  <c r="AM1984" i="2"/>
  <c r="AM1986" i="2" s="1"/>
  <c r="AM1985" i="2"/>
  <c r="AM1987" i="2" s="1"/>
  <c r="AM1988" i="2" l="1"/>
  <c r="AN1989" i="2" s="1"/>
  <c r="AO2011" i="2"/>
  <c r="AM2005" i="2"/>
  <c r="AM2013" i="2"/>
  <c r="AM2004" i="2"/>
  <c r="AM1995" i="2"/>
  <c r="AM1997" i="2" s="1"/>
  <c r="AM1996" i="2"/>
  <c r="AM1998" i="2" s="1"/>
  <c r="AM1999" i="2" l="1"/>
  <c r="AN2000" i="2" s="1"/>
  <c r="AM2024" i="2"/>
  <c r="AM2015" i="2"/>
  <c r="AO2022" i="2"/>
  <c r="AM2016" i="2"/>
  <c r="AM2006" i="2"/>
  <c r="AM2008" i="2" s="1"/>
  <c r="AM2007" i="2"/>
  <c r="AM2009" i="2" s="1"/>
  <c r="AM2010" i="2" l="1"/>
  <c r="AN2011" i="2" s="1"/>
  <c r="AM2027" i="2"/>
  <c r="AM2035" i="2"/>
  <c r="AM2026" i="2"/>
  <c r="AO2033" i="2"/>
  <c r="AM2017" i="2"/>
  <c r="AM2019" i="2" s="1"/>
  <c r="AM2018" i="2"/>
  <c r="AM2020" i="2" s="1"/>
  <c r="AM2021" i="2" l="1"/>
  <c r="AN2022" i="2" s="1"/>
  <c r="AM2046" i="2"/>
  <c r="AM2037" i="2"/>
  <c r="AO2044" i="2"/>
  <c r="AM2038" i="2"/>
  <c r="AM2028" i="2"/>
  <c r="AM2030" i="2" s="1"/>
  <c r="AM2029" i="2"/>
  <c r="AM2031" i="2" s="1"/>
  <c r="AM2032" i="2" l="1"/>
  <c r="AN2033" i="2" s="1"/>
  <c r="AO2055" i="2"/>
  <c r="AM2049" i="2"/>
  <c r="AM2057" i="2"/>
  <c r="AM2048" i="2"/>
  <c r="AM2039" i="2"/>
  <c r="AM2041" i="2" s="1"/>
  <c r="AM2040" i="2"/>
  <c r="AM2042" i="2" s="1"/>
  <c r="AM2043" i="2" l="1"/>
  <c r="AN2044" i="2" s="1"/>
  <c r="AM2068" i="2"/>
  <c r="AM2059" i="2"/>
  <c r="AO2066" i="2"/>
  <c r="AM2060" i="2"/>
  <c r="AM2050" i="2"/>
  <c r="AM2052" i="2" s="1"/>
  <c r="AM2051" i="2"/>
  <c r="AM2053" i="2" s="1"/>
  <c r="AM2054" i="2" l="1"/>
  <c r="AN2055" i="2" s="1"/>
  <c r="AM2071" i="2"/>
  <c r="AM2079" i="2"/>
  <c r="AM2070" i="2"/>
  <c r="AO2077" i="2"/>
  <c r="AM2061" i="2"/>
  <c r="AM2063" i="2" s="1"/>
  <c r="AM2062" i="2"/>
  <c r="AM2064" i="2" s="1"/>
  <c r="AM2065" i="2" l="1"/>
  <c r="AN2066" i="2" s="1"/>
  <c r="AM2090" i="2"/>
  <c r="AM2081" i="2"/>
  <c r="AO2088" i="2"/>
  <c r="AM2082" i="2"/>
  <c r="AM2072" i="2"/>
  <c r="AM2074" i="2" s="1"/>
  <c r="AM2073" i="2"/>
  <c r="AM2075" i="2" s="1"/>
  <c r="AM2076" i="2" l="1"/>
  <c r="AN2077" i="2" s="1"/>
  <c r="AM2101" i="2"/>
  <c r="AM2092" i="2"/>
  <c r="AO2099" i="2"/>
  <c r="AM2093" i="2"/>
  <c r="AM2083" i="2"/>
  <c r="AM2085" i="2" s="1"/>
  <c r="AM2084" i="2"/>
  <c r="AM2086" i="2" s="1"/>
  <c r="AM2087" i="2" l="1"/>
  <c r="AN2088" i="2" s="1"/>
  <c r="AM2112" i="2"/>
  <c r="AM2103" i="2"/>
  <c r="AO2110" i="2"/>
  <c r="AM2104" i="2"/>
  <c r="AM2094" i="2"/>
  <c r="AM2096" i="2" s="1"/>
  <c r="AM2095" i="2"/>
  <c r="AM2097" i="2" s="1"/>
  <c r="AM2098" i="2" l="1"/>
  <c r="AN2099" i="2" s="1"/>
  <c r="AO2121" i="2"/>
  <c r="AM2115" i="2"/>
  <c r="AM2123" i="2"/>
  <c r="AM2114" i="2"/>
  <c r="AM2105" i="2"/>
  <c r="AM2107" i="2" s="1"/>
  <c r="AM2106" i="2"/>
  <c r="AM2108" i="2" s="1"/>
  <c r="AM2109" i="2" l="1"/>
  <c r="AN2110" i="2" s="1"/>
  <c r="AM2134" i="2"/>
  <c r="AM2125" i="2"/>
  <c r="AO2132" i="2"/>
  <c r="AM2126" i="2"/>
  <c r="AM2116" i="2"/>
  <c r="AM2118" i="2" s="1"/>
  <c r="AM2117" i="2"/>
  <c r="AM2119" i="2" s="1"/>
  <c r="AM2120" i="2" l="1"/>
  <c r="AN2121" i="2" s="1"/>
  <c r="AM2137" i="2"/>
  <c r="AM2145" i="2"/>
  <c r="AM2136" i="2"/>
  <c r="AO2143" i="2"/>
  <c r="AM2127" i="2"/>
  <c r="AM2129" i="2" s="1"/>
  <c r="AM2128" i="2"/>
  <c r="AM2130" i="2" s="1"/>
  <c r="AM2131" i="2" l="1"/>
  <c r="AN2132" i="2" s="1"/>
  <c r="AM2147" i="2"/>
  <c r="AO2154" i="2"/>
  <c r="AM2148" i="2"/>
  <c r="AM2156" i="2"/>
  <c r="AM2138" i="2"/>
  <c r="AM2140" i="2" s="1"/>
  <c r="AM2139" i="2"/>
  <c r="AM2141" i="2" s="1"/>
  <c r="AM2142" i="2" l="1"/>
  <c r="AN2143" i="2" s="1"/>
  <c r="AM2149" i="2"/>
  <c r="AM2151" i="2" s="1"/>
  <c r="AM2150" i="2"/>
  <c r="AM2152" i="2" s="1"/>
  <c r="AM2159" i="2"/>
  <c r="AM2167" i="2"/>
  <c r="AM2158" i="2"/>
  <c r="AO2165" i="2"/>
  <c r="AM2153" i="2" l="1"/>
  <c r="AN2154" i="2" s="1"/>
  <c r="AM2160" i="2"/>
  <c r="AM2162" i="2" s="1"/>
  <c r="AM2161" i="2"/>
  <c r="AM2163" i="2" s="1"/>
  <c r="AM2169" i="2"/>
  <c r="AO2176" i="2"/>
  <c r="AM2170" i="2"/>
  <c r="AM2178" i="2"/>
  <c r="AM2164" i="2" l="1"/>
  <c r="AN2165" i="2" s="1"/>
  <c r="AM2181" i="2"/>
  <c r="AM2189" i="2"/>
  <c r="AM2180" i="2"/>
  <c r="AO2187" i="2"/>
  <c r="AM2171" i="2"/>
  <c r="AM2173" i="2" s="1"/>
  <c r="AM2172" i="2"/>
  <c r="AM2174" i="2" s="1"/>
  <c r="AM2175" i="2" l="1"/>
  <c r="AN2176" i="2" s="1"/>
  <c r="AM2200" i="2"/>
  <c r="AM2191" i="2"/>
  <c r="AO2198" i="2"/>
  <c r="AM2192" i="2"/>
  <c r="AM2182" i="2"/>
  <c r="AM2184" i="2" s="1"/>
  <c r="AM2183" i="2"/>
  <c r="AM2185" i="2" s="1"/>
  <c r="AM2186" i="2" l="1"/>
  <c r="AN2187" i="2" s="1"/>
  <c r="AM2203" i="2"/>
  <c r="AM2211" i="2"/>
  <c r="AM2202" i="2"/>
  <c r="AO2209" i="2"/>
  <c r="AM2193" i="2"/>
  <c r="AM2195" i="2" s="1"/>
  <c r="AM2194" i="2"/>
  <c r="AM2196" i="2" s="1"/>
  <c r="AM2197" i="2" l="1"/>
  <c r="AN2198" i="2" s="1"/>
  <c r="AM2222" i="2"/>
  <c r="AM2213" i="2"/>
  <c r="AO2220" i="2"/>
  <c r="AM2214" i="2"/>
  <c r="AM2204" i="2"/>
  <c r="AM2206" i="2" s="1"/>
  <c r="AM2205" i="2"/>
  <c r="AM2207" i="2" s="1"/>
  <c r="AM2208" i="2" l="1"/>
  <c r="AN2209" i="2" s="1"/>
  <c r="AM2225" i="2"/>
  <c r="AM2233" i="2"/>
  <c r="AM2224" i="2"/>
  <c r="AO2231" i="2"/>
  <c r="AM2215" i="2"/>
  <c r="AM2217" i="2" s="1"/>
  <c r="AM2216" i="2"/>
  <c r="AM2218" i="2" s="1"/>
  <c r="AM2219" i="2" l="1"/>
  <c r="AN2220" i="2" s="1"/>
  <c r="AM2244" i="2"/>
  <c r="AM2235" i="2"/>
  <c r="AO2242" i="2"/>
  <c r="AM2236" i="2"/>
  <c r="AM2226" i="2"/>
  <c r="AM2228" i="2" s="1"/>
  <c r="AM2227" i="2"/>
  <c r="AM2229" i="2" s="1"/>
  <c r="AM2230" i="2" l="1"/>
  <c r="AN2231" i="2" s="1"/>
  <c r="AM2247" i="2"/>
  <c r="AM2255" i="2"/>
  <c r="AM2246" i="2"/>
  <c r="AO2253" i="2"/>
  <c r="AM2237" i="2"/>
  <c r="AM2239" i="2" s="1"/>
  <c r="AM2238" i="2"/>
  <c r="AM2240" i="2" s="1"/>
  <c r="AM2241" i="2" l="1"/>
  <c r="AN2242" i="2" s="1"/>
  <c r="AM2266" i="2"/>
  <c r="AM2257" i="2"/>
  <c r="AO2264" i="2"/>
  <c r="AM2258" i="2"/>
  <c r="AM2248" i="2"/>
  <c r="AM2250" i="2" s="1"/>
  <c r="AM2249" i="2"/>
  <c r="AM2251" i="2" s="1"/>
  <c r="AM2252" i="2" l="1"/>
  <c r="AN2253" i="2" s="1"/>
  <c r="AM2269" i="2"/>
  <c r="AM2277" i="2"/>
  <c r="AM2268" i="2"/>
  <c r="AO2275" i="2"/>
  <c r="AM2259" i="2"/>
  <c r="AM2261" i="2" s="1"/>
  <c r="AM2260" i="2"/>
  <c r="AM2262" i="2" s="1"/>
  <c r="AM2263" i="2" l="1"/>
  <c r="AN2264" i="2" s="1"/>
  <c r="AM2288" i="2"/>
  <c r="AM2279" i="2"/>
  <c r="AO2286" i="2"/>
  <c r="AM2280" i="2"/>
  <c r="AM2270" i="2"/>
  <c r="AM2272" i="2" s="1"/>
  <c r="AM2271" i="2"/>
  <c r="AM2273" i="2" s="1"/>
  <c r="AM2274" i="2" l="1"/>
  <c r="AN2275" i="2" s="1"/>
  <c r="AM2299" i="2"/>
  <c r="AM2290" i="2"/>
  <c r="AO2297" i="2"/>
  <c r="AM2291" i="2"/>
  <c r="AM2281" i="2"/>
  <c r="AM2283" i="2" s="1"/>
  <c r="AM2282" i="2"/>
  <c r="AM2284" i="2" s="1"/>
  <c r="AM2285" i="2" l="1"/>
  <c r="AN2286" i="2" s="1"/>
  <c r="AM2310" i="2"/>
  <c r="AM2301" i="2"/>
  <c r="AO2308" i="2"/>
  <c r="AM2302" i="2"/>
  <c r="AM2292" i="2"/>
  <c r="AM2294" i="2" s="1"/>
  <c r="AM2293" i="2"/>
  <c r="AM2295" i="2" s="1"/>
  <c r="AM2296" i="2" l="1"/>
  <c r="AN2297" i="2" s="1"/>
  <c r="AM2321" i="2"/>
  <c r="AM2312" i="2"/>
  <c r="AO2319" i="2"/>
  <c r="AM2313" i="2"/>
  <c r="AM2303" i="2"/>
  <c r="AM2305" i="2" s="1"/>
  <c r="AM2304" i="2"/>
  <c r="AM2306" i="2" s="1"/>
  <c r="AM2307" i="2" l="1"/>
  <c r="AN2308" i="2" s="1"/>
  <c r="AM2324" i="2"/>
  <c r="AM2332" i="2"/>
  <c r="AM2323" i="2"/>
  <c r="AO2330" i="2"/>
  <c r="AM2314" i="2"/>
  <c r="AM2316" i="2" s="1"/>
  <c r="AM2315" i="2"/>
  <c r="AM2317" i="2" s="1"/>
  <c r="AM2318" i="2" l="1"/>
  <c r="AN2319" i="2" s="1"/>
  <c r="AM2335" i="2"/>
  <c r="AM2343" i="2"/>
  <c r="AM2334" i="2"/>
  <c r="AO2341" i="2"/>
  <c r="AM2325" i="2"/>
  <c r="AM2327" i="2" s="1"/>
  <c r="AM2326" i="2"/>
  <c r="AM2328" i="2" s="1"/>
  <c r="AM2329" i="2" l="1"/>
  <c r="AN2330" i="2" s="1"/>
  <c r="AM2345" i="2"/>
  <c r="AO2352" i="2"/>
  <c r="AM2346" i="2"/>
  <c r="AM2354" i="2"/>
  <c r="AM2336" i="2"/>
  <c r="AM2338" i="2" s="1"/>
  <c r="AM2337" i="2"/>
  <c r="AM2339" i="2" s="1"/>
  <c r="AM2340" i="2" l="1"/>
  <c r="AN2341" i="2" s="1"/>
  <c r="AM2347" i="2"/>
  <c r="AM2349" i="2" s="1"/>
  <c r="AM2348" i="2"/>
  <c r="AM2350" i="2" s="1"/>
  <c r="AM2365" i="2"/>
  <c r="AM2356" i="2"/>
  <c r="AO2363" i="2"/>
  <c r="AM2357" i="2"/>
  <c r="AM2351" i="2" l="1"/>
  <c r="AN2352" i="2" s="1"/>
  <c r="AM2376" i="2"/>
  <c r="AM2367" i="2"/>
  <c r="AO2374" i="2"/>
  <c r="AM2368" i="2"/>
  <c r="AM2358" i="2"/>
  <c r="AM2360" i="2" s="1"/>
  <c r="AM2359" i="2"/>
  <c r="AM2361" i="2" s="1"/>
  <c r="AM2362" i="2" l="1"/>
  <c r="AN2363" i="2" s="1"/>
  <c r="AO2385" i="2"/>
  <c r="AM2379" i="2"/>
  <c r="AM2387" i="2"/>
  <c r="AM2378" i="2"/>
  <c r="AM2369" i="2"/>
  <c r="AM2371" i="2" s="1"/>
  <c r="AM2370" i="2"/>
  <c r="AM2372" i="2" s="1"/>
  <c r="AM2373" i="2" l="1"/>
  <c r="AN2374" i="2" s="1"/>
  <c r="AM2398" i="2"/>
  <c r="AM2389" i="2"/>
  <c r="AO2396" i="2"/>
  <c r="AM2390" i="2"/>
  <c r="AM2380" i="2"/>
  <c r="AM2382" i="2" s="1"/>
  <c r="AM2381" i="2"/>
  <c r="AM2383" i="2" s="1"/>
  <c r="AM2384" i="2" l="1"/>
  <c r="AN2385" i="2" s="1"/>
  <c r="AM2401" i="2"/>
  <c r="AM2409" i="2"/>
  <c r="AM2400" i="2"/>
  <c r="AO2407" i="2"/>
  <c r="AM2391" i="2"/>
  <c r="AM2393" i="2" s="1"/>
  <c r="AM2392" i="2"/>
  <c r="AM2394" i="2" s="1"/>
  <c r="AM2395" i="2" l="1"/>
  <c r="AN2396" i="2" s="1"/>
  <c r="AO2418" i="2"/>
  <c r="AM2411" i="2"/>
  <c r="AM2412" i="2"/>
  <c r="AM2420" i="2"/>
  <c r="AM2402" i="2"/>
  <c r="AM2403" i="2"/>
  <c r="AM2405" i="2" s="1"/>
  <c r="AM2404" i="2" l="1"/>
  <c r="AM2406" i="2" s="1"/>
  <c r="AN2407" i="2" s="1"/>
  <c r="AM2413" i="2"/>
  <c r="AM2415" i="2" s="1"/>
  <c r="AM2414" i="2"/>
  <c r="AM2416" i="2" s="1"/>
  <c r="AO2429" i="2"/>
  <c r="AM2423" i="2"/>
  <c r="AM2431" i="2"/>
  <c r="AM2422" i="2"/>
  <c r="AM2417" i="2" l="1"/>
  <c r="AN2418" i="2" s="1"/>
  <c r="AM2433" i="2"/>
  <c r="AO2440" i="2"/>
  <c r="AM2434" i="2"/>
  <c r="AM2442" i="2"/>
  <c r="AM2424" i="2"/>
  <c r="AM2426" i="2" s="1"/>
  <c r="AM2425" i="2"/>
  <c r="AM2427" i="2" s="1"/>
  <c r="AM2428" i="2" l="1"/>
  <c r="AN2429" i="2" s="1"/>
  <c r="AM2435" i="2"/>
  <c r="AM2437" i="2" s="1"/>
  <c r="AM2436" i="2"/>
  <c r="AM2438" i="2" s="1"/>
  <c r="AO2451" i="2"/>
  <c r="AM2445" i="2"/>
  <c r="AM2453" i="2"/>
  <c r="AM2444" i="2"/>
  <c r="AM2439" i="2" l="1"/>
  <c r="AN2440" i="2" s="1"/>
  <c r="AO2462" i="2"/>
  <c r="AM2456" i="2"/>
  <c r="AM2464" i="2"/>
  <c r="AM2455" i="2"/>
  <c r="AM2446" i="2"/>
  <c r="AM2448" i="2" s="1"/>
  <c r="AM2447" i="2"/>
  <c r="AM2449" i="2" s="1"/>
  <c r="AM2450" i="2" l="1"/>
  <c r="AN2451" i="2" s="1"/>
  <c r="AO2473" i="2"/>
  <c r="AM2467" i="2"/>
  <c r="AM2475" i="2"/>
  <c r="AM2466" i="2"/>
  <c r="AM2457" i="2"/>
  <c r="AM2459" i="2" s="1"/>
  <c r="AM2458" i="2"/>
  <c r="AM2460" i="2" s="1"/>
  <c r="AM2461" i="2" l="1"/>
  <c r="AN2462" i="2" s="1"/>
  <c r="AO2484" i="2"/>
  <c r="AM2478" i="2"/>
  <c r="AM2486" i="2"/>
  <c r="AM2477" i="2"/>
  <c r="AM2468" i="2"/>
  <c r="AM2470" i="2" s="1"/>
  <c r="AM2469" i="2"/>
  <c r="AM2471" i="2" s="1"/>
  <c r="AM2472" i="2" l="1"/>
  <c r="AN2473" i="2" s="1"/>
  <c r="AO2495" i="2"/>
  <c r="AM2489" i="2"/>
  <c r="AM2497" i="2"/>
  <c r="AM2488" i="2"/>
  <c r="AM2479" i="2"/>
  <c r="AM2481" i="2" s="1"/>
  <c r="AM2480" i="2"/>
  <c r="AM2482" i="2" s="1"/>
  <c r="AM2483" i="2" l="1"/>
  <c r="AN2484" i="2" s="1"/>
  <c r="AO2506" i="2"/>
  <c r="AM2500" i="2"/>
  <c r="AM2508" i="2"/>
  <c r="AM2499" i="2"/>
  <c r="AM2490" i="2"/>
  <c r="AM2492" i="2" s="1"/>
  <c r="AM2491" i="2"/>
  <c r="AM2493" i="2" s="1"/>
  <c r="AM2494" i="2" l="1"/>
  <c r="AN2495" i="2" s="1"/>
  <c r="AO2517" i="2"/>
  <c r="AM2511" i="2"/>
  <c r="AM2519" i="2"/>
  <c r="AM2510" i="2"/>
  <c r="AM2501" i="2"/>
  <c r="AM2503" i="2" s="1"/>
  <c r="AM2502" i="2"/>
  <c r="AM2504" i="2" s="1"/>
  <c r="AM2505" i="2" l="1"/>
  <c r="AN2506" i="2" s="1"/>
  <c r="AO2528" i="2"/>
  <c r="AM2522" i="2"/>
  <c r="AM2530" i="2"/>
  <c r="AM2521" i="2"/>
  <c r="AM2512" i="2"/>
  <c r="AM2514" i="2" s="1"/>
  <c r="AM2513" i="2"/>
  <c r="AM2515" i="2" s="1"/>
  <c r="AM2516" i="2" l="1"/>
  <c r="AN2517" i="2" s="1"/>
  <c r="AO2539" i="2"/>
  <c r="AM2541" i="2"/>
  <c r="AM2532" i="2"/>
  <c r="AM2533" i="2"/>
  <c r="AM2523" i="2"/>
  <c r="AM2525" i="2" s="1"/>
  <c r="AM2524" i="2"/>
  <c r="AM2526" i="2" s="1"/>
  <c r="AM2527" i="2" l="1"/>
  <c r="AN2528" i="2" s="1"/>
  <c r="AM2543" i="2"/>
  <c r="AO2550" i="2"/>
  <c r="AM2544" i="2"/>
  <c r="AM2552" i="2"/>
  <c r="AM2534" i="2"/>
  <c r="AM2536" i="2" s="1"/>
  <c r="AM2535" i="2"/>
  <c r="AM2537" i="2" s="1"/>
  <c r="AM2538" i="2" l="1"/>
  <c r="AN2539" i="2" s="1"/>
  <c r="AM2545" i="2"/>
  <c r="AM2547" i="2" s="1"/>
  <c r="AM2546" i="2"/>
  <c r="AM2548" i="2" s="1"/>
  <c r="AM2554" i="2"/>
  <c r="AO2561" i="2"/>
  <c r="AM2555" i="2"/>
  <c r="AM2563" i="2"/>
  <c r="AM2549" i="2" l="1"/>
  <c r="AN2550" i="2" s="1"/>
  <c r="AM2565" i="2"/>
  <c r="AO2572" i="2"/>
  <c r="AM2566" i="2"/>
  <c r="AM2574" i="2"/>
  <c r="AM2556" i="2"/>
  <c r="AM2558" i="2" s="1"/>
  <c r="AM2557" i="2"/>
  <c r="AM2559" i="2" s="1"/>
  <c r="AM2560" i="2" l="1"/>
  <c r="AN2561" i="2" s="1"/>
  <c r="AM2567" i="2"/>
  <c r="AM2569" i="2" s="1"/>
  <c r="AM2568" i="2"/>
  <c r="AM2570" i="2" s="1"/>
  <c r="AM2576" i="2"/>
  <c r="AO2583" i="2"/>
  <c r="AM2577" i="2"/>
  <c r="AM2585" i="2"/>
  <c r="AM2571" i="2" l="1"/>
  <c r="AN2572" i="2" s="1"/>
  <c r="AM2587" i="2"/>
  <c r="AO2594" i="2"/>
  <c r="AM2588" i="2"/>
  <c r="AM2596" i="2"/>
  <c r="AM2578" i="2"/>
  <c r="AM2580" i="2" s="1"/>
  <c r="AM2579" i="2"/>
  <c r="AM2581" i="2" s="1"/>
  <c r="AM2582" i="2" l="1"/>
  <c r="AN2583" i="2" s="1"/>
  <c r="AM2589" i="2"/>
  <c r="AM2591" i="2" s="1"/>
  <c r="AM2590" i="2"/>
  <c r="AM2592" i="2" s="1"/>
  <c r="AM2598" i="2"/>
  <c r="AO2605" i="2"/>
  <c r="AM2599" i="2"/>
  <c r="AM2607" i="2"/>
  <c r="AM2593" i="2" l="1"/>
  <c r="AN2594" i="2" s="1"/>
  <c r="AO2616" i="2"/>
  <c r="AM2610" i="2"/>
  <c r="AM2618" i="2"/>
  <c r="AM2609" i="2"/>
  <c r="AM2600" i="2"/>
  <c r="AM2602" i="2" s="1"/>
  <c r="AM2601" i="2"/>
  <c r="AM2603" i="2" s="1"/>
  <c r="AM2604" i="2" l="1"/>
  <c r="AN2605" i="2" s="1"/>
  <c r="AO2627" i="2"/>
  <c r="AM2621" i="2"/>
  <c r="AM2629" i="2"/>
  <c r="AM2620" i="2"/>
  <c r="AM2611" i="2"/>
  <c r="AM2613" i="2" s="1"/>
  <c r="AM2612" i="2"/>
  <c r="AM2614" i="2" s="1"/>
  <c r="AM2615" i="2" l="1"/>
  <c r="AN2616" i="2" s="1"/>
  <c r="AM2632" i="2"/>
  <c r="AM2640" i="2"/>
  <c r="AM2631" i="2"/>
  <c r="AO2638" i="2"/>
  <c r="AM2622" i="2"/>
  <c r="AM2624" i="2" s="1"/>
  <c r="AM2623" i="2"/>
  <c r="AM2625" i="2" s="1"/>
  <c r="AM2626" i="2" l="1"/>
  <c r="AN2627" i="2" s="1"/>
  <c r="AM2643" i="2"/>
  <c r="AM2651" i="2"/>
  <c r="AM2642" i="2"/>
  <c r="AO2649" i="2"/>
  <c r="AM2633" i="2"/>
  <c r="AM2635" i="2" s="1"/>
  <c r="AM2634" i="2"/>
  <c r="AM2636" i="2" s="1"/>
  <c r="AM2637" i="2" l="1"/>
  <c r="AN2638" i="2" s="1"/>
  <c r="AO2660" i="2"/>
  <c r="AM2654" i="2"/>
  <c r="AM2662" i="2"/>
  <c r="AM2653" i="2"/>
  <c r="AM2644" i="2"/>
  <c r="AM2646" i="2" s="1"/>
  <c r="AM2645" i="2"/>
  <c r="AM2647" i="2" s="1"/>
  <c r="AM2648" i="2" l="1"/>
  <c r="AN2649" i="2" s="1"/>
  <c r="AO2671" i="2"/>
  <c r="AM2665" i="2"/>
  <c r="AM2673" i="2"/>
  <c r="AM2664" i="2"/>
  <c r="AM2655" i="2"/>
  <c r="AM2657" i="2" s="1"/>
  <c r="AM2656" i="2"/>
  <c r="AM2658" i="2" s="1"/>
  <c r="AM2659" i="2" l="1"/>
  <c r="AN2660" i="2" s="1"/>
  <c r="AO2682" i="2"/>
  <c r="AM2684" i="2"/>
  <c r="AM2676" i="2"/>
  <c r="AM2675" i="2"/>
  <c r="AM2666" i="2"/>
  <c r="AM2668" i="2" s="1"/>
  <c r="AM2667" i="2"/>
  <c r="AM2669" i="2" s="1"/>
  <c r="AM2670" i="2" l="1"/>
  <c r="AN2671" i="2" s="1"/>
  <c r="AM2686" i="2"/>
  <c r="AM2695" i="2"/>
  <c r="AO2693" i="2"/>
  <c r="AM2687" i="2"/>
  <c r="AM2677" i="2"/>
  <c r="AM2679" i="2" s="1"/>
  <c r="AM2678" i="2"/>
  <c r="AM2680" i="2" s="1"/>
  <c r="AM2681" i="2" l="1"/>
  <c r="AN2682" i="2" s="1"/>
  <c r="AM2688" i="2"/>
  <c r="AM2690" i="2" s="1"/>
  <c r="AM2689" i="2"/>
  <c r="AM2691" i="2" s="1"/>
  <c r="AM2697" i="2"/>
  <c r="AM2698" i="2"/>
  <c r="AO2704" i="2"/>
  <c r="AM2706" i="2"/>
  <c r="AM2692" i="2" l="1"/>
  <c r="AN2693" i="2" s="1"/>
  <c r="AO2715" i="2"/>
  <c r="AM2709" i="2"/>
  <c r="AM2717" i="2"/>
  <c r="AM2708" i="2"/>
  <c r="AM2699" i="2"/>
  <c r="AM2701" i="2" s="1"/>
  <c r="AM2700" i="2"/>
  <c r="AM2702" i="2" s="1"/>
  <c r="AM2703" i="2" l="1"/>
  <c r="AN2704" i="2" s="1"/>
  <c r="AM2719" i="2"/>
  <c r="AM2720" i="2"/>
  <c r="AM2728" i="2"/>
  <c r="AO2726" i="2"/>
  <c r="AM2710" i="2"/>
  <c r="AM2712" i="2" s="1"/>
  <c r="AM2711" i="2"/>
  <c r="AM2713" i="2" s="1"/>
  <c r="AM2714" i="2" l="1"/>
  <c r="AN2715" i="2" s="1"/>
  <c r="AM2721" i="2"/>
  <c r="AM2723" i="2" s="1"/>
  <c r="AM2722" i="2"/>
  <c r="AM2724" i="2" s="1"/>
  <c r="AO2737" i="2"/>
  <c r="AM2731" i="2"/>
  <c r="AM2739" i="2"/>
  <c r="AM2730" i="2"/>
  <c r="AM2725" i="2" l="1"/>
  <c r="AN2726" i="2" s="1"/>
  <c r="AM2741" i="2"/>
  <c r="AO2748" i="2"/>
  <c r="AM2742" i="2"/>
  <c r="AM2750" i="2"/>
  <c r="AM2732" i="2"/>
  <c r="AM2734" i="2" s="1"/>
  <c r="AM2733" i="2"/>
  <c r="AM2735" i="2" s="1"/>
  <c r="AM2736" i="2" l="1"/>
  <c r="AN2737" i="2" s="1"/>
  <c r="AM2743" i="2"/>
  <c r="AM2745" i="2" s="1"/>
  <c r="AM2744" i="2"/>
  <c r="AM2746" i="2" s="1"/>
  <c r="AM2752" i="2"/>
  <c r="AO2759" i="2"/>
  <c r="AM2753" i="2"/>
  <c r="AM2761" i="2"/>
  <c r="AM2747" i="2" l="1"/>
  <c r="AN2748" i="2" s="1"/>
  <c r="AO2770" i="2"/>
  <c r="AM2764" i="2"/>
  <c r="AM2772" i="2"/>
  <c r="AM2763" i="2"/>
  <c r="AM2754" i="2"/>
  <c r="AM2756" i="2" s="1"/>
  <c r="AM2755" i="2"/>
  <c r="AM2757" i="2" s="1"/>
  <c r="AM2758" i="2" l="1"/>
  <c r="AN2759" i="2" s="1"/>
  <c r="AM2774" i="2"/>
  <c r="AO2781" i="2"/>
  <c r="AM2775" i="2"/>
  <c r="AM2783" i="2"/>
  <c r="AM2765" i="2"/>
  <c r="AM2767" i="2" s="1"/>
  <c r="AM2766" i="2"/>
  <c r="AM2768" i="2" s="1"/>
  <c r="AM2769" i="2" l="1"/>
  <c r="AN2770" i="2" s="1"/>
  <c r="AM2776" i="2"/>
  <c r="AM2778" i="2" s="1"/>
  <c r="AM2777" i="2"/>
  <c r="AM2779" i="2" s="1"/>
  <c r="AM2785" i="2"/>
  <c r="AO2792" i="2"/>
  <c r="AM2786" i="2"/>
  <c r="AM2794" i="2"/>
  <c r="AM2780" i="2" l="1"/>
  <c r="AN2781" i="2" s="1"/>
  <c r="AM2797" i="2"/>
  <c r="AM2805" i="2"/>
  <c r="AM2796" i="2"/>
  <c r="AO2803" i="2"/>
  <c r="AM2787" i="2"/>
  <c r="AM2789" i="2" s="1"/>
  <c r="AM2788" i="2"/>
  <c r="AM2790" i="2" s="1"/>
  <c r="AM2791" i="2" l="1"/>
  <c r="AN2792" i="2" s="1"/>
  <c r="AM2807" i="2"/>
  <c r="AO2814" i="2"/>
  <c r="AM2808" i="2"/>
  <c r="AM2816" i="2"/>
  <c r="AM2798" i="2"/>
  <c r="AM2800" i="2" s="1"/>
  <c r="AM2799" i="2"/>
  <c r="AM2801" i="2" s="1"/>
  <c r="AM2802" i="2" l="1"/>
  <c r="AN2803" i="2" s="1"/>
  <c r="AM2809" i="2"/>
  <c r="AM2811" i="2" s="1"/>
  <c r="AM2810" i="2"/>
  <c r="AM2812" i="2" s="1"/>
  <c r="AM2818" i="2"/>
  <c r="AO2825" i="2"/>
  <c r="AM2819" i="2"/>
  <c r="AM2827" i="2"/>
  <c r="AM2813" i="2" l="1"/>
  <c r="AN2814" i="2" s="1"/>
  <c r="AO2836" i="2"/>
  <c r="AM2838" i="2"/>
  <c r="AM2829" i="2"/>
  <c r="AM2830" i="2"/>
  <c r="AM2820" i="2"/>
  <c r="AM2822" i="2" s="1"/>
  <c r="AM2821" i="2"/>
  <c r="AM2823" i="2" s="1"/>
  <c r="AM2824" i="2" l="1"/>
  <c r="AN2825" i="2" s="1"/>
  <c r="AM2840" i="2"/>
  <c r="AO2847" i="2"/>
  <c r="AM2841" i="2"/>
  <c r="AM2849" i="2"/>
  <c r="AM2831" i="2"/>
  <c r="AM2833" i="2" s="1"/>
  <c r="AM2832" i="2"/>
  <c r="AM2834" i="2" s="1"/>
  <c r="AM2835" i="2" l="1"/>
  <c r="AN2836" i="2" s="1"/>
  <c r="AM2842" i="2"/>
  <c r="AM2844" i="2" s="1"/>
  <c r="AM2843" i="2"/>
  <c r="AM2845" i="2" s="1"/>
  <c r="AO2858" i="2"/>
  <c r="AM2852" i="2"/>
  <c r="AM2860" i="2"/>
  <c r="AM2851" i="2"/>
  <c r="AM2846" i="2" l="1"/>
  <c r="AN2847" i="2" s="1"/>
  <c r="AM2863" i="2"/>
  <c r="AM2871" i="2"/>
  <c r="AM2862" i="2"/>
  <c r="AO2869" i="2"/>
  <c r="AM2853" i="2"/>
  <c r="AM2855" i="2" s="1"/>
  <c r="AM2854" i="2"/>
  <c r="AM2856" i="2" s="1"/>
  <c r="AM2857" i="2" l="1"/>
  <c r="AN2858" i="2" s="1"/>
  <c r="AO2880" i="2"/>
  <c r="AM2874" i="2"/>
  <c r="AM2882" i="2"/>
  <c r="AM2873" i="2"/>
  <c r="AM2864" i="2"/>
  <c r="AM2866" i="2" s="1"/>
  <c r="AM2865" i="2"/>
  <c r="AM2867" i="2" s="1"/>
  <c r="AM2868" i="2" l="1"/>
  <c r="AN2869" i="2" s="1"/>
  <c r="AO2891" i="2"/>
  <c r="AM2885" i="2"/>
  <c r="AM2893" i="2"/>
  <c r="AM2884" i="2"/>
  <c r="AM2875" i="2"/>
  <c r="AM2877" i="2" s="1"/>
  <c r="AM2876" i="2"/>
  <c r="AM2878" i="2" s="1"/>
  <c r="AM2879" i="2" l="1"/>
  <c r="AN2880" i="2" s="1"/>
  <c r="AO2902" i="2"/>
  <c r="AM2896" i="2"/>
  <c r="AM2904" i="2"/>
  <c r="AM2895" i="2"/>
  <c r="AM2886" i="2"/>
  <c r="AM2888" i="2" s="1"/>
  <c r="AM2887" i="2"/>
  <c r="AM2889" i="2" s="1"/>
  <c r="AM2890" i="2" l="1"/>
  <c r="AN2891" i="2" s="1"/>
  <c r="AM2906" i="2"/>
  <c r="AO2913" i="2"/>
  <c r="AM2907" i="2"/>
  <c r="AM2915" i="2"/>
  <c r="AM2897" i="2"/>
  <c r="AM2899" i="2" s="1"/>
  <c r="AM2898" i="2"/>
  <c r="AM2900" i="2" s="1"/>
  <c r="AM2901" i="2" l="1"/>
  <c r="AN2902" i="2" s="1"/>
  <c r="AM2908" i="2"/>
  <c r="AM2910" i="2" s="1"/>
  <c r="AM2909" i="2"/>
  <c r="AM2911" i="2" s="1"/>
  <c r="AO2924" i="2"/>
  <c r="AM2918" i="2"/>
  <c r="AM2926" i="2"/>
  <c r="AM2917" i="2"/>
  <c r="AM2912" i="2" l="1"/>
  <c r="AN2913" i="2" s="1"/>
  <c r="AO2935" i="2"/>
  <c r="AM2929" i="2"/>
  <c r="AM2937" i="2"/>
  <c r="AM2928" i="2"/>
  <c r="AM2919" i="2"/>
  <c r="AM2921" i="2" s="1"/>
  <c r="AM2920" i="2"/>
  <c r="AM2922" i="2" s="1"/>
  <c r="AM2923" i="2" l="1"/>
  <c r="AN2924" i="2" s="1"/>
  <c r="AO2946" i="2"/>
  <c r="AM2940" i="2"/>
  <c r="AM2948" i="2"/>
  <c r="AM2939" i="2"/>
  <c r="AM2930" i="2"/>
  <c r="AM2932" i="2" s="1"/>
  <c r="AM2931" i="2"/>
  <c r="AM2933" i="2" s="1"/>
  <c r="AM2934" i="2" l="1"/>
  <c r="AN2935" i="2" s="1"/>
  <c r="AO2957" i="2"/>
  <c r="AM2951" i="2"/>
  <c r="AM2959" i="2"/>
  <c r="AM2950" i="2"/>
  <c r="AM2941" i="2"/>
  <c r="AM2943" i="2" s="1"/>
  <c r="AM2942" i="2"/>
  <c r="AM2944" i="2" s="1"/>
  <c r="AM2945" i="2" l="1"/>
  <c r="AN2946" i="2" s="1"/>
  <c r="AO2968" i="2"/>
  <c r="AM2962" i="2"/>
  <c r="AM2970" i="2"/>
  <c r="AM2961" i="2"/>
  <c r="AM2952" i="2"/>
  <c r="AM2954" i="2" s="1"/>
  <c r="AM2953" i="2"/>
  <c r="AM2955" i="2" s="1"/>
  <c r="AM2956" i="2" l="1"/>
  <c r="AN2957" i="2" s="1"/>
  <c r="AM2972" i="2"/>
  <c r="AO2979" i="2"/>
  <c r="AM2973" i="2"/>
  <c r="AM2981" i="2"/>
  <c r="AM2963" i="2"/>
  <c r="AM2965" i="2" s="1"/>
  <c r="AM2964" i="2"/>
  <c r="AM2966" i="2" s="1"/>
  <c r="AM2967" i="2" l="1"/>
  <c r="AN2968" i="2" s="1"/>
  <c r="AM2974" i="2"/>
  <c r="AM2976" i="2" s="1"/>
  <c r="AM2975" i="2"/>
  <c r="AM2977" i="2" s="1"/>
  <c r="AM2984" i="2"/>
  <c r="AM2992" i="2"/>
  <c r="AM2983" i="2"/>
  <c r="AO2990" i="2"/>
  <c r="AM2978" i="2" l="1"/>
  <c r="AN2979" i="2" s="1"/>
  <c r="AM2985" i="2"/>
  <c r="AM2987" i="2" s="1"/>
  <c r="AM2986" i="2"/>
  <c r="AM2988" i="2" s="1"/>
  <c r="AO3001" i="2"/>
  <c r="AM2995" i="2"/>
  <c r="AM3003" i="2"/>
  <c r="AM2994" i="2"/>
  <c r="AM2989" i="2" l="1"/>
  <c r="AN2990" i="2" s="1"/>
  <c r="AO3012" i="2"/>
  <c r="AM3006" i="2"/>
  <c r="AM3014" i="2"/>
  <c r="AM3005" i="2"/>
  <c r="AM2996" i="2"/>
  <c r="AM2998" i="2" s="1"/>
  <c r="AM2997" i="2"/>
  <c r="AM2999" i="2" s="1"/>
  <c r="AM3000" i="2" l="1"/>
  <c r="AN3001" i="2" s="1"/>
  <c r="AO3023" i="2"/>
  <c r="AM3017" i="2"/>
  <c r="AM3025" i="2"/>
  <c r="AM3016" i="2"/>
  <c r="AM3007" i="2"/>
  <c r="AM3009" i="2" s="1"/>
  <c r="AM3008" i="2"/>
  <c r="AM3010" i="2" s="1"/>
  <c r="AM3011" i="2" l="1"/>
  <c r="AN3012" i="2" s="1"/>
  <c r="AO3034" i="2"/>
  <c r="AM3028" i="2"/>
  <c r="AM3036" i="2"/>
  <c r="AM3027" i="2"/>
  <c r="AM3018" i="2"/>
  <c r="AM3020" i="2" s="1"/>
  <c r="AM3019" i="2"/>
  <c r="AM3021" i="2" s="1"/>
  <c r="AM3022" i="2" l="1"/>
  <c r="AN3023" i="2" s="1"/>
  <c r="AM3038" i="2"/>
  <c r="AO3045" i="2"/>
  <c r="AM3039" i="2"/>
  <c r="AM3047" i="2"/>
  <c r="AM3029" i="2"/>
  <c r="AM3031" i="2" s="1"/>
  <c r="AM3030" i="2"/>
  <c r="AM3032" i="2" s="1"/>
  <c r="AM3033" i="2" l="1"/>
  <c r="AN3034" i="2" s="1"/>
  <c r="AM3040" i="2"/>
  <c r="AM3042" i="2" s="1"/>
  <c r="AM3041" i="2"/>
  <c r="AM3043" i="2" s="1"/>
  <c r="AO3056" i="2"/>
  <c r="AM3050" i="2"/>
  <c r="AM3058" i="2"/>
  <c r="AM3049" i="2"/>
  <c r="AM3044" i="2" l="1"/>
  <c r="AN3045" i="2" s="1"/>
  <c r="AO3067" i="2"/>
  <c r="AM3061" i="2"/>
  <c r="AM3069" i="2"/>
  <c r="AM3060" i="2"/>
  <c r="AM3051" i="2"/>
  <c r="AM3053" i="2" s="1"/>
  <c r="AM3052" i="2"/>
  <c r="AM3054" i="2" s="1"/>
  <c r="AM3055" i="2" l="1"/>
  <c r="AN3056" i="2" s="1"/>
  <c r="AO3078" i="2"/>
  <c r="AM3072" i="2"/>
  <c r="AM3080" i="2"/>
  <c r="AM3071" i="2"/>
  <c r="AM3062" i="2"/>
  <c r="AM3064" i="2" s="1"/>
  <c r="AM3063" i="2"/>
  <c r="AM3065" i="2" s="1"/>
  <c r="AM3066" i="2" l="1"/>
  <c r="AN3067" i="2" s="1"/>
  <c r="AM3083" i="2"/>
  <c r="AM3091" i="2"/>
  <c r="AM3082" i="2"/>
  <c r="AO3089" i="2"/>
  <c r="AM3073" i="2"/>
  <c r="AM3075" i="2" s="1"/>
  <c r="AM3074" i="2"/>
  <c r="AM3076" i="2" s="1"/>
  <c r="AM3077" i="2" l="1"/>
  <c r="AN3078" i="2" s="1"/>
  <c r="AO3100" i="2"/>
  <c r="AM3094" i="2"/>
  <c r="AM3102" i="2"/>
  <c r="AM3093" i="2"/>
  <c r="AM3084" i="2"/>
  <c r="AM3086" i="2" s="1"/>
  <c r="AM3085" i="2"/>
  <c r="AM3087" i="2" s="1"/>
  <c r="AM3088" i="2" l="1"/>
  <c r="AN3089" i="2" s="1"/>
  <c r="AO3111" i="2"/>
  <c r="AM3105" i="2"/>
  <c r="AM3113" i="2"/>
  <c r="AM3104" i="2"/>
  <c r="AM3095" i="2"/>
  <c r="AM3097" i="2" s="1"/>
  <c r="AM3096" i="2"/>
  <c r="AM3098" i="2" s="1"/>
  <c r="AM3099" i="2" l="1"/>
  <c r="AN3100" i="2" s="1"/>
  <c r="AO3122" i="2"/>
  <c r="AM3116" i="2"/>
  <c r="AM3124" i="2"/>
  <c r="AM3115" i="2"/>
  <c r="AM3106" i="2"/>
  <c r="AM3108" i="2" s="1"/>
  <c r="AM3107" i="2"/>
  <c r="AM3109" i="2" s="1"/>
  <c r="AM3110" i="2" l="1"/>
  <c r="AN3111" i="2" s="1"/>
  <c r="AM3126" i="2"/>
  <c r="AO3133" i="2"/>
  <c r="AM3127" i="2"/>
  <c r="AM3135" i="2"/>
  <c r="AM3117" i="2"/>
  <c r="AM3119" i="2" s="1"/>
  <c r="AM3118" i="2"/>
  <c r="AM3120" i="2" s="1"/>
  <c r="AM3121" i="2" l="1"/>
  <c r="AN3122" i="2" s="1"/>
  <c r="AM3128" i="2"/>
  <c r="AM3130" i="2" s="1"/>
  <c r="AM3129" i="2"/>
  <c r="AM3131" i="2" s="1"/>
  <c r="AM3137" i="2"/>
  <c r="AO3144" i="2"/>
  <c r="AM3138" i="2"/>
  <c r="AM3146" i="2"/>
  <c r="AM3132" i="2" l="1"/>
  <c r="AN3133" i="2" s="1"/>
  <c r="AM3149" i="2"/>
  <c r="AM3157" i="2"/>
  <c r="AM3148" i="2"/>
  <c r="AO3155" i="2"/>
  <c r="AM3139" i="2"/>
  <c r="AM3141" i="2" s="1"/>
  <c r="AM3140" i="2"/>
  <c r="AM3142" i="2" s="1"/>
  <c r="AM3143" i="2" l="1"/>
  <c r="AN3144" i="2" s="1"/>
  <c r="AM3150" i="2"/>
  <c r="AM3152" i="2" s="1"/>
  <c r="AM3151" i="2"/>
  <c r="AM3153" i="2" s="1"/>
  <c r="AO3166" i="2"/>
  <c r="AM3160" i="2"/>
  <c r="AM3168" i="2"/>
  <c r="AM3159" i="2"/>
  <c r="AM3154" i="2" l="1"/>
  <c r="AN3155" i="2" s="1"/>
  <c r="AO3177" i="2"/>
  <c r="AM3171" i="2"/>
  <c r="AM3179" i="2"/>
  <c r="AM3170" i="2"/>
  <c r="AM3161" i="2"/>
  <c r="AM3163" i="2" s="1"/>
  <c r="AM3162" i="2"/>
  <c r="AM3164" i="2" s="1"/>
  <c r="AM3165" i="2" l="1"/>
  <c r="AN3166" i="2" s="1"/>
  <c r="AO3188" i="2"/>
  <c r="AM3182" i="2"/>
  <c r="AM3190" i="2"/>
  <c r="AM3181" i="2"/>
  <c r="AM3172" i="2"/>
  <c r="AM3174" i="2" s="1"/>
  <c r="AM3173" i="2"/>
  <c r="AM3175" i="2" s="1"/>
  <c r="AM3176" i="2" l="1"/>
  <c r="AN3177" i="2" s="1"/>
  <c r="AM3193" i="2"/>
  <c r="AM3201" i="2"/>
  <c r="AM3192" i="2"/>
  <c r="AO3199" i="2"/>
  <c r="AM3183" i="2"/>
  <c r="AM3185" i="2" s="1"/>
  <c r="AM3184" i="2"/>
  <c r="AM3186" i="2" s="1"/>
  <c r="AM3187" i="2" l="1"/>
  <c r="AN3188" i="2" s="1"/>
  <c r="AM3204" i="2"/>
  <c r="AM3212" i="2"/>
  <c r="AM3203" i="2"/>
  <c r="AO3210" i="2"/>
  <c r="AM3194" i="2"/>
  <c r="AM3196" i="2" s="1"/>
  <c r="AM3195" i="2"/>
  <c r="AM3197" i="2" s="1"/>
  <c r="AM3198" i="2" l="1"/>
  <c r="AN3199" i="2" s="1"/>
  <c r="AM3205" i="2"/>
  <c r="AM3206" i="2"/>
  <c r="AM3208" i="2" s="1"/>
  <c r="AM3215" i="2"/>
  <c r="AM3223" i="2"/>
  <c r="AM3214" i="2"/>
  <c r="AO3221" i="2"/>
  <c r="AM3216" i="2" l="1"/>
  <c r="AM3218" i="2" s="1"/>
  <c r="AM3217" i="2"/>
  <c r="AM3219" i="2" s="1"/>
  <c r="AM3207" i="2"/>
  <c r="AM3209" i="2" s="1"/>
  <c r="AN3210" i="2" s="1"/>
  <c r="AM3226" i="2"/>
  <c r="AM3234" i="2"/>
  <c r="AM3225" i="2"/>
  <c r="AO3232" i="2"/>
  <c r="AM3220" i="2" l="1"/>
  <c r="AN3221" i="2" s="1"/>
  <c r="AM3227" i="2"/>
  <c r="AM3229" i="2" s="1"/>
  <c r="AM3228" i="2"/>
  <c r="AM3230" i="2" s="1"/>
  <c r="AM3236" i="2"/>
  <c r="AO3243" i="2"/>
  <c r="AM3237" i="2"/>
  <c r="AM3245" i="2"/>
  <c r="AM3231" i="2" l="1"/>
  <c r="AN3232" i="2" s="1"/>
  <c r="AO3254" i="2"/>
  <c r="AM3248" i="2"/>
  <c r="AM3256" i="2"/>
  <c r="AM3247" i="2"/>
  <c r="AM3238" i="2"/>
  <c r="AM3240" i="2" s="1"/>
  <c r="AM3239" i="2"/>
  <c r="AM3241" i="2" s="1"/>
  <c r="AM3242" i="2" l="1"/>
  <c r="AN3243" i="2" s="1"/>
  <c r="AM3258" i="2"/>
  <c r="AO3265" i="2"/>
  <c r="AM3259" i="2"/>
  <c r="AM3267" i="2"/>
  <c r="AM3249" i="2"/>
  <c r="AM3251" i="2" s="1"/>
  <c r="AM3250" i="2"/>
  <c r="AM3252" i="2" s="1"/>
  <c r="AM3253" i="2" l="1"/>
  <c r="AN3254" i="2" s="1"/>
  <c r="AM3260" i="2"/>
  <c r="AM3262" i="2" s="1"/>
  <c r="AM3261" i="2"/>
  <c r="AM3263" i="2" s="1"/>
  <c r="AM3270" i="2"/>
  <c r="AM3278" i="2"/>
  <c r="AM3269" i="2"/>
  <c r="AO3276" i="2"/>
  <c r="AM3264" i="2" l="1"/>
  <c r="AN3265" i="2" s="1"/>
  <c r="AM3271" i="2"/>
  <c r="AM3273" i="2" s="1"/>
  <c r="AM3272" i="2"/>
  <c r="AM3274" i="2" s="1"/>
  <c r="AO3287" i="2"/>
  <c r="AM3281" i="2"/>
  <c r="AM3289" i="2"/>
  <c r="AM3280" i="2"/>
  <c r="AM3275" i="2" l="1"/>
  <c r="AN3276" i="2" s="1"/>
  <c r="AO3298" i="2"/>
  <c r="AM3292" i="2"/>
  <c r="AM3300" i="2"/>
  <c r="AM3291" i="2"/>
  <c r="AM3282" i="2"/>
  <c r="AM3284" i="2" s="1"/>
  <c r="AM3283" i="2"/>
  <c r="AM3285" i="2" s="1"/>
  <c r="AM3286" i="2" l="1"/>
  <c r="AN3287" i="2" s="1"/>
  <c r="AM3303" i="2"/>
  <c r="AM3311" i="2"/>
  <c r="AM3302" i="2"/>
  <c r="AO3309" i="2"/>
  <c r="AM3293" i="2"/>
  <c r="AM3295" i="2" s="1"/>
  <c r="AM3294" i="2"/>
  <c r="AM3296" i="2" s="1"/>
  <c r="AM3297" i="2" l="1"/>
  <c r="AN3298" i="2" s="1"/>
  <c r="AM3314" i="2"/>
  <c r="AM3322" i="2"/>
  <c r="AM3313" i="2"/>
  <c r="AO3320" i="2"/>
  <c r="AM3304" i="2"/>
  <c r="AM3306" i="2" s="1"/>
  <c r="AM3305" i="2"/>
  <c r="AM3307" i="2" s="1"/>
  <c r="AM3308" i="2" l="1"/>
  <c r="AN3309" i="2" s="1"/>
  <c r="AM3325" i="2"/>
  <c r="AM3333" i="2"/>
  <c r="AM3324" i="2"/>
  <c r="AO3331" i="2"/>
  <c r="AM3315" i="2"/>
  <c r="AM3317" i="2" s="1"/>
  <c r="AM3316" i="2"/>
  <c r="AM3318" i="2" s="1"/>
  <c r="AM3319" i="2" l="1"/>
  <c r="AN3320" i="2" s="1"/>
  <c r="AM3336" i="2"/>
  <c r="AM3344" i="2"/>
  <c r="AM3335" i="2"/>
  <c r="AO3342" i="2"/>
  <c r="AM3326" i="2"/>
  <c r="AM3328" i="2" s="1"/>
  <c r="AM3327" i="2"/>
  <c r="AM3329" i="2" s="1"/>
  <c r="AM3330" i="2" l="1"/>
  <c r="AN3331" i="2" s="1"/>
  <c r="AM3347" i="2"/>
  <c r="AM3355" i="2"/>
  <c r="AM3346" i="2"/>
  <c r="AO3353" i="2"/>
  <c r="AM3337" i="2"/>
  <c r="AM3339" i="2" s="1"/>
  <c r="AM3338" i="2"/>
  <c r="AM3340" i="2" s="1"/>
  <c r="AM3341" i="2" l="1"/>
  <c r="AN3342" i="2" s="1"/>
  <c r="AO3364" i="2"/>
  <c r="AM3358" i="2"/>
  <c r="AM3366" i="2"/>
  <c r="AM3357" i="2"/>
  <c r="AM3348" i="2"/>
  <c r="AM3350" i="2" s="1"/>
  <c r="AM3349" i="2"/>
  <c r="AM3351" i="2" s="1"/>
  <c r="AM3352" i="2" l="1"/>
  <c r="AN3353" i="2" s="1"/>
  <c r="AO3375" i="2"/>
  <c r="AM3369" i="2"/>
  <c r="AM3377" i="2"/>
  <c r="AM3368" i="2"/>
  <c r="AM3359" i="2"/>
  <c r="AM3361" i="2" s="1"/>
  <c r="AM3360" i="2"/>
  <c r="AM3362" i="2" s="1"/>
  <c r="AM3363" i="2" l="1"/>
  <c r="AN3364" i="2" s="1"/>
  <c r="AO3386" i="2"/>
  <c r="AM3380" i="2"/>
  <c r="AM3388" i="2"/>
  <c r="AM3379" i="2"/>
  <c r="AM3370" i="2"/>
  <c r="AM3372" i="2" s="1"/>
  <c r="AM3371" i="2"/>
  <c r="AM3373" i="2" s="1"/>
  <c r="AM3374" i="2" l="1"/>
  <c r="AN3375" i="2" s="1"/>
  <c r="AO3397" i="2"/>
  <c r="AM3391" i="2"/>
  <c r="AM3399" i="2"/>
  <c r="AM3390" i="2"/>
  <c r="AM3381" i="2"/>
  <c r="AM3383" i="2" s="1"/>
  <c r="AM3382" i="2"/>
  <c r="AM3384" i="2" s="1"/>
  <c r="AM3385" i="2" l="1"/>
  <c r="AN3386" i="2" s="1"/>
  <c r="AM3392" i="2"/>
  <c r="AM3394" i="2" s="1"/>
  <c r="AM3393" i="2"/>
  <c r="AM3395" i="2" s="1"/>
  <c r="AM3402" i="2"/>
  <c r="AM3410" i="2"/>
  <c r="AM3401" i="2"/>
  <c r="AO3408" i="2"/>
  <c r="AM3396" i="2" l="1"/>
  <c r="AN3397" i="2" s="1"/>
  <c r="AM3403" i="2"/>
  <c r="AM3405" i="2" s="1"/>
  <c r="AM3404" i="2"/>
  <c r="AM3406" i="2" s="1"/>
  <c r="AM3413" i="2"/>
  <c r="AM3421" i="2"/>
  <c r="AM3412" i="2"/>
  <c r="AO3419" i="2"/>
  <c r="AM3407" i="2" l="1"/>
  <c r="AN3408" i="2" s="1"/>
  <c r="AM3424" i="2"/>
  <c r="AM3432" i="2"/>
  <c r="AM3423" i="2"/>
  <c r="AO3430" i="2"/>
  <c r="AM3414" i="2"/>
  <c r="AM3416" i="2" s="1"/>
  <c r="AM3415" i="2"/>
  <c r="AM3417" i="2" s="1"/>
  <c r="AM3418" i="2" l="1"/>
  <c r="AN3419" i="2" s="1"/>
  <c r="AO3441" i="2"/>
  <c r="AM3435" i="2"/>
  <c r="AM3443" i="2"/>
  <c r="AM3434" i="2"/>
  <c r="AM3425" i="2"/>
  <c r="AM3427" i="2" s="1"/>
  <c r="AM3426" i="2"/>
  <c r="AM3428" i="2" s="1"/>
  <c r="AM3429" i="2" l="1"/>
  <c r="AN3430" i="2" s="1"/>
  <c r="AM3436" i="2"/>
  <c r="AM3438" i="2" s="1"/>
  <c r="AM3437" i="2"/>
  <c r="AM3439" i="2" s="1"/>
  <c r="AO3452" i="2"/>
  <c r="AM3446" i="2"/>
  <c r="AM3454" i="2"/>
  <c r="AM3445" i="2"/>
  <c r="AM3440" i="2" l="1"/>
  <c r="AN3441" i="2" s="1"/>
  <c r="AO3463" i="2"/>
  <c r="AM3457" i="2"/>
  <c r="AM3465" i="2"/>
  <c r="AM3456" i="2"/>
  <c r="AM3447" i="2"/>
  <c r="AM3449" i="2" s="1"/>
  <c r="AM3448" i="2"/>
  <c r="AM3450" i="2" s="1"/>
  <c r="AM3451" i="2" l="1"/>
  <c r="AN3452" i="2" s="1"/>
  <c r="AM3458" i="2"/>
  <c r="AM3460" i="2" s="1"/>
  <c r="AM3459" i="2"/>
  <c r="AM3461" i="2" s="1"/>
  <c r="AO3474" i="2"/>
  <c r="AM3468" i="2"/>
  <c r="AM3476" i="2"/>
  <c r="AM3467" i="2"/>
  <c r="AM3462" i="2" l="1"/>
  <c r="AN3463" i="2" s="1"/>
  <c r="AO3485" i="2"/>
  <c r="AM3479" i="2"/>
  <c r="AM3487" i="2"/>
  <c r="AM3478" i="2"/>
  <c r="AM3469" i="2"/>
  <c r="AM3471" i="2" s="1"/>
  <c r="AM3470" i="2"/>
  <c r="AM3472" i="2" s="1"/>
  <c r="AM3473" i="2" l="1"/>
  <c r="AN3474" i="2" s="1"/>
  <c r="AM3480" i="2"/>
  <c r="AM3482" i="2" s="1"/>
  <c r="AM3481" i="2"/>
  <c r="AM3483" i="2" s="1"/>
  <c r="AM3490" i="2"/>
  <c r="AM3498" i="2"/>
  <c r="AM3489" i="2"/>
  <c r="AO3496" i="2"/>
  <c r="AM3484" i="2" l="1"/>
  <c r="AN3485" i="2" s="1"/>
  <c r="AO3507" i="2"/>
  <c r="AM3501" i="2"/>
  <c r="AM3509" i="2"/>
  <c r="AM3500" i="2"/>
  <c r="AM3491" i="2"/>
  <c r="AM3493" i="2" s="1"/>
  <c r="AM3492" i="2"/>
  <c r="AM3494" i="2" s="1"/>
  <c r="AM3495" i="2" l="1"/>
  <c r="AN3496" i="2" s="1"/>
  <c r="AM3502" i="2"/>
  <c r="AM3504" i="2" s="1"/>
  <c r="AM3503" i="2"/>
  <c r="AM3505" i="2" s="1"/>
  <c r="AO3518" i="2"/>
  <c r="AM3520" i="2"/>
  <c r="AM3512" i="2"/>
  <c r="AM3511" i="2"/>
  <c r="AM3506" i="2" l="1"/>
  <c r="AN3507" i="2" s="1"/>
  <c r="AO3529" i="2"/>
  <c r="AM3531" i="2"/>
  <c r="AM3522" i="2"/>
  <c r="AM3523" i="2"/>
  <c r="AM3513" i="2"/>
  <c r="AM3515" i="2" s="1"/>
  <c r="AM3514" i="2"/>
  <c r="AM3516" i="2" s="1"/>
  <c r="AM3517" i="2" l="1"/>
  <c r="AN3518" i="2" s="1"/>
  <c r="AM3542" i="2"/>
  <c r="AM3534" i="2"/>
  <c r="AO3540" i="2"/>
  <c r="AM3533" i="2"/>
  <c r="AM3524" i="2"/>
  <c r="AM3526" i="2" s="1"/>
  <c r="AM3525" i="2"/>
  <c r="AM3527" i="2" s="1"/>
  <c r="AM3528" i="2" l="1"/>
  <c r="AN3529" i="2" s="1"/>
  <c r="AM3535" i="2"/>
  <c r="AM3537" i="2" s="1"/>
  <c r="AM3536" i="2"/>
  <c r="AM3538" i="2" s="1"/>
  <c r="AO3551" i="2"/>
  <c r="AM3545" i="2"/>
  <c r="AM3553" i="2"/>
  <c r="AM3544" i="2"/>
  <c r="AM3539" i="2" l="1"/>
  <c r="AN3540" i="2" s="1"/>
  <c r="AM3555" i="2"/>
  <c r="AO3562" i="2"/>
  <c r="AM3564" i="2"/>
  <c r="AM3556" i="2"/>
  <c r="AM3546" i="2"/>
  <c r="AM3548" i="2" s="1"/>
  <c r="AM3547" i="2"/>
  <c r="AM3549" i="2" s="1"/>
  <c r="AM3550" i="2" l="1"/>
  <c r="AN3551" i="2" s="1"/>
  <c r="AM3557" i="2"/>
  <c r="AM3559" i="2" s="1"/>
  <c r="AM3558" i="2"/>
  <c r="AM3560" i="2" s="1"/>
  <c r="AM3566" i="2"/>
  <c r="AO3573" i="2"/>
  <c r="AM3567" i="2"/>
  <c r="AM3575" i="2"/>
  <c r="AM3561" i="2" l="1"/>
  <c r="AN3562" i="2" s="1"/>
  <c r="AM3586" i="2"/>
  <c r="AM3577" i="2"/>
  <c r="AO3584" i="2"/>
  <c r="AM3578" i="2"/>
  <c r="AM3568" i="2"/>
  <c r="AM3570" i="2" s="1"/>
  <c r="AM3569" i="2"/>
  <c r="AM3571" i="2" s="1"/>
  <c r="AM3572" i="2" l="1"/>
  <c r="AN3573" i="2" s="1"/>
  <c r="AM3589" i="2"/>
  <c r="AM3588" i="2"/>
  <c r="AM3597" i="2"/>
  <c r="AO3595" i="2"/>
  <c r="AM3579" i="2"/>
  <c r="AM3581" i="2" s="1"/>
  <c r="AM3580" i="2"/>
  <c r="AM3582" i="2" s="1"/>
  <c r="AM3583" i="2" l="1"/>
  <c r="AN3584" i="2" s="1"/>
  <c r="AM3590" i="2"/>
  <c r="AM3591" i="2"/>
  <c r="AM3593" i="2" s="1"/>
  <c r="AM3608" i="2"/>
  <c r="AM3600" i="2"/>
  <c r="AM3599" i="2"/>
  <c r="AO3606" i="2"/>
  <c r="AM3601" i="2" l="1"/>
  <c r="AM3603" i="2" s="1"/>
  <c r="AM3602" i="2"/>
  <c r="AM3604" i="2" s="1"/>
  <c r="AM3592" i="2"/>
  <c r="AM3594" i="2" s="1"/>
  <c r="AN3595" i="2" s="1"/>
  <c r="AM3619" i="2"/>
  <c r="AM3610" i="2"/>
  <c r="AO3617" i="2"/>
  <c r="AM3611" i="2"/>
  <c r="AM3605" i="2" l="1"/>
  <c r="AN3606" i="2" s="1"/>
  <c r="AM3621" i="2"/>
  <c r="AO3628" i="2"/>
  <c r="AM3622" i="2"/>
  <c r="AM3630" i="2"/>
  <c r="AM3612" i="2"/>
  <c r="AM3614" i="2" s="1"/>
  <c r="AM3613" i="2"/>
  <c r="AM3615" i="2" s="1"/>
  <c r="AM3616" i="2" l="1"/>
  <c r="AN3617" i="2" s="1"/>
  <c r="AM3641" i="2"/>
  <c r="AM3632" i="2"/>
  <c r="AO3639" i="2"/>
  <c r="AM3633" i="2"/>
  <c r="AM3623" i="2"/>
  <c r="AM3625" i="2" s="1"/>
  <c r="AM3624" i="2"/>
  <c r="AM3626" i="2" s="1"/>
  <c r="AM3627" i="2" l="1"/>
  <c r="AN3628" i="2" s="1"/>
  <c r="AM3652" i="2"/>
  <c r="AM3643" i="2"/>
  <c r="AO3650" i="2"/>
  <c r="AM3644" i="2"/>
  <c r="AM3634" i="2"/>
  <c r="AM3636" i="2" s="1"/>
  <c r="AM3635" i="2"/>
  <c r="AM3637" i="2" s="1"/>
  <c r="AM3638" i="2" l="1"/>
  <c r="AN3639" i="2" s="1"/>
  <c r="AM3655" i="2"/>
  <c r="AM3663" i="2"/>
  <c r="AM3654" i="2"/>
  <c r="AO3661" i="2"/>
  <c r="AM3645" i="2"/>
  <c r="AM3647" i="2" s="1"/>
  <c r="AM3646" i="2"/>
  <c r="AM3648" i="2" s="1"/>
  <c r="AM3649" i="2" l="1"/>
  <c r="AN3650" i="2" s="1"/>
  <c r="AM3674" i="2"/>
  <c r="AM3665" i="2"/>
  <c r="AO3672" i="2"/>
  <c r="AM3666" i="2"/>
  <c r="AM3656" i="2"/>
  <c r="AM3658" i="2" s="1"/>
  <c r="AM3657" i="2"/>
  <c r="AM3659" i="2" s="1"/>
  <c r="AM3660" i="2" l="1"/>
  <c r="AN3661" i="2" s="1"/>
  <c r="AM3677" i="2"/>
  <c r="AM3685" i="2"/>
  <c r="AM3676" i="2"/>
  <c r="AO3683" i="2"/>
  <c r="AM3667" i="2"/>
  <c r="AM3669" i="2" s="1"/>
  <c r="AM3668" i="2"/>
  <c r="AM3670" i="2" s="1"/>
  <c r="AM3671" i="2" l="1"/>
  <c r="AN3672" i="2" s="1"/>
  <c r="AM3688" i="2"/>
  <c r="AO3694" i="2"/>
  <c r="AM3696" i="2"/>
  <c r="AM3687" i="2"/>
  <c r="AM3678" i="2"/>
  <c r="AM3680" i="2" s="1"/>
  <c r="AM3679" i="2"/>
  <c r="AM3681" i="2" s="1"/>
  <c r="AM3682" i="2" l="1"/>
  <c r="AN3683" i="2" s="1"/>
  <c r="AM3689" i="2"/>
  <c r="AM3691" i="2" s="1"/>
  <c r="AM3690" i="2"/>
  <c r="AM3692" i="2" s="1"/>
  <c r="AO3705" i="2"/>
  <c r="AM3699" i="2"/>
  <c r="AM3707" i="2"/>
  <c r="AM3698" i="2"/>
  <c r="AM3693" i="2" l="1"/>
  <c r="AN3694" i="2" s="1"/>
  <c r="AM3718" i="2"/>
  <c r="AM3709" i="2"/>
  <c r="AO3716" i="2"/>
  <c r="AM3710" i="2"/>
  <c r="AM3700" i="2"/>
  <c r="AM3702" i="2" s="1"/>
  <c r="AM3701" i="2"/>
  <c r="AM3703" i="2" s="1"/>
  <c r="AM3704" i="2" l="1"/>
  <c r="AN3705" i="2" s="1"/>
  <c r="AO3727" i="2"/>
  <c r="AM3721" i="2"/>
  <c r="AM3729" i="2"/>
  <c r="AM3720" i="2"/>
  <c r="AM3711" i="2"/>
  <c r="AM3713" i="2" s="1"/>
  <c r="AM3712" i="2"/>
  <c r="AM3714" i="2" s="1"/>
  <c r="AM3715" i="2" l="1"/>
  <c r="AN3716" i="2" s="1"/>
  <c r="AM3722" i="2"/>
  <c r="AM3724" i="2" s="1"/>
  <c r="AM3723" i="2"/>
  <c r="AM3725" i="2" s="1"/>
  <c r="AM3732" i="2"/>
  <c r="AM3731" i="2"/>
  <c r="AO3738" i="2"/>
  <c r="AM3740" i="2"/>
  <c r="AM3726" i="2" l="1"/>
  <c r="AN3727" i="2" s="1"/>
  <c r="AM3733" i="2"/>
  <c r="AM3735" i="2" s="1"/>
  <c r="AM3734" i="2"/>
  <c r="AM3736" i="2" s="1"/>
  <c r="AM3743" i="2"/>
  <c r="AM3742" i="2"/>
  <c r="AO3749" i="2"/>
  <c r="AM3751" i="2"/>
  <c r="AM3737" i="2" l="1"/>
  <c r="AN3738" i="2" s="1"/>
  <c r="AM3744" i="2"/>
  <c r="AM3745" i="2"/>
  <c r="AM3747" i="2" s="1"/>
  <c r="AM3754" i="2"/>
  <c r="AM3753" i="2"/>
  <c r="AM3762" i="2"/>
  <c r="AO3760" i="2"/>
  <c r="AM3755" i="2" l="1"/>
  <c r="AM3757" i="2" s="1"/>
  <c r="AM3756" i="2"/>
  <c r="AM3758" i="2" s="1"/>
  <c r="AM3765" i="2"/>
  <c r="AM3773" i="2"/>
  <c r="AM3764" i="2"/>
  <c r="AO3771" i="2"/>
  <c r="AM3746" i="2"/>
  <c r="AM3748" i="2" s="1"/>
  <c r="AN3749" i="2" s="1"/>
  <c r="AM3759" i="2" l="1"/>
  <c r="AN3760" i="2" s="1"/>
  <c r="AM3784" i="2"/>
  <c r="AM3775" i="2"/>
  <c r="AO3782" i="2"/>
  <c r="AM3776" i="2"/>
  <c r="AM3766" i="2"/>
  <c r="AM3768" i="2" s="1"/>
  <c r="AM3767" i="2"/>
  <c r="AM3769" i="2" s="1"/>
  <c r="AM3770" i="2" l="1"/>
  <c r="AN3771" i="2" s="1"/>
  <c r="AO3793" i="2"/>
  <c r="AM3787" i="2"/>
  <c r="AM3795" i="2"/>
  <c r="AM3786" i="2"/>
  <c r="AM3777" i="2"/>
  <c r="AM3779" i="2" s="1"/>
  <c r="AM3778" i="2"/>
  <c r="AM3780" i="2" s="1"/>
  <c r="AM3781" i="2" l="1"/>
  <c r="AN3782" i="2" s="1"/>
  <c r="AM3788" i="2"/>
  <c r="AM3790" i="2" s="1"/>
  <c r="AM3789" i="2"/>
  <c r="AM3791" i="2" s="1"/>
  <c r="AM3798" i="2"/>
  <c r="AM3797" i="2"/>
  <c r="AM3806" i="2"/>
  <c r="AO3804" i="2"/>
  <c r="AM3792" i="2" l="1"/>
  <c r="AN3793" i="2" s="1"/>
  <c r="AM3799" i="2"/>
  <c r="AM3801" i="2" s="1"/>
  <c r="AM3800" i="2"/>
  <c r="AM3802" i="2" s="1"/>
  <c r="AO3815" i="2"/>
  <c r="AM3808" i="2"/>
  <c r="AM3809" i="2"/>
  <c r="AM3817" i="2"/>
  <c r="AM3803" i="2" l="1"/>
  <c r="AN3804" i="2" s="1"/>
  <c r="AM3810" i="2"/>
  <c r="AM3812" i="2" s="1"/>
  <c r="AM3811" i="2"/>
  <c r="AM3813" i="2" s="1"/>
  <c r="AM3828" i="2"/>
  <c r="AO3826" i="2"/>
  <c r="AM3819" i="2"/>
  <c r="AM3820" i="2"/>
  <c r="AM3814" i="2" l="1"/>
  <c r="AN3815" i="2" s="1"/>
  <c r="AM3821" i="2"/>
  <c r="AM3823" i="2" s="1"/>
  <c r="AM3822" i="2"/>
  <c r="AM3824" i="2" s="1"/>
  <c r="AM3831" i="2"/>
  <c r="AM3839" i="2"/>
  <c r="AM3830" i="2"/>
  <c r="AO3837" i="2"/>
  <c r="AM3825" i="2" l="1"/>
  <c r="AN3826" i="2" s="1"/>
  <c r="AM3842" i="2"/>
  <c r="AM3841" i="2"/>
  <c r="AO3848" i="2"/>
  <c r="AM3850" i="2"/>
  <c r="AM3832" i="2"/>
  <c r="AM3834" i="2" s="1"/>
  <c r="AM3833" i="2"/>
  <c r="AM3835" i="2" s="1"/>
  <c r="AM3836" i="2" l="1"/>
  <c r="AN3837" i="2" s="1"/>
  <c r="AO3859" i="2"/>
  <c r="AM3853" i="2"/>
  <c r="AM3861" i="2"/>
  <c r="AM3852" i="2"/>
  <c r="AM3843" i="2"/>
  <c r="AM3845" i="2" s="1"/>
  <c r="AM3844" i="2"/>
  <c r="AM3846" i="2" s="1"/>
  <c r="AM3847" i="2" l="1"/>
  <c r="AN3848" i="2" s="1"/>
  <c r="AM3854" i="2"/>
  <c r="AM3856" i="2" s="1"/>
  <c r="AM3855" i="2"/>
  <c r="AM3857" i="2" s="1"/>
  <c r="AM3864" i="2"/>
  <c r="AO3870" i="2"/>
  <c r="AM3872" i="2"/>
  <c r="AM3863" i="2"/>
  <c r="AM3858" i="2" l="1"/>
  <c r="AN3859" i="2" s="1"/>
  <c r="AO3881" i="2"/>
  <c r="AM3883" i="2"/>
  <c r="AM3874" i="2"/>
  <c r="AM3875" i="2"/>
  <c r="AM3865" i="2"/>
  <c r="AM3867" i="2" s="1"/>
  <c r="AM3866" i="2"/>
  <c r="AM3868" i="2" s="1"/>
  <c r="AM3869" i="2" l="1"/>
  <c r="AN3870" i="2" s="1"/>
  <c r="AM3886" i="2"/>
  <c r="AM3885" i="2"/>
  <c r="AO3892" i="2"/>
  <c r="AM3894" i="2"/>
  <c r="AM3876" i="2"/>
  <c r="AM3878" i="2" s="1"/>
  <c r="AM3877" i="2"/>
  <c r="AM3879" i="2" s="1"/>
  <c r="AM3880" i="2" l="1"/>
  <c r="AN3881" i="2" s="1"/>
  <c r="AM3897" i="2"/>
  <c r="AM3896" i="2"/>
  <c r="AM3905" i="2"/>
  <c r="AO3903" i="2"/>
  <c r="AM3887" i="2"/>
  <c r="AM3889" i="2" s="1"/>
  <c r="AM3888" i="2"/>
  <c r="AM3890" i="2" s="1"/>
  <c r="AM3891" i="2" l="1"/>
  <c r="AN3892" i="2" s="1"/>
  <c r="AM3898" i="2"/>
  <c r="AM3900" i="2" s="1"/>
  <c r="AM3899" i="2"/>
  <c r="AM3901" i="2" s="1"/>
  <c r="AM3916" i="2"/>
  <c r="AM3907" i="2"/>
  <c r="AO3914" i="2"/>
  <c r="AM3908" i="2"/>
  <c r="AM3902" i="2" l="1"/>
  <c r="AN3903" i="2" s="1"/>
  <c r="AM3909" i="2"/>
  <c r="AM3911" i="2" s="1"/>
  <c r="AM3910" i="2"/>
  <c r="AM3912" i="2" s="1"/>
  <c r="AM3919" i="2"/>
  <c r="AM3918" i="2"/>
  <c r="AO3925" i="2"/>
  <c r="AM3927" i="2"/>
  <c r="AM3913" i="2" l="1"/>
  <c r="AN3914" i="2" s="1"/>
  <c r="AM3920" i="2"/>
  <c r="AM3922" i="2" s="1"/>
  <c r="AM3921" i="2"/>
  <c r="AM3923" i="2" s="1"/>
  <c r="AM3930" i="2"/>
  <c r="AM3938" i="2"/>
  <c r="AM3929" i="2"/>
  <c r="AO3936" i="2"/>
  <c r="AM3924" i="2" l="1"/>
  <c r="AN3925" i="2" s="1"/>
  <c r="AO3947" i="2"/>
  <c r="AM3941" i="2"/>
  <c r="AM3949" i="2"/>
  <c r="AM3940" i="2"/>
  <c r="AM3931" i="2"/>
  <c r="AM3933" i="2" s="1"/>
  <c r="AM3932" i="2"/>
  <c r="AM3934" i="2" s="1"/>
  <c r="AM3935" i="2" l="1"/>
  <c r="AN3936" i="2" s="1"/>
  <c r="AM3942" i="2"/>
  <c r="AM3944" i="2" s="1"/>
  <c r="AM3943" i="2"/>
  <c r="AM3945" i="2" s="1"/>
  <c r="AM3952" i="2"/>
  <c r="AM3960" i="2"/>
  <c r="AM3951" i="2"/>
  <c r="AO3958" i="2"/>
  <c r="AM3946" i="2" l="1"/>
  <c r="AN3947" i="2" s="1"/>
  <c r="AM3963" i="2"/>
  <c r="AM3971" i="2"/>
  <c r="AM3962" i="2"/>
  <c r="AO3969" i="2"/>
  <c r="AM3953" i="2"/>
  <c r="AM3955" i="2" s="1"/>
  <c r="AM3954" i="2"/>
  <c r="AM3956" i="2" s="1"/>
  <c r="AM3957" i="2" l="1"/>
  <c r="AN3958" i="2" s="1"/>
  <c r="AM3974" i="2"/>
  <c r="AM3982" i="2"/>
  <c r="AM3973" i="2"/>
  <c r="AO3980" i="2"/>
  <c r="AM3964" i="2"/>
  <c r="AM3965" i="2"/>
  <c r="AM3967" i="2" s="1"/>
  <c r="AM3966" i="2" l="1"/>
  <c r="AM3968" i="2" s="1"/>
  <c r="AN3969" i="2" s="1"/>
  <c r="AO3991" i="2"/>
  <c r="AM3985" i="2"/>
  <c r="AM3993" i="2"/>
  <c r="AM3984" i="2"/>
  <c r="AM3975" i="2"/>
  <c r="AM3976" i="2"/>
  <c r="AM3978" i="2" s="1"/>
  <c r="AM3977" i="2" l="1"/>
  <c r="AM3979" i="2" s="1"/>
  <c r="AN3980" i="2" s="1"/>
  <c r="AM4004" i="2"/>
  <c r="AM3995" i="2"/>
  <c r="AO4002" i="2"/>
  <c r="AM3996" i="2"/>
  <c r="AM3986" i="2"/>
  <c r="AM3988" i="2" s="1"/>
  <c r="AM3987" i="2"/>
  <c r="AM3989" i="2" s="1"/>
  <c r="AM3990" i="2" l="1"/>
  <c r="AN3991" i="2" s="1"/>
  <c r="AM3997" i="2"/>
  <c r="AM3999" i="2" s="1"/>
  <c r="AM3998" i="2"/>
  <c r="AM4000" i="2" s="1"/>
  <c r="AM4007" i="2"/>
  <c r="AM4015" i="2"/>
  <c r="AM4006" i="2"/>
  <c r="AO4013" i="2"/>
  <c r="AM4001" i="2" l="1"/>
  <c r="AN4002" i="2" s="1"/>
  <c r="AM4018" i="2"/>
  <c r="AM4026" i="2"/>
  <c r="AM4017" i="2"/>
  <c r="AO4024" i="2"/>
  <c r="AM4008" i="2"/>
  <c r="AM4010" i="2" s="1"/>
  <c r="AM4009" i="2"/>
  <c r="AM4011" i="2" s="1"/>
  <c r="AM4012" i="2" l="1"/>
  <c r="AN4013" i="2" s="1"/>
  <c r="AO4035" i="2"/>
  <c r="AM4029" i="2"/>
  <c r="AM4037" i="2"/>
  <c r="AM4028" i="2"/>
  <c r="AM4019" i="2"/>
  <c r="AM4021" i="2" s="1"/>
  <c r="AM4020" i="2"/>
  <c r="AM4022" i="2" s="1"/>
  <c r="AM4023" i="2" l="1"/>
  <c r="AN4024" i="2" s="1"/>
  <c r="AM4030" i="2"/>
  <c r="AM4032" i="2" s="1"/>
  <c r="AM4031" i="2"/>
  <c r="AM4033" i="2" s="1"/>
  <c r="AM4040" i="2"/>
  <c r="AM4048" i="2"/>
  <c r="AM4039" i="2"/>
  <c r="AO4046" i="2"/>
  <c r="AM4034" i="2" l="1"/>
  <c r="AN4035" i="2" s="1"/>
  <c r="AO4057" i="2"/>
  <c r="AM4051" i="2"/>
  <c r="AM4059" i="2"/>
  <c r="AM4050" i="2"/>
  <c r="AM4041" i="2"/>
  <c r="AM4043" i="2" s="1"/>
  <c r="AM4042" i="2"/>
  <c r="AM4044" i="2" s="1"/>
  <c r="AM4045" i="2" l="1"/>
  <c r="AN4046" i="2" s="1"/>
  <c r="AM4052" i="2"/>
  <c r="AM4054" i="2" s="1"/>
  <c r="AM4053" i="2"/>
  <c r="AM4055" i="2" s="1"/>
  <c r="AM4070" i="2"/>
  <c r="AM4061" i="2"/>
  <c r="AO4068" i="2"/>
  <c r="AM4062" i="2"/>
  <c r="AM4056" i="2" l="1"/>
  <c r="AN4057" i="2" s="1"/>
  <c r="AM4063" i="2"/>
  <c r="AM4065" i="2" s="1"/>
  <c r="AM4064" i="2"/>
  <c r="AM4066" i="2" s="1"/>
  <c r="AM4073" i="2"/>
  <c r="AM4081" i="2"/>
  <c r="AM4072" i="2"/>
  <c r="AO4079" i="2"/>
  <c r="AM4067" i="2" l="1"/>
  <c r="AN4068" i="2" s="1"/>
  <c r="AM4092" i="2"/>
  <c r="AM4083" i="2"/>
  <c r="AO4090" i="2"/>
  <c r="AM4084" i="2"/>
  <c r="AM4074" i="2"/>
  <c r="AM4076" i="2" s="1"/>
  <c r="AM4075" i="2"/>
  <c r="AM4077" i="2" s="1"/>
  <c r="AM4078" i="2" l="1"/>
  <c r="AN4079" i="2" s="1"/>
  <c r="AM4095" i="2"/>
  <c r="AM4103" i="2"/>
  <c r="AM4094" i="2"/>
  <c r="AO4101" i="2"/>
  <c r="AM4085" i="2"/>
  <c r="AM4087" i="2" s="1"/>
  <c r="AM4086" i="2"/>
  <c r="AM4088" i="2" s="1"/>
  <c r="AM4089" i="2" l="1"/>
  <c r="AN4090" i="2" s="1"/>
  <c r="AM4106" i="2"/>
  <c r="AM4114" i="2"/>
  <c r="AM4105" i="2"/>
  <c r="AO4112" i="2"/>
  <c r="AM4096" i="2"/>
  <c r="AM4098" i="2" s="1"/>
  <c r="AM4097" i="2"/>
  <c r="AM4099" i="2" s="1"/>
  <c r="AM4100" i="2" l="1"/>
  <c r="AN4101" i="2" s="1"/>
  <c r="AM4116" i="2"/>
  <c r="AO4123" i="2"/>
  <c r="AM4117" i="2"/>
  <c r="AM4125" i="2"/>
  <c r="AM4107" i="2"/>
  <c r="AM4109" i="2" s="1"/>
  <c r="AM4108" i="2"/>
  <c r="AM4110" i="2" s="1"/>
  <c r="AM4111" i="2" l="1"/>
  <c r="AN4112" i="2" s="1"/>
  <c r="AO4134" i="2"/>
  <c r="AM4128" i="2"/>
  <c r="AM4136" i="2"/>
  <c r="AM4127" i="2"/>
  <c r="AM4118" i="2"/>
  <c r="AM4119" i="2"/>
  <c r="AM4121" i="2" s="1"/>
  <c r="AM4129" i="2" l="1"/>
  <c r="AM4131" i="2" s="1"/>
  <c r="AM4130" i="2"/>
  <c r="AM4132" i="2" s="1"/>
  <c r="AM4120" i="2"/>
  <c r="AM4122" i="2" s="1"/>
  <c r="AN4123" i="2" s="1"/>
  <c r="AM4139" i="2"/>
  <c r="AM4147" i="2"/>
  <c r="AM4138" i="2"/>
  <c r="AO4145" i="2"/>
  <c r="AM4133" i="2" l="1"/>
  <c r="AN4134" i="2" s="1"/>
  <c r="AM4150" i="2"/>
  <c r="AM4158" i="2"/>
  <c r="AM4149" i="2"/>
  <c r="AO4156" i="2"/>
  <c r="AM4140" i="2"/>
  <c r="AM4142" i="2" s="1"/>
  <c r="AM4141" i="2"/>
  <c r="AM4143" i="2" s="1"/>
  <c r="AM4144" i="2" l="1"/>
  <c r="AN4145" i="2" s="1"/>
  <c r="AM4151" i="2"/>
  <c r="AM4153" i="2" s="1"/>
  <c r="AM4152" i="2"/>
  <c r="AM4154" i="2" s="1"/>
  <c r="AM4161" i="2"/>
  <c r="AM4169" i="2"/>
  <c r="AM4160" i="2"/>
  <c r="AO4167" i="2"/>
  <c r="AM4155" i="2" l="1"/>
  <c r="AN4156" i="2" s="1"/>
  <c r="AM4162" i="2"/>
  <c r="AM4164" i="2" s="1"/>
  <c r="AM4163" i="2"/>
  <c r="AM4165" i="2" s="1"/>
  <c r="AM4180" i="2"/>
  <c r="AM4171" i="2"/>
  <c r="AO4178" i="2"/>
  <c r="AM4172" i="2"/>
  <c r="AM4166" i="2" l="1"/>
  <c r="AN4167" i="2" s="1"/>
  <c r="AM4183" i="2"/>
  <c r="AM4191" i="2"/>
  <c r="AM4182" i="2"/>
  <c r="AO4189" i="2"/>
  <c r="AM4173" i="2"/>
  <c r="AM4175" i="2" s="1"/>
  <c r="AM4174" i="2"/>
  <c r="AM4176" i="2" s="1"/>
  <c r="AM4177" i="2" l="1"/>
  <c r="AN4178" i="2" s="1"/>
  <c r="AM4194" i="2"/>
  <c r="AM4202" i="2"/>
  <c r="AM4193" i="2"/>
  <c r="AO4200" i="2"/>
  <c r="AM4184" i="2"/>
  <c r="AM4186" i="2" s="1"/>
  <c r="AM4185" i="2"/>
  <c r="AM4187" i="2" s="1"/>
  <c r="AM4188" i="2" l="1"/>
  <c r="AN4189" i="2" s="1"/>
  <c r="AO4211" i="2"/>
  <c r="AM4205" i="2"/>
  <c r="AM4213" i="2"/>
  <c r="AM4204" i="2"/>
  <c r="AM4195" i="2"/>
  <c r="AM4197" i="2" s="1"/>
  <c r="AM4196" i="2"/>
  <c r="AM4198" i="2" s="1"/>
  <c r="AM4199" i="2" l="1"/>
  <c r="AN4200" i="2" s="1"/>
  <c r="AM4216" i="2"/>
  <c r="AM4224" i="2"/>
  <c r="AM4215" i="2"/>
  <c r="AO4222" i="2"/>
  <c r="AM4206" i="2"/>
  <c r="AM4207" i="2"/>
  <c r="AM4209" i="2" s="1"/>
  <c r="AM4208" i="2" l="1"/>
  <c r="AM4210" i="2" s="1"/>
  <c r="AN4211" i="2" s="1"/>
  <c r="AO4233" i="2"/>
  <c r="AM4227" i="2"/>
  <c r="AM4235" i="2"/>
  <c r="AM4226" i="2"/>
  <c r="AM4217" i="2"/>
  <c r="AM4219" i="2" s="1"/>
  <c r="AM4218" i="2"/>
  <c r="AM4220" i="2" s="1"/>
  <c r="AM4238" i="2" l="1"/>
  <c r="AM4246" i="2"/>
  <c r="AM4237" i="2"/>
  <c r="AO4244" i="2"/>
  <c r="AM4228" i="2"/>
  <c r="AM4229" i="2"/>
  <c r="AM4231" i="2" s="1"/>
  <c r="AM4221" i="2"/>
  <c r="AN4222" i="2" s="1"/>
  <c r="AM4230" i="2" l="1"/>
  <c r="AM4232" i="2" s="1"/>
  <c r="AN4233" i="2" s="1"/>
  <c r="AO4255" i="2"/>
  <c r="AM4249" i="2"/>
  <c r="AM4257" i="2"/>
  <c r="AM4248" i="2"/>
  <c r="AM4239" i="2"/>
  <c r="AM4240" i="2"/>
  <c r="AM4242" i="2" s="1"/>
  <c r="AM4259" i="2" l="1"/>
  <c r="AO4266" i="2"/>
  <c r="AM4260" i="2"/>
  <c r="AM4268" i="2"/>
  <c r="AM4250" i="2"/>
  <c r="AM4252" i="2" s="1"/>
  <c r="AM4251" i="2"/>
  <c r="AM4253" i="2" s="1"/>
  <c r="AM4241" i="2"/>
  <c r="AM4243" i="2" s="1"/>
  <c r="AN4244" i="2" s="1"/>
  <c r="AM4254" i="2" l="1"/>
  <c r="AN4255" i="2" s="1"/>
  <c r="AM4261" i="2"/>
  <c r="AM4263" i="2" s="1"/>
  <c r="AM4262" i="2"/>
  <c r="AM4264" i="2" s="1"/>
  <c r="AO4277" i="2"/>
  <c r="AM4271" i="2"/>
  <c r="AM4279" i="2"/>
  <c r="AM4270" i="2"/>
  <c r="AM4265" i="2" l="1"/>
  <c r="AN4266" i="2" s="1"/>
  <c r="AM4290" i="2"/>
  <c r="AM4281" i="2"/>
  <c r="AO4288" i="2"/>
  <c r="AM4282" i="2"/>
  <c r="AM4272" i="2"/>
  <c r="AM4274" i="2" s="1"/>
  <c r="AM4273" i="2"/>
  <c r="AM4275" i="2" s="1"/>
  <c r="AM4276" i="2" l="1"/>
  <c r="AN4277" i="2" s="1"/>
  <c r="AM4293" i="2"/>
  <c r="AM4301" i="2"/>
  <c r="AM4292" i="2"/>
  <c r="AO4299" i="2"/>
  <c r="AM4283" i="2"/>
  <c r="AM4285" i="2" s="1"/>
  <c r="AM4284" i="2"/>
  <c r="AM4286" i="2" s="1"/>
  <c r="AM4287" i="2" l="1"/>
  <c r="AN4288" i="2" s="1"/>
  <c r="AM4304" i="2"/>
  <c r="AM4312" i="2"/>
  <c r="AM4303" i="2"/>
  <c r="AO4310" i="2"/>
  <c r="AM4294" i="2"/>
  <c r="AM4296" i="2" s="1"/>
  <c r="AM4295" i="2"/>
  <c r="AM4297" i="2" s="1"/>
  <c r="AM4298" i="2" l="1"/>
  <c r="AN4299" i="2" s="1"/>
  <c r="AM4315" i="2"/>
  <c r="AM4323" i="2"/>
  <c r="AM4314" i="2"/>
  <c r="AO4321" i="2"/>
  <c r="AM4305" i="2"/>
  <c r="AM4307" i="2" s="1"/>
  <c r="AM4306" i="2"/>
  <c r="AM4308" i="2" s="1"/>
  <c r="AM4309" i="2" l="1"/>
  <c r="AN4310" i="2" s="1"/>
  <c r="AM4326" i="2"/>
  <c r="AM4334" i="2"/>
  <c r="AM4325" i="2"/>
  <c r="AO4332" i="2"/>
  <c r="AM4316" i="2"/>
  <c r="AM4318" i="2" s="1"/>
  <c r="AM4317" i="2"/>
  <c r="AM4319" i="2" s="1"/>
  <c r="AM4320" i="2" l="1"/>
  <c r="AN4321" i="2" s="1"/>
  <c r="AO4343" i="2"/>
  <c r="AM4337" i="2"/>
  <c r="AM4345" i="2"/>
  <c r="AM4336" i="2"/>
  <c r="AM4327" i="2"/>
  <c r="AM4329" i="2" s="1"/>
  <c r="AM4328" i="2"/>
  <c r="AM4330" i="2" s="1"/>
  <c r="AM4331" i="2" l="1"/>
  <c r="AN4332" i="2" s="1"/>
  <c r="AM4348" i="2"/>
  <c r="AM4356" i="2"/>
  <c r="AM4347" i="2"/>
  <c r="AO4354" i="2"/>
  <c r="AM4338" i="2"/>
  <c r="AM4340" i="2" s="1"/>
  <c r="AM4339" i="2"/>
  <c r="AM4341" i="2" s="1"/>
  <c r="AM4342" i="2" l="1"/>
  <c r="AN4343" i="2" s="1"/>
  <c r="AM4359" i="2"/>
  <c r="AM4367" i="2"/>
  <c r="AM4358" i="2"/>
  <c r="AO4365" i="2"/>
  <c r="AM4349" i="2"/>
  <c r="AM4351" i="2" s="1"/>
  <c r="AM4350" i="2"/>
  <c r="AM4352" i="2" s="1"/>
  <c r="AM4353" i="2" l="1"/>
  <c r="AN4354" i="2" s="1"/>
  <c r="AM4370" i="2"/>
  <c r="AM4378" i="2"/>
  <c r="AM4369" i="2"/>
  <c r="AO4376" i="2"/>
  <c r="AM4360" i="2"/>
  <c r="AM4362" i="2" s="1"/>
  <c r="AM4361" i="2"/>
  <c r="AM4363" i="2" s="1"/>
  <c r="AM4364" i="2" l="1"/>
  <c r="AN4365" i="2" s="1"/>
  <c r="AO4387" i="2"/>
  <c r="AM4381" i="2"/>
  <c r="AM4389" i="2"/>
  <c r="AM4380" i="2"/>
  <c r="AM4371" i="2"/>
  <c r="AM4373" i="2" s="1"/>
  <c r="AM4372" i="2"/>
  <c r="AM4374" i="2" s="1"/>
  <c r="AM4375" i="2" l="1"/>
  <c r="AN4376" i="2" s="1"/>
  <c r="AM4392" i="2"/>
  <c r="AM4400" i="2"/>
  <c r="AM4391" i="2"/>
  <c r="AO4398" i="2"/>
  <c r="AM4382" i="2"/>
  <c r="AM4384" i="2" s="1"/>
  <c r="AM4383" i="2"/>
  <c r="AM4385" i="2" s="1"/>
  <c r="AM4386" i="2" l="1"/>
  <c r="AN4387" i="2" s="1"/>
  <c r="AM4403" i="2"/>
  <c r="AM4411" i="2"/>
  <c r="AM4402" i="2"/>
  <c r="AO4409" i="2"/>
  <c r="AM4393" i="2"/>
  <c r="AM4395" i="2" s="1"/>
  <c r="AM4394" i="2"/>
  <c r="AM4396" i="2" s="1"/>
  <c r="AM4397" i="2" l="1"/>
  <c r="AN4398" i="2" s="1"/>
  <c r="AM4414" i="2"/>
  <c r="AM4422" i="2"/>
  <c r="AM4413" i="2"/>
  <c r="AO4420" i="2"/>
  <c r="AM4404" i="2"/>
  <c r="AM4406" i="2" s="1"/>
  <c r="AM4405" i="2"/>
  <c r="AM4407" i="2" s="1"/>
  <c r="AM4408" i="2" l="1"/>
  <c r="AN4409" i="2" s="1"/>
  <c r="AO4431" i="2"/>
  <c r="AM4425" i="2"/>
  <c r="AM4433" i="2"/>
  <c r="AM4424" i="2"/>
  <c r="AM4415" i="2"/>
  <c r="AM4417" i="2" s="1"/>
  <c r="AM4416" i="2"/>
  <c r="AM4418" i="2" s="1"/>
  <c r="AM4419" i="2" l="1"/>
  <c r="AN4420" i="2" s="1"/>
  <c r="AO4442" i="2"/>
  <c r="AM4436" i="2"/>
  <c r="AM4444" i="2"/>
  <c r="AM4435" i="2"/>
  <c r="AM4426" i="2"/>
  <c r="AM4428" i="2" s="1"/>
  <c r="AM4427" i="2"/>
  <c r="AM4429" i="2" s="1"/>
  <c r="AM4430" i="2" l="1"/>
  <c r="AN4431" i="2" s="1"/>
  <c r="AM4446" i="2"/>
  <c r="AO4453" i="2"/>
  <c r="AM4447" i="2"/>
  <c r="AM4455" i="2"/>
  <c r="AM4437" i="2"/>
  <c r="AM4439" i="2" s="1"/>
  <c r="AM4438" i="2"/>
  <c r="AM4440" i="2" s="1"/>
  <c r="AM4441" i="2" l="1"/>
  <c r="AN4442" i="2" s="1"/>
  <c r="AM4448" i="2"/>
  <c r="AM4450" i="2" s="1"/>
  <c r="AM4449" i="2"/>
  <c r="AM4451" i="2" s="1"/>
  <c r="AM4458" i="2"/>
  <c r="AM4466" i="2"/>
  <c r="AM4457" i="2"/>
  <c r="AO4464" i="2"/>
  <c r="AM4452" i="2" l="1"/>
  <c r="AN4453" i="2" s="1"/>
  <c r="AM4459" i="2"/>
  <c r="AM4461" i="2" s="1"/>
  <c r="AM4460" i="2"/>
  <c r="AM4462" i="2" s="1"/>
  <c r="AM4469" i="2"/>
  <c r="AM4477" i="2"/>
  <c r="AM4468" i="2"/>
  <c r="AO4475" i="2"/>
  <c r="AM4463" i="2" l="1"/>
  <c r="AN4464" i="2" s="1"/>
  <c r="AM4470" i="2"/>
  <c r="AM4472" i="2" s="1"/>
  <c r="AM4471" i="2"/>
  <c r="AM4473" i="2" s="1"/>
  <c r="AM4488" i="2"/>
  <c r="AM4479" i="2"/>
  <c r="AO4486" i="2"/>
  <c r="AM4480" i="2"/>
  <c r="AM4474" i="2" l="1"/>
  <c r="AN4475" i="2" s="1"/>
  <c r="AM4491" i="2"/>
  <c r="AM4499" i="2"/>
  <c r="AM4490" i="2"/>
  <c r="AO4497" i="2"/>
  <c r="AM4481" i="2"/>
  <c r="AM4483" i="2" s="1"/>
  <c r="AM4482" i="2"/>
  <c r="AM4484" i="2" s="1"/>
  <c r="AM4485" i="2" l="1"/>
  <c r="AN4486" i="2" s="1"/>
  <c r="AM4502" i="2"/>
  <c r="AM4510" i="2"/>
  <c r="AM4501" i="2"/>
  <c r="AO4508" i="2"/>
  <c r="AM4492" i="2"/>
  <c r="AM4494" i="2" s="1"/>
  <c r="AM4493" i="2"/>
  <c r="AM4495" i="2" s="1"/>
  <c r="AM4496" i="2" l="1"/>
  <c r="AN4497" i="2" s="1"/>
  <c r="AO4519" i="2"/>
  <c r="AM4513" i="2"/>
  <c r="AM4521" i="2"/>
  <c r="AM4512" i="2"/>
  <c r="AM4503" i="2"/>
  <c r="AM4505" i="2" s="1"/>
  <c r="AM4504" i="2"/>
  <c r="AM4506" i="2" s="1"/>
  <c r="AM4507" i="2" l="1"/>
  <c r="AN4508" i="2" s="1"/>
  <c r="AM4524" i="2"/>
  <c r="AM4532" i="2"/>
  <c r="AM4523" i="2"/>
  <c r="AO4530" i="2"/>
  <c r="AM4514" i="2"/>
  <c r="AM4515" i="2"/>
  <c r="AM4517" i="2" s="1"/>
  <c r="AM4516" i="2" l="1"/>
  <c r="AM4518" i="2" s="1"/>
  <c r="AN4519" i="2" s="1"/>
  <c r="AO4541" i="2"/>
  <c r="AM4535" i="2"/>
  <c r="AM4543" i="2"/>
  <c r="AM4534" i="2"/>
  <c r="AM4525" i="2"/>
  <c r="AM4527" i="2" s="1"/>
  <c r="AM4526" i="2"/>
  <c r="AM4528" i="2" s="1"/>
  <c r="AO4552" i="2" l="1"/>
  <c r="AM4546" i="2"/>
  <c r="AM4554" i="2"/>
  <c r="AM4545" i="2"/>
  <c r="AM4536" i="2"/>
  <c r="AM4538" i="2" s="1"/>
  <c r="AM4537" i="2"/>
  <c r="AM4539" i="2" s="1"/>
  <c r="AM4529" i="2"/>
  <c r="AN4530" i="2" s="1"/>
  <c r="AM4540" i="2" l="1"/>
  <c r="AN4541" i="2" s="1"/>
  <c r="AO4563" i="2"/>
  <c r="AM4557" i="2"/>
  <c r="AM4565" i="2"/>
  <c r="AM4556" i="2"/>
  <c r="AM4547" i="2"/>
  <c r="AM4549" i="2" s="1"/>
  <c r="AM4548" i="2"/>
  <c r="AM4550" i="2" s="1"/>
  <c r="AM4551" i="2" l="1"/>
  <c r="AN4552" i="2" s="1"/>
  <c r="AO4574" i="2"/>
  <c r="AM4576" i="2"/>
  <c r="AM4567" i="2"/>
  <c r="AM4568" i="2"/>
  <c r="AM4558" i="2"/>
  <c r="AM4560" i="2" s="1"/>
  <c r="AM4559" i="2"/>
  <c r="AM4561" i="2" s="1"/>
  <c r="AM4562" i="2" l="1"/>
  <c r="AN4563" i="2" s="1"/>
  <c r="AO4585" i="2"/>
  <c r="AM4579" i="2"/>
  <c r="AM4587" i="2"/>
  <c r="AM4578" i="2"/>
  <c r="AM4569" i="2"/>
  <c r="AM4571" i="2" s="1"/>
  <c r="AM4570" i="2"/>
  <c r="AM4572" i="2" s="1"/>
  <c r="AM4573" i="2" l="1"/>
  <c r="AN4574" i="2" s="1"/>
  <c r="AO4596" i="2"/>
  <c r="AM4589" i="2"/>
  <c r="AM4590" i="2"/>
  <c r="AM4598" i="2"/>
  <c r="AM4580" i="2"/>
  <c r="AM4581" i="2"/>
  <c r="AM4583" i="2" s="1"/>
  <c r="AM4582" i="2" l="1"/>
  <c r="AM4584" i="2" s="1"/>
  <c r="AN4585" i="2" s="1"/>
  <c r="AM4591" i="2"/>
  <c r="AM4593" i="2" s="1"/>
  <c r="AM4592" i="2"/>
  <c r="AM4594" i="2" s="1"/>
  <c r="AO4607" i="2"/>
  <c r="AM4601" i="2"/>
  <c r="AM4609" i="2"/>
  <c r="AM4600" i="2"/>
  <c r="AM4595" i="2" l="1"/>
  <c r="AN4596" i="2" s="1"/>
  <c r="AM4612" i="2"/>
  <c r="AM4620" i="2"/>
  <c r="AM4611" i="2"/>
  <c r="AO4618" i="2"/>
  <c r="AM4602" i="2"/>
  <c r="AM4604" i="2" s="1"/>
  <c r="AM4603" i="2"/>
  <c r="AM4605" i="2" s="1"/>
  <c r="AM4606" i="2" l="1"/>
  <c r="AN4607" i="2" s="1"/>
  <c r="AO4629" i="2"/>
  <c r="AM4623" i="2"/>
  <c r="AM4631" i="2"/>
  <c r="AM4622" i="2"/>
  <c r="AM4613" i="2"/>
  <c r="AM4615" i="2" s="1"/>
  <c r="AM4614" i="2"/>
  <c r="AM4616" i="2" s="1"/>
  <c r="AM4617" i="2" l="1"/>
  <c r="AN4618" i="2" s="1"/>
  <c r="AM4624" i="2"/>
  <c r="AM4626" i="2" s="1"/>
  <c r="AM4625" i="2"/>
  <c r="AM4627" i="2" s="1"/>
  <c r="AM4634" i="2"/>
  <c r="AM4642" i="2"/>
  <c r="AM4633" i="2"/>
  <c r="AO4640" i="2"/>
  <c r="AM4628" i="2" l="1"/>
  <c r="AN4629" i="2" s="1"/>
  <c r="AM4635" i="2"/>
  <c r="AM4637" i="2" s="1"/>
  <c r="AM4636" i="2"/>
  <c r="AM4638" i="2" s="1"/>
  <c r="AM4644" i="2"/>
  <c r="AO4651" i="2"/>
  <c r="AM4645" i="2"/>
  <c r="AM4653" i="2"/>
  <c r="AM4639" i="2" l="1"/>
  <c r="AN4640" i="2" s="1"/>
  <c r="AM4655" i="2"/>
  <c r="AO4662" i="2"/>
  <c r="AM4656" i="2"/>
  <c r="AM4646" i="2"/>
  <c r="AM4648" i="2" s="1"/>
  <c r="AM4647" i="2"/>
  <c r="AM4649" i="2" s="1"/>
  <c r="AM4650" i="2" l="1"/>
  <c r="AN4651" i="2" s="1"/>
  <c r="AM4657" i="2"/>
  <c r="AM4659" i="2" s="1"/>
  <c r="AM4658" i="2"/>
  <c r="AM4660" i="2" s="1"/>
  <c r="AM4661" i="2" l="1"/>
  <c r="AN4662" i="2" s="1"/>
  <c r="AO18" i="2" s="1"/>
  <c r="AO19" i="2" s="1"/>
  <c r="AP33" i="2" s="1"/>
  <c r="AP36" i="2" l="1"/>
  <c r="AP35" i="2"/>
  <c r="R40" i="3"/>
  <c r="AO20" i="2"/>
  <c r="AP37" i="2" l="1"/>
  <c r="AP38" i="2"/>
  <c r="AP40" i="2" s="1"/>
  <c r="Q40" i="3"/>
  <c r="P44" i="3" s="1"/>
  <c r="P41" i="3" s="1"/>
  <c r="Q44" i="3"/>
  <c r="AP44" i="2"/>
  <c r="AP55" i="2" s="1"/>
  <c r="AR42" i="2"/>
  <c r="AP39" i="2" l="1"/>
  <c r="AP41" i="2" s="1"/>
  <c r="AQ42" i="2" s="1"/>
  <c r="Q41" i="3"/>
  <c r="AP47" i="2"/>
  <c r="AP46" i="2"/>
  <c r="AR53" i="2"/>
  <c r="AP66" i="2"/>
  <c r="AP57" i="2"/>
  <c r="AR64" i="2"/>
  <c r="AP58" i="2"/>
  <c r="AP48" i="2" l="1"/>
  <c r="AP50" i="2" s="1"/>
  <c r="AP49" i="2"/>
  <c r="AP51" i="2" s="1"/>
  <c r="AP77" i="2"/>
  <c r="AP69" i="2"/>
  <c r="AP68" i="2"/>
  <c r="AR75" i="2"/>
  <c r="AP59" i="2"/>
  <c r="AP60" i="2"/>
  <c r="AP62" i="2" s="1"/>
  <c r="AP52" i="2" l="1"/>
  <c r="AQ53" i="2" s="1"/>
  <c r="AP80" i="2"/>
  <c r="AP79" i="2"/>
  <c r="AR86" i="2"/>
  <c r="AP88" i="2"/>
  <c r="AP61" i="2"/>
  <c r="AP63" i="2" s="1"/>
  <c r="AQ64" i="2" s="1"/>
  <c r="AP70" i="2"/>
  <c r="AP71" i="2"/>
  <c r="AP73" i="2" s="1"/>
  <c r="AP72" i="2" l="1"/>
  <c r="AP74" i="2" s="1"/>
  <c r="AQ75" i="2" s="1"/>
  <c r="AP99" i="2"/>
  <c r="AP90" i="2"/>
  <c r="AR97" i="2"/>
  <c r="AP91" i="2"/>
  <c r="AP81" i="2"/>
  <c r="AP82" i="2"/>
  <c r="AP84" i="2" s="1"/>
  <c r="AP83" i="2" l="1"/>
  <c r="AP85" i="2" s="1"/>
  <c r="AQ86" i="2" s="1"/>
  <c r="AP92" i="2"/>
  <c r="AP94" i="2" s="1"/>
  <c r="AP93" i="2"/>
  <c r="AP95" i="2" s="1"/>
  <c r="AR108" i="2"/>
  <c r="AP110" i="2"/>
  <c r="AP102" i="2"/>
  <c r="AP101" i="2"/>
  <c r="AP103" i="2" l="1"/>
  <c r="AP104" i="2"/>
  <c r="AP106" i="2" s="1"/>
  <c r="AR119" i="2"/>
  <c r="AP113" i="2"/>
  <c r="AP121" i="2"/>
  <c r="AP112" i="2"/>
  <c r="AP96" i="2"/>
  <c r="AQ97" i="2" s="1"/>
  <c r="AP124" i="2" l="1"/>
  <c r="AP132" i="2"/>
  <c r="AP123" i="2"/>
  <c r="AR130" i="2"/>
  <c r="AP105" i="2"/>
  <c r="AP107" i="2" s="1"/>
  <c r="AQ108" i="2" s="1"/>
  <c r="AP114" i="2"/>
  <c r="AP116" i="2" s="1"/>
  <c r="AP115" i="2"/>
  <c r="AP117" i="2" s="1"/>
  <c r="AP118" i="2" l="1"/>
  <c r="AQ119" i="2" s="1"/>
  <c r="AR141" i="2"/>
  <c r="AP143" i="2"/>
  <c r="AP135" i="2"/>
  <c r="AP134" i="2"/>
  <c r="AP125" i="2"/>
  <c r="AP126" i="2"/>
  <c r="AP128" i="2" s="1"/>
  <c r="AP136" i="2" l="1"/>
  <c r="AP138" i="2" s="1"/>
  <c r="AP137" i="2"/>
  <c r="AP139" i="2" s="1"/>
  <c r="AP127" i="2"/>
  <c r="AP129" i="2" s="1"/>
  <c r="AQ130" i="2" s="1"/>
  <c r="AP145" i="2"/>
  <c r="AR152" i="2"/>
  <c r="AP146" i="2"/>
  <c r="AP154" i="2"/>
  <c r="AP140" i="2" l="1"/>
  <c r="AQ141" i="2" s="1"/>
  <c r="AR163" i="2"/>
  <c r="AP157" i="2"/>
  <c r="AP165" i="2"/>
  <c r="AP156" i="2"/>
  <c r="AP147" i="2"/>
  <c r="AP148" i="2"/>
  <c r="AP150" i="2" s="1"/>
  <c r="AP149" i="2" l="1"/>
  <c r="AP151" i="2" s="1"/>
  <c r="AQ152" i="2" s="1"/>
  <c r="AP168" i="2"/>
  <c r="AP176" i="2"/>
  <c r="AP167" i="2"/>
  <c r="AR174" i="2"/>
  <c r="AP158" i="2"/>
  <c r="AP160" i="2" s="1"/>
  <c r="AP159" i="2"/>
  <c r="AP161" i="2" s="1"/>
  <c r="AP169" i="2" l="1"/>
  <c r="AP170" i="2"/>
  <c r="AP172" i="2" s="1"/>
  <c r="AP187" i="2"/>
  <c r="AP179" i="2"/>
  <c r="AP178" i="2"/>
  <c r="AR185" i="2"/>
  <c r="AP162" i="2"/>
  <c r="AQ163" i="2" s="1"/>
  <c r="AP180" i="2" l="1"/>
  <c r="AP181" i="2"/>
  <c r="AP183" i="2" s="1"/>
  <c r="AP171" i="2"/>
  <c r="AP173" i="2" s="1"/>
  <c r="AQ174" i="2" s="1"/>
  <c r="AP190" i="2"/>
  <c r="AP198" i="2"/>
  <c r="AP189" i="2"/>
  <c r="AR196" i="2"/>
  <c r="AP182" i="2" l="1"/>
  <c r="AP184" i="2" s="1"/>
  <c r="AQ185" i="2" s="1"/>
  <c r="AP201" i="2"/>
  <c r="AP209" i="2"/>
  <c r="AP200" i="2"/>
  <c r="AR207" i="2"/>
  <c r="AP191" i="2"/>
  <c r="AP193" i="2" s="1"/>
  <c r="AP192" i="2"/>
  <c r="AP194" i="2" s="1"/>
  <c r="AP202" i="2" l="1"/>
  <c r="AP204" i="2" s="1"/>
  <c r="AP203" i="2"/>
  <c r="AP205" i="2" s="1"/>
  <c r="AP211" i="2"/>
  <c r="AR218" i="2"/>
  <c r="AP212" i="2"/>
  <c r="AP220" i="2"/>
  <c r="AP195" i="2"/>
  <c r="AQ196" i="2" s="1"/>
  <c r="AP206" i="2" l="1"/>
  <c r="AQ207" i="2" s="1"/>
  <c r="AP231" i="2"/>
  <c r="AP223" i="2"/>
  <c r="AP222" i="2"/>
  <c r="AR229" i="2"/>
  <c r="AP213" i="2"/>
  <c r="AP215" i="2" s="1"/>
  <c r="AP214" i="2"/>
  <c r="AP216" i="2" s="1"/>
  <c r="AP217" i="2" l="1"/>
  <c r="AQ218" i="2" s="1"/>
  <c r="AP242" i="2"/>
  <c r="AP234" i="2"/>
  <c r="AP233" i="2"/>
  <c r="AR240" i="2"/>
  <c r="AP224" i="2"/>
  <c r="AP226" i="2" s="1"/>
  <c r="AP225" i="2"/>
  <c r="AP227" i="2" s="1"/>
  <c r="AP228" i="2" l="1"/>
  <c r="AQ229" i="2" s="1"/>
  <c r="AP253" i="2"/>
  <c r="AP245" i="2"/>
  <c r="AP244" i="2"/>
  <c r="AR251" i="2"/>
  <c r="AP235" i="2"/>
  <c r="AP237" i="2" s="1"/>
  <c r="AP236" i="2"/>
  <c r="AP238" i="2" s="1"/>
  <c r="AP239" i="2" l="1"/>
  <c r="AQ240" i="2" s="1"/>
  <c r="AR262" i="2"/>
  <c r="AP256" i="2"/>
  <c r="AP264" i="2"/>
  <c r="AP255" i="2"/>
  <c r="AP246" i="2"/>
  <c r="AP247" i="2"/>
  <c r="AP249" i="2" s="1"/>
  <c r="AP257" i="2" l="1"/>
  <c r="AP259" i="2" s="1"/>
  <c r="AP258" i="2"/>
  <c r="AP260" i="2" s="1"/>
  <c r="AP248" i="2"/>
  <c r="AP250" i="2" s="1"/>
  <c r="AQ251" i="2" s="1"/>
  <c r="AP266" i="2"/>
  <c r="AR273" i="2"/>
  <c r="AP267" i="2"/>
  <c r="AP275" i="2"/>
  <c r="AP261" i="2" l="1"/>
  <c r="AQ262" i="2" s="1"/>
  <c r="AP268" i="2"/>
  <c r="AP270" i="2" s="1"/>
  <c r="AP269" i="2"/>
  <c r="AP271" i="2" s="1"/>
  <c r="AP278" i="2"/>
  <c r="AP286" i="2"/>
  <c r="AP277" i="2"/>
  <c r="AR284" i="2"/>
  <c r="AP272" i="2" l="1"/>
  <c r="AQ273" i="2" s="1"/>
  <c r="AP279" i="2"/>
  <c r="AP280" i="2"/>
  <c r="AP282" i="2" s="1"/>
  <c r="AP288" i="2"/>
  <c r="AR295" i="2"/>
  <c r="AP289" i="2"/>
  <c r="AP297" i="2"/>
  <c r="AP281" i="2" l="1"/>
  <c r="AP283" i="2" s="1"/>
  <c r="AQ284" i="2" s="1"/>
  <c r="AR306" i="2"/>
  <c r="AP300" i="2"/>
  <c r="AP308" i="2"/>
  <c r="AP299" i="2"/>
  <c r="AP290" i="2"/>
  <c r="AP292" i="2" s="1"/>
  <c r="AP291" i="2"/>
  <c r="AP293" i="2" s="1"/>
  <c r="AR317" i="2" l="1"/>
  <c r="AP311" i="2"/>
  <c r="AP319" i="2"/>
  <c r="AP310" i="2"/>
  <c r="AP301" i="2"/>
  <c r="AP303" i="2" s="1"/>
  <c r="AP302" i="2"/>
  <c r="AP304" i="2" s="1"/>
  <c r="AP294" i="2"/>
  <c r="AQ295" i="2" s="1"/>
  <c r="AP305" i="2" l="1"/>
  <c r="AQ306" i="2" s="1"/>
  <c r="AP322" i="2"/>
  <c r="AP330" i="2"/>
  <c r="AP321" i="2"/>
  <c r="AR328" i="2"/>
  <c r="AP312" i="2"/>
  <c r="AP313" i="2"/>
  <c r="AP315" i="2" s="1"/>
  <c r="AP314" i="2" l="1"/>
  <c r="AP316" i="2" s="1"/>
  <c r="AQ317" i="2" s="1"/>
  <c r="AP341" i="2"/>
  <c r="AP332" i="2"/>
  <c r="AR339" i="2"/>
  <c r="AP333" i="2"/>
  <c r="AP323" i="2"/>
  <c r="AP324" i="2"/>
  <c r="AP326" i="2" s="1"/>
  <c r="AP325" i="2" l="1"/>
  <c r="AP327" i="2" s="1"/>
  <c r="AQ328" i="2" s="1"/>
  <c r="AP334" i="2"/>
  <c r="AP335" i="2"/>
  <c r="AP337" i="2" s="1"/>
  <c r="AR350" i="2"/>
  <c r="AP344" i="2"/>
  <c r="AP352" i="2"/>
  <c r="AP343" i="2"/>
  <c r="AP345" i="2" l="1"/>
  <c r="AP346" i="2"/>
  <c r="AP348" i="2" s="1"/>
  <c r="AP354" i="2"/>
  <c r="AR361" i="2"/>
  <c r="AP363" i="2"/>
  <c r="AP355" i="2"/>
  <c r="AP336" i="2"/>
  <c r="AP338" i="2" s="1"/>
  <c r="AQ339" i="2" s="1"/>
  <c r="AP366" i="2" l="1"/>
  <c r="AP374" i="2"/>
  <c r="AP365" i="2"/>
  <c r="AR372" i="2"/>
  <c r="AP347" i="2"/>
  <c r="AP349" i="2" s="1"/>
  <c r="AQ350" i="2" s="1"/>
  <c r="AP356" i="2"/>
  <c r="AP358" i="2" s="1"/>
  <c r="AP357" i="2"/>
  <c r="AP359" i="2" s="1"/>
  <c r="AR383" i="2" l="1"/>
  <c r="AP385" i="2"/>
  <c r="AP376" i="2"/>
  <c r="AP377" i="2"/>
  <c r="AP367" i="2"/>
  <c r="AP369" i="2" s="1"/>
  <c r="AP368" i="2"/>
  <c r="AP370" i="2" s="1"/>
  <c r="AP360" i="2"/>
  <c r="AQ361" i="2" s="1"/>
  <c r="AP371" i="2" l="1"/>
  <c r="AQ372" i="2" s="1"/>
  <c r="AP387" i="2"/>
  <c r="AP396" i="2"/>
  <c r="AR394" i="2"/>
  <c r="AP388" i="2"/>
  <c r="AP378" i="2"/>
  <c r="AP379" i="2"/>
  <c r="AP381" i="2" s="1"/>
  <c r="AP389" i="2" l="1"/>
  <c r="AP390" i="2"/>
  <c r="AP392" i="2" s="1"/>
  <c r="AP380" i="2"/>
  <c r="AP382" i="2" s="1"/>
  <c r="AQ383" i="2" s="1"/>
  <c r="AP398" i="2"/>
  <c r="AP407" i="2"/>
  <c r="AR405" i="2"/>
  <c r="AP399" i="2"/>
  <c r="AP400" i="2" l="1"/>
  <c r="AP402" i="2" s="1"/>
  <c r="AP401" i="2"/>
  <c r="AP403" i="2" s="1"/>
  <c r="AP391" i="2"/>
  <c r="AP393" i="2" s="1"/>
  <c r="AQ394" i="2" s="1"/>
  <c r="AP410" i="2"/>
  <c r="AP409" i="2"/>
  <c r="AR416" i="2"/>
  <c r="AP418" i="2"/>
  <c r="AP404" i="2" l="1"/>
  <c r="AQ405" i="2" s="1"/>
  <c r="AP411" i="2"/>
  <c r="AP412" i="2"/>
  <c r="AP414" i="2" s="1"/>
  <c r="AP421" i="2"/>
  <c r="AP429" i="2"/>
  <c r="AR427" i="2"/>
  <c r="AP420" i="2"/>
  <c r="AP413" i="2" l="1"/>
  <c r="AP415" i="2" s="1"/>
  <c r="AQ416" i="2" s="1"/>
  <c r="AP422" i="2"/>
  <c r="AP423" i="2"/>
  <c r="AP425" i="2" s="1"/>
  <c r="AP432" i="2"/>
  <c r="AP440" i="2"/>
  <c r="AP431" i="2"/>
  <c r="AR438" i="2"/>
  <c r="AR449" i="2" l="1"/>
  <c r="AP451" i="2"/>
  <c r="AP443" i="2"/>
  <c r="AP442" i="2"/>
  <c r="AP433" i="2"/>
  <c r="AP435" i="2" s="1"/>
  <c r="AP434" i="2"/>
  <c r="AP436" i="2" s="1"/>
  <c r="AP424" i="2"/>
  <c r="AP426" i="2" s="1"/>
  <c r="AQ427" i="2" s="1"/>
  <c r="AP437" i="2" l="1"/>
  <c r="AQ438" i="2" s="1"/>
  <c r="AP444" i="2"/>
  <c r="AP446" i="2" s="1"/>
  <c r="AP445" i="2"/>
  <c r="AP447" i="2" s="1"/>
  <c r="AP453" i="2"/>
  <c r="AR460" i="2"/>
  <c r="AP454" i="2"/>
  <c r="AP462" i="2"/>
  <c r="AP448" i="2" l="1"/>
  <c r="AQ449" i="2" s="1"/>
  <c r="AP473" i="2"/>
  <c r="AP464" i="2"/>
  <c r="AP465" i="2"/>
  <c r="AR471" i="2"/>
  <c r="AP455" i="2"/>
  <c r="AP457" i="2" s="1"/>
  <c r="AP456" i="2"/>
  <c r="AP458" i="2" s="1"/>
  <c r="AP459" i="2" l="1"/>
  <c r="AQ460" i="2" s="1"/>
  <c r="AP484" i="2"/>
  <c r="AP475" i="2"/>
  <c r="AR482" i="2"/>
  <c r="AP476" i="2"/>
  <c r="AP466" i="2"/>
  <c r="AP467" i="2"/>
  <c r="AP469" i="2" s="1"/>
  <c r="AP487" i="2" l="1"/>
  <c r="AP486" i="2"/>
  <c r="AR493" i="2"/>
  <c r="AP495" i="2"/>
  <c r="AP468" i="2"/>
  <c r="AP470" i="2" s="1"/>
  <c r="AQ471" i="2" s="1"/>
  <c r="AP477" i="2"/>
  <c r="AP479" i="2" s="1"/>
  <c r="AP478" i="2"/>
  <c r="AP480" i="2" s="1"/>
  <c r="AP488" i="2" l="1"/>
  <c r="AP490" i="2" s="1"/>
  <c r="AP489" i="2"/>
  <c r="AP491" i="2" s="1"/>
  <c r="AP497" i="2"/>
  <c r="AR504" i="2"/>
  <c r="AP498" i="2"/>
  <c r="AP506" i="2"/>
  <c r="AP481" i="2"/>
  <c r="AQ482" i="2" s="1"/>
  <c r="AP492" i="2" l="1"/>
  <c r="AQ493" i="2" s="1"/>
  <c r="AR515" i="2"/>
  <c r="AP508" i="2"/>
  <c r="AP509" i="2"/>
  <c r="AP517" i="2"/>
  <c r="AP499" i="2"/>
  <c r="AP500" i="2"/>
  <c r="AP502" i="2" s="1"/>
  <c r="AP501" i="2" l="1"/>
  <c r="AP503" i="2" s="1"/>
  <c r="AQ504" i="2" s="1"/>
  <c r="AP510" i="2"/>
  <c r="AP511" i="2"/>
  <c r="AP513" i="2" s="1"/>
  <c r="AP519" i="2"/>
  <c r="AP520" i="2"/>
  <c r="AR526" i="2"/>
  <c r="AP528" i="2"/>
  <c r="AP531" i="2" l="1"/>
  <c r="AP530" i="2"/>
  <c r="AR537" i="2"/>
  <c r="AP539" i="2"/>
  <c r="AP521" i="2"/>
  <c r="AP522" i="2"/>
  <c r="AP524" i="2" s="1"/>
  <c r="AP512" i="2"/>
  <c r="AP514" i="2" s="1"/>
  <c r="AQ515" i="2" s="1"/>
  <c r="AP541" i="2" l="1"/>
  <c r="AR548" i="2"/>
  <c r="AP542" i="2"/>
  <c r="AP550" i="2"/>
  <c r="AP523" i="2"/>
  <c r="AP525" i="2" s="1"/>
  <c r="AQ526" i="2" s="1"/>
  <c r="AP532" i="2"/>
  <c r="AP533" i="2"/>
  <c r="AP535" i="2" s="1"/>
  <c r="AP534" i="2" l="1"/>
  <c r="AP536" i="2" s="1"/>
  <c r="AQ537" i="2" s="1"/>
  <c r="AP552" i="2"/>
  <c r="AR559" i="2"/>
  <c r="AP561" i="2"/>
  <c r="AP553" i="2"/>
  <c r="AP543" i="2"/>
  <c r="AP544" i="2"/>
  <c r="AP546" i="2" s="1"/>
  <c r="AP545" i="2" l="1"/>
  <c r="AP547" i="2" s="1"/>
  <c r="AQ548" i="2" s="1"/>
  <c r="AP563" i="2"/>
  <c r="AR570" i="2"/>
  <c r="AP564" i="2"/>
  <c r="AP572" i="2"/>
  <c r="AP554" i="2"/>
  <c r="AP555" i="2"/>
  <c r="AP557" i="2" s="1"/>
  <c r="AP556" i="2" l="1"/>
  <c r="AP558" i="2" s="1"/>
  <c r="AQ559" i="2" s="1"/>
  <c r="AP574" i="2"/>
  <c r="AR581" i="2"/>
  <c r="AP575" i="2"/>
  <c r="AP583" i="2"/>
  <c r="AP565" i="2"/>
  <c r="AP567" i="2" s="1"/>
  <c r="AP566" i="2"/>
  <c r="AP568" i="2" s="1"/>
  <c r="AP569" i="2" l="1"/>
  <c r="AQ570" i="2" s="1"/>
  <c r="AP594" i="2"/>
  <c r="AP586" i="2"/>
  <c r="AP585" i="2"/>
  <c r="AR592" i="2"/>
  <c r="AP576" i="2"/>
  <c r="AP577" i="2"/>
  <c r="AP579" i="2" s="1"/>
  <c r="AP605" i="2" l="1"/>
  <c r="AR603" i="2"/>
  <c r="AP596" i="2"/>
  <c r="AP597" i="2"/>
  <c r="AP578" i="2"/>
  <c r="AP580" i="2" s="1"/>
  <c r="AQ581" i="2" s="1"/>
  <c r="AP587" i="2"/>
  <c r="AP588" i="2"/>
  <c r="AP590" i="2" s="1"/>
  <c r="AP589" i="2" l="1"/>
  <c r="AP591" i="2" s="1"/>
  <c r="AQ592" i="2" s="1"/>
  <c r="AR614" i="2"/>
  <c r="AP607" i="2"/>
  <c r="AP608" i="2"/>
  <c r="AP616" i="2"/>
  <c r="AP598" i="2"/>
  <c r="AP599" i="2"/>
  <c r="AP601" i="2" s="1"/>
  <c r="AP600" i="2" l="1"/>
  <c r="AP602" i="2" s="1"/>
  <c r="AQ603" i="2" s="1"/>
  <c r="AP609" i="2"/>
  <c r="AP610" i="2"/>
  <c r="AP612" i="2" s="1"/>
  <c r="AP619" i="2"/>
  <c r="AP627" i="2"/>
  <c r="AP618" i="2"/>
  <c r="AR625" i="2"/>
  <c r="AP629" i="2" l="1"/>
  <c r="AP630" i="2"/>
  <c r="AP638" i="2"/>
  <c r="AR636" i="2"/>
  <c r="AP620" i="2"/>
  <c r="AP621" i="2"/>
  <c r="AP623" i="2" s="1"/>
  <c r="AP611" i="2"/>
  <c r="AP613" i="2" s="1"/>
  <c r="AQ614" i="2" s="1"/>
  <c r="AP631" i="2" l="1"/>
  <c r="AP632" i="2"/>
  <c r="AP634" i="2" s="1"/>
  <c r="AP622" i="2"/>
  <c r="AP624" i="2" s="1"/>
  <c r="AQ625" i="2" s="1"/>
  <c r="AP641" i="2"/>
  <c r="AP640" i="2"/>
  <c r="AR647" i="2"/>
  <c r="AP649" i="2"/>
  <c r="AP652" i="2" l="1"/>
  <c r="AP660" i="2"/>
  <c r="AP651" i="2"/>
  <c r="AR658" i="2"/>
  <c r="AP633" i="2"/>
  <c r="AP635" i="2" s="1"/>
  <c r="AQ636" i="2" s="1"/>
  <c r="AP642" i="2"/>
  <c r="AP644" i="2" s="1"/>
  <c r="AP643" i="2"/>
  <c r="AP645" i="2" s="1"/>
  <c r="AP646" i="2" l="1"/>
  <c r="AQ647" i="2" s="1"/>
  <c r="AP671" i="2"/>
  <c r="AP662" i="2"/>
  <c r="AR669" i="2"/>
  <c r="AP663" i="2"/>
  <c r="AP653" i="2"/>
  <c r="AP654" i="2"/>
  <c r="AP656" i="2" s="1"/>
  <c r="AP674" i="2" l="1"/>
  <c r="AP682" i="2"/>
  <c r="AP673" i="2"/>
  <c r="AR680" i="2"/>
  <c r="AP655" i="2"/>
  <c r="AP657" i="2" s="1"/>
  <c r="AQ658" i="2" s="1"/>
  <c r="AP664" i="2"/>
  <c r="AP666" i="2" s="1"/>
  <c r="AP665" i="2"/>
  <c r="AP667" i="2" s="1"/>
  <c r="AP668" i="2" l="1"/>
  <c r="AQ669" i="2" s="1"/>
  <c r="AR691" i="2"/>
  <c r="AP685" i="2"/>
  <c r="AP693" i="2"/>
  <c r="AP684" i="2"/>
  <c r="AP675" i="2"/>
  <c r="AP676" i="2"/>
  <c r="AP678" i="2" s="1"/>
  <c r="AP686" i="2" l="1"/>
  <c r="AP687" i="2"/>
  <c r="AP689" i="2" s="1"/>
  <c r="AP677" i="2"/>
  <c r="AP679" i="2" s="1"/>
  <c r="AQ680" i="2" s="1"/>
  <c r="AP696" i="2"/>
  <c r="AP704" i="2"/>
  <c r="AP695" i="2"/>
  <c r="AR702" i="2"/>
  <c r="AP688" i="2" l="1"/>
  <c r="AP690" i="2" s="1"/>
  <c r="AQ691" i="2" s="1"/>
  <c r="AR713" i="2"/>
  <c r="AP715" i="2"/>
  <c r="AP706" i="2"/>
  <c r="AP707" i="2"/>
  <c r="AP697" i="2"/>
  <c r="AP698" i="2"/>
  <c r="AP700" i="2" s="1"/>
  <c r="AP699" i="2" l="1"/>
  <c r="AP701" i="2" s="1"/>
  <c r="AQ702" i="2" s="1"/>
  <c r="AP717" i="2"/>
  <c r="AP726" i="2"/>
  <c r="AR724" i="2"/>
  <c r="AP718" i="2"/>
  <c r="AP708" i="2"/>
  <c r="AP709" i="2"/>
  <c r="AP711" i="2" s="1"/>
  <c r="AP710" i="2" l="1"/>
  <c r="AP712" i="2" s="1"/>
  <c r="AQ713" i="2" s="1"/>
  <c r="AP728" i="2"/>
  <c r="AR735" i="2"/>
  <c r="AP729" i="2"/>
  <c r="AP737" i="2"/>
  <c r="AP719" i="2"/>
  <c r="AP720" i="2"/>
  <c r="AP722" i="2" s="1"/>
  <c r="AP721" i="2" l="1"/>
  <c r="AP723" i="2" s="1"/>
  <c r="AQ724" i="2" s="1"/>
  <c r="AP740" i="2"/>
  <c r="AP739" i="2"/>
  <c r="AR746" i="2"/>
  <c r="AP748" i="2"/>
  <c r="AP730" i="2"/>
  <c r="AP731" i="2"/>
  <c r="AP733" i="2" s="1"/>
  <c r="AP732" i="2" l="1"/>
  <c r="AP734" i="2" s="1"/>
  <c r="AQ735" i="2" s="1"/>
  <c r="AP741" i="2"/>
  <c r="AP743" i="2" s="1"/>
  <c r="AP742" i="2"/>
  <c r="AP744" i="2" s="1"/>
  <c r="AP751" i="2"/>
  <c r="AP759" i="2"/>
  <c r="AP750" i="2"/>
  <c r="AR757" i="2"/>
  <c r="AP770" i="2" l="1"/>
  <c r="AP762" i="2"/>
  <c r="AP761" i="2"/>
  <c r="AR768" i="2"/>
  <c r="AP752" i="2"/>
  <c r="AP753" i="2"/>
  <c r="AP755" i="2" s="1"/>
  <c r="AP745" i="2"/>
  <c r="AQ746" i="2" s="1"/>
  <c r="AP773" i="2" l="1"/>
  <c r="AP772" i="2"/>
  <c r="AR779" i="2"/>
  <c r="AP781" i="2"/>
  <c r="AP754" i="2"/>
  <c r="AP756" i="2" s="1"/>
  <c r="AQ757" i="2" s="1"/>
  <c r="AP763" i="2"/>
  <c r="AP764" i="2"/>
  <c r="AP766" i="2" s="1"/>
  <c r="AP765" i="2" l="1"/>
  <c r="AP767" i="2" s="1"/>
  <c r="AQ768" i="2" s="1"/>
  <c r="AR790" i="2"/>
  <c r="AP783" i="2"/>
  <c r="AP784" i="2"/>
  <c r="AP792" i="2"/>
  <c r="AP774" i="2"/>
  <c r="AP775" i="2"/>
  <c r="AP777" i="2" s="1"/>
  <c r="AP776" i="2" l="1"/>
  <c r="AP778" i="2" s="1"/>
  <c r="AQ779" i="2" s="1"/>
  <c r="AP785" i="2"/>
  <c r="AP786" i="2"/>
  <c r="AP788" i="2" s="1"/>
  <c r="AP795" i="2"/>
  <c r="AP794" i="2"/>
  <c r="AP803" i="2"/>
  <c r="AR801" i="2"/>
  <c r="AP796" i="2" l="1"/>
  <c r="AP797" i="2"/>
  <c r="AP799" i="2" s="1"/>
  <c r="AR812" i="2"/>
  <c r="AP814" i="2"/>
  <c r="AP806" i="2"/>
  <c r="AP805" i="2"/>
  <c r="AP787" i="2"/>
  <c r="AP789" i="2" s="1"/>
  <c r="AQ790" i="2" s="1"/>
  <c r="AP798" i="2" l="1"/>
  <c r="AP800" i="2" s="1"/>
  <c r="AQ801" i="2" s="1"/>
  <c r="AP807" i="2"/>
  <c r="AP808" i="2"/>
  <c r="AP810" i="2" s="1"/>
  <c r="AP825" i="2"/>
  <c r="AR823" i="2"/>
  <c r="AP816" i="2"/>
  <c r="AP817" i="2"/>
  <c r="AP828" i="2" l="1"/>
  <c r="AP827" i="2"/>
  <c r="AR834" i="2"/>
  <c r="AP836" i="2"/>
  <c r="AP818" i="2"/>
  <c r="AP820" i="2" s="1"/>
  <c r="AP819" i="2"/>
  <c r="AP821" i="2" s="1"/>
  <c r="AP809" i="2"/>
  <c r="AP811" i="2" s="1"/>
  <c r="AQ812" i="2" s="1"/>
  <c r="AP822" i="2" l="1"/>
  <c r="AQ823" i="2" s="1"/>
  <c r="AP829" i="2"/>
  <c r="AP830" i="2"/>
  <c r="AP832" i="2" s="1"/>
  <c r="AP847" i="2"/>
  <c r="AP838" i="2"/>
  <c r="AP839" i="2"/>
  <c r="AR845" i="2"/>
  <c r="AP831" i="2" l="1"/>
  <c r="AP833" i="2" s="1"/>
  <c r="AQ834" i="2" s="1"/>
  <c r="AP849" i="2"/>
  <c r="AR856" i="2"/>
  <c r="AP850" i="2"/>
  <c r="AP858" i="2"/>
  <c r="AP840" i="2"/>
  <c r="AP842" i="2" s="1"/>
  <c r="AP841" i="2"/>
  <c r="AP843" i="2" s="1"/>
  <c r="AP861" i="2" l="1"/>
  <c r="AP869" i="2"/>
  <c r="AP860" i="2"/>
  <c r="AR867" i="2"/>
  <c r="AP851" i="2"/>
  <c r="AP853" i="2" s="1"/>
  <c r="AP852" i="2"/>
  <c r="AP854" i="2" s="1"/>
  <c r="AP844" i="2"/>
  <c r="AQ845" i="2" s="1"/>
  <c r="AP855" i="2" l="1"/>
  <c r="AQ856" i="2" s="1"/>
  <c r="AP880" i="2"/>
  <c r="AP872" i="2"/>
  <c r="AP871" i="2"/>
  <c r="AR878" i="2"/>
  <c r="AP862" i="2"/>
  <c r="AP864" i="2" s="1"/>
  <c r="AP863" i="2"/>
  <c r="AP865" i="2" s="1"/>
  <c r="AP866" i="2" l="1"/>
  <c r="AQ867" i="2" s="1"/>
  <c r="AP882" i="2"/>
  <c r="AP891" i="2"/>
  <c r="AR889" i="2"/>
  <c r="AP883" i="2"/>
  <c r="AP873" i="2"/>
  <c r="AP874" i="2"/>
  <c r="AP876" i="2" s="1"/>
  <c r="AP884" i="2" l="1"/>
  <c r="AP885" i="2"/>
  <c r="AP887" i="2" s="1"/>
  <c r="AP875" i="2"/>
  <c r="AP877" i="2" s="1"/>
  <c r="AQ878" i="2" s="1"/>
  <c r="AP902" i="2"/>
  <c r="AP894" i="2"/>
  <c r="AP893" i="2"/>
  <c r="AR900" i="2"/>
  <c r="AP913" i="2" l="1"/>
  <c r="AP904" i="2"/>
  <c r="AP905" i="2"/>
  <c r="AR911" i="2"/>
  <c r="AP886" i="2"/>
  <c r="AP888" i="2" s="1"/>
  <c r="AQ889" i="2" s="1"/>
  <c r="AP895" i="2"/>
  <c r="AP897" i="2" s="1"/>
  <c r="AP896" i="2"/>
  <c r="AP898" i="2" s="1"/>
  <c r="AP916" i="2" l="1"/>
  <c r="AP924" i="2"/>
  <c r="AP915" i="2"/>
  <c r="AR922" i="2"/>
  <c r="AP906" i="2"/>
  <c r="AP907" i="2"/>
  <c r="AP909" i="2" s="1"/>
  <c r="AP899" i="2"/>
  <c r="AQ900" i="2" s="1"/>
  <c r="AP917" i="2" l="1"/>
  <c r="AP919" i="2" s="1"/>
  <c r="AP918" i="2"/>
  <c r="AP920" i="2" s="1"/>
  <c r="AP908" i="2"/>
  <c r="AP910" i="2" s="1"/>
  <c r="AQ911" i="2" s="1"/>
  <c r="AP927" i="2"/>
  <c r="AP926" i="2"/>
  <c r="AR933" i="2"/>
  <c r="AP935" i="2"/>
  <c r="AP921" i="2" l="1"/>
  <c r="AQ922" i="2" s="1"/>
  <c r="AP928" i="2"/>
  <c r="AP929" i="2"/>
  <c r="AP931" i="2" s="1"/>
  <c r="AR944" i="2"/>
  <c r="AP938" i="2"/>
  <c r="AP946" i="2"/>
  <c r="AP937" i="2"/>
  <c r="AR955" i="2" l="1"/>
  <c r="AP957" i="2"/>
  <c r="AP948" i="2"/>
  <c r="AP949" i="2"/>
  <c r="AP930" i="2"/>
  <c r="AP932" i="2" s="1"/>
  <c r="AQ933" i="2" s="1"/>
  <c r="AP939" i="2"/>
  <c r="AP941" i="2" s="1"/>
  <c r="AP940" i="2"/>
  <c r="AP942" i="2" s="1"/>
  <c r="AR966" i="2" l="1"/>
  <c r="AP968" i="2"/>
  <c r="AP960" i="2"/>
  <c r="AP959" i="2"/>
  <c r="AP950" i="2"/>
  <c r="AP951" i="2"/>
  <c r="AP953" i="2" s="1"/>
  <c r="AP943" i="2"/>
  <c r="AQ944" i="2" s="1"/>
  <c r="AP952" i="2" l="1"/>
  <c r="AP954" i="2" s="1"/>
  <c r="AQ955" i="2" s="1"/>
  <c r="AP971" i="2"/>
  <c r="AR977" i="2"/>
  <c r="AP979" i="2"/>
  <c r="AP970" i="2"/>
  <c r="AP961" i="2"/>
  <c r="AP963" i="2" s="1"/>
  <c r="AP962" i="2"/>
  <c r="AP964" i="2" s="1"/>
  <c r="AP981" i="2" l="1"/>
  <c r="AR988" i="2"/>
  <c r="AP990" i="2"/>
  <c r="AP982" i="2"/>
  <c r="AP972" i="2"/>
  <c r="AP973" i="2"/>
  <c r="AP975" i="2" s="1"/>
  <c r="AP965" i="2"/>
  <c r="AQ966" i="2" s="1"/>
  <c r="AR999" i="2" l="1"/>
  <c r="AP1001" i="2"/>
  <c r="AP992" i="2"/>
  <c r="AP993" i="2"/>
  <c r="AP983" i="2"/>
  <c r="AP985" i="2" s="1"/>
  <c r="AP984" i="2"/>
  <c r="AP986" i="2" s="1"/>
  <c r="AP974" i="2"/>
  <c r="AP976" i="2" s="1"/>
  <c r="AQ977" i="2" s="1"/>
  <c r="AP987" i="2" l="1"/>
  <c r="AQ988" i="2" s="1"/>
  <c r="AP994" i="2"/>
  <c r="AP996" i="2" s="1"/>
  <c r="AP995" i="2"/>
  <c r="AP997" i="2" s="1"/>
  <c r="AP1004" i="2"/>
  <c r="AP1012" i="2"/>
  <c r="AP1003" i="2"/>
  <c r="AR1010" i="2"/>
  <c r="AP998" i="2" l="1"/>
  <c r="AQ999" i="2" s="1"/>
  <c r="AP1005" i="2"/>
  <c r="AP1006" i="2"/>
  <c r="AP1008" i="2" s="1"/>
  <c r="AP1023" i="2"/>
  <c r="AP1014" i="2"/>
  <c r="AP1015" i="2"/>
  <c r="AR1021" i="2"/>
  <c r="AP1007" i="2" l="1"/>
  <c r="AP1009" i="2" s="1"/>
  <c r="AQ1010" i="2" s="1"/>
  <c r="AP1026" i="2"/>
  <c r="AP1034" i="2"/>
  <c r="AP1025" i="2"/>
  <c r="AR1032" i="2"/>
  <c r="AP1016" i="2"/>
  <c r="AP1017" i="2"/>
  <c r="AP1019" i="2" s="1"/>
  <c r="AP1027" i="2" l="1"/>
  <c r="AP1028" i="2"/>
  <c r="AP1030" i="2" s="1"/>
  <c r="AP1018" i="2"/>
  <c r="AP1020" i="2" s="1"/>
  <c r="AQ1021" i="2" s="1"/>
  <c r="AP1037" i="2"/>
  <c r="AR1043" i="2"/>
  <c r="AP1045" i="2"/>
  <c r="AP1036" i="2"/>
  <c r="AP1029" i="2" l="1"/>
  <c r="AP1031" i="2" s="1"/>
  <c r="AQ1032" i="2" s="1"/>
  <c r="AR1054" i="2"/>
  <c r="AP1056" i="2"/>
  <c r="AP1048" i="2"/>
  <c r="AP1047" i="2"/>
  <c r="AP1038" i="2"/>
  <c r="AP1040" i="2" s="1"/>
  <c r="AP1039" i="2"/>
  <c r="AP1041" i="2" s="1"/>
  <c r="AP1049" i="2" l="1"/>
  <c r="AP1051" i="2" s="1"/>
  <c r="AP1050" i="2"/>
  <c r="AP1052" i="2" s="1"/>
  <c r="AP1067" i="2"/>
  <c r="AR1065" i="2"/>
  <c r="AP1058" i="2"/>
  <c r="AP1059" i="2"/>
  <c r="AP1042" i="2"/>
  <c r="AQ1043" i="2" s="1"/>
  <c r="AP1053" i="2" l="1"/>
  <c r="AQ1054" i="2" s="1"/>
  <c r="AP1060" i="2"/>
  <c r="AP1062" i="2" s="1"/>
  <c r="AP1061" i="2"/>
  <c r="AP1063" i="2" s="1"/>
  <c r="AR1076" i="2"/>
  <c r="AP1078" i="2"/>
  <c r="AP1070" i="2"/>
  <c r="AP1069" i="2"/>
  <c r="AP1064" i="2" l="1"/>
  <c r="AQ1065" i="2" s="1"/>
  <c r="AP1071" i="2"/>
  <c r="AP1072" i="2"/>
  <c r="AP1074" i="2" s="1"/>
  <c r="AR1087" i="2"/>
  <c r="AP1089" i="2"/>
  <c r="AP1080" i="2"/>
  <c r="AP1081" i="2"/>
  <c r="AP1082" i="2" l="1"/>
  <c r="AP1083" i="2"/>
  <c r="AP1085" i="2" s="1"/>
  <c r="AP1073" i="2"/>
  <c r="AP1075" i="2" s="1"/>
  <c r="AQ1076" i="2" s="1"/>
  <c r="AP1091" i="2"/>
  <c r="AR1098" i="2"/>
  <c r="AP1092" i="2"/>
  <c r="AP1100" i="2"/>
  <c r="AP1093" i="2" l="1"/>
  <c r="AP1094" i="2"/>
  <c r="AP1096" i="2" s="1"/>
  <c r="AP1084" i="2"/>
  <c r="AP1086" i="2" s="1"/>
  <c r="AQ1087" i="2" s="1"/>
  <c r="AP1103" i="2"/>
  <c r="AP1102" i="2"/>
  <c r="AR1109" i="2"/>
  <c r="AP1111" i="2"/>
  <c r="AP1104" i="2" l="1"/>
  <c r="AP1106" i="2" s="1"/>
  <c r="AP1105" i="2"/>
  <c r="AP1107" i="2" s="1"/>
  <c r="AP1095" i="2"/>
  <c r="AP1097" i="2" s="1"/>
  <c r="AQ1098" i="2" s="1"/>
  <c r="AR1120" i="2"/>
  <c r="AP1114" i="2"/>
  <c r="AP1122" i="2"/>
  <c r="AP1113" i="2"/>
  <c r="AP1108" i="2" l="1"/>
  <c r="AQ1109" i="2" s="1"/>
  <c r="AP1133" i="2"/>
  <c r="AR1131" i="2"/>
  <c r="AP1125" i="2"/>
  <c r="AP1124" i="2"/>
  <c r="AP1115" i="2"/>
  <c r="AP1116" i="2"/>
  <c r="AP1118" i="2" s="1"/>
  <c r="AP1135" i="2" l="1"/>
  <c r="AR1142" i="2"/>
  <c r="AP1144" i="2"/>
  <c r="AP1136" i="2"/>
  <c r="AP1117" i="2"/>
  <c r="AP1119" i="2" s="1"/>
  <c r="AQ1120" i="2" s="1"/>
  <c r="AP1126" i="2"/>
  <c r="AP1128" i="2" s="1"/>
  <c r="AP1127" i="2"/>
  <c r="AP1129" i="2" s="1"/>
  <c r="AP1137" i="2" l="1"/>
  <c r="AP1138" i="2"/>
  <c r="AP1140" i="2" s="1"/>
  <c r="AP1155" i="2"/>
  <c r="AP1146" i="2"/>
  <c r="AR1153" i="2"/>
  <c r="AP1147" i="2"/>
  <c r="AP1130" i="2"/>
  <c r="AQ1131" i="2" s="1"/>
  <c r="AP1139" i="2" l="1"/>
  <c r="AP1141" i="2" s="1"/>
  <c r="AQ1142" i="2" s="1"/>
  <c r="AP1166" i="2"/>
  <c r="AP1157" i="2"/>
  <c r="AR1164" i="2"/>
  <c r="AP1158" i="2"/>
  <c r="AP1148" i="2"/>
  <c r="AP1150" i="2" s="1"/>
  <c r="AP1149" i="2"/>
  <c r="AP1151" i="2" s="1"/>
  <c r="AP1177" i="2" l="1"/>
  <c r="AP1168" i="2"/>
  <c r="AR1175" i="2"/>
  <c r="AP1169" i="2"/>
  <c r="AP1159" i="2"/>
  <c r="AP1160" i="2"/>
  <c r="AP1162" i="2" s="1"/>
  <c r="AP1152" i="2"/>
  <c r="AQ1153" i="2" s="1"/>
  <c r="AP1180" i="2" l="1"/>
  <c r="AP1188" i="2"/>
  <c r="AP1179" i="2"/>
  <c r="AR1186" i="2"/>
  <c r="AP1161" i="2"/>
  <c r="AP1163" i="2" s="1"/>
  <c r="AQ1164" i="2" s="1"/>
  <c r="AP1170" i="2"/>
  <c r="AP1171" i="2"/>
  <c r="AP1173" i="2" s="1"/>
  <c r="AP1190" i="2" l="1"/>
  <c r="AR1197" i="2"/>
  <c r="AP1191" i="2"/>
  <c r="AP1199" i="2"/>
  <c r="AP1181" i="2"/>
  <c r="AP1182" i="2"/>
  <c r="AP1184" i="2" s="1"/>
  <c r="AP1172" i="2"/>
  <c r="AP1174" i="2" s="1"/>
  <c r="AQ1175" i="2" s="1"/>
  <c r="AP1210" i="2" l="1"/>
  <c r="AP1201" i="2"/>
  <c r="AR1208" i="2"/>
  <c r="AP1202" i="2"/>
  <c r="AP1192" i="2"/>
  <c r="AP1194" i="2" s="1"/>
  <c r="AP1193" i="2"/>
  <c r="AP1195" i="2" s="1"/>
  <c r="AP1183" i="2"/>
  <c r="AP1185" i="2" s="1"/>
  <c r="AQ1186" i="2" s="1"/>
  <c r="AP1196" i="2" l="1"/>
  <c r="AQ1197" i="2" s="1"/>
  <c r="AP1213" i="2"/>
  <c r="AP1221" i="2"/>
  <c r="AP1212" i="2"/>
  <c r="AR1219" i="2"/>
  <c r="AP1203" i="2"/>
  <c r="AP1204" i="2"/>
  <c r="AP1206" i="2" s="1"/>
  <c r="AP1205" i="2" l="1"/>
  <c r="AP1207" i="2" s="1"/>
  <c r="AQ1208" i="2" s="1"/>
  <c r="AP1232" i="2"/>
  <c r="AP1224" i="2"/>
  <c r="AP1223" i="2"/>
  <c r="AR1230" i="2"/>
  <c r="AP1214" i="2"/>
  <c r="AP1216" i="2" s="1"/>
  <c r="AP1215" i="2"/>
  <c r="AP1217" i="2" s="1"/>
  <c r="AP1225" i="2" l="1"/>
  <c r="AP1226" i="2"/>
  <c r="AP1228" i="2" s="1"/>
  <c r="AP1234" i="2"/>
  <c r="AR1241" i="2"/>
  <c r="AP1235" i="2"/>
  <c r="AP1243" i="2"/>
  <c r="AP1218" i="2"/>
  <c r="AQ1219" i="2" s="1"/>
  <c r="AP1227" i="2" l="1"/>
  <c r="AP1229" i="2" s="1"/>
  <c r="AQ1230" i="2" s="1"/>
  <c r="AR1252" i="2"/>
  <c r="AP1246" i="2"/>
  <c r="AP1254" i="2"/>
  <c r="AP1245" i="2"/>
  <c r="AP1236" i="2"/>
  <c r="AP1237" i="2"/>
  <c r="AP1239" i="2" s="1"/>
  <c r="AP1265" i="2" l="1"/>
  <c r="AP1256" i="2"/>
  <c r="AR1263" i="2"/>
  <c r="AP1257" i="2"/>
  <c r="AP1247" i="2"/>
  <c r="AP1248" i="2"/>
  <c r="AP1250" i="2" s="1"/>
  <c r="AP1238" i="2"/>
  <c r="AP1240" i="2" s="1"/>
  <c r="AQ1241" i="2" s="1"/>
  <c r="AR1274" i="2" l="1"/>
  <c r="AP1268" i="2"/>
  <c r="AP1276" i="2"/>
  <c r="AP1267" i="2"/>
  <c r="AP1249" i="2"/>
  <c r="AP1251" i="2" s="1"/>
  <c r="AQ1252" i="2" s="1"/>
  <c r="AP1258" i="2"/>
  <c r="AP1259" i="2"/>
  <c r="AP1261" i="2" s="1"/>
  <c r="AP1260" i="2" l="1"/>
  <c r="AP1262" i="2" s="1"/>
  <c r="AQ1263" i="2" s="1"/>
  <c r="AP1269" i="2"/>
  <c r="AP1270" i="2"/>
  <c r="AP1272" i="2" s="1"/>
  <c r="AP1278" i="2"/>
  <c r="AR1285" i="2"/>
  <c r="AP1279" i="2"/>
  <c r="AP1287" i="2"/>
  <c r="AP1280" i="2" l="1"/>
  <c r="AP1281" i="2"/>
  <c r="AP1283" i="2" s="1"/>
  <c r="AP1271" i="2"/>
  <c r="AP1273" i="2" s="1"/>
  <c r="AQ1274" i="2" s="1"/>
  <c r="AP1289" i="2"/>
  <c r="AR1296" i="2"/>
  <c r="AP1290" i="2"/>
  <c r="AP1298" i="2"/>
  <c r="AP1291" i="2" l="1"/>
  <c r="AP1293" i="2" s="1"/>
  <c r="AP1292" i="2"/>
  <c r="AP1294" i="2" s="1"/>
  <c r="AP1282" i="2"/>
  <c r="AP1284" i="2" s="1"/>
  <c r="AQ1285" i="2" s="1"/>
  <c r="AP1301" i="2"/>
  <c r="AP1309" i="2"/>
  <c r="AP1300" i="2"/>
  <c r="AR1307" i="2"/>
  <c r="AP1295" i="2" l="1"/>
  <c r="AQ1296" i="2" s="1"/>
  <c r="AP1320" i="2"/>
  <c r="AP1312" i="2"/>
  <c r="AP1311" i="2"/>
  <c r="AR1318" i="2"/>
  <c r="AP1302" i="2"/>
  <c r="AP1303" i="2"/>
  <c r="AP1305" i="2" s="1"/>
  <c r="AP1304" i="2" l="1"/>
  <c r="AP1306" i="2" s="1"/>
  <c r="AQ1307" i="2" s="1"/>
  <c r="AP1313" i="2"/>
  <c r="AP1314" i="2"/>
  <c r="AP1316" i="2" s="1"/>
  <c r="AP1331" i="2"/>
  <c r="AP1322" i="2"/>
  <c r="AR1329" i="2"/>
  <c r="AP1323" i="2"/>
  <c r="AP1315" i="2" l="1"/>
  <c r="AP1317" i="2" s="1"/>
  <c r="AQ1318" i="2" s="1"/>
  <c r="AP1333" i="2"/>
  <c r="AR1340" i="2"/>
  <c r="AP1334" i="2"/>
  <c r="AP1342" i="2"/>
  <c r="AP1324" i="2"/>
  <c r="AP1326" i="2" s="1"/>
  <c r="AP1325" i="2"/>
  <c r="AP1327" i="2" s="1"/>
  <c r="AP1335" i="2" l="1"/>
  <c r="AP1336" i="2"/>
  <c r="AP1338" i="2" s="1"/>
  <c r="AP1353" i="2"/>
  <c r="AP1344" i="2"/>
  <c r="AR1351" i="2"/>
  <c r="AP1345" i="2"/>
  <c r="AP1328" i="2"/>
  <c r="AQ1329" i="2" s="1"/>
  <c r="AP1337" i="2" l="1"/>
  <c r="AP1339" i="2" s="1"/>
  <c r="AQ1340" i="2" s="1"/>
  <c r="AR1362" i="2"/>
  <c r="AP1356" i="2"/>
  <c r="AP1364" i="2"/>
  <c r="AP1355" i="2"/>
  <c r="AP1346" i="2"/>
  <c r="AP1347" i="2"/>
  <c r="AP1349" i="2" s="1"/>
  <c r="AP1375" i="2" l="1"/>
  <c r="AP1366" i="2"/>
  <c r="AR1373" i="2"/>
  <c r="AP1367" i="2"/>
  <c r="AP1357" i="2"/>
  <c r="AP1358" i="2"/>
  <c r="AP1360" i="2" s="1"/>
  <c r="AP1348" i="2"/>
  <c r="AP1350" i="2" s="1"/>
  <c r="AQ1351" i="2" s="1"/>
  <c r="AP1386" i="2" l="1"/>
  <c r="AP1377" i="2"/>
  <c r="AR1384" i="2"/>
  <c r="AP1378" i="2"/>
  <c r="AP1359" i="2"/>
  <c r="AP1361" i="2" s="1"/>
  <c r="AQ1362" i="2" s="1"/>
  <c r="AP1368" i="2"/>
  <c r="AP1370" i="2" s="1"/>
  <c r="AP1369" i="2"/>
  <c r="AP1371" i="2" s="1"/>
  <c r="AP1389" i="2" l="1"/>
  <c r="AP1397" i="2"/>
  <c r="AR1395" i="2"/>
  <c r="AP1388" i="2"/>
  <c r="AP1379" i="2"/>
  <c r="AP1380" i="2"/>
  <c r="AP1382" i="2" s="1"/>
  <c r="AP1372" i="2"/>
  <c r="AQ1373" i="2" s="1"/>
  <c r="AP1381" i="2" l="1"/>
  <c r="AP1383" i="2" s="1"/>
  <c r="AQ1384" i="2" s="1"/>
  <c r="AP1399" i="2"/>
  <c r="AR1406" i="2"/>
  <c r="AP1408" i="2"/>
  <c r="AP1400" i="2"/>
  <c r="AP1390" i="2"/>
  <c r="AP1391" i="2"/>
  <c r="AP1393" i="2" s="1"/>
  <c r="AP1410" i="2" l="1"/>
  <c r="AR1417" i="2"/>
  <c r="AP1411" i="2"/>
  <c r="AP1419" i="2"/>
  <c r="AP1401" i="2"/>
  <c r="AP1402" i="2"/>
  <c r="AP1404" i="2" s="1"/>
  <c r="AP1392" i="2"/>
  <c r="AP1394" i="2" s="1"/>
  <c r="AQ1395" i="2" s="1"/>
  <c r="AP1412" i="2" l="1"/>
  <c r="AP1414" i="2" s="1"/>
  <c r="AP1413" i="2"/>
  <c r="AP1415" i="2" s="1"/>
  <c r="AP1403" i="2"/>
  <c r="AP1405" i="2" s="1"/>
  <c r="AQ1406" i="2" s="1"/>
  <c r="AP1421" i="2"/>
  <c r="AR1428" i="2"/>
  <c r="AP1422" i="2"/>
  <c r="AP1430" i="2"/>
  <c r="AP1416" i="2" l="1"/>
  <c r="AQ1417" i="2" s="1"/>
  <c r="AP1423" i="2"/>
  <c r="AP1424" i="2"/>
  <c r="AP1426" i="2" s="1"/>
  <c r="AP1441" i="2"/>
  <c r="AR1439" i="2"/>
  <c r="AP1432" i="2"/>
  <c r="AP1433" i="2"/>
  <c r="AP1434" i="2" l="1"/>
  <c r="AP1435" i="2"/>
  <c r="AP1437" i="2" s="1"/>
  <c r="AP1425" i="2"/>
  <c r="AP1427" i="2" s="1"/>
  <c r="AQ1428" i="2" s="1"/>
  <c r="AP1443" i="2"/>
  <c r="AR1450" i="2"/>
  <c r="AP1444" i="2"/>
  <c r="AP1452" i="2"/>
  <c r="AP1445" i="2" l="1"/>
  <c r="AP1446" i="2"/>
  <c r="AP1448" i="2" s="1"/>
  <c r="AP1436" i="2"/>
  <c r="AP1438" i="2" s="1"/>
  <c r="AQ1439" i="2" s="1"/>
  <c r="AP1455" i="2"/>
  <c r="AP1463" i="2"/>
  <c r="AP1454" i="2"/>
  <c r="AR1461" i="2"/>
  <c r="AP1447" i="2" l="1"/>
  <c r="AP1449" i="2" s="1"/>
  <c r="AQ1450" i="2" s="1"/>
  <c r="AP1465" i="2"/>
  <c r="AR1472" i="2"/>
  <c r="AP1466" i="2"/>
  <c r="AP1474" i="2"/>
  <c r="AP1456" i="2"/>
  <c r="AP1458" i="2" s="1"/>
  <c r="AP1457" i="2"/>
  <c r="AP1459" i="2" s="1"/>
  <c r="AP1467" i="2" l="1"/>
  <c r="AP1468" i="2"/>
  <c r="AP1470" i="2" s="1"/>
  <c r="AP1485" i="2"/>
  <c r="AP1477" i="2"/>
  <c r="AP1476" i="2"/>
  <c r="AR1483" i="2"/>
  <c r="AP1460" i="2"/>
  <c r="AQ1461" i="2" s="1"/>
  <c r="AP1478" i="2" l="1"/>
  <c r="AP1480" i="2" s="1"/>
  <c r="AP1479" i="2"/>
  <c r="AP1481" i="2" s="1"/>
  <c r="AP1469" i="2"/>
  <c r="AP1471" i="2" s="1"/>
  <c r="AQ1472" i="2" s="1"/>
  <c r="AP1496" i="2"/>
  <c r="AP1487" i="2"/>
  <c r="AP1488" i="2"/>
  <c r="AR1494" i="2"/>
  <c r="AP1482" i="2" l="1"/>
  <c r="AQ1483" i="2" s="1"/>
  <c r="AP1498" i="2"/>
  <c r="AP1499" i="2"/>
  <c r="AR1505" i="2"/>
  <c r="AP1507" i="2"/>
  <c r="AP1489" i="2"/>
  <c r="AP1490" i="2"/>
  <c r="AP1492" i="2" s="1"/>
  <c r="AP1500" i="2" l="1"/>
  <c r="AP1501" i="2"/>
  <c r="AP1503" i="2" s="1"/>
  <c r="AP1491" i="2"/>
  <c r="AP1493" i="2" s="1"/>
  <c r="AQ1494" i="2" s="1"/>
  <c r="AP1510" i="2"/>
  <c r="AR1516" i="2"/>
  <c r="AP1518" i="2"/>
  <c r="AP1509" i="2"/>
  <c r="AP1502" i="2" l="1"/>
  <c r="AP1504" i="2" s="1"/>
  <c r="AQ1505" i="2" s="1"/>
  <c r="AR1527" i="2"/>
  <c r="AP1521" i="2"/>
  <c r="AP1520" i="2"/>
  <c r="AP1529" i="2"/>
  <c r="AP1511" i="2"/>
  <c r="AP1512" i="2"/>
  <c r="AP1514" i="2" s="1"/>
  <c r="AP1513" i="2" l="1"/>
  <c r="AP1515" i="2" s="1"/>
  <c r="AQ1516" i="2" s="1"/>
  <c r="AP1522" i="2"/>
  <c r="AP1523" i="2"/>
  <c r="AP1525" i="2" s="1"/>
  <c r="AP1531" i="2"/>
  <c r="AR1538" i="2"/>
  <c r="AP1532" i="2"/>
  <c r="AP1540" i="2"/>
  <c r="AP1543" i="2" l="1"/>
  <c r="AP1551" i="2"/>
  <c r="AP1542" i="2"/>
  <c r="AR1549" i="2"/>
  <c r="AP1533" i="2"/>
  <c r="AP1534" i="2"/>
  <c r="AP1536" i="2" s="1"/>
  <c r="AP1524" i="2"/>
  <c r="AP1526" i="2" s="1"/>
  <c r="AQ1527" i="2" s="1"/>
  <c r="AP1535" i="2" l="1"/>
  <c r="AP1537" i="2" s="1"/>
  <c r="AQ1538" i="2" s="1"/>
  <c r="AP1553" i="2"/>
  <c r="AR1560" i="2"/>
  <c r="AP1554" i="2"/>
  <c r="AP1562" i="2"/>
  <c r="AP1544" i="2"/>
  <c r="AP1546" i="2" s="1"/>
  <c r="AP1545" i="2"/>
  <c r="AP1547" i="2" s="1"/>
  <c r="AP1548" i="2" l="1"/>
  <c r="AQ1549" i="2" s="1"/>
  <c r="AP1573" i="2"/>
  <c r="AP1564" i="2"/>
  <c r="AR1571" i="2"/>
  <c r="AP1565" i="2"/>
  <c r="AP1555" i="2"/>
  <c r="AP1556" i="2"/>
  <c r="AP1558" i="2" s="1"/>
  <c r="AP1575" i="2" l="1"/>
  <c r="AR1582" i="2"/>
  <c r="AP1584" i="2"/>
  <c r="AP1576" i="2"/>
  <c r="AP1557" i="2"/>
  <c r="AP1559" i="2" s="1"/>
  <c r="AQ1560" i="2" s="1"/>
  <c r="AP1566" i="2"/>
  <c r="AP1567" i="2"/>
  <c r="AP1569" i="2" s="1"/>
  <c r="AP1568" i="2" l="1"/>
  <c r="AP1570" i="2" s="1"/>
  <c r="AQ1571" i="2" s="1"/>
  <c r="AP1577" i="2"/>
  <c r="AP1578" i="2"/>
  <c r="AP1580" i="2" s="1"/>
  <c r="AP1586" i="2"/>
  <c r="AR1593" i="2"/>
  <c r="AP1587" i="2"/>
  <c r="AP1595" i="2"/>
  <c r="AP1597" i="2" l="1"/>
  <c r="AR1604" i="2"/>
  <c r="AP1598" i="2"/>
  <c r="AP1606" i="2"/>
  <c r="AP1588" i="2"/>
  <c r="AP1590" i="2" s="1"/>
  <c r="AP1589" i="2"/>
  <c r="AP1591" i="2" s="1"/>
  <c r="AP1579" i="2"/>
  <c r="AP1581" i="2" s="1"/>
  <c r="AQ1582" i="2" s="1"/>
  <c r="AP1592" i="2" l="1"/>
  <c r="AQ1593" i="2" s="1"/>
  <c r="AP1599" i="2"/>
  <c r="AP1600" i="2"/>
  <c r="AP1602" i="2" s="1"/>
  <c r="AP1617" i="2"/>
  <c r="AP1608" i="2"/>
  <c r="AR1615" i="2"/>
  <c r="AP1609" i="2"/>
  <c r="AP1601" i="2" l="1"/>
  <c r="AP1603" i="2" s="1"/>
  <c r="AQ1604" i="2" s="1"/>
  <c r="AP1620" i="2"/>
  <c r="AP1628" i="2"/>
  <c r="AP1619" i="2"/>
  <c r="AR1626" i="2"/>
  <c r="AP1610" i="2"/>
  <c r="AP1612" i="2" s="1"/>
  <c r="AP1611" i="2"/>
  <c r="AP1613" i="2" s="1"/>
  <c r="AP1621" i="2" l="1"/>
  <c r="AP1622" i="2"/>
  <c r="AP1624" i="2" s="1"/>
  <c r="AP1630" i="2"/>
  <c r="AR1637" i="2"/>
  <c r="AP1631" i="2"/>
  <c r="AP1639" i="2"/>
  <c r="AP1614" i="2"/>
  <c r="AQ1615" i="2" s="1"/>
  <c r="AP1623" i="2" l="1"/>
  <c r="AP1625" i="2" s="1"/>
  <c r="AQ1626" i="2" s="1"/>
  <c r="AP1642" i="2"/>
  <c r="AP1650" i="2"/>
  <c r="AP1641" i="2"/>
  <c r="AR1648" i="2"/>
  <c r="AP1632" i="2"/>
  <c r="AP1633" i="2"/>
  <c r="AP1635" i="2" s="1"/>
  <c r="AP1643" i="2" l="1"/>
  <c r="AP1644" i="2"/>
  <c r="AP1646" i="2" s="1"/>
  <c r="AP1634" i="2"/>
  <c r="AP1636" i="2" s="1"/>
  <c r="AQ1637" i="2" s="1"/>
  <c r="AP1652" i="2"/>
  <c r="AR1659" i="2"/>
  <c r="AP1653" i="2"/>
  <c r="AP1661" i="2"/>
  <c r="AP1654" i="2" l="1"/>
  <c r="AP1656" i="2" s="1"/>
  <c r="AP1655" i="2"/>
  <c r="AP1657" i="2" s="1"/>
  <c r="AP1645" i="2"/>
  <c r="AP1647" i="2" s="1"/>
  <c r="AQ1648" i="2" s="1"/>
  <c r="AP1672" i="2"/>
  <c r="AP1664" i="2"/>
  <c r="AP1663" i="2"/>
  <c r="AR1670" i="2"/>
  <c r="AP1658" i="2" l="1"/>
  <c r="AQ1659" i="2" s="1"/>
  <c r="AP1674" i="2"/>
  <c r="AR1681" i="2"/>
  <c r="AP1675" i="2"/>
  <c r="AP1683" i="2"/>
  <c r="AP1665" i="2"/>
  <c r="AP1666" i="2"/>
  <c r="AP1668" i="2" s="1"/>
  <c r="AP1676" i="2" l="1"/>
  <c r="AP1677" i="2"/>
  <c r="AP1679" i="2" s="1"/>
  <c r="AP1667" i="2"/>
  <c r="AP1669" i="2" s="1"/>
  <c r="AQ1670" i="2" s="1"/>
  <c r="AP1686" i="2"/>
  <c r="AP1694" i="2"/>
  <c r="AP1685" i="2"/>
  <c r="AR1692" i="2"/>
  <c r="AP1678" i="2" l="1"/>
  <c r="AP1680" i="2" s="1"/>
  <c r="AQ1681" i="2" s="1"/>
  <c r="AP1696" i="2"/>
  <c r="AR1703" i="2"/>
  <c r="AP1697" i="2"/>
  <c r="AP1705" i="2"/>
  <c r="AP1687" i="2"/>
  <c r="AP1688" i="2"/>
  <c r="AP1690" i="2" s="1"/>
  <c r="AP1707" i="2" l="1"/>
  <c r="AR1714" i="2"/>
  <c r="AP1708" i="2"/>
  <c r="AP1716" i="2"/>
  <c r="AP1698" i="2"/>
  <c r="AP1699" i="2"/>
  <c r="AP1701" i="2" s="1"/>
  <c r="AP1689" i="2"/>
  <c r="AP1691" i="2" s="1"/>
  <c r="AQ1692" i="2" s="1"/>
  <c r="AP1709" i="2" l="1"/>
  <c r="AP1710" i="2"/>
  <c r="AP1712" i="2" s="1"/>
  <c r="AP1700" i="2"/>
  <c r="AP1702" i="2" s="1"/>
  <c r="AQ1703" i="2" s="1"/>
  <c r="AP1719" i="2"/>
  <c r="AP1727" i="2"/>
  <c r="AP1718" i="2"/>
  <c r="AR1725" i="2"/>
  <c r="AP1711" i="2" l="1"/>
  <c r="AP1713" i="2" s="1"/>
  <c r="AQ1714" i="2" s="1"/>
  <c r="AR1736" i="2"/>
  <c r="AP1730" i="2"/>
  <c r="AP1738" i="2"/>
  <c r="AP1729" i="2"/>
  <c r="AP1720" i="2"/>
  <c r="AP1722" i="2" s="1"/>
  <c r="AP1721" i="2"/>
  <c r="AP1723" i="2" s="1"/>
  <c r="AP1749" i="2" l="1"/>
  <c r="AP1740" i="2"/>
  <c r="AR1747" i="2"/>
  <c r="AP1741" i="2"/>
  <c r="AP1731" i="2"/>
  <c r="AP1732" i="2"/>
  <c r="AP1734" i="2" s="1"/>
  <c r="AP1724" i="2"/>
  <c r="AQ1725" i="2" s="1"/>
  <c r="AP1760" i="2" l="1"/>
  <c r="AP1752" i="2"/>
  <c r="AP1751" i="2"/>
  <c r="AR1758" i="2"/>
  <c r="AP1733" i="2"/>
  <c r="AP1735" i="2" s="1"/>
  <c r="AQ1736" i="2" s="1"/>
  <c r="AP1742" i="2"/>
  <c r="AP1743" i="2"/>
  <c r="AP1745" i="2" s="1"/>
  <c r="AP1762" i="2" l="1"/>
  <c r="AR1769" i="2"/>
  <c r="AP1763" i="2"/>
  <c r="AP1771" i="2"/>
  <c r="AP1753" i="2"/>
  <c r="AP1754" i="2"/>
  <c r="AP1756" i="2" s="1"/>
  <c r="AP1744" i="2"/>
  <c r="AP1746" i="2" s="1"/>
  <c r="AQ1747" i="2" s="1"/>
  <c r="AP1764" i="2" l="1"/>
  <c r="AP1766" i="2" s="1"/>
  <c r="AP1765" i="2"/>
  <c r="AP1767" i="2" s="1"/>
  <c r="AP1755" i="2"/>
  <c r="AP1757" i="2" s="1"/>
  <c r="AQ1758" i="2" s="1"/>
  <c r="AP1773" i="2"/>
  <c r="AR1780" i="2"/>
  <c r="AP1774" i="2"/>
  <c r="AP1782" i="2"/>
  <c r="AP1768" i="2" l="1"/>
  <c r="AQ1769" i="2" s="1"/>
  <c r="AP1775" i="2"/>
  <c r="AP1777" i="2" s="1"/>
  <c r="AP1776" i="2"/>
  <c r="AP1778" i="2" s="1"/>
  <c r="AP1793" i="2"/>
  <c r="AP1784" i="2"/>
  <c r="AR1791" i="2"/>
  <c r="AP1785" i="2"/>
  <c r="AP1779" i="2" l="1"/>
  <c r="AQ1780" i="2" s="1"/>
  <c r="AP1795" i="2"/>
  <c r="AR1802" i="2"/>
  <c r="AP1796" i="2"/>
  <c r="AP1804" i="2"/>
  <c r="AP1786" i="2"/>
  <c r="AP1787" i="2"/>
  <c r="AP1789" i="2" s="1"/>
  <c r="AP1807" i="2" l="1"/>
  <c r="AR1813" i="2"/>
  <c r="AP1815" i="2"/>
  <c r="AP1806" i="2"/>
  <c r="AP1797" i="2"/>
  <c r="AP1798" i="2"/>
  <c r="AP1800" i="2" s="1"/>
  <c r="AP1788" i="2"/>
  <c r="AP1790" i="2" s="1"/>
  <c r="AQ1791" i="2" s="1"/>
  <c r="AP1808" i="2" l="1"/>
  <c r="AP1810" i="2" s="1"/>
  <c r="AP1809" i="2"/>
  <c r="AP1811" i="2" s="1"/>
  <c r="AP1799" i="2"/>
  <c r="AP1801" i="2" s="1"/>
  <c r="AQ1802" i="2" s="1"/>
  <c r="AP1818" i="2"/>
  <c r="AP1826" i="2"/>
  <c r="AP1817" i="2"/>
  <c r="AR1824" i="2"/>
  <c r="AP1812" i="2" l="1"/>
  <c r="AQ1813" i="2" s="1"/>
  <c r="AP1837" i="2"/>
  <c r="AR1835" i="2"/>
  <c r="AP1828" i="2"/>
  <c r="AP1829" i="2"/>
  <c r="AP1819" i="2"/>
  <c r="AP1820" i="2"/>
  <c r="AP1822" i="2" s="1"/>
  <c r="AP1848" i="2" l="1"/>
  <c r="AP1840" i="2"/>
  <c r="AP1839" i="2"/>
  <c r="AR1846" i="2"/>
  <c r="AP1821" i="2"/>
  <c r="AP1823" i="2" s="1"/>
  <c r="AQ1824" i="2" s="1"/>
  <c r="AP1830" i="2"/>
  <c r="AP1832" i="2" s="1"/>
  <c r="AP1831" i="2"/>
  <c r="AP1833" i="2" s="1"/>
  <c r="AP1851" i="2" l="1"/>
  <c r="AP1859" i="2"/>
  <c r="AP1850" i="2"/>
  <c r="AR1857" i="2"/>
  <c r="AP1841" i="2"/>
  <c r="AP1842" i="2"/>
  <c r="AP1844" i="2" s="1"/>
  <c r="AP1834" i="2"/>
  <c r="AQ1835" i="2" s="1"/>
  <c r="AP1843" i="2" l="1"/>
  <c r="AP1845" i="2" s="1"/>
  <c r="AQ1846" i="2" s="1"/>
  <c r="AR1868" i="2"/>
  <c r="AP1862" i="2"/>
  <c r="AP1870" i="2"/>
  <c r="AP1861" i="2"/>
  <c r="AP1852" i="2"/>
  <c r="AP1854" i="2" s="1"/>
  <c r="AP1853" i="2"/>
  <c r="AP1855" i="2" s="1"/>
  <c r="AP1881" i="2" l="1"/>
  <c r="AR1879" i="2"/>
  <c r="AP1872" i="2"/>
  <c r="AP1873" i="2"/>
  <c r="AP1863" i="2"/>
  <c r="AP1864" i="2"/>
  <c r="AP1866" i="2" s="1"/>
  <c r="AP1856" i="2"/>
  <c r="AQ1857" i="2" s="1"/>
  <c r="AP1883" i="2" l="1"/>
  <c r="AR1890" i="2"/>
  <c r="AP1884" i="2"/>
  <c r="AP1892" i="2"/>
  <c r="AP1865" i="2"/>
  <c r="AP1867" i="2" s="1"/>
  <c r="AQ1868" i="2" s="1"/>
  <c r="AP1874" i="2"/>
  <c r="AP1875" i="2"/>
  <c r="AP1877" i="2" s="1"/>
  <c r="AP1885" i="2" l="1"/>
  <c r="AP1886" i="2"/>
  <c r="AP1888" i="2" s="1"/>
  <c r="AP1876" i="2"/>
  <c r="AP1878" i="2" s="1"/>
  <c r="AQ1879" i="2" s="1"/>
  <c r="AP1903" i="2"/>
  <c r="AP1894" i="2"/>
  <c r="AR1901" i="2"/>
  <c r="AP1895" i="2"/>
  <c r="AP1906" i="2" l="1"/>
  <c r="AP1914" i="2"/>
  <c r="AP1905" i="2"/>
  <c r="AR1912" i="2"/>
  <c r="AP1887" i="2"/>
  <c r="AP1889" i="2" s="1"/>
  <c r="AQ1890" i="2" s="1"/>
  <c r="AP1896" i="2"/>
  <c r="AP1898" i="2" s="1"/>
  <c r="AP1897" i="2"/>
  <c r="AP1899" i="2" s="1"/>
  <c r="AP1907" i="2" l="1"/>
  <c r="AP1909" i="2" s="1"/>
  <c r="AP1908" i="2"/>
  <c r="AP1910" i="2" s="1"/>
  <c r="AP1917" i="2"/>
  <c r="AP1925" i="2"/>
  <c r="AP1916" i="2"/>
  <c r="AR1923" i="2"/>
  <c r="AP1900" i="2"/>
  <c r="AQ1901" i="2" s="1"/>
  <c r="AP1911" i="2" l="1"/>
  <c r="AQ1912" i="2" s="1"/>
  <c r="AP1918" i="2"/>
  <c r="AP1920" i="2" s="1"/>
  <c r="AP1919" i="2"/>
  <c r="AP1921" i="2" s="1"/>
  <c r="AR1934" i="2"/>
  <c r="AP1936" i="2"/>
  <c r="AP1928" i="2"/>
  <c r="AP1927" i="2"/>
  <c r="AP1922" i="2" l="1"/>
  <c r="AQ1923" i="2" s="1"/>
  <c r="AP1929" i="2"/>
  <c r="AP1930" i="2"/>
  <c r="AP1932" i="2" s="1"/>
  <c r="AP1939" i="2"/>
  <c r="AP1947" i="2"/>
  <c r="AP1938" i="2"/>
  <c r="AR1945" i="2"/>
  <c r="AP1940" i="2" l="1"/>
  <c r="AP1942" i="2" s="1"/>
  <c r="AP1941" i="2"/>
  <c r="AP1943" i="2" s="1"/>
  <c r="AP1931" i="2"/>
  <c r="AP1933" i="2" s="1"/>
  <c r="AQ1934" i="2" s="1"/>
  <c r="AP1949" i="2"/>
  <c r="AR1956" i="2"/>
  <c r="AP1950" i="2"/>
  <c r="AP1958" i="2"/>
  <c r="AP1944" i="2" l="1"/>
  <c r="AQ1945" i="2" s="1"/>
  <c r="AP1951" i="2"/>
  <c r="AP1953" i="2" s="1"/>
  <c r="AP1952" i="2"/>
  <c r="AP1954" i="2" s="1"/>
  <c r="AP1961" i="2"/>
  <c r="AP1969" i="2"/>
  <c r="AP1960" i="2"/>
  <c r="AR1967" i="2"/>
  <c r="AP1955" i="2" l="1"/>
  <c r="AQ1956" i="2" s="1"/>
  <c r="AP1962" i="2"/>
  <c r="AP1963" i="2"/>
  <c r="AP1965" i="2" s="1"/>
  <c r="AP1971" i="2"/>
  <c r="AR1978" i="2"/>
  <c r="AP1972" i="2"/>
  <c r="AP1980" i="2"/>
  <c r="AP1964" i="2" l="1"/>
  <c r="AP1966" i="2" s="1"/>
  <c r="AQ1967" i="2" s="1"/>
  <c r="AR1989" i="2"/>
  <c r="AP1983" i="2"/>
  <c r="AP1991" i="2"/>
  <c r="AP1982" i="2"/>
  <c r="AP1973" i="2"/>
  <c r="AP1974" i="2"/>
  <c r="AP1976" i="2" s="1"/>
  <c r="AR2000" i="2" l="1"/>
  <c r="AP1994" i="2"/>
  <c r="AP2002" i="2"/>
  <c r="AP1993" i="2"/>
  <c r="AP1984" i="2"/>
  <c r="AP1986" i="2" s="1"/>
  <c r="AP1985" i="2"/>
  <c r="AP1987" i="2" s="1"/>
  <c r="AP1975" i="2"/>
  <c r="AP1977" i="2" s="1"/>
  <c r="AQ1978" i="2" s="1"/>
  <c r="AP1988" i="2" l="1"/>
  <c r="AQ1989" i="2" s="1"/>
  <c r="AP2013" i="2"/>
  <c r="AR2011" i="2"/>
  <c r="AP2004" i="2"/>
  <c r="AP2005" i="2"/>
  <c r="AP1995" i="2"/>
  <c r="AP1996" i="2"/>
  <c r="AP1998" i="2" s="1"/>
  <c r="AP2015" i="2" l="1"/>
  <c r="AR2022" i="2"/>
  <c r="AP2024" i="2"/>
  <c r="AP2016" i="2"/>
  <c r="AP1997" i="2"/>
  <c r="AP1999" i="2" s="1"/>
  <c r="AQ2000" i="2" s="1"/>
  <c r="AP2006" i="2"/>
  <c r="AP2008" i="2" s="1"/>
  <c r="AP2007" i="2"/>
  <c r="AP2009" i="2" s="1"/>
  <c r="AP2026" i="2" l="1"/>
  <c r="AR2033" i="2"/>
  <c r="AP2027" i="2"/>
  <c r="AP2035" i="2"/>
  <c r="AP2017" i="2"/>
  <c r="AP2018" i="2"/>
  <c r="AP2020" i="2" s="1"/>
  <c r="AP2010" i="2"/>
  <c r="AQ2011" i="2" s="1"/>
  <c r="AP2028" i="2" l="1"/>
  <c r="AP2030" i="2" s="1"/>
  <c r="AP2029" i="2"/>
  <c r="AP2031" i="2" s="1"/>
  <c r="AP2019" i="2"/>
  <c r="AP2021" i="2" s="1"/>
  <c r="AQ2022" i="2" s="1"/>
  <c r="AP2037" i="2"/>
  <c r="AR2044" i="2"/>
  <c r="AP2038" i="2"/>
  <c r="AP2046" i="2"/>
  <c r="AP2032" i="2" l="1"/>
  <c r="AQ2033" i="2" s="1"/>
  <c r="AP2039" i="2"/>
  <c r="AP2040" i="2"/>
  <c r="AP2042" i="2" s="1"/>
  <c r="AP2057" i="2"/>
  <c r="AR2055" i="2"/>
  <c r="AP2048" i="2"/>
  <c r="AP2049" i="2"/>
  <c r="AP2041" i="2" l="1"/>
  <c r="AP2043" i="2" s="1"/>
  <c r="AQ2044" i="2" s="1"/>
  <c r="AP2060" i="2"/>
  <c r="AP2068" i="2"/>
  <c r="AP2059" i="2"/>
  <c r="AR2066" i="2"/>
  <c r="AP2050" i="2"/>
  <c r="AP2051" i="2"/>
  <c r="AP2053" i="2" s="1"/>
  <c r="AP2061" i="2" l="1"/>
  <c r="AP2062" i="2"/>
  <c r="AP2064" i="2" s="1"/>
  <c r="AP2052" i="2"/>
  <c r="AP2054" i="2" s="1"/>
  <c r="AQ2055" i="2" s="1"/>
  <c r="AP2070" i="2"/>
  <c r="AR2077" i="2"/>
  <c r="AP2071" i="2"/>
  <c r="AP2079" i="2"/>
  <c r="AP2072" i="2" l="1"/>
  <c r="AP2073" i="2"/>
  <c r="AP2075" i="2" s="1"/>
  <c r="AP2063" i="2"/>
  <c r="AP2065" i="2" s="1"/>
  <c r="AQ2066" i="2" s="1"/>
  <c r="AP2082" i="2"/>
  <c r="AP2090" i="2"/>
  <c r="AP2081" i="2"/>
  <c r="AR2088" i="2"/>
  <c r="AP2074" i="2" l="1"/>
  <c r="AP2076" i="2" s="1"/>
  <c r="AQ2077" i="2" s="1"/>
  <c r="AP2092" i="2"/>
  <c r="AP2093" i="2"/>
  <c r="AP2101" i="2"/>
  <c r="AR2099" i="2"/>
  <c r="AP2083" i="2"/>
  <c r="AP2084" i="2"/>
  <c r="AP2086" i="2" s="1"/>
  <c r="AP2103" i="2" l="1"/>
  <c r="AR2110" i="2"/>
  <c r="AP2112" i="2"/>
  <c r="AP2104" i="2"/>
  <c r="AP2094" i="2"/>
  <c r="AP2096" i="2" s="1"/>
  <c r="AP2095" i="2"/>
  <c r="AP2097" i="2" s="1"/>
  <c r="AP2085" i="2"/>
  <c r="AP2087" i="2" s="1"/>
  <c r="AQ2088" i="2" s="1"/>
  <c r="AP2098" i="2" l="1"/>
  <c r="AQ2099" i="2" s="1"/>
  <c r="AP2123" i="2"/>
  <c r="AP2114" i="2"/>
  <c r="AR2121" i="2"/>
  <c r="AP2115" i="2"/>
  <c r="AP2105" i="2"/>
  <c r="AP2106" i="2"/>
  <c r="AP2108" i="2" s="1"/>
  <c r="AP2125" i="2" l="1"/>
  <c r="AR2132" i="2"/>
  <c r="AP2126" i="2"/>
  <c r="AP2134" i="2"/>
  <c r="AP2107" i="2"/>
  <c r="AP2109" i="2" s="1"/>
  <c r="AQ2110" i="2" s="1"/>
  <c r="AP2116" i="2"/>
  <c r="AP2117" i="2"/>
  <c r="AP2119" i="2" s="1"/>
  <c r="AP2127" i="2" l="1"/>
  <c r="AP2128" i="2"/>
  <c r="AP2130" i="2" s="1"/>
  <c r="AP2118" i="2"/>
  <c r="AP2120" i="2" s="1"/>
  <c r="AQ2121" i="2" s="1"/>
  <c r="AR2143" i="2"/>
  <c r="AP2136" i="2"/>
  <c r="AP2137" i="2"/>
  <c r="AP2145" i="2"/>
  <c r="AP2129" i="2" l="1"/>
  <c r="AP2131" i="2" s="1"/>
  <c r="AQ2132" i="2" s="1"/>
  <c r="AP2138" i="2"/>
  <c r="AP2139" i="2"/>
  <c r="AP2141" i="2" s="1"/>
  <c r="AR2154" i="2"/>
  <c r="AP2148" i="2"/>
  <c r="AP2156" i="2"/>
  <c r="AP2147" i="2"/>
  <c r="AP2159" i="2" l="1"/>
  <c r="AP2167" i="2"/>
  <c r="AP2158" i="2"/>
  <c r="AR2165" i="2"/>
  <c r="AP2140" i="2"/>
  <c r="AP2142" i="2" s="1"/>
  <c r="AQ2143" i="2" s="1"/>
  <c r="AP2149" i="2"/>
  <c r="AP2150" i="2"/>
  <c r="AP2152" i="2" s="1"/>
  <c r="AP2178" i="2" l="1"/>
  <c r="AP2169" i="2"/>
  <c r="AR2176" i="2"/>
  <c r="AP2170" i="2"/>
  <c r="AP2160" i="2"/>
  <c r="AP2162" i="2" s="1"/>
  <c r="AP2161" i="2"/>
  <c r="AP2163" i="2" s="1"/>
  <c r="AP2151" i="2"/>
  <c r="AP2153" i="2" s="1"/>
  <c r="AQ2154" i="2" s="1"/>
  <c r="AP2164" i="2" l="1"/>
  <c r="AQ2165" i="2" s="1"/>
  <c r="AP2180" i="2"/>
  <c r="AR2187" i="2"/>
  <c r="AP2181" i="2"/>
  <c r="AP2189" i="2"/>
  <c r="AP2171" i="2"/>
  <c r="AP2173" i="2" s="1"/>
  <c r="AP2172" i="2"/>
  <c r="AP2174" i="2" s="1"/>
  <c r="AP2175" i="2" l="1"/>
  <c r="AQ2176" i="2" s="1"/>
  <c r="AP2182" i="2"/>
  <c r="AP2184" i="2" s="1"/>
  <c r="AP2183" i="2"/>
  <c r="AP2185" i="2" s="1"/>
  <c r="AP2200" i="2"/>
  <c r="AP2192" i="2"/>
  <c r="AP2191" i="2"/>
  <c r="AR2198" i="2"/>
  <c r="AP2186" i="2" l="1"/>
  <c r="AQ2187" i="2" s="1"/>
  <c r="AP2193" i="2"/>
  <c r="AP2194" i="2"/>
  <c r="AP2196" i="2" s="1"/>
  <c r="AP2202" i="2"/>
  <c r="AR2209" i="2"/>
  <c r="AP2203" i="2"/>
  <c r="AP2211" i="2"/>
  <c r="AP2195" i="2" l="1"/>
  <c r="AP2197" i="2" s="1"/>
  <c r="AQ2198" i="2" s="1"/>
  <c r="AP2213" i="2"/>
  <c r="AR2220" i="2"/>
  <c r="AP2214" i="2"/>
  <c r="AP2222" i="2"/>
  <c r="AP2204" i="2"/>
  <c r="AP2206" i="2" s="1"/>
  <c r="AP2205" i="2"/>
  <c r="AP2207" i="2" s="1"/>
  <c r="AP2208" i="2" l="1"/>
  <c r="AQ2209" i="2" s="1"/>
  <c r="AP2224" i="2"/>
  <c r="AR2231" i="2"/>
  <c r="AP2225" i="2"/>
  <c r="AP2233" i="2"/>
  <c r="AP2215" i="2"/>
  <c r="AP2217" i="2" s="1"/>
  <c r="AP2216" i="2"/>
  <c r="AP2218" i="2" s="1"/>
  <c r="AP2219" i="2" l="1"/>
  <c r="AQ2220" i="2" s="1"/>
  <c r="AP2235" i="2"/>
  <c r="AP2244" i="2"/>
  <c r="AR2242" i="2"/>
  <c r="AP2236" i="2"/>
  <c r="AP2226" i="2"/>
  <c r="AP2228" i="2" s="1"/>
  <c r="AP2227" i="2"/>
  <c r="AP2229" i="2" s="1"/>
  <c r="AP2230" i="2" l="1"/>
  <c r="AQ2231" i="2" s="1"/>
  <c r="AP2237" i="2"/>
  <c r="AP2239" i="2" s="1"/>
  <c r="AP2238" i="2"/>
  <c r="AP2240" i="2" s="1"/>
  <c r="AP2247" i="2"/>
  <c r="AP2255" i="2"/>
  <c r="AR2253" i="2"/>
  <c r="AP2246" i="2"/>
  <c r="AP2241" i="2" l="1"/>
  <c r="AQ2242" i="2" s="1"/>
  <c r="AP2258" i="2"/>
  <c r="AP2266" i="2"/>
  <c r="AP2257" i="2"/>
  <c r="AR2264" i="2"/>
  <c r="AP2248" i="2"/>
  <c r="AP2250" i="2" s="1"/>
  <c r="AP2249" i="2"/>
  <c r="AP2251" i="2" s="1"/>
  <c r="AP2252" i="2" l="1"/>
  <c r="AQ2253" i="2" s="1"/>
  <c r="AR2275" i="2"/>
  <c r="AP2269" i="2"/>
  <c r="AP2268" i="2"/>
  <c r="AP2277" i="2"/>
  <c r="AP2259" i="2"/>
  <c r="AP2261" i="2" s="1"/>
  <c r="AP2260" i="2"/>
  <c r="AP2262" i="2" s="1"/>
  <c r="AP2263" i="2" l="1"/>
  <c r="AQ2264" i="2" s="1"/>
  <c r="AP2280" i="2"/>
  <c r="AP2279" i="2"/>
  <c r="AR2286" i="2"/>
  <c r="AP2288" i="2"/>
  <c r="AP2270" i="2"/>
  <c r="AP2271" i="2"/>
  <c r="AP2273" i="2" s="1"/>
  <c r="AR2297" i="2" l="1"/>
  <c r="AP2291" i="2"/>
  <c r="AP2290" i="2"/>
  <c r="AP2299" i="2"/>
  <c r="AP2272" i="2"/>
  <c r="AP2274" i="2" s="1"/>
  <c r="AQ2275" i="2" s="1"/>
  <c r="AP2281" i="2"/>
  <c r="AP2282" i="2"/>
  <c r="AP2284" i="2" s="1"/>
  <c r="AP2283" i="2" l="1"/>
  <c r="AP2285" i="2" s="1"/>
  <c r="AQ2286" i="2" s="1"/>
  <c r="AP2310" i="2"/>
  <c r="AP2302" i="2"/>
  <c r="AP2301" i="2"/>
  <c r="AR2308" i="2"/>
  <c r="AP2292" i="2"/>
  <c r="AP2293" i="2"/>
  <c r="AP2295" i="2" s="1"/>
  <c r="AP2294" i="2" l="1"/>
  <c r="AP2296" i="2" s="1"/>
  <c r="AQ2297" i="2" s="1"/>
  <c r="AP2303" i="2"/>
  <c r="AP2305" i="2" s="1"/>
  <c r="AP2304" i="2"/>
  <c r="AP2306" i="2" s="1"/>
  <c r="AP2321" i="2"/>
  <c r="AR2319" i="2"/>
  <c r="AP2313" i="2"/>
  <c r="AP2312" i="2"/>
  <c r="AP2314" i="2" l="1"/>
  <c r="AP2316" i="2" s="1"/>
  <c r="AP2315" i="2"/>
  <c r="AP2317" i="2" s="1"/>
  <c r="AP2324" i="2"/>
  <c r="AP2332" i="2"/>
  <c r="AP2323" i="2"/>
  <c r="AR2330" i="2"/>
  <c r="AP2307" i="2"/>
  <c r="AQ2308" i="2" s="1"/>
  <c r="AP2318" i="2" l="1"/>
  <c r="AQ2319" i="2" s="1"/>
  <c r="AP2335" i="2"/>
  <c r="AP2334" i="2"/>
  <c r="AP2343" i="2"/>
  <c r="AR2341" i="2"/>
  <c r="AP2325" i="2"/>
  <c r="AP2326" i="2"/>
  <c r="AP2328" i="2" s="1"/>
  <c r="AP2327" i="2" l="1"/>
  <c r="AP2329" i="2" s="1"/>
  <c r="AQ2330" i="2" s="1"/>
  <c r="AP2336" i="2"/>
  <c r="AP2337" i="2"/>
  <c r="AP2339" i="2" s="1"/>
  <c r="AR2352" i="2"/>
  <c r="AP2346" i="2"/>
  <c r="AP2354" i="2"/>
  <c r="AP2345" i="2"/>
  <c r="AP2347" i="2" l="1"/>
  <c r="AP2348" i="2"/>
  <c r="AP2350" i="2" s="1"/>
  <c r="AP2357" i="2"/>
  <c r="AP2356" i="2"/>
  <c r="AP2365" i="2"/>
  <c r="AR2363" i="2"/>
  <c r="AP2338" i="2"/>
  <c r="AP2340" i="2" s="1"/>
  <c r="AQ2341" i="2" s="1"/>
  <c r="AP2358" i="2" l="1"/>
  <c r="AP2360" i="2" s="1"/>
  <c r="AP2359" i="2"/>
  <c r="AP2361" i="2" s="1"/>
  <c r="AP2376" i="2"/>
  <c r="AP2368" i="2"/>
  <c r="AP2367" i="2"/>
  <c r="AR2374" i="2"/>
  <c r="AP2349" i="2"/>
  <c r="AP2351" i="2" s="1"/>
  <c r="AQ2352" i="2" s="1"/>
  <c r="AP2362" i="2" l="1"/>
  <c r="AQ2363" i="2" s="1"/>
  <c r="AP2369" i="2"/>
  <c r="AP2371" i="2" s="1"/>
  <c r="AP2370" i="2"/>
  <c r="AP2372" i="2" s="1"/>
  <c r="AR2385" i="2"/>
  <c r="AP2387" i="2"/>
  <c r="AP2379" i="2"/>
  <c r="AP2378" i="2"/>
  <c r="AP2373" i="2" l="1"/>
  <c r="AQ2374" i="2" s="1"/>
  <c r="AP2398" i="2"/>
  <c r="AP2390" i="2"/>
  <c r="AP2389" i="2"/>
  <c r="AR2396" i="2"/>
  <c r="AP2380" i="2"/>
  <c r="AP2382" i="2" s="1"/>
  <c r="AP2381" i="2"/>
  <c r="AP2383" i="2" s="1"/>
  <c r="AP2384" i="2" l="1"/>
  <c r="AQ2385" i="2" s="1"/>
  <c r="AP2409" i="2"/>
  <c r="AP2400" i="2"/>
  <c r="AR2407" i="2"/>
  <c r="AP2401" i="2"/>
  <c r="AP2391" i="2"/>
  <c r="AP2393" i="2" s="1"/>
  <c r="AP2392" i="2"/>
  <c r="AP2394" i="2" s="1"/>
  <c r="AP2395" i="2" l="1"/>
  <c r="AQ2396" i="2" s="1"/>
  <c r="AP2420" i="2"/>
  <c r="AP2411" i="2"/>
  <c r="AR2418" i="2"/>
  <c r="AP2412" i="2"/>
  <c r="AP2402" i="2"/>
  <c r="AP2403" i="2"/>
  <c r="AP2405" i="2" s="1"/>
  <c r="AP2423" i="2" l="1"/>
  <c r="AP2431" i="2"/>
  <c r="AR2429" i="2"/>
  <c r="AP2422" i="2"/>
  <c r="AP2404" i="2"/>
  <c r="AP2406" i="2" s="1"/>
  <c r="AQ2407" i="2" s="1"/>
  <c r="AP2413" i="2"/>
  <c r="AP2414" i="2"/>
  <c r="AP2416" i="2" s="1"/>
  <c r="AP2415" i="2" l="1"/>
  <c r="AP2417" i="2" s="1"/>
  <c r="AQ2418" i="2" s="1"/>
  <c r="AP2424" i="2"/>
  <c r="AP2426" i="2" s="1"/>
  <c r="AP2425" i="2"/>
  <c r="AP2427" i="2" s="1"/>
  <c r="AP2434" i="2"/>
  <c r="AP2442" i="2"/>
  <c r="AP2433" i="2"/>
  <c r="AR2440" i="2"/>
  <c r="AP2445" i="2" l="1"/>
  <c r="AR2451" i="2"/>
  <c r="AP2444" i="2"/>
  <c r="AP2453" i="2"/>
  <c r="AP2435" i="2"/>
  <c r="AP2437" i="2" s="1"/>
  <c r="AP2436" i="2"/>
  <c r="AP2438" i="2" s="1"/>
  <c r="AP2428" i="2"/>
  <c r="AQ2429" i="2" s="1"/>
  <c r="AP2439" i="2" l="1"/>
  <c r="AQ2440" i="2" s="1"/>
  <c r="AP2456" i="2"/>
  <c r="AP2455" i="2"/>
  <c r="AR2462" i="2"/>
  <c r="AP2464" i="2"/>
  <c r="AP2446" i="2"/>
  <c r="AP2448" i="2" s="1"/>
  <c r="AP2447" i="2"/>
  <c r="AP2449" i="2" s="1"/>
  <c r="AP2450" i="2" l="1"/>
  <c r="AQ2451" i="2" s="1"/>
  <c r="AP2475" i="2"/>
  <c r="AR2473" i="2"/>
  <c r="AP2467" i="2"/>
  <c r="AP2466" i="2"/>
  <c r="AP2457" i="2"/>
  <c r="AP2459" i="2" s="1"/>
  <c r="AP2458" i="2"/>
  <c r="AP2460" i="2" s="1"/>
  <c r="AP2461" i="2" l="1"/>
  <c r="AQ2462" i="2" s="1"/>
  <c r="AP2468" i="2"/>
  <c r="AP2469" i="2"/>
  <c r="AP2471" i="2" s="1"/>
  <c r="AP2478" i="2"/>
  <c r="AP2477" i="2"/>
  <c r="AR2484" i="2"/>
  <c r="AP2486" i="2"/>
  <c r="AP2479" i="2" l="1"/>
  <c r="AP2480" i="2"/>
  <c r="AP2482" i="2" s="1"/>
  <c r="AP2470" i="2"/>
  <c r="AP2472" i="2" s="1"/>
  <c r="AQ2473" i="2" s="1"/>
  <c r="AR2495" i="2"/>
  <c r="AP2489" i="2"/>
  <c r="AP2488" i="2"/>
  <c r="AP2497" i="2"/>
  <c r="AP2499" i="2" l="1"/>
  <c r="AR2506" i="2"/>
  <c r="AP2500" i="2"/>
  <c r="AP2508" i="2"/>
  <c r="AP2481" i="2"/>
  <c r="AP2483" i="2" s="1"/>
  <c r="AQ2484" i="2" s="1"/>
  <c r="AP2490" i="2"/>
  <c r="AP2491" i="2"/>
  <c r="AP2493" i="2" s="1"/>
  <c r="AP2492" i="2" l="1"/>
  <c r="AP2494" i="2" s="1"/>
  <c r="AQ2495" i="2" s="1"/>
  <c r="AP2511" i="2"/>
  <c r="AP2510" i="2"/>
  <c r="AP2519" i="2"/>
  <c r="AR2517" i="2"/>
  <c r="AP2501" i="2"/>
  <c r="AP2502" i="2"/>
  <c r="AP2504" i="2" s="1"/>
  <c r="AP2503" i="2" l="1"/>
  <c r="AP2505" i="2" s="1"/>
  <c r="AQ2506" i="2" s="1"/>
  <c r="AP2512" i="2"/>
  <c r="AP2513" i="2"/>
  <c r="AP2515" i="2" s="1"/>
  <c r="AP2521" i="2"/>
  <c r="AR2528" i="2"/>
  <c r="AP2522" i="2"/>
  <c r="AP2530" i="2"/>
  <c r="AR2539" i="2" l="1"/>
  <c r="AP2533" i="2"/>
  <c r="AP2532" i="2"/>
  <c r="AP2541" i="2"/>
  <c r="AP2523" i="2"/>
  <c r="AP2524" i="2"/>
  <c r="AP2526" i="2" s="1"/>
  <c r="AP2514" i="2"/>
  <c r="AP2516" i="2" s="1"/>
  <c r="AQ2517" i="2" s="1"/>
  <c r="AR2550" i="2" l="1"/>
  <c r="AP2552" i="2"/>
  <c r="AP2544" i="2"/>
  <c r="AP2543" i="2"/>
  <c r="AP2525" i="2"/>
  <c r="AP2527" i="2" s="1"/>
  <c r="AQ2528" i="2" s="1"/>
  <c r="AP2534" i="2"/>
  <c r="AP2536" i="2" s="1"/>
  <c r="AP2535" i="2"/>
  <c r="AP2537" i="2" s="1"/>
  <c r="AP2538" i="2" l="1"/>
  <c r="AQ2539" i="2" s="1"/>
  <c r="AP2545" i="2"/>
  <c r="AP2546" i="2"/>
  <c r="AP2548" i="2" s="1"/>
  <c r="AR2561" i="2"/>
  <c r="AP2563" i="2"/>
  <c r="AP2555" i="2"/>
  <c r="AP2554" i="2"/>
  <c r="AR2572" i="2" l="1"/>
  <c r="AP2574" i="2"/>
  <c r="AP2566" i="2"/>
  <c r="AP2565" i="2"/>
  <c r="AP2547" i="2"/>
  <c r="AP2549" i="2" s="1"/>
  <c r="AQ2550" i="2" s="1"/>
  <c r="AP2556" i="2"/>
  <c r="AP2557" i="2"/>
  <c r="AP2559" i="2" s="1"/>
  <c r="AP2558" i="2" l="1"/>
  <c r="AP2560" i="2" s="1"/>
  <c r="AQ2561" i="2" s="1"/>
  <c r="AP2567" i="2"/>
  <c r="AP2568" i="2"/>
  <c r="AP2570" i="2" s="1"/>
  <c r="AP2585" i="2"/>
  <c r="AR2583" i="2"/>
  <c r="AP2576" i="2"/>
  <c r="AP2577" i="2"/>
  <c r="AR2594" i="2" l="1"/>
  <c r="AP2588" i="2"/>
  <c r="AP2596" i="2"/>
  <c r="AP2587" i="2"/>
  <c r="AP2578" i="2"/>
  <c r="AP2580" i="2" s="1"/>
  <c r="AP2579" i="2"/>
  <c r="AP2581" i="2" s="1"/>
  <c r="AP2569" i="2"/>
  <c r="AP2571" i="2" s="1"/>
  <c r="AQ2572" i="2" s="1"/>
  <c r="AP2582" i="2" l="1"/>
  <c r="AQ2583" i="2" s="1"/>
  <c r="AP2589" i="2"/>
  <c r="AP2590" i="2"/>
  <c r="AP2592" i="2" s="1"/>
  <c r="AP2607" i="2"/>
  <c r="AP2598" i="2"/>
  <c r="AR2605" i="2"/>
  <c r="AP2599" i="2"/>
  <c r="AP2600" i="2" l="1"/>
  <c r="AP2601" i="2"/>
  <c r="AP2603" i="2" s="1"/>
  <c r="AP2591" i="2"/>
  <c r="AP2593" i="2" s="1"/>
  <c r="AQ2594" i="2" s="1"/>
  <c r="AP2610" i="2"/>
  <c r="AP2618" i="2"/>
  <c r="AP2609" i="2"/>
  <c r="AR2616" i="2"/>
  <c r="AP2602" i="2" l="1"/>
  <c r="AP2604" i="2" s="1"/>
  <c r="AQ2605" i="2" s="1"/>
  <c r="AP2620" i="2"/>
  <c r="AR2627" i="2"/>
  <c r="AP2621" i="2"/>
  <c r="AP2629" i="2"/>
  <c r="AP2611" i="2"/>
  <c r="AP2612" i="2"/>
  <c r="AP2614" i="2" s="1"/>
  <c r="AP2613" i="2" l="1"/>
  <c r="AP2615" i="2" s="1"/>
  <c r="AQ2616" i="2" s="1"/>
  <c r="AP2640" i="2"/>
  <c r="AP2631" i="2"/>
  <c r="AR2638" i="2"/>
  <c r="AP2632" i="2"/>
  <c r="AP2622" i="2"/>
  <c r="AP2623" i="2"/>
  <c r="AP2625" i="2" s="1"/>
  <c r="AP2624" i="2" l="1"/>
  <c r="AP2626" i="2" s="1"/>
  <c r="AQ2627" i="2" s="1"/>
  <c r="AP2633" i="2"/>
  <c r="AP2634" i="2"/>
  <c r="AP2636" i="2" s="1"/>
  <c r="AR2649" i="2"/>
  <c r="AP2643" i="2"/>
  <c r="AP2651" i="2"/>
  <c r="AP2642" i="2"/>
  <c r="AP2644" i="2" l="1"/>
  <c r="AP2646" i="2" s="1"/>
  <c r="AP2645" i="2"/>
  <c r="AP2647" i="2" s="1"/>
  <c r="AP2653" i="2"/>
  <c r="AR2660" i="2"/>
  <c r="AP2662" i="2"/>
  <c r="AP2654" i="2"/>
  <c r="AP2635" i="2"/>
  <c r="AP2637" i="2" s="1"/>
  <c r="AQ2638" i="2" s="1"/>
  <c r="AP2648" i="2" l="1"/>
  <c r="AQ2649" i="2" s="1"/>
  <c r="AR2671" i="2"/>
  <c r="AP2664" i="2"/>
  <c r="AP2665" i="2"/>
  <c r="AP2673" i="2"/>
  <c r="AP2655" i="2"/>
  <c r="AP2656" i="2"/>
  <c r="AP2658" i="2" s="1"/>
  <c r="AP2676" i="2" l="1"/>
  <c r="AP2684" i="2"/>
  <c r="AP2675" i="2"/>
  <c r="AR2682" i="2"/>
  <c r="AP2657" i="2"/>
  <c r="AP2659" i="2" s="1"/>
  <c r="AQ2660" i="2" s="1"/>
  <c r="AP2666" i="2"/>
  <c r="AP2668" i="2" s="1"/>
  <c r="AP2667" i="2"/>
  <c r="AP2669" i="2" s="1"/>
  <c r="AP2670" i="2" l="1"/>
  <c r="AQ2671" i="2" s="1"/>
  <c r="AP2695" i="2"/>
  <c r="AP2687" i="2"/>
  <c r="AP2686" i="2"/>
  <c r="AR2693" i="2"/>
  <c r="AP2677" i="2"/>
  <c r="AP2678" i="2"/>
  <c r="AP2680" i="2" s="1"/>
  <c r="AP2706" i="2" l="1"/>
  <c r="AR2704" i="2"/>
  <c r="AP2697" i="2"/>
  <c r="AP2698" i="2"/>
  <c r="AP2679" i="2"/>
  <c r="AP2681" i="2" s="1"/>
  <c r="AQ2682" i="2" s="1"/>
  <c r="AP2688" i="2"/>
  <c r="AP2689" i="2"/>
  <c r="AP2691" i="2" s="1"/>
  <c r="AP2690" i="2" l="1"/>
  <c r="AP2692" i="2" s="1"/>
  <c r="AQ2693" i="2" s="1"/>
  <c r="AP2708" i="2"/>
  <c r="AP2709" i="2"/>
  <c r="AP2717" i="2"/>
  <c r="AR2715" i="2"/>
  <c r="AP2699" i="2"/>
  <c r="AP2700" i="2"/>
  <c r="AP2702" i="2" s="1"/>
  <c r="AP2701" i="2" l="1"/>
  <c r="AP2703" i="2" s="1"/>
  <c r="AQ2704" i="2" s="1"/>
  <c r="AR2726" i="2"/>
  <c r="AP2728" i="2"/>
  <c r="AP2720" i="2"/>
  <c r="AP2719" i="2"/>
  <c r="AP2710" i="2"/>
  <c r="AP2711" i="2"/>
  <c r="AP2713" i="2" s="1"/>
  <c r="AP2712" i="2" l="1"/>
  <c r="AP2714" i="2" s="1"/>
  <c r="AQ2715" i="2" s="1"/>
  <c r="AP2730" i="2"/>
  <c r="AR2737" i="2"/>
  <c r="AP2731" i="2"/>
  <c r="AP2739" i="2"/>
  <c r="AP2721" i="2"/>
  <c r="AP2722" i="2"/>
  <c r="AP2724" i="2" s="1"/>
  <c r="AP2723" i="2" l="1"/>
  <c r="AP2725" i="2" s="1"/>
  <c r="AQ2726" i="2" s="1"/>
  <c r="AP2742" i="2"/>
  <c r="AP2741" i="2"/>
  <c r="AR2748" i="2"/>
  <c r="AP2750" i="2"/>
  <c r="AP2732" i="2"/>
  <c r="AP2734" i="2" s="1"/>
  <c r="AP2733" i="2"/>
  <c r="AP2735" i="2" s="1"/>
  <c r="AP2736" i="2" l="1"/>
  <c r="AQ2737" i="2" s="1"/>
  <c r="AP2743" i="2"/>
  <c r="AP2744" i="2"/>
  <c r="AP2746" i="2" s="1"/>
  <c r="AP2761" i="2"/>
  <c r="AR2759" i="2"/>
  <c r="AP2752" i="2"/>
  <c r="AP2753" i="2"/>
  <c r="AP2754" i="2" l="1"/>
  <c r="AP2756" i="2" s="1"/>
  <c r="AP2755" i="2"/>
  <c r="AP2757" i="2" s="1"/>
  <c r="AP2745" i="2"/>
  <c r="AP2747" i="2" s="1"/>
  <c r="AQ2748" i="2" s="1"/>
  <c r="AP2763" i="2"/>
  <c r="AR2770" i="2"/>
  <c r="AP2764" i="2"/>
  <c r="AP2772" i="2"/>
  <c r="AP2758" i="2" l="1"/>
  <c r="AQ2759" i="2" s="1"/>
  <c r="AP2783" i="2"/>
  <c r="AP2774" i="2"/>
  <c r="AR2781" i="2"/>
  <c r="AP2775" i="2"/>
  <c r="AP2765" i="2"/>
  <c r="AP2766" i="2"/>
  <c r="AP2768" i="2" s="1"/>
  <c r="AP2794" i="2" l="1"/>
  <c r="AP2785" i="2"/>
  <c r="AR2792" i="2"/>
  <c r="AP2786" i="2"/>
  <c r="AP2767" i="2"/>
  <c r="AP2769" i="2" s="1"/>
  <c r="AQ2770" i="2" s="1"/>
  <c r="AP2776" i="2"/>
  <c r="AP2777" i="2"/>
  <c r="AP2779" i="2" s="1"/>
  <c r="AP2778" i="2" l="1"/>
  <c r="AP2780" i="2" s="1"/>
  <c r="AQ2781" i="2" s="1"/>
  <c r="AP2805" i="2"/>
  <c r="AP2796" i="2"/>
  <c r="AR2803" i="2"/>
  <c r="AP2797" i="2"/>
  <c r="AP2787" i="2"/>
  <c r="AP2789" i="2" s="1"/>
  <c r="AP2788" i="2"/>
  <c r="AP2790" i="2" s="1"/>
  <c r="AP2791" i="2" l="1"/>
  <c r="AQ2792" i="2" s="1"/>
  <c r="AP2798" i="2"/>
  <c r="AP2800" i="2" s="1"/>
  <c r="AP2799" i="2"/>
  <c r="AP2801" i="2" s="1"/>
  <c r="AP2808" i="2"/>
  <c r="AP2816" i="2"/>
  <c r="AP2807" i="2"/>
  <c r="AR2814" i="2"/>
  <c r="AP2802" i="2" l="1"/>
  <c r="AQ2803" i="2" s="1"/>
  <c r="AP2827" i="2"/>
  <c r="AP2818" i="2"/>
  <c r="AR2825" i="2"/>
  <c r="AP2819" i="2"/>
  <c r="AP2809" i="2"/>
  <c r="AP2810" i="2"/>
  <c r="AP2812" i="2" s="1"/>
  <c r="AP2829" i="2" l="1"/>
  <c r="AP2838" i="2"/>
  <c r="AR2836" i="2"/>
  <c r="AP2830" i="2"/>
  <c r="AP2811" i="2"/>
  <c r="AP2813" i="2" s="1"/>
  <c r="AQ2814" i="2" s="1"/>
  <c r="AP2820" i="2"/>
  <c r="AP2822" i="2" s="1"/>
  <c r="AP2821" i="2"/>
  <c r="AP2823" i="2" s="1"/>
  <c r="AP2824" i="2" l="1"/>
  <c r="AQ2825" i="2" s="1"/>
  <c r="AP2831" i="2"/>
  <c r="AP2832" i="2"/>
  <c r="AP2834" i="2" s="1"/>
  <c r="AP2849" i="2"/>
  <c r="AP2840" i="2"/>
  <c r="AR2847" i="2"/>
  <c r="AP2841" i="2"/>
  <c r="AP2833" i="2" l="1"/>
  <c r="AP2835" i="2" s="1"/>
  <c r="AQ2836" i="2" s="1"/>
  <c r="AP2851" i="2"/>
  <c r="AR2858" i="2"/>
  <c r="AP2852" i="2"/>
  <c r="AP2860" i="2"/>
  <c r="AP2842" i="2"/>
  <c r="AP2843" i="2"/>
  <c r="AP2845" i="2" s="1"/>
  <c r="AR2869" i="2" l="1"/>
  <c r="AP2863" i="2"/>
  <c r="AP2871" i="2"/>
  <c r="AP2862" i="2"/>
  <c r="AP2853" i="2"/>
  <c r="AP2854" i="2"/>
  <c r="AP2856" i="2" s="1"/>
  <c r="AP2844" i="2"/>
  <c r="AP2846" i="2" s="1"/>
  <c r="AQ2847" i="2" s="1"/>
  <c r="AP2873" i="2" l="1"/>
  <c r="AR2880" i="2"/>
  <c r="AP2874" i="2"/>
  <c r="AP2882" i="2"/>
  <c r="AP2855" i="2"/>
  <c r="AP2857" i="2" s="1"/>
  <c r="AQ2858" i="2" s="1"/>
  <c r="AP2864" i="2"/>
  <c r="AP2865" i="2"/>
  <c r="AP2867" i="2" s="1"/>
  <c r="AP2875" i="2" l="1"/>
  <c r="AP2876" i="2"/>
  <c r="AP2878" i="2" s="1"/>
  <c r="AP2866" i="2"/>
  <c r="AP2868" i="2" s="1"/>
  <c r="AQ2869" i="2" s="1"/>
  <c r="AP2885" i="2"/>
  <c r="AP2893" i="2"/>
  <c r="AR2891" i="2"/>
  <c r="AP2884" i="2"/>
  <c r="AP2877" i="2" l="1"/>
  <c r="AP2879" i="2" s="1"/>
  <c r="AQ2880" i="2" s="1"/>
  <c r="AP2895" i="2"/>
  <c r="AR2902" i="2"/>
  <c r="AP2896" i="2"/>
  <c r="AP2904" i="2"/>
  <c r="AP2886" i="2"/>
  <c r="AP2888" i="2" s="1"/>
  <c r="AP2887" i="2"/>
  <c r="AP2889" i="2" s="1"/>
  <c r="AP2915" i="2" l="1"/>
  <c r="AP2906" i="2"/>
  <c r="AR2913" i="2"/>
  <c r="AP2907" i="2"/>
  <c r="AP2897" i="2"/>
  <c r="AP2898" i="2"/>
  <c r="AP2900" i="2" s="1"/>
  <c r="AP2890" i="2"/>
  <c r="AQ2891" i="2" s="1"/>
  <c r="AP2917" i="2" l="1"/>
  <c r="AR2924" i="2"/>
  <c r="AP2926" i="2"/>
  <c r="AP2918" i="2"/>
  <c r="AP2899" i="2"/>
  <c r="AP2901" i="2" s="1"/>
  <c r="AQ2902" i="2" s="1"/>
  <c r="AP2908" i="2"/>
  <c r="AP2910" i="2" s="1"/>
  <c r="AP2909" i="2"/>
  <c r="AP2911" i="2" s="1"/>
  <c r="AP2919" i="2" l="1"/>
  <c r="AP2920" i="2"/>
  <c r="AP2922" i="2" s="1"/>
  <c r="AR2935" i="2"/>
  <c r="AP2928" i="2"/>
  <c r="AP2929" i="2"/>
  <c r="AP2937" i="2"/>
  <c r="AP2912" i="2"/>
  <c r="AQ2913" i="2" s="1"/>
  <c r="AP2921" i="2" l="1"/>
  <c r="AP2923" i="2" s="1"/>
  <c r="AQ2924" i="2" s="1"/>
  <c r="AP2940" i="2"/>
  <c r="AP2948" i="2"/>
  <c r="AP2939" i="2"/>
  <c r="AR2946" i="2"/>
  <c r="AP2930" i="2"/>
  <c r="AP2932" i="2" s="1"/>
  <c r="AP2931" i="2"/>
  <c r="AP2933" i="2" s="1"/>
  <c r="AP2941" i="2" l="1"/>
  <c r="AP2942" i="2"/>
  <c r="AP2944" i="2" s="1"/>
  <c r="AP2950" i="2"/>
  <c r="AR2957" i="2"/>
  <c r="AP2951" i="2"/>
  <c r="AP2959" i="2"/>
  <c r="AP2934" i="2"/>
  <c r="AQ2935" i="2" s="1"/>
  <c r="AP2943" i="2" l="1"/>
  <c r="AP2945" i="2" s="1"/>
  <c r="AQ2946" i="2" s="1"/>
  <c r="AP2961" i="2"/>
  <c r="AR2968" i="2"/>
  <c r="AP2962" i="2"/>
  <c r="AP2970" i="2"/>
  <c r="AP2952" i="2"/>
  <c r="AP2954" i="2" s="1"/>
  <c r="AP2953" i="2"/>
  <c r="AP2955" i="2" s="1"/>
  <c r="AP2963" i="2" l="1"/>
  <c r="AP2964" i="2"/>
  <c r="AP2966" i="2" s="1"/>
  <c r="AP2972" i="2"/>
  <c r="AR2979" i="2"/>
  <c r="AP2973" i="2"/>
  <c r="AP2981" i="2"/>
  <c r="AP2956" i="2"/>
  <c r="AQ2957" i="2" s="1"/>
  <c r="AP2974" i="2" l="1"/>
  <c r="AP2976" i="2" s="1"/>
  <c r="AP2975" i="2"/>
  <c r="AP2977" i="2" s="1"/>
  <c r="AP2965" i="2"/>
  <c r="AP2967" i="2" s="1"/>
  <c r="AQ2968" i="2" s="1"/>
  <c r="AR2990" i="2"/>
  <c r="AP2984" i="2"/>
  <c r="AP2992" i="2"/>
  <c r="AP2983" i="2"/>
  <c r="AP2978" i="2" l="1"/>
  <c r="AQ2979" i="2" s="1"/>
  <c r="AP2994" i="2"/>
  <c r="AR3001" i="2"/>
  <c r="AP2995" i="2"/>
  <c r="AP3003" i="2"/>
  <c r="AP2985" i="2"/>
  <c r="AP2986" i="2"/>
  <c r="AP2988" i="2" s="1"/>
  <c r="AP2996" i="2" l="1"/>
  <c r="AP2998" i="2" s="1"/>
  <c r="AP2997" i="2"/>
  <c r="AP2999" i="2" s="1"/>
  <c r="AP2987" i="2"/>
  <c r="AP2989" i="2" s="1"/>
  <c r="AQ2990" i="2" s="1"/>
  <c r="AP3005" i="2"/>
  <c r="AR3012" i="2"/>
  <c r="AP3014" i="2"/>
  <c r="AP3006" i="2"/>
  <c r="AP3000" i="2" l="1"/>
  <c r="AQ3001" i="2" s="1"/>
  <c r="AP3007" i="2"/>
  <c r="AP3009" i="2" s="1"/>
  <c r="AP3008" i="2"/>
  <c r="AP3010" i="2" s="1"/>
  <c r="AP3016" i="2"/>
  <c r="AR3023" i="2"/>
  <c r="AP3017" i="2"/>
  <c r="AP3025" i="2"/>
  <c r="AP3011" i="2" l="1"/>
  <c r="AQ3012" i="2" s="1"/>
  <c r="AP3028" i="2"/>
  <c r="AP3027" i="2"/>
  <c r="AP3036" i="2"/>
  <c r="AR3034" i="2"/>
  <c r="AP3018" i="2"/>
  <c r="AP3020" i="2" s="1"/>
  <c r="AP3019" i="2"/>
  <c r="AP3021" i="2" s="1"/>
  <c r="AP3022" i="2" l="1"/>
  <c r="AQ3023" i="2" s="1"/>
  <c r="AP3029" i="2"/>
  <c r="AP3030" i="2"/>
  <c r="AP3032" i="2" s="1"/>
  <c r="AP3047" i="2"/>
  <c r="AP3039" i="2"/>
  <c r="AP3038" i="2"/>
  <c r="AR3045" i="2"/>
  <c r="AP3040" i="2" l="1"/>
  <c r="AP3041" i="2"/>
  <c r="AP3043" i="2" s="1"/>
  <c r="AP3031" i="2"/>
  <c r="AP3033" i="2" s="1"/>
  <c r="AQ3034" i="2" s="1"/>
  <c r="AR3056" i="2"/>
  <c r="AP3058" i="2"/>
  <c r="AP3050" i="2"/>
  <c r="AP3049" i="2"/>
  <c r="AP3042" i="2" l="1"/>
  <c r="AP3044" i="2" s="1"/>
  <c r="AQ3045" i="2" s="1"/>
  <c r="AP3069" i="2"/>
  <c r="AP3061" i="2"/>
  <c r="AP3060" i="2"/>
  <c r="AR3067" i="2"/>
  <c r="AP3051" i="2"/>
  <c r="AP3053" i="2" s="1"/>
  <c r="AP3052" i="2"/>
  <c r="AP3054" i="2" s="1"/>
  <c r="AP3062" i="2" l="1"/>
  <c r="AP3063" i="2"/>
  <c r="AP3065" i="2" s="1"/>
  <c r="AP3071" i="2"/>
  <c r="AR3078" i="2"/>
  <c r="AP3072" i="2"/>
  <c r="AP3080" i="2"/>
  <c r="AP3055" i="2"/>
  <c r="AQ3056" i="2" s="1"/>
  <c r="AP3064" i="2" l="1"/>
  <c r="AP3066" i="2" s="1"/>
  <c r="AQ3067" i="2" s="1"/>
  <c r="AP3091" i="2"/>
  <c r="AP3082" i="2"/>
  <c r="AR3089" i="2"/>
  <c r="AP3083" i="2"/>
  <c r="AP3073" i="2"/>
  <c r="AP3075" i="2" s="1"/>
  <c r="AP3074" i="2"/>
  <c r="AP3076" i="2" s="1"/>
  <c r="AP3094" i="2" l="1"/>
  <c r="AP3093" i="2"/>
  <c r="AP3102" i="2"/>
  <c r="AR3100" i="2"/>
  <c r="AP3084" i="2"/>
  <c r="AP3086" i="2" s="1"/>
  <c r="AP3085" i="2"/>
  <c r="AP3087" i="2" s="1"/>
  <c r="AP3077" i="2"/>
  <c r="AQ3078" i="2" s="1"/>
  <c r="AP3088" i="2" l="1"/>
  <c r="AQ3089" i="2" s="1"/>
  <c r="AP3095" i="2"/>
  <c r="AP3097" i="2" s="1"/>
  <c r="AP3096" i="2"/>
  <c r="AP3098" i="2" s="1"/>
  <c r="AP3105" i="2"/>
  <c r="AP3113" i="2"/>
  <c r="AP3104" i="2"/>
  <c r="AR3111" i="2"/>
  <c r="AP3099" i="2" l="1"/>
  <c r="AQ3100" i="2" s="1"/>
  <c r="AP3106" i="2"/>
  <c r="AP3108" i="2" s="1"/>
  <c r="AP3107" i="2"/>
  <c r="AP3109" i="2" s="1"/>
  <c r="AP3116" i="2"/>
  <c r="AR3122" i="2"/>
  <c r="AP3115" i="2"/>
  <c r="AP3124" i="2"/>
  <c r="AP3110" i="2" l="1"/>
  <c r="AQ3111" i="2" s="1"/>
  <c r="AP3117" i="2"/>
  <c r="AP3119" i="2" s="1"/>
  <c r="AP3118" i="2"/>
  <c r="AP3120" i="2" s="1"/>
  <c r="AP3135" i="2"/>
  <c r="AP3127" i="2"/>
  <c r="AP3126" i="2"/>
  <c r="AR3133" i="2"/>
  <c r="AP3121" i="2" l="1"/>
  <c r="AQ3122" i="2" s="1"/>
  <c r="AP3128" i="2"/>
  <c r="AP3129" i="2"/>
  <c r="AP3131" i="2" s="1"/>
  <c r="AP3137" i="2"/>
  <c r="AP3146" i="2"/>
  <c r="AR3144" i="2"/>
  <c r="AP3138" i="2"/>
  <c r="AP3130" i="2" l="1"/>
  <c r="AP3132" i="2" s="1"/>
  <c r="AQ3133" i="2" s="1"/>
  <c r="AP3139" i="2"/>
  <c r="AP3141" i="2" s="1"/>
  <c r="AP3140" i="2"/>
  <c r="AP3142" i="2" s="1"/>
  <c r="AP3149" i="2"/>
  <c r="AP3148" i="2"/>
  <c r="AR3155" i="2"/>
  <c r="AP3157" i="2"/>
  <c r="AP3143" i="2" l="1"/>
  <c r="AQ3144" i="2" s="1"/>
  <c r="AP3150" i="2"/>
  <c r="AP3152" i="2" s="1"/>
  <c r="AP3151" i="2"/>
  <c r="AP3153" i="2" s="1"/>
  <c r="AP3168" i="2"/>
  <c r="AR3166" i="2"/>
  <c r="AP3160" i="2"/>
  <c r="AP3159" i="2"/>
  <c r="AP3154" i="2" l="1"/>
  <c r="AQ3155" i="2" s="1"/>
  <c r="AP3161" i="2"/>
  <c r="AP3163" i="2" s="1"/>
  <c r="AP3162" i="2"/>
  <c r="AP3164" i="2" s="1"/>
  <c r="AP3179" i="2"/>
  <c r="AP3170" i="2"/>
  <c r="AR3177" i="2"/>
  <c r="AP3171" i="2"/>
  <c r="AP3165" i="2" l="1"/>
  <c r="AQ3166" i="2" s="1"/>
  <c r="AP3182" i="2"/>
  <c r="AP3181" i="2"/>
  <c r="AP3190" i="2"/>
  <c r="AR3188" i="2"/>
  <c r="AP3172" i="2"/>
  <c r="AP3173" i="2"/>
  <c r="AP3175" i="2" s="1"/>
  <c r="AP3174" i="2" l="1"/>
  <c r="AP3176" i="2" s="1"/>
  <c r="AQ3177" i="2" s="1"/>
  <c r="AP3183" i="2"/>
  <c r="AP3184" i="2"/>
  <c r="AP3186" i="2" s="1"/>
  <c r="AR3199" i="2"/>
  <c r="AP3193" i="2"/>
  <c r="AP3201" i="2"/>
  <c r="AP3192" i="2"/>
  <c r="AP3204" i="2" l="1"/>
  <c r="AP3203" i="2"/>
  <c r="AP3212" i="2"/>
  <c r="AR3210" i="2"/>
  <c r="AP3185" i="2"/>
  <c r="AP3187" i="2" s="1"/>
  <c r="AQ3188" i="2" s="1"/>
  <c r="AP3194" i="2"/>
  <c r="AP3195" i="2"/>
  <c r="AP3197" i="2" s="1"/>
  <c r="AP3205" i="2" l="1"/>
  <c r="AP3207" i="2" s="1"/>
  <c r="AP3206" i="2"/>
  <c r="AP3208" i="2" s="1"/>
  <c r="AP3215" i="2"/>
  <c r="AP3214" i="2"/>
  <c r="AR3221" i="2"/>
  <c r="AP3223" i="2"/>
  <c r="AP3196" i="2"/>
  <c r="AP3198" i="2" s="1"/>
  <c r="AQ3199" i="2" s="1"/>
  <c r="AP3209" i="2" l="1"/>
  <c r="AQ3210" i="2" s="1"/>
  <c r="AR3232" i="2"/>
  <c r="AP3226" i="2"/>
  <c r="AP3225" i="2"/>
  <c r="AP3234" i="2"/>
  <c r="AP3216" i="2"/>
  <c r="AP3218" i="2" s="1"/>
  <c r="AP3217" i="2"/>
  <c r="AP3219" i="2" s="1"/>
  <c r="AP3220" i="2" l="1"/>
  <c r="AQ3221" i="2" s="1"/>
  <c r="AP3227" i="2"/>
  <c r="AP3229" i="2" s="1"/>
  <c r="AP3228" i="2"/>
  <c r="AP3230" i="2" s="1"/>
  <c r="AR3243" i="2"/>
  <c r="AP3245" i="2"/>
  <c r="AP3237" i="2"/>
  <c r="AP3236" i="2"/>
  <c r="AP3231" i="2" l="1"/>
  <c r="AQ3232" i="2" s="1"/>
  <c r="AP3238" i="2"/>
  <c r="AP3240" i="2" s="1"/>
  <c r="AP3239" i="2"/>
  <c r="AP3241" i="2" s="1"/>
  <c r="AP3247" i="2"/>
  <c r="AP3256" i="2"/>
  <c r="AR3254" i="2"/>
  <c r="AP3248" i="2"/>
  <c r="AP3242" i="2" l="1"/>
  <c r="AQ3243" i="2" s="1"/>
  <c r="AP3249" i="2"/>
  <c r="AP3250" i="2"/>
  <c r="AP3252" i="2" s="1"/>
  <c r="AP3259" i="2"/>
  <c r="AP3267" i="2"/>
  <c r="AP3258" i="2"/>
  <c r="AR3265" i="2"/>
  <c r="AP3260" i="2" l="1"/>
  <c r="AP3262" i="2" s="1"/>
  <c r="AP3261" i="2"/>
  <c r="AP3263" i="2" s="1"/>
  <c r="AP3251" i="2"/>
  <c r="AP3253" i="2" s="1"/>
  <c r="AQ3254" i="2" s="1"/>
  <c r="AP3270" i="2"/>
  <c r="AP3278" i="2"/>
  <c r="AR3276" i="2"/>
  <c r="AP3269" i="2"/>
  <c r="AP3264" i="2" l="1"/>
  <c r="AQ3265" i="2" s="1"/>
  <c r="AP3289" i="2"/>
  <c r="AP3280" i="2"/>
  <c r="AR3287" i="2"/>
  <c r="AP3281" i="2"/>
  <c r="AP3271" i="2"/>
  <c r="AP3273" i="2" s="1"/>
  <c r="AP3272" i="2"/>
  <c r="AP3274" i="2" s="1"/>
  <c r="AP3275" i="2" l="1"/>
  <c r="AQ3276" i="2" s="1"/>
  <c r="AP3292" i="2"/>
  <c r="AR3298" i="2"/>
  <c r="AP3291" i="2"/>
  <c r="AP3300" i="2"/>
  <c r="AP3282" i="2"/>
  <c r="AP3283" i="2"/>
  <c r="AP3285" i="2" s="1"/>
  <c r="AP3284" i="2" l="1"/>
  <c r="AP3286" i="2" s="1"/>
  <c r="AQ3287" i="2" s="1"/>
  <c r="AP3293" i="2"/>
  <c r="AP3294" i="2"/>
  <c r="AP3296" i="2" s="1"/>
  <c r="AR3309" i="2"/>
  <c r="AP3311" i="2"/>
  <c r="AP3303" i="2"/>
  <c r="AP3302" i="2"/>
  <c r="AR3320" i="2" l="1"/>
  <c r="AP3314" i="2"/>
  <c r="AP3313" i="2"/>
  <c r="AP3322" i="2"/>
  <c r="AP3295" i="2"/>
  <c r="AP3297" i="2" s="1"/>
  <c r="AQ3298" i="2" s="1"/>
  <c r="AP3304" i="2"/>
  <c r="AP3305" i="2"/>
  <c r="AP3307" i="2" s="1"/>
  <c r="AP3315" i="2" l="1"/>
  <c r="AP3316" i="2"/>
  <c r="AP3318" i="2" s="1"/>
  <c r="AP3306" i="2"/>
  <c r="AP3308" i="2" s="1"/>
  <c r="AQ3309" i="2" s="1"/>
  <c r="AR3331" i="2"/>
  <c r="AP3333" i="2"/>
  <c r="AP3325" i="2"/>
  <c r="AP3324" i="2"/>
  <c r="AP3317" i="2" l="1"/>
  <c r="AP3319" i="2" s="1"/>
  <c r="AQ3320" i="2" s="1"/>
  <c r="AP3336" i="2"/>
  <c r="AP3335" i="2"/>
  <c r="AP3344" i="2"/>
  <c r="AR3342" i="2"/>
  <c r="AP3326" i="2"/>
  <c r="AP3327" i="2"/>
  <c r="AP3329" i="2" s="1"/>
  <c r="AR3353" i="2" l="1"/>
  <c r="AP3347" i="2"/>
  <c r="AP3355" i="2"/>
  <c r="AP3346" i="2"/>
  <c r="AP3328" i="2"/>
  <c r="AP3330" i="2" s="1"/>
  <c r="AQ3331" i="2" s="1"/>
  <c r="AP3337" i="2"/>
  <c r="AP3339" i="2" s="1"/>
  <c r="AP3338" i="2"/>
  <c r="AP3340" i="2" s="1"/>
  <c r="AP3358" i="2" l="1"/>
  <c r="AP3357" i="2"/>
  <c r="AP3366" i="2"/>
  <c r="AR3364" i="2"/>
  <c r="AP3348" i="2"/>
  <c r="AP3350" i="2" s="1"/>
  <c r="AP3349" i="2"/>
  <c r="AP3351" i="2" s="1"/>
  <c r="AP3341" i="2"/>
  <c r="AQ3342" i="2" s="1"/>
  <c r="AP3352" i="2" l="1"/>
  <c r="AQ3353" i="2" s="1"/>
  <c r="AP3359" i="2"/>
  <c r="AP3361" i="2" s="1"/>
  <c r="AP3360" i="2"/>
  <c r="AP3362" i="2" s="1"/>
  <c r="AP3377" i="2"/>
  <c r="AP3368" i="2"/>
  <c r="AR3375" i="2"/>
  <c r="AP3369" i="2"/>
  <c r="AP3363" i="2" l="1"/>
  <c r="AQ3364" i="2" s="1"/>
  <c r="AR3386" i="2"/>
  <c r="AP3380" i="2"/>
  <c r="AP3379" i="2"/>
  <c r="AP3388" i="2"/>
  <c r="AP3370" i="2"/>
  <c r="AP3372" i="2" s="1"/>
  <c r="AP3371" i="2"/>
  <c r="AP3373" i="2" s="1"/>
  <c r="AP3374" i="2" l="1"/>
  <c r="AQ3375" i="2" s="1"/>
  <c r="AP3381" i="2"/>
  <c r="AP3382" i="2"/>
  <c r="AP3384" i="2" s="1"/>
  <c r="AP3391" i="2"/>
  <c r="AP3390" i="2"/>
  <c r="AR3397" i="2"/>
  <c r="AP3399" i="2"/>
  <c r="AP3383" i="2" l="1"/>
  <c r="AP3385" i="2" s="1"/>
  <c r="AQ3386" i="2" s="1"/>
  <c r="AP3410" i="2"/>
  <c r="AP3402" i="2"/>
  <c r="AP3401" i="2"/>
  <c r="AR3408" i="2"/>
  <c r="AP3392" i="2"/>
  <c r="AP3393" i="2"/>
  <c r="AP3395" i="2" s="1"/>
  <c r="AP3403" i="2" l="1"/>
  <c r="AP3404" i="2"/>
  <c r="AP3406" i="2" s="1"/>
  <c r="AR3419" i="2"/>
  <c r="AP3421" i="2"/>
  <c r="AP3413" i="2"/>
  <c r="AP3412" i="2"/>
  <c r="AP3394" i="2"/>
  <c r="AP3396" i="2" s="1"/>
  <c r="AQ3397" i="2" s="1"/>
  <c r="AP3405" i="2" l="1"/>
  <c r="AP3407" i="2" s="1"/>
  <c r="AQ3408" i="2" s="1"/>
  <c r="AP3414" i="2"/>
  <c r="AP3416" i="2" s="1"/>
  <c r="AP3415" i="2"/>
  <c r="AP3417" i="2" s="1"/>
  <c r="AP3423" i="2"/>
  <c r="AR3430" i="2"/>
  <c r="AP3424" i="2"/>
  <c r="AP3432" i="2"/>
  <c r="AP3418" i="2" l="1"/>
  <c r="AQ3419" i="2" s="1"/>
  <c r="AP3425" i="2"/>
  <c r="AP3427" i="2" s="1"/>
  <c r="AP3426" i="2"/>
  <c r="AP3428" i="2" s="1"/>
  <c r="AP3435" i="2"/>
  <c r="AP3443" i="2"/>
  <c r="AP3434" i="2"/>
  <c r="AR3441" i="2"/>
  <c r="AP3429" i="2" l="1"/>
  <c r="AQ3430" i="2" s="1"/>
  <c r="AP3436" i="2"/>
  <c r="AP3438" i="2" s="1"/>
  <c r="AP3437" i="2"/>
  <c r="AP3439" i="2" s="1"/>
  <c r="AP3446" i="2"/>
  <c r="AP3445" i="2"/>
  <c r="AP3454" i="2"/>
  <c r="AR3452" i="2"/>
  <c r="AP3440" i="2" l="1"/>
  <c r="AQ3441" i="2" s="1"/>
  <c r="AP3457" i="2"/>
  <c r="AP3465" i="2"/>
  <c r="AP3456" i="2"/>
  <c r="AR3463" i="2"/>
  <c r="AP3447" i="2"/>
  <c r="AP3449" i="2" s="1"/>
  <c r="AP3448" i="2"/>
  <c r="AP3450" i="2" s="1"/>
  <c r="AP3451" i="2" l="1"/>
  <c r="AQ3452" i="2" s="1"/>
  <c r="AP3468" i="2"/>
  <c r="AR3474" i="2"/>
  <c r="AP3467" i="2"/>
  <c r="AP3476" i="2"/>
  <c r="AP3458" i="2"/>
  <c r="AP3459" i="2"/>
  <c r="AP3461" i="2" s="1"/>
  <c r="AP3460" i="2" l="1"/>
  <c r="AP3462" i="2" s="1"/>
  <c r="AQ3463" i="2" s="1"/>
  <c r="AP3469" i="2"/>
  <c r="AP3470" i="2"/>
  <c r="AP3472" i="2" s="1"/>
  <c r="AP3478" i="2"/>
  <c r="AR3485" i="2"/>
  <c r="AP3479" i="2"/>
  <c r="AP3487" i="2"/>
  <c r="AP3480" i="2" l="1"/>
  <c r="AP3481" i="2"/>
  <c r="AP3483" i="2" s="1"/>
  <c r="AP3471" i="2"/>
  <c r="AP3473" i="2" s="1"/>
  <c r="AQ3474" i="2" s="1"/>
  <c r="AR3496" i="2"/>
  <c r="AP3490" i="2"/>
  <c r="AP3498" i="2"/>
  <c r="AP3489" i="2"/>
  <c r="AP3482" i="2" l="1"/>
  <c r="AP3484" i="2" s="1"/>
  <c r="AQ3485" i="2" s="1"/>
  <c r="AP3500" i="2"/>
  <c r="AR3507" i="2"/>
  <c r="AP3501" i="2"/>
  <c r="AP3509" i="2"/>
  <c r="AP3491" i="2"/>
  <c r="AP3492" i="2"/>
  <c r="AP3494" i="2" s="1"/>
  <c r="AP3512" i="2" l="1"/>
  <c r="AP3520" i="2"/>
  <c r="AR3518" i="2"/>
  <c r="AP3511" i="2"/>
  <c r="AP3502" i="2"/>
  <c r="AP3503" i="2"/>
  <c r="AP3505" i="2" s="1"/>
  <c r="AP3493" i="2"/>
  <c r="AP3495" i="2" s="1"/>
  <c r="AQ3496" i="2" s="1"/>
  <c r="AP3504" i="2" l="1"/>
  <c r="AP3506" i="2" s="1"/>
  <c r="AQ3507" i="2" s="1"/>
  <c r="AP3522" i="2"/>
  <c r="AP3523" i="2"/>
  <c r="AP3531" i="2"/>
  <c r="AR3529" i="2"/>
  <c r="AP3513" i="2"/>
  <c r="AP3515" i="2" s="1"/>
  <c r="AP3514" i="2"/>
  <c r="AP3516" i="2" s="1"/>
  <c r="AR3540" i="2" l="1"/>
  <c r="AP3542" i="2"/>
  <c r="AP3533" i="2"/>
  <c r="AP3534" i="2"/>
  <c r="AP3524" i="2"/>
  <c r="AP3526" i="2" s="1"/>
  <c r="AP3525" i="2"/>
  <c r="AP3527" i="2" s="1"/>
  <c r="AP3517" i="2"/>
  <c r="AQ3518" i="2" s="1"/>
  <c r="AP3528" i="2" l="1"/>
  <c r="AQ3529" i="2" s="1"/>
  <c r="AP3544" i="2"/>
  <c r="AP3553" i="2"/>
  <c r="AR3551" i="2"/>
  <c r="AP3545" i="2"/>
  <c r="AP3535" i="2"/>
  <c r="AP3537" i="2" s="1"/>
  <c r="AP3536" i="2"/>
  <c r="AP3538" i="2" s="1"/>
  <c r="AP3539" i="2" l="1"/>
  <c r="AQ3540" i="2" s="1"/>
  <c r="AP3546" i="2"/>
  <c r="AP3547" i="2"/>
  <c r="AP3549" i="2" s="1"/>
  <c r="AR3562" i="2"/>
  <c r="AP3564" i="2"/>
  <c r="AP3556" i="2"/>
  <c r="AP3555" i="2"/>
  <c r="AP3548" i="2" l="1"/>
  <c r="AP3550" i="2" s="1"/>
  <c r="AQ3551" i="2" s="1"/>
  <c r="AP3557" i="2"/>
  <c r="AP3558" i="2"/>
  <c r="AP3560" i="2" s="1"/>
  <c r="AR3573" i="2"/>
  <c r="AP3567" i="2"/>
  <c r="AP3566" i="2"/>
  <c r="AP3575" i="2"/>
  <c r="AP3568" i="2" l="1"/>
  <c r="AP3569" i="2"/>
  <c r="AP3571" i="2" s="1"/>
  <c r="AP3559" i="2"/>
  <c r="AP3561" i="2" s="1"/>
  <c r="AQ3562" i="2" s="1"/>
  <c r="AP3577" i="2"/>
  <c r="AR3584" i="2"/>
  <c r="AP3578" i="2"/>
  <c r="AP3586" i="2"/>
  <c r="AP3579" i="2" l="1"/>
  <c r="AP3580" i="2"/>
  <c r="AP3582" i="2" s="1"/>
  <c r="AP3570" i="2"/>
  <c r="AP3572" i="2" s="1"/>
  <c r="AQ3573" i="2" s="1"/>
  <c r="AP3589" i="2"/>
  <c r="AP3588" i="2"/>
  <c r="AP3597" i="2"/>
  <c r="AR3595" i="2"/>
  <c r="AP3581" i="2" l="1"/>
  <c r="AP3583" i="2" s="1"/>
  <c r="AQ3584" i="2" s="1"/>
  <c r="AP3590" i="2"/>
  <c r="AP3591" i="2"/>
  <c r="AP3593" i="2" s="1"/>
  <c r="AP3599" i="2"/>
  <c r="AR3606" i="2"/>
  <c r="AP3600" i="2"/>
  <c r="AP3608" i="2"/>
  <c r="AP3601" i="2" l="1"/>
  <c r="AP3602" i="2"/>
  <c r="AP3604" i="2" s="1"/>
  <c r="AP3592" i="2"/>
  <c r="AP3594" i="2" s="1"/>
  <c r="AQ3595" i="2" s="1"/>
  <c r="AP3611" i="2"/>
  <c r="AP3610" i="2"/>
  <c r="AP3619" i="2"/>
  <c r="AR3617" i="2"/>
  <c r="AP3603" i="2" l="1"/>
  <c r="AP3605" i="2" s="1"/>
  <c r="AQ3606" i="2" s="1"/>
  <c r="AP3612" i="2"/>
  <c r="AP3613" i="2"/>
  <c r="AP3615" i="2" s="1"/>
  <c r="AP3622" i="2"/>
  <c r="AP3621" i="2"/>
  <c r="AR3628" i="2"/>
  <c r="AP3630" i="2"/>
  <c r="AP3623" i="2" l="1"/>
  <c r="AP3624" i="2"/>
  <c r="AP3626" i="2" s="1"/>
  <c r="AP3614" i="2"/>
  <c r="AP3616" i="2" s="1"/>
  <c r="AQ3617" i="2" s="1"/>
  <c r="AR3639" i="2"/>
  <c r="AP3633" i="2"/>
  <c r="AP3632" i="2"/>
  <c r="AP3641" i="2"/>
  <c r="AP3625" i="2" l="1"/>
  <c r="AP3627" i="2" s="1"/>
  <c r="AQ3628" i="2" s="1"/>
  <c r="AP3634" i="2"/>
  <c r="AP3636" i="2" s="1"/>
  <c r="AP3635" i="2"/>
  <c r="AP3637" i="2" s="1"/>
  <c r="AP3643" i="2"/>
  <c r="AR3650" i="2"/>
  <c r="AP3652" i="2"/>
  <c r="AP3644" i="2"/>
  <c r="AP3638" i="2" l="1"/>
  <c r="AQ3639" i="2" s="1"/>
  <c r="AP3645" i="2"/>
  <c r="AP3647" i="2" s="1"/>
  <c r="AP3646" i="2"/>
  <c r="AP3648" i="2" s="1"/>
  <c r="AP3654" i="2"/>
  <c r="AP3663" i="2"/>
  <c r="AR3661" i="2"/>
  <c r="AP3655" i="2"/>
  <c r="AP3649" i="2" l="1"/>
  <c r="AQ3650" i="2" s="1"/>
  <c r="AP3656" i="2"/>
  <c r="AP3657" i="2"/>
  <c r="AP3659" i="2" s="1"/>
  <c r="AP3674" i="2"/>
  <c r="AP3665" i="2"/>
  <c r="AR3672" i="2"/>
  <c r="AP3666" i="2"/>
  <c r="AP3658" i="2" l="1"/>
  <c r="AP3660" i="2" s="1"/>
  <c r="AQ3661" i="2" s="1"/>
  <c r="AP3677" i="2"/>
  <c r="AR3683" i="2"/>
  <c r="AP3676" i="2"/>
  <c r="AP3685" i="2"/>
  <c r="AP3667" i="2"/>
  <c r="AP3669" i="2" s="1"/>
  <c r="AP3668" i="2"/>
  <c r="AP3670" i="2" s="1"/>
  <c r="AP3678" i="2" l="1"/>
  <c r="AP3680" i="2" s="1"/>
  <c r="AP3679" i="2"/>
  <c r="AP3681" i="2" s="1"/>
  <c r="AR3694" i="2"/>
  <c r="AP3687" i="2"/>
  <c r="AP3688" i="2"/>
  <c r="AP3696" i="2"/>
  <c r="AP3671" i="2"/>
  <c r="AQ3672" i="2" s="1"/>
  <c r="AP3682" i="2" l="1"/>
  <c r="AQ3683" i="2" s="1"/>
  <c r="AP3707" i="2"/>
  <c r="AP3698" i="2"/>
  <c r="AP3699" i="2"/>
  <c r="AR3705" i="2"/>
  <c r="AP3689" i="2"/>
  <c r="AP3690" i="2"/>
  <c r="AP3692" i="2" s="1"/>
  <c r="AP3709" i="2" l="1"/>
  <c r="AR3716" i="2"/>
  <c r="AP3718" i="2"/>
  <c r="AP3710" i="2"/>
  <c r="AP3691" i="2"/>
  <c r="AP3693" i="2" s="1"/>
  <c r="AQ3694" i="2" s="1"/>
  <c r="AP3700" i="2"/>
  <c r="AP3701" i="2"/>
  <c r="AP3703" i="2" s="1"/>
  <c r="AP3711" i="2" l="1"/>
  <c r="AP3712" i="2"/>
  <c r="AP3714" i="2" s="1"/>
  <c r="AP3720" i="2"/>
  <c r="AP3729" i="2"/>
  <c r="AR3727" i="2"/>
  <c r="AP3721" i="2"/>
  <c r="AP3702" i="2"/>
  <c r="AP3704" i="2" s="1"/>
  <c r="AQ3705" i="2" s="1"/>
  <c r="AP3713" i="2" l="1"/>
  <c r="AP3715" i="2" s="1"/>
  <c r="AQ3716" i="2" s="1"/>
  <c r="AP3722" i="2"/>
  <c r="AP3723" i="2"/>
  <c r="AP3725" i="2" s="1"/>
  <c r="AR3738" i="2"/>
  <c r="AP3740" i="2"/>
  <c r="AP3732" i="2"/>
  <c r="AP3731" i="2"/>
  <c r="AP3743" i="2" l="1"/>
  <c r="AP3751" i="2"/>
  <c r="AR3749" i="2"/>
  <c r="AP3742" i="2"/>
  <c r="AP3724" i="2"/>
  <c r="AP3726" i="2" s="1"/>
  <c r="AQ3727" i="2" s="1"/>
  <c r="AP3733" i="2"/>
  <c r="AP3734" i="2"/>
  <c r="AP3736" i="2" s="1"/>
  <c r="AR3760" i="2" l="1"/>
  <c r="AP3762" i="2"/>
  <c r="AP3754" i="2"/>
  <c r="AP3753" i="2"/>
  <c r="AP3735" i="2"/>
  <c r="AP3737" i="2" s="1"/>
  <c r="AQ3738" i="2" s="1"/>
  <c r="AP3744" i="2"/>
  <c r="AP3745" i="2"/>
  <c r="AP3747" i="2" s="1"/>
  <c r="AP3773" i="2" l="1"/>
  <c r="AR3771" i="2"/>
  <c r="AP3765" i="2"/>
  <c r="AP3764" i="2"/>
  <c r="AP3746" i="2"/>
  <c r="AP3748" i="2" s="1"/>
  <c r="AQ3749" i="2" s="1"/>
  <c r="AP3755" i="2"/>
  <c r="AP3756" i="2"/>
  <c r="AP3758" i="2" s="1"/>
  <c r="AP3776" i="2" l="1"/>
  <c r="AP3784" i="2"/>
  <c r="AP3775" i="2"/>
  <c r="AR3782" i="2"/>
  <c r="AP3757" i="2"/>
  <c r="AP3759" i="2" s="1"/>
  <c r="AQ3760" i="2" s="1"/>
  <c r="AP3766" i="2"/>
  <c r="AP3767" i="2"/>
  <c r="AP3769" i="2" s="1"/>
  <c r="AP3795" i="2" l="1"/>
  <c r="AR3793" i="2"/>
  <c r="AP3787" i="2"/>
  <c r="AP3786" i="2"/>
  <c r="AP3777" i="2"/>
  <c r="AP3778" i="2"/>
  <c r="AP3780" i="2" s="1"/>
  <c r="AP3768" i="2"/>
  <c r="AP3770" i="2" s="1"/>
  <c r="AQ3771" i="2" s="1"/>
  <c r="AR3804" i="2" l="1"/>
  <c r="AP3806" i="2"/>
  <c r="AP3798" i="2"/>
  <c r="AP3797" i="2"/>
  <c r="AP3779" i="2"/>
  <c r="AP3781" i="2" s="1"/>
  <c r="AQ3782" i="2" s="1"/>
  <c r="AP3788" i="2"/>
  <c r="AP3789" i="2"/>
  <c r="AP3791" i="2" s="1"/>
  <c r="AP3817" i="2" l="1"/>
  <c r="AR3815" i="2"/>
  <c r="AP3809" i="2"/>
  <c r="AP3808" i="2"/>
  <c r="AP3790" i="2"/>
  <c r="AP3792" i="2" s="1"/>
  <c r="AQ3793" i="2" s="1"/>
  <c r="AP3799" i="2"/>
  <c r="AP3800" i="2"/>
  <c r="AP3802" i="2" s="1"/>
  <c r="AP3819" i="2" l="1"/>
  <c r="AP3820" i="2"/>
  <c r="AR3826" i="2"/>
  <c r="AP3828" i="2"/>
  <c r="AP3801" i="2"/>
  <c r="AP3803" i="2" s="1"/>
  <c r="AQ3804" i="2" s="1"/>
  <c r="AP3810" i="2"/>
  <c r="AP3811" i="2"/>
  <c r="AP3813" i="2" s="1"/>
  <c r="AP3821" i="2" l="1"/>
  <c r="AP3823" i="2" s="1"/>
  <c r="AP3822" i="2"/>
  <c r="AP3824" i="2" s="1"/>
  <c r="AP3812" i="2"/>
  <c r="AP3814" i="2" s="1"/>
  <c r="AQ3815" i="2" s="1"/>
  <c r="AP3831" i="2"/>
  <c r="AP3839" i="2"/>
  <c r="AP3830" i="2"/>
  <c r="AR3837" i="2"/>
  <c r="AP3825" i="2" l="1"/>
  <c r="AQ3826" i="2" s="1"/>
  <c r="AP3850" i="2"/>
  <c r="AP3842" i="2"/>
  <c r="AP3841" i="2"/>
  <c r="AR3848" i="2"/>
  <c r="AP3832" i="2"/>
  <c r="AP3833" i="2"/>
  <c r="AP3835" i="2" s="1"/>
  <c r="AR3859" i="2" l="1"/>
  <c r="AP3853" i="2"/>
  <c r="AP3852" i="2"/>
  <c r="AP3861" i="2"/>
  <c r="AP3834" i="2"/>
  <c r="AP3836" i="2" s="1"/>
  <c r="AQ3837" i="2" s="1"/>
  <c r="AP3843" i="2"/>
  <c r="AP3844" i="2"/>
  <c r="AP3846" i="2" s="1"/>
  <c r="AP3854" i="2" l="1"/>
  <c r="AP3855" i="2"/>
  <c r="AP3857" i="2" s="1"/>
  <c r="AP3845" i="2"/>
  <c r="AP3847" i="2" s="1"/>
  <c r="AQ3848" i="2" s="1"/>
  <c r="AP3872" i="2"/>
  <c r="AP3864" i="2"/>
  <c r="AP3863" i="2"/>
  <c r="AR3870" i="2"/>
  <c r="AR3881" i="2" l="1"/>
  <c r="AP3883" i="2"/>
  <c r="AP3874" i="2"/>
  <c r="AP3875" i="2"/>
  <c r="AP3856" i="2"/>
  <c r="AP3858" i="2" s="1"/>
  <c r="AQ3859" i="2" s="1"/>
  <c r="AP3865" i="2"/>
  <c r="AP3867" i="2" s="1"/>
  <c r="AP3866" i="2"/>
  <c r="AP3868" i="2" s="1"/>
  <c r="AP3894" i="2" l="1"/>
  <c r="AP3885" i="2"/>
  <c r="AR3892" i="2"/>
  <c r="AP3886" i="2"/>
  <c r="AP3876" i="2"/>
  <c r="AP3877" i="2"/>
  <c r="AP3879" i="2" s="1"/>
  <c r="AP3869" i="2"/>
  <c r="AQ3870" i="2" s="1"/>
  <c r="AP3905" i="2" l="1"/>
  <c r="AP3897" i="2"/>
  <c r="AP3896" i="2"/>
  <c r="AR3903" i="2"/>
  <c r="AP3878" i="2"/>
  <c r="AP3880" i="2" s="1"/>
  <c r="AQ3881" i="2" s="1"/>
  <c r="AP3887" i="2"/>
  <c r="AP3888" i="2"/>
  <c r="AP3890" i="2" s="1"/>
  <c r="AP3907" i="2" l="1"/>
  <c r="AR3914" i="2"/>
  <c r="AP3908" i="2"/>
  <c r="AP3916" i="2"/>
  <c r="AP3898" i="2"/>
  <c r="AP3899" i="2"/>
  <c r="AP3901" i="2" s="1"/>
  <c r="AP3889" i="2"/>
  <c r="AP3891" i="2" s="1"/>
  <c r="AQ3892" i="2" s="1"/>
  <c r="AP3909" i="2" l="1"/>
  <c r="AP3911" i="2" s="1"/>
  <c r="AP3910" i="2"/>
  <c r="AP3912" i="2" s="1"/>
  <c r="AP3900" i="2"/>
  <c r="AP3902" i="2" s="1"/>
  <c r="AQ3903" i="2" s="1"/>
  <c r="AP3919" i="2"/>
  <c r="AP3918" i="2"/>
  <c r="AR3925" i="2"/>
  <c r="AP3927" i="2"/>
  <c r="AP3913" i="2" l="1"/>
  <c r="AQ3914" i="2" s="1"/>
  <c r="AP3920" i="2"/>
  <c r="AP3922" i="2" s="1"/>
  <c r="AP3921" i="2"/>
  <c r="AP3923" i="2" s="1"/>
  <c r="AP3938" i="2"/>
  <c r="AP3929" i="2"/>
  <c r="AR3936" i="2"/>
  <c r="AP3930" i="2"/>
  <c r="AP3924" i="2" l="1"/>
  <c r="AQ3925" i="2" s="1"/>
  <c r="AR3947" i="2"/>
  <c r="AP3941" i="2"/>
  <c r="AP3940" i="2"/>
  <c r="AP3949" i="2"/>
  <c r="AP3931" i="2"/>
  <c r="AP3933" i="2" s="1"/>
  <c r="AP3932" i="2"/>
  <c r="AP3934" i="2" s="1"/>
  <c r="AP3935" i="2" l="1"/>
  <c r="AQ3936" i="2" s="1"/>
  <c r="AP3942" i="2"/>
  <c r="AP3943" i="2"/>
  <c r="AP3945" i="2" s="1"/>
  <c r="AP3960" i="2"/>
  <c r="AP3951" i="2"/>
  <c r="AR3958" i="2"/>
  <c r="AP3952" i="2"/>
  <c r="AP3944" i="2" l="1"/>
  <c r="AP3946" i="2" s="1"/>
  <c r="AQ3947" i="2" s="1"/>
  <c r="AP3963" i="2"/>
  <c r="AP3971" i="2"/>
  <c r="AP3962" i="2"/>
  <c r="AR3969" i="2"/>
  <c r="AP3953" i="2"/>
  <c r="AP3955" i="2" s="1"/>
  <c r="AP3954" i="2"/>
  <c r="AP3956" i="2" s="1"/>
  <c r="AP3964" i="2" l="1"/>
  <c r="AP3966" i="2" s="1"/>
  <c r="AP3965" i="2"/>
  <c r="AP3967" i="2" s="1"/>
  <c r="AP3982" i="2"/>
  <c r="AP3973" i="2"/>
  <c r="AR3980" i="2"/>
  <c r="AP3974" i="2"/>
  <c r="AP3957" i="2"/>
  <c r="AQ3958" i="2" s="1"/>
  <c r="AP3968" i="2" l="1"/>
  <c r="AQ3969" i="2" s="1"/>
  <c r="AP3984" i="2"/>
  <c r="AP3993" i="2"/>
  <c r="AR3991" i="2"/>
  <c r="AP3985" i="2"/>
  <c r="AP3975" i="2"/>
  <c r="AP3977" i="2" s="1"/>
  <c r="AP3976" i="2"/>
  <c r="AP3978" i="2" s="1"/>
  <c r="AP3979" i="2" l="1"/>
  <c r="AQ3980" i="2" s="1"/>
  <c r="AP3986" i="2"/>
  <c r="AP3987" i="2"/>
  <c r="AP3989" i="2" s="1"/>
  <c r="AP4004" i="2"/>
  <c r="AP3995" i="2"/>
  <c r="AR4002" i="2"/>
  <c r="AP3996" i="2"/>
  <c r="AP3988" i="2" l="1"/>
  <c r="AP3990" i="2" s="1"/>
  <c r="AQ3991" i="2" s="1"/>
  <c r="AP4007" i="2"/>
  <c r="AP4015" i="2"/>
  <c r="AP4006" i="2"/>
  <c r="AR4013" i="2"/>
  <c r="AP3997" i="2"/>
  <c r="AP3999" i="2" s="1"/>
  <c r="AP3998" i="2"/>
  <c r="AP4000" i="2" s="1"/>
  <c r="AP4008" i="2" l="1"/>
  <c r="AP4010" i="2" s="1"/>
  <c r="AP4009" i="2"/>
  <c r="AP4011" i="2" s="1"/>
  <c r="AP4026" i="2"/>
  <c r="AP4017" i="2"/>
  <c r="AR4024" i="2"/>
  <c r="AP4018" i="2"/>
  <c r="AP4001" i="2"/>
  <c r="AQ4002" i="2" s="1"/>
  <c r="AP4012" i="2" l="1"/>
  <c r="AQ4013" i="2" s="1"/>
  <c r="AR4035" i="2"/>
  <c r="AP4028" i="2"/>
  <c r="AP4029" i="2"/>
  <c r="AP4037" i="2"/>
  <c r="AP4019" i="2"/>
  <c r="AP4021" i="2" s="1"/>
  <c r="AP4020" i="2"/>
  <c r="AP4022" i="2" s="1"/>
  <c r="AP4023" i="2" l="1"/>
  <c r="AQ4024" i="2" s="1"/>
  <c r="AP4030" i="2"/>
  <c r="AP4032" i="2" s="1"/>
  <c r="AP4031" i="2"/>
  <c r="AP4033" i="2" s="1"/>
  <c r="AP4048" i="2"/>
  <c r="AP4039" i="2"/>
  <c r="AR4046" i="2"/>
  <c r="AP4040" i="2"/>
  <c r="AP4034" i="2" l="1"/>
  <c r="AQ4035" i="2" s="1"/>
  <c r="AP4050" i="2"/>
  <c r="AR4057" i="2"/>
  <c r="AP4051" i="2"/>
  <c r="AP4059" i="2"/>
  <c r="AP4041" i="2"/>
  <c r="AP4042" i="2"/>
  <c r="AP4044" i="2" s="1"/>
  <c r="AP4052" i="2" l="1"/>
  <c r="AP4053" i="2"/>
  <c r="AP4055" i="2" s="1"/>
  <c r="AP4043" i="2"/>
  <c r="AP4045" i="2" s="1"/>
  <c r="AQ4046" i="2" s="1"/>
  <c r="AP4062" i="2"/>
  <c r="AP4070" i="2"/>
  <c r="AP4061" i="2"/>
  <c r="AR4068" i="2"/>
  <c r="AP4054" i="2" l="1"/>
  <c r="AP4056" i="2" s="1"/>
  <c r="AQ4057" i="2" s="1"/>
  <c r="AP4073" i="2"/>
  <c r="AP4072" i="2"/>
  <c r="AP4081" i="2"/>
  <c r="AR4079" i="2"/>
  <c r="AP4063" i="2"/>
  <c r="AP4064" i="2"/>
  <c r="AP4066" i="2" s="1"/>
  <c r="AP4083" i="2" l="1"/>
  <c r="AR4090" i="2"/>
  <c r="AP4084" i="2"/>
  <c r="AP4092" i="2"/>
  <c r="AP4065" i="2"/>
  <c r="AP4067" i="2" s="1"/>
  <c r="AQ4068" i="2" s="1"/>
  <c r="AP4074" i="2"/>
  <c r="AP4075" i="2"/>
  <c r="AP4077" i="2" s="1"/>
  <c r="AP4085" i="2" l="1"/>
  <c r="AP4087" i="2" s="1"/>
  <c r="AP4086" i="2"/>
  <c r="AP4088" i="2" s="1"/>
  <c r="AP4076" i="2"/>
  <c r="AP4078" i="2" s="1"/>
  <c r="AQ4079" i="2" s="1"/>
  <c r="AP4095" i="2"/>
  <c r="AP4103" i="2"/>
  <c r="AP4094" i="2"/>
  <c r="AR4101" i="2"/>
  <c r="AP4089" i="2" l="1"/>
  <c r="AQ4090" i="2" s="1"/>
  <c r="AP4114" i="2"/>
  <c r="AP4105" i="2"/>
  <c r="AR4112" i="2"/>
  <c r="AP4106" i="2"/>
  <c r="AP4096" i="2"/>
  <c r="AP4098" i="2" s="1"/>
  <c r="AP4097" i="2"/>
  <c r="AP4099" i="2" s="1"/>
  <c r="AP4100" i="2" l="1"/>
  <c r="AQ4101" i="2" s="1"/>
  <c r="AP4125" i="2"/>
  <c r="AR4123" i="2"/>
  <c r="AP4117" i="2"/>
  <c r="AP4116" i="2"/>
  <c r="AP4107" i="2"/>
  <c r="AP4109" i="2" s="1"/>
  <c r="AP4108" i="2"/>
  <c r="AP4110" i="2" s="1"/>
  <c r="AP4111" i="2" l="1"/>
  <c r="AQ4112" i="2" s="1"/>
  <c r="AP4128" i="2"/>
  <c r="AP4136" i="2"/>
  <c r="AP4127" i="2"/>
  <c r="AR4134" i="2"/>
  <c r="AP4118" i="2"/>
  <c r="AP4119" i="2"/>
  <c r="AP4121" i="2" s="1"/>
  <c r="AP4120" i="2" l="1"/>
  <c r="AP4122" i="2" s="1"/>
  <c r="AQ4123" i="2" s="1"/>
  <c r="AP4139" i="2"/>
  <c r="AP4147" i="2"/>
  <c r="AP4138" i="2"/>
  <c r="AR4145" i="2"/>
  <c r="AP4129" i="2"/>
  <c r="AP4131" i="2" s="1"/>
  <c r="AP4130" i="2"/>
  <c r="AP4132" i="2" s="1"/>
  <c r="AP4140" i="2" l="1"/>
  <c r="AP4141" i="2"/>
  <c r="AP4143" i="2" s="1"/>
  <c r="AP4158" i="2"/>
  <c r="AP4149" i="2"/>
  <c r="AR4156" i="2"/>
  <c r="AP4150" i="2"/>
  <c r="AP4133" i="2"/>
  <c r="AQ4134" i="2" s="1"/>
  <c r="AP4142" i="2" l="1"/>
  <c r="AP4144" i="2" s="1"/>
  <c r="AQ4145" i="2" s="1"/>
  <c r="AR4167" i="2"/>
  <c r="AP4169" i="2"/>
  <c r="AP4161" i="2"/>
  <c r="AP4160" i="2"/>
  <c r="AP4151" i="2"/>
  <c r="AP4152" i="2"/>
  <c r="AP4154" i="2" s="1"/>
  <c r="AP4162" i="2" l="1"/>
  <c r="AP4163" i="2"/>
  <c r="AP4165" i="2" s="1"/>
  <c r="AP4153" i="2"/>
  <c r="AP4155" i="2" s="1"/>
  <c r="AQ4156" i="2" s="1"/>
  <c r="AP4171" i="2"/>
  <c r="AR4178" i="2"/>
  <c r="AP4172" i="2"/>
  <c r="AP4180" i="2"/>
  <c r="AP4173" i="2" l="1"/>
  <c r="AP4175" i="2" s="1"/>
  <c r="AP4174" i="2"/>
  <c r="AP4176" i="2" s="1"/>
  <c r="AP4164" i="2"/>
  <c r="AP4166" i="2" s="1"/>
  <c r="AQ4167" i="2" s="1"/>
  <c r="AP4183" i="2"/>
  <c r="AP4191" i="2"/>
  <c r="AP4182" i="2"/>
  <c r="AR4189" i="2"/>
  <c r="AP4177" i="2" l="1"/>
  <c r="AQ4178" i="2" s="1"/>
  <c r="AP4202" i="2"/>
  <c r="AP4193" i="2"/>
  <c r="AR4200" i="2"/>
  <c r="AP4194" i="2"/>
  <c r="AP4184" i="2"/>
  <c r="AP4186" i="2" s="1"/>
  <c r="AP4185" i="2"/>
  <c r="AP4187" i="2" s="1"/>
  <c r="AP4188" i="2" l="1"/>
  <c r="AQ4189" i="2" s="1"/>
  <c r="AR4211" i="2"/>
  <c r="AP4205" i="2"/>
  <c r="AP4204" i="2"/>
  <c r="AP4213" i="2"/>
  <c r="AP4195" i="2"/>
  <c r="AP4197" i="2" s="1"/>
  <c r="AP4196" i="2"/>
  <c r="AP4198" i="2" s="1"/>
  <c r="AP4199" i="2" l="1"/>
  <c r="AQ4200" i="2" s="1"/>
  <c r="AP4206" i="2"/>
  <c r="AP4208" i="2" s="1"/>
  <c r="AP4207" i="2"/>
  <c r="AP4209" i="2" s="1"/>
  <c r="AP4224" i="2"/>
  <c r="AP4215" i="2"/>
  <c r="AR4222" i="2"/>
  <c r="AP4216" i="2"/>
  <c r="AP4210" i="2" l="1"/>
  <c r="AQ4211" i="2" s="1"/>
  <c r="AR4233" i="2"/>
  <c r="AP4227" i="2"/>
  <c r="AP4235" i="2"/>
  <c r="AP4226" i="2"/>
  <c r="AP4217" i="2"/>
  <c r="AP4219" i="2" s="1"/>
  <c r="AP4218" i="2"/>
  <c r="AP4220" i="2" s="1"/>
  <c r="AP4221" i="2" l="1"/>
  <c r="AQ4222" i="2" s="1"/>
  <c r="AP4237" i="2"/>
  <c r="AR4244" i="2"/>
  <c r="AP4238" i="2"/>
  <c r="AP4246" i="2"/>
  <c r="AP4228" i="2"/>
  <c r="AP4230" i="2" s="1"/>
  <c r="AP4229" i="2"/>
  <c r="AP4231" i="2" s="1"/>
  <c r="AP4232" i="2" l="1"/>
  <c r="AQ4233" i="2" s="1"/>
  <c r="AP4239" i="2"/>
  <c r="AP4240" i="2"/>
  <c r="AP4242" i="2" s="1"/>
  <c r="AP4257" i="2"/>
  <c r="AR4255" i="2"/>
  <c r="AP4249" i="2"/>
  <c r="AP4248" i="2"/>
  <c r="AP4241" i="2" l="1"/>
  <c r="AP4243" i="2" s="1"/>
  <c r="AQ4244" i="2" s="1"/>
  <c r="AP4250" i="2"/>
  <c r="AP4252" i="2" s="1"/>
  <c r="AP4251" i="2"/>
  <c r="AP4253" i="2" s="1"/>
  <c r="AP4260" i="2"/>
  <c r="AP4268" i="2"/>
  <c r="AP4259" i="2"/>
  <c r="AR4266" i="2"/>
  <c r="AP4254" i="2" l="1"/>
  <c r="AQ4255" i="2" s="1"/>
  <c r="AP4271" i="2"/>
  <c r="AP4279" i="2"/>
  <c r="AP4270" i="2"/>
  <c r="AR4277" i="2"/>
  <c r="AP4261" i="2"/>
  <c r="AP4262" i="2"/>
  <c r="AP4264" i="2" s="1"/>
  <c r="AP4263" i="2" l="1"/>
  <c r="AP4265" i="2" s="1"/>
  <c r="AQ4266" i="2" s="1"/>
  <c r="AP4282" i="2"/>
  <c r="AP4290" i="2"/>
  <c r="AP4281" i="2"/>
  <c r="AR4288" i="2"/>
  <c r="AP4272" i="2"/>
  <c r="AP4273" i="2"/>
  <c r="AP4275" i="2" s="1"/>
  <c r="AP4283" i="2" l="1"/>
  <c r="AP4285" i="2" s="1"/>
  <c r="AP4284" i="2"/>
  <c r="AP4286" i="2" s="1"/>
  <c r="AP4274" i="2"/>
  <c r="AP4276" i="2" s="1"/>
  <c r="AQ4277" i="2" s="1"/>
  <c r="AP4301" i="2"/>
  <c r="AR4299" i="2"/>
  <c r="AP4293" i="2"/>
  <c r="AP4292" i="2"/>
  <c r="AP4287" i="2" l="1"/>
  <c r="AQ4288" i="2" s="1"/>
  <c r="AP4312" i="2"/>
  <c r="AP4303" i="2"/>
  <c r="AR4310" i="2"/>
  <c r="AP4304" i="2"/>
  <c r="AP4294" i="2"/>
  <c r="AP4295" i="2"/>
  <c r="AP4297" i="2" s="1"/>
  <c r="AP4315" i="2" l="1"/>
  <c r="AP4323" i="2"/>
  <c r="AP4314" i="2"/>
  <c r="AR4321" i="2"/>
  <c r="AP4296" i="2"/>
  <c r="AP4298" i="2" s="1"/>
  <c r="AQ4299" i="2" s="1"/>
  <c r="AP4305" i="2"/>
  <c r="AP4307" i="2" s="1"/>
  <c r="AP4306" i="2"/>
  <c r="AP4308" i="2" s="1"/>
  <c r="AP4334" i="2" l="1"/>
  <c r="AP4325" i="2"/>
  <c r="AR4332" i="2"/>
  <c r="AP4326" i="2"/>
  <c r="AP4316" i="2"/>
  <c r="AP4317" i="2"/>
  <c r="AP4319" i="2" s="1"/>
  <c r="AP4309" i="2"/>
  <c r="AQ4310" i="2" s="1"/>
  <c r="AP4336" i="2" l="1"/>
  <c r="AP4345" i="2"/>
  <c r="AR4343" i="2"/>
  <c r="AP4337" i="2"/>
  <c r="AP4318" i="2"/>
  <c r="AP4320" i="2" s="1"/>
  <c r="AQ4321" i="2" s="1"/>
  <c r="AP4327" i="2"/>
  <c r="AP4328" i="2"/>
  <c r="AP4330" i="2" s="1"/>
  <c r="AP4338" i="2" l="1"/>
  <c r="AP4339" i="2"/>
  <c r="AP4341" i="2" s="1"/>
  <c r="AP4356" i="2"/>
  <c r="AP4347" i="2"/>
  <c r="AR4354" i="2"/>
  <c r="AP4348" i="2"/>
  <c r="AP4329" i="2"/>
  <c r="AP4331" i="2" s="1"/>
  <c r="AQ4332" i="2" s="1"/>
  <c r="AP4340" i="2" l="1"/>
  <c r="AP4342" i="2" s="1"/>
  <c r="AQ4343" i="2" s="1"/>
  <c r="AP4358" i="2"/>
  <c r="AR4365" i="2"/>
  <c r="AP4359" i="2"/>
  <c r="AP4367" i="2"/>
  <c r="AP4349" i="2"/>
  <c r="AP4351" i="2" s="1"/>
  <c r="AP4350" i="2"/>
  <c r="AP4352" i="2" s="1"/>
  <c r="AP4369" i="2" l="1"/>
  <c r="AR4376" i="2"/>
  <c r="AP4370" i="2"/>
  <c r="AP4378" i="2"/>
  <c r="AP4360" i="2"/>
  <c r="AP4362" i="2" s="1"/>
  <c r="AP4361" i="2"/>
  <c r="AP4363" i="2" s="1"/>
  <c r="AP4353" i="2"/>
  <c r="AQ4354" i="2" s="1"/>
  <c r="AP4364" i="2" l="1"/>
  <c r="AQ4365" i="2" s="1"/>
  <c r="AP4380" i="2"/>
  <c r="AP4381" i="2"/>
  <c r="AP4389" i="2"/>
  <c r="AR4387" i="2"/>
  <c r="AP4371" i="2"/>
  <c r="AP4372" i="2"/>
  <c r="AP4374" i="2" s="1"/>
  <c r="AP4400" i="2" l="1"/>
  <c r="AP4391" i="2"/>
  <c r="AR4398" i="2"/>
  <c r="AP4392" i="2"/>
  <c r="AP4382" i="2"/>
  <c r="AP4383" i="2"/>
  <c r="AP4385" i="2" s="1"/>
  <c r="AP4373" i="2"/>
  <c r="AP4375" i="2" s="1"/>
  <c r="AQ4376" i="2" s="1"/>
  <c r="AP4403" i="2" l="1"/>
  <c r="AP4411" i="2"/>
  <c r="AP4402" i="2"/>
  <c r="AR4409" i="2"/>
  <c r="AP4384" i="2"/>
  <c r="AP4386" i="2" s="1"/>
  <c r="AQ4387" i="2" s="1"/>
  <c r="AP4393" i="2"/>
  <c r="AP4395" i="2" s="1"/>
  <c r="AP4394" i="2"/>
  <c r="AP4396" i="2" s="1"/>
  <c r="AP4422" i="2" l="1"/>
  <c r="AP4413" i="2"/>
  <c r="AR4420" i="2"/>
  <c r="AP4414" i="2"/>
  <c r="AP4404" i="2"/>
  <c r="AP4405" i="2"/>
  <c r="AP4407" i="2" s="1"/>
  <c r="AP4397" i="2"/>
  <c r="AQ4398" i="2" s="1"/>
  <c r="AP4424" i="2" l="1"/>
  <c r="AP4433" i="2"/>
  <c r="AR4431" i="2"/>
  <c r="AP4425" i="2"/>
  <c r="AP4406" i="2"/>
  <c r="AP4408" i="2" s="1"/>
  <c r="AQ4409" i="2" s="1"/>
  <c r="AP4415" i="2"/>
  <c r="AP4417" i="2" s="1"/>
  <c r="AP4416" i="2"/>
  <c r="AP4418" i="2" s="1"/>
  <c r="AP4426" i="2" l="1"/>
  <c r="AP4428" i="2" s="1"/>
  <c r="AP4427" i="2"/>
  <c r="AP4429" i="2" s="1"/>
  <c r="AP4444" i="2"/>
  <c r="AP4435" i="2"/>
  <c r="AR4442" i="2"/>
  <c r="AP4436" i="2"/>
  <c r="AP4419" i="2"/>
  <c r="AQ4420" i="2" s="1"/>
  <c r="AP4430" i="2" l="1"/>
  <c r="AQ4431" i="2" s="1"/>
  <c r="AR4453" i="2"/>
  <c r="AP4447" i="2"/>
  <c r="AP4455" i="2"/>
  <c r="AP4446" i="2"/>
  <c r="AP4437" i="2"/>
  <c r="AP4438" i="2"/>
  <c r="AP4440" i="2" s="1"/>
  <c r="AP4439" i="2" l="1"/>
  <c r="AP4441" i="2" s="1"/>
  <c r="AQ4442" i="2" s="1"/>
  <c r="AP4466" i="2"/>
  <c r="AP4457" i="2"/>
  <c r="AR4464" i="2"/>
  <c r="AP4458" i="2"/>
  <c r="AP4448" i="2"/>
  <c r="AP4449" i="2"/>
  <c r="AP4451" i="2" s="1"/>
  <c r="AP4477" i="2" l="1"/>
  <c r="AR4475" i="2"/>
  <c r="AP4469" i="2"/>
  <c r="AP4468" i="2"/>
  <c r="AP4450" i="2"/>
  <c r="AP4452" i="2" s="1"/>
  <c r="AQ4453" i="2" s="1"/>
  <c r="AP4459" i="2"/>
  <c r="AP4460" i="2"/>
  <c r="AP4462" i="2" s="1"/>
  <c r="AP4479" i="2" l="1"/>
  <c r="AR4486" i="2"/>
  <c r="AP4480" i="2"/>
  <c r="AP4488" i="2"/>
  <c r="AP4461" i="2"/>
  <c r="AP4463" i="2" s="1"/>
  <c r="AQ4464" i="2" s="1"/>
  <c r="AP4470" i="2"/>
  <c r="AP4471" i="2"/>
  <c r="AP4473" i="2" s="1"/>
  <c r="AP4481" i="2" l="1"/>
  <c r="AP4483" i="2" s="1"/>
  <c r="AP4482" i="2"/>
  <c r="AP4484" i="2" s="1"/>
  <c r="AP4472" i="2"/>
  <c r="AP4474" i="2" s="1"/>
  <c r="AQ4475" i="2" s="1"/>
  <c r="AP4490" i="2"/>
  <c r="AR4497" i="2"/>
  <c r="AP4491" i="2"/>
  <c r="AP4499" i="2"/>
  <c r="AP4485" i="2" l="1"/>
  <c r="AQ4486" i="2" s="1"/>
  <c r="AP4492" i="2"/>
  <c r="AP4494" i="2" s="1"/>
  <c r="AP4493" i="2"/>
  <c r="AP4495" i="2" s="1"/>
  <c r="AP4501" i="2"/>
  <c r="AR4508" i="2"/>
  <c r="AP4502" i="2"/>
  <c r="AP4510" i="2"/>
  <c r="AP4496" i="2" l="1"/>
  <c r="AQ4497" i="2" s="1"/>
  <c r="AR4519" i="2"/>
  <c r="AP4521" i="2"/>
  <c r="AP4513" i="2"/>
  <c r="AP4512" i="2"/>
  <c r="AP4503" i="2"/>
  <c r="AP4505" i="2" s="1"/>
  <c r="AP4504" i="2"/>
  <c r="AP4506" i="2" s="1"/>
  <c r="AP4507" i="2" l="1"/>
  <c r="AQ4508" i="2" s="1"/>
  <c r="AP4532" i="2"/>
  <c r="AP4523" i="2"/>
  <c r="AR4530" i="2"/>
  <c r="AP4524" i="2"/>
  <c r="AP4514" i="2"/>
  <c r="AP4516" i="2" s="1"/>
  <c r="AP4515" i="2"/>
  <c r="AP4517" i="2" s="1"/>
  <c r="AP4518" i="2" l="1"/>
  <c r="AQ4519" i="2" s="1"/>
  <c r="AR4541" i="2"/>
  <c r="AP4535" i="2"/>
  <c r="AP4543" i="2"/>
  <c r="AP4534" i="2"/>
  <c r="AP4525" i="2"/>
  <c r="AP4527" i="2" s="1"/>
  <c r="AP4526" i="2"/>
  <c r="AP4528" i="2" s="1"/>
  <c r="AP4529" i="2" l="1"/>
  <c r="AQ4530" i="2" s="1"/>
  <c r="AP4554" i="2"/>
  <c r="AP4545" i="2"/>
  <c r="AR4552" i="2"/>
  <c r="AP4546" i="2"/>
  <c r="AP4536" i="2"/>
  <c r="AP4538" i="2" s="1"/>
  <c r="AP4537" i="2"/>
  <c r="AP4539" i="2" s="1"/>
  <c r="AP4540" i="2" l="1"/>
  <c r="AQ4541" i="2" s="1"/>
  <c r="AP4557" i="2"/>
  <c r="AP4556" i="2"/>
  <c r="AP4565" i="2"/>
  <c r="AR4563" i="2"/>
  <c r="AP4547" i="2"/>
  <c r="AP4549" i="2" s="1"/>
  <c r="AP4548" i="2"/>
  <c r="AP4550" i="2" s="1"/>
  <c r="AP4551" i="2" l="1"/>
  <c r="AQ4552" i="2" s="1"/>
  <c r="AP4558" i="2"/>
  <c r="AP4560" i="2" s="1"/>
  <c r="AP4559" i="2"/>
  <c r="AP4561" i="2" s="1"/>
  <c r="AP4568" i="2"/>
  <c r="AR4574" i="2"/>
  <c r="AP4576" i="2"/>
  <c r="AP4567" i="2"/>
  <c r="AP4562" i="2" l="1"/>
  <c r="AQ4563" i="2" s="1"/>
  <c r="AR4585" i="2"/>
  <c r="AP4587" i="2"/>
  <c r="AP4578" i="2"/>
  <c r="AP4579" i="2"/>
  <c r="AP4569" i="2"/>
  <c r="AP4571" i="2" s="1"/>
  <c r="AP4570" i="2"/>
  <c r="AP4572" i="2" s="1"/>
  <c r="AP4573" i="2" l="1"/>
  <c r="AQ4574" i="2" s="1"/>
  <c r="AP4598" i="2"/>
  <c r="AP4589" i="2"/>
  <c r="AR4596" i="2"/>
  <c r="AP4590" i="2"/>
  <c r="AP4580" i="2"/>
  <c r="AP4582" i="2" s="1"/>
  <c r="AP4581" i="2"/>
  <c r="AP4583" i="2" s="1"/>
  <c r="AP4584" i="2" l="1"/>
  <c r="AQ4585" i="2" s="1"/>
  <c r="AP4609" i="2"/>
  <c r="AR4607" i="2"/>
  <c r="AP4601" i="2"/>
  <c r="AP4600" i="2"/>
  <c r="AP4591" i="2"/>
  <c r="AP4593" i="2" s="1"/>
  <c r="AP4592" i="2"/>
  <c r="AP4594" i="2" s="1"/>
  <c r="AP4595" i="2" l="1"/>
  <c r="AQ4596" i="2" s="1"/>
  <c r="AP4602" i="2"/>
  <c r="AP4603" i="2"/>
  <c r="AP4605" i="2" s="1"/>
  <c r="AP4620" i="2"/>
  <c r="AP4611" i="2"/>
  <c r="AR4618" i="2"/>
  <c r="AP4612" i="2"/>
  <c r="AP4613" i="2" l="1"/>
  <c r="AP4615" i="2" s="1"/>
  <c r="AP4614" i="2"/>
  <c r="AP4616" i="2" s="1"/>
  <c r="AP4604" i="2"/>
  <c r="AP4606" i="2" s="1"/>
  <c r="AQ4607" i="2" s="1"/>
  <c r="AR4629" i="2"/>
  <c r="AP4623" i="2"/>
  <c r="AP4631" i="2"/>
  <c r="AP4622" i="2"/>
  <c r="AP4617" i="2" l="1"/>
  <c r="AQ4618" i="2" s="1"/>
  <c r="AP4642" i="2"/>
  <c r="AP4633" i="2"/>
  <c r="AR4640" i="2"/>
  <c r="AP4634" i="2"/>
  <c r="AP4624" i="2"/>
  <c r="AP4626" i="2" s="1"/>
  <c r="AP4625" i="2"/>
  <c r="AP4627" i="2" s="1"/>
  <c r="AP4628" i="2" l="1"/>
  <c r="AQ4629" i="2" s="1"/>
  <c r="AP4653" i="2"/>
  <c r="AR4651" i="2"/>
  <c r="AP4645" i="2"/>
  <c r="AP4644" i="2"/>
  <c r="AP4635" i="2"/>
  <c r="AP4637" i="2" s="1"/>
  <c r="AP4636" i="2"/>
  <c r="AP4638" i="2" s="1"/>
  <c r="AP4639" i="2" l="1"/>
  <c r="AQ4640" i="2" s="1"/>
  <c r="AP4656" i="2"/>
  <c r="AP4655" i="2"/>
  <c r="AR4662" i="2"/>
  <c r="AP4646" i="2"/>
  <c r="AP4647" i="2"/>
  <c r="AP4649" i="2" s="1"/>
  <c r="AP4648" i="2" l="1"/>
  <c r="AP4650" i="2" s="1"/>
  <c r="AQ4651" i="2" s="1"/>
  <c r="AP4657" i="2"/>
  <c r="AP4658" i="2"/>
  <c r="AP4660" i="2" s="1"/>
  <c r="AP4659" i="2" l="1"/>
  <c r="AP4661" i="2" s="1"/>
  <c r="AQ4662" i="2" s="1"/>
  <c r="AR18" i="2" s="1"/>
  <c r="AR19" i="2" l="1"/>
  <c r="AS33" i="2" s="1"/>
  <c r="AR20" i="2"/>
  <c r="AS36" i="2" l="1"/>
  <c r="AS35" i="2"/>
  <c r="T40" i="3"/>
  <c r="AS37" i="2" l="1"/>
  <c r="AS38" i="2"/>
  <c r="AS40" i="2" s="1"/>
  <c r="S40" i="3"/>
  <c r="R44" i="3" s="1"/>
  <c r="R41" i="3" s="1"/>
  <c r="S44" i="3"/>
  <c r="AU42" i="2"/>
  <c r="AS44" i="2"/>
  <c r="AS47" i="2" s="1"/>
  <c r="AS39" i="2" l="1"/>
  <c r="AS41" i="2" s="1"/>
  <c r="AT42" i="2" s="1"/>
  <c r="S41" i="3"/>
  <c r="AS55" i="2"/>
  <c r="AS58" i="2" s="1"/>
  <c r="AU53" i="2"/>
  <c r="AS46" i="2"/>
  <c r="AS49" i="2" s="1"/>
  <c r="AS51" i="2" s="1"/>
  <c r="AU64" i="2" l="1"/>
  <c r="AS66" i="2"/>
  <c r="AS69" i="2" s="1"/>
  <c r="AS57" i="2"/>
  <c r="AS60" i="2" s="1"/>
  <c r="AS62" i="2" s="1"/>
  <c r="AS48" i="2"/>
  <c r="AS50" i="2" s="1"/>
  <c r="AS52" i="2" s="1"/>
  <c r="AT53" i="2" s="1"/>
  <c r="AS59" i="2" l="1"/>
  <c r="AS61" i="2" s="1"/>
  <c r="AU75" i="2"/>
  <c r="AS77" i="2"/>
  <c r="AS80" i="2" s="1"/>
  <c r="AS68" i="2"/>
  <c r="AS71" i="2" s="1"/>
  <c r="AS73" i="2" s="1"/>
  <c r="AS63" i="2" l="1"/>
  <c r="AT64" i="2" s="1"/>
  <c r="AS88" i="2"/>
  <c r="AS99" i="2" s="1"/>
  <c r="AS79" i="2"/>
  <c r="AS82" i="2" s="1"/>
  <c r="AS84" i="2" s="1"/>
  <c r="AU86" i="2"/>
  <c r="AS70" i="2"/>
  <c r="AS72" i="2" s="1"/>
  <c r="AS74" i="2" s="1"/>
  <c r="AT75" i="2" s="1"/>
  <c r="AS90" i="2" l="1"/>
  <c r="AS93" i="2" s="1"/>
  <c r="AS95" i="2" s="1"/>
  <c r="AS81" i="2"/>
  <c r="AS83" i="2" s="1"/>
  <c r="AS85" i="2" s="1"/>
  <c r="AT86" i="2" s="1"/>
  <c r="AU97" i="2"/>
  <c r="AS91" i="2"/>
  <c r="AS102" i="2"/>
  <c r="AS110" i="2"/>
  <c r="AS101" i="2"/>
  <c r="AU108" i="2"/>
  <c r="AS92" i="2" l="1"/>
  <c r="AS94" i="2" s="1"/>
  <c r="AS96" i="2" s="1"/>
  <c r="AT97" i="2" s="1"/>
  <c r="AS113" i="2"/>
  <c r="AS112" i="2"/>
  <c r="AS121" i="2"/>
  <c r="AU119" i="2"/>
  <c r="AS103" i="2"/>
  <c r="AS105" i="2" s="1"/>
  <c r="AS104" i="2"/>
  <c r="AS106" i="2" s="1"/>
  <c r="AS132" i="2" l="1"/>
  <c r="AS124" i="2"/>
  <c r="AS123" i="2"/>
  <c r="AU130" i="2"/>
  <c r="AS114" i="2"/>
  <c r="AS115" i="2"/>
  <c r="AS117" i="2" s="1"/>
  <c r="AS107" i="2"/>
  <c r="AT108" i="2" s="1"/>
  <c r="AS135" i="2" l="1"/>
  <c r="AS134" i="2"/>
  <c r="AS143" i="2"/>
  <c r="AU141" i="2"/>
  <c r="AS116" i="2"/>
  <c r="AS118" i="2" s="1"/>
  <c r="AT119" i="2" s="1"/>
  <c r="AS125" i="2"/>
  <c r="AS126" i="2"/>
  <c r="AS128" i="2" s="1"/>
  <c r="AS127" i="2" l="1"/>
  <c r="AS129" i="2" s="1"/>
  <c r="AT130" i="2" s="1"/>
  <c r="AS136" i="2"/>
  <c r="AS137" i="2"/>
  <c r="AS139" i="2" s="1"/>
  <c r="AS146" i="2"/>
  <c r="AS154" i="2"/>
  <c r="AS145" i="2"/>
  <c r="AU152" i="2"/>
  <c r="AS157" i="2" l="1"/>
  <c r="AS156" i="2"/>
  <c r="AS165" i="2"/>
  <c r="AU163" i="2"/>
  <c r="AS147" i="2"/>
  <c r="AS149" i="2" s="1"/>
  <c r="AS148" i="2"/>
  <c r="AS150" i="2" s="1"/>
  <c r="AS138" i="2"/>
  <c r="AS140" i="2" s="1"/>
  <c r="AT141" i="2" s="1"/>
  <c r="AS151" i="2" l="1"/>
  <c r="AT152" i="2" s="1"/>
  <c r="AS158" i="2"/>
  <c r="AS159" i="2"/>
  <c r="AS161" i="2" s="1"/>
  <c r="AS176" i="2"/>
  <c r="AS168" i="2"/>
  <c r="AS167" i="2"/>
  <c r="AU174" i="2"/>
  <c r="AS169" i="2" l="1"/>
  <c r="AS170" i="2"/>
  <c r="AS172" i="2" s="1"/>
  <c r="AS160" i="2"/>
  <c r="AS162" i="2" s="1"/>
  <c r="AT163" i="2" s="1"/>
  <c r="AS178" i="2"/>
  <c r="AS187" i="2"/>
  <c r="AU185" i="2"/>
  <c r="AS179" i="2"/>
  <c r="AS180" i="2" l="1"/>
  <c r="AS182" i="2" s="1"/>
  <c r="AS181" i="2"/>
  <c r="AS183" i="2" s="1"/>
  <c r="AS171" i="2"/>
  <c r="AS173" i="2" s="1"/>
  <c r="AT174" i="2" s="1"/>
  <c r="AS189" i="2"/>
  <c r="AU196" i="2"/>
  <c r="AS198" i="2"/>
  <c r="AS190" i="2"/>
  <c r="AS184" i="2" l="1"/>
  <c r="AT185" i="2" s="1"/>
  <c r="AS191" i="2"/>
  <c r="AS192" i="2"/>
  <c r="AS194" i="2" s="1"/>
  <c r="AS201" i="2"/>
  <c r="AU207" i="2"/>
  <c r="AS200" i="2"/>
  <c r="AS209" i="2"/>
  <c r="AS202" i="2" l="1"/>
  <c r="AS203" i="2"/>
  <c r="AS205" i="2" s="1"/>
  <c r="AS193" i="2"/>
  <c r="AS195" i="2" s="1"/>
  <c r="AT196" i="2" s="1"/>
  <c r="AS220" i="2"/>
  <c r="AS212" i="2"/>
  <c r="AS211" i="2"/>
  <c r="AU218" i="2"/>
  <c r="AS231" i="2" l="1"/>
  <c r="AS223" i="2"/>
  <c r="AS222" i="2"/>
  <c r="AU229" i="2"/>
  <c r="AS204" i="2"/>
  <c r="AS206" i="2" s="1"/>
  <c r="AT207" i="2" s="1"/>
  <c r="AS213" i="2"/>
  <c r="AS215" i="2" s="1"/>
  <c r="AS214" i="2"/>
  <c r="AS216" i="2" s="1"/>
  <c r="AS242" i="2" l="1"/>
  <c r="AS233" i="2"/>
  <c r="AU240" i="2"/>
  <c r="AS234" i="2"/>
  <c r="AS224" i="2"/>
  <c r="AS225" i="2"/>
  <c r="AS227" i="2" s="1"/>
  <c r="AS217" i="2"/>
  <c r="AT218" i="2" s="1"/>
  <c r="AS244" i="2" l="1"/>
  <c r="AS245" i="2"/>
  <c r="AS253" i="2"/>
  <c r="AU251" i="2"/>
  <c r="AS226" i="2"/>
  <c r="AS228" i="2" s="1"/>
  <c r="AT229" i="2" s="1"/>
  <c r="AS235" i="2"/>
  <c r="AS236" i="2"/>
  <c r="AS238" i="2" s="1"/>
  <c r="AS246" i="2" l="1"/>
  <c r="AS248" i="2" s="1"/>
  <c r="AS247" i="2"/>
  <c r="AS249" i="2" s="1"/>
  <c r="AS256" i="2"/>
  <c r="AS255" i="2"/>
  <c r="AU262" i="2"/>
  <c r="AS264" i="2"/>
  <c r="AS237" i="2"/>
  <c r="AS239" i="2" s="1"/>
  <c r="AT240" i="2" s="1"/>
  <c r="AS250" i="2" l="1"/>
  <c r="AT251" i="2" s="1"/>
  <c r="AS267" i="2"/>
  <c r="AS275" i="2"/>
  <c r="AS266" i="2"/>
  <c r="AU273" i="2"/>
  <c r="AS257" i="2"/>
  <c r="AS259" i="2" s="1"/>
  <c r="AS258" i="2"/>
  <c r="AS260" i="2" s="1"/>
  <c r="AS261" i="2" l="1"/>
  <c r="AT262" i="2" s="1"/>
  <c r="AS286" i="2"/>
  <c r="AS277" i="2"/>
  <c r="AU284" i="2"/>
  <c r="AS278" i="2"/>
  <c r="AS268" i="2"/>
  <c r="AS270" i="2" s="1"/>
  <c r="AS269" i="2"/>
  <c r="AS271" i="2" s="1"/>
  <c r="AS272" i="2" l="1"/>
  <c r="AT273" i="2" s="1"/>
  <c r="AS297" i="2"/>
  <c r="AU295" i="2"/>
  <c r="AS288" i="2"/>
  <c r="AS289" i="2"/>
  <c r="AS279" i="2"/>
  <c r="AS281" i="2" s="1"/>
  <c r="AS280" i="2"/>
  <c r="AS282" i="2" s="1"/>
  <c r="AS283" i="2" l="1"/>
  <c r="AT284" i="2" s="1"/>
  <c r="AS290" i="2"/>
  <c r="AS292" i="2" s="1"/>
  <c r="AS291" i="2"/>
  <c r="AS293" i="2" s="1"/>
  <c r="AS308" i="2"/>
  <c r="AS299" i="2"/>
  <c r="AU306" i="2"/>
  <c r="AS300" i="2"/>
  <c r="AS294" i="2" l="1"/>
  <c r="AT295" i="2" s="1"/>
  <c r="AS310" i="2"/>
  <c r="AU317" i="2"/>
  <c r="AS311" i="2"/>
  <c r="AS319" i="2"/>
  <c r="AS301" i="2"/>
  <c r="AS303" i="2" s="1"/>
  <c r="AS302" i="2"/>
  <c r="AS304" i="2" s="1"/>
  <c r="AS305" i="2" l="1"/>
  <c r="AT306" i="2" s="1"/>
  <c r="AS312" i="2"/>
  <c r="AS314" i="2" s="1"/>
  <c r="AS313" i="2"/>
  <c r="AS315" i="2" s="1"/>
  <c r="AS330" i="2"/>
  <c r="AS321" i="2"/>
  <c r="AU328" i="2"/>
  <c r="AS322" i="2"/>
  <c r="AS316" i="2" l="1"/>
  <c r="AT317" i="2" s="1"/>
  <c r="AS341" i="2"/>
  <c r="AS332" i="2"/>
  <c r="AU339" i="2"/>
  <c r="AS333" i="2"/>
  <c r="AS323" i="2"/>
  <c r="AS325" i="2" s="1"/>
  <c r="AS324" i="2"/>
  <c r="AS326" i="2" s="1"/>
  <c r="AS327" i="2" l="1"/>
  <c r="AT328" i="2" s="1"/>
  <c r="AU350" i="2"/>
  <c r="AS344" i="2"/>
  <c r="AS352" i="2"/>
  <c r="AS343" i="2"/>
  <c r="AS334" i="2"/>
  <c r="AS336" i="2" s="1"/>
  <c r="AS335" i="2"/>
  <c r="AS337" i="2" s="1"/>
  <c r="AS338" i="2" l="1"/>
  <c r="AT339" i="2" s="1"/>
  <c r="AS354" i="2"/>
  <c r="AS363" i="2"/>
  <c r="AU361" i="2"/>
  <c r="AS355" i="2"/>
  <c r="AS345" i="2"/>
  <c r="AS347" i="2" s="1"/>
  <c r="AS346" i="2"/>
  <c r="AS348" i="2" s="1"/>
  <c r="AS349" i="2" l="1"/>
  <c r="AT350" i="2" s="1"/>
  <c r="AS356" i="2"/>
  <c r="AS357" i="2"/>
  <c r="AS359" i="2" s="1"/>
  <c r="AS374" i="2"/>
  <c r="AS365" i="2"/>
  <c r="AU372" i="2"/>
  <c r="AS366" i="2"/>
  <c r="AS358" i="2" l="1"/>
  <c r="AS360" i="2" s="1"/>
  <c r="AT361" i="2" s="1"/>
  <c r="AS376" i="2"/>
  <c r="AS377" i="2"/>
  <c r="AS385" i="2"/>
  <c r="AU383" i="2"/>
  <c r="AS367" i="2"/>
  <c r="AS369" i="2" s="1"/>
  <c r="AS368" i="2"/>
  <c r="AS370" i="2" s="1"/>
  <c r="AS378" i="2" l="1"/>
  <c r="AS379" i="2"/>
  <c r="AS381" i="2" s="1"/>
  <c r="AS396" i="2"/>
  <c r="AU394" i="2"/>
  <c r="AS388" i="2"/>
  <c r="AS387" i="2"/>
  <c r="AS371" i="2"/>
  <c r="AT372" i="2" s="1"/>
  <c r="AS380" i="2" l="1"/>
  <c r="AS382" i="2" s="1"/>
  <c r="AT383" i="2" s="1"/>
  <c r="AS399" i="2"/>
  <c r="AU405" i="2"/>
  <c r="AS407" i="2"/>
  <c r="AS398" i="2"/>
  <c r="AS389" i="2"/>
  <c r="AS391" i="2" s="1"/>
  <c r="AS390" i="2"/>
  <c r="AS392" i="2" s="1"/>
  <c r="AU416" i="2" l="1"/>
  <c r="AS410" i="2"/>
  <c r="AS418" i="2"/>
  <c r="AS409" i="2"/>
  <c r="AS400" i="2"/>
  <c r="AS401" i="2"/>
  <c r="AS403" i="2" s="1"/>
  <c r="AS393" i="2"/>
  <c r="AT394" i="2" s="1"/>
  <c r="AS402" i="2" l="1"/>
  <c r="AS404" i="2" s="1"/>
  <c r="AT405" i="2" s="1"/>
  <c r="AS429" i="2"/>
  <c r="AU427" i="2"/>
  <c r="AS421" i="2"/>
  <c r="AS420" i="2"/>
  <c r="AS411" i="2"/>
  <c r="AS412" i="2"/>
  <c r="AS414" i="2" s="1"/>
  <c r="AS431" i="2" l="1"/>
  <c r="AU438" i="2"/>
  <c r="AS432" i="2"/>
  <c r="AS440" i="2"/>
  <c r="AS422" i="2"/>
  <c r="AS423" i="2"/>
  <c r="AS425" i="2" s="1"/>
  <c r="AS413" i="2"/>
  <c r="AS415" i="2" s="1"/>
  <c r="AT416" i="2" s="1"/>
  <c r="AS433" i="2" l="1"/>
  <c r="AS434" i="2"/>
  <c r="AS436" i="2" s="1"/>
  <c r="AS424" i="2"/>
  <c r="AS426" i="2" s="1"/>
  <c r="AT427" i="2" s="1"/>
  <c r="AS443" i="2"/>
  <c r="AS442" i="2"/>
  <c r="AU449" i="2"/>
  <c r="AS451" i="2"/>
  <c r="AS435" i="2" l="1"/>
  <c r="AS437" i="2" s="1"/>
  <c r="AT438" i="2" s="1"/>
  <c r="AS444" i="2"/>
  <c r="AS445" i="2"/>
  <c r="AS447" i="2" s="1"/>
  <c r="AS453" i="2"/>
  <c r="AU460" i="2"/>
  <c r="AS454" i="2"/>
  <c r="AS462" i="2"/>
  <c r="AS464" i="2" l="1"/>
  <c r="AS465" i="2"/>
  <c r="AS473" i="2"/>
  <c r="AU471" i="2"/>
  <c r="AS455" i="2"/>
  <c r="AS456" i="2"/>
  <c r="AS458" i="2" s="1"/>
  <c r="AS446" i="2"/>
  <c r="AS448" i="2" s="1"/>
  <c r="AT449" i="2" s="1"/>
  <c r="AS466" i="2" l="1"/>
  <c r="AS467" i="2"/>
  <c r="AS469" i="2" s="1"/>
  <c r="AS457" i="2"/>
  <c r="AS459" i="2" s="1"/>
  <c r="AT460" i="2" s="1"/>
  <c r="AS475" i="2"/>
  <c r="AU482" i="2"/>
  <c r="AS476" i="2"/>
  <c r="AS484" i="2"/>
  <c r="AS487" i="2" l="1"/>
  <c r="AS495" i="2"/>
  <c r="AS486" i="2"/>
  <c r="AU493" i="2"/>
  <c r="AS477" i="2"/>
  <c r="AS478" i="2"/>
  <c r="AS480" i="2" s="1"/>
  <c r="AS468" i="2"/>
  <c r="AS470" i="2" s="1"/>
  <c r="AT471" i="2" s="1"/>
  <c r="AS479" i="2" l="1"/>
  <c r="AS481" i="2" s="1"/>
  <c r="AT482" i="2" s="1"/>
  <c r="AS498" i="2"/>
  <c r="AS506" i="2"/>
  <c r="AS497" i="2"/>
  <c r="AU504" i="2"/>
  <c r="AS488" i="2"/>
  <c r="AS489" i="2"/>
  <c r="AS491" i="2" s="1"/>
  <c r="AS490" i="2" l="1"/>
  <c r="AS492" i="2" s="1"/>
  <c r="AT493" i="2" s="1"/>
  <c r="AU515" i="2"/>
  <c r="AS509" i="2"/>
  <c r="AS517" i="2"/>
  <c r="AS508" i="2"/>
  <c r="AS499" i="2"/>
  <c r="AS501" i="2" s="1"/>
  <c r="AS500" i="2"/>
  <c r="AS502" i="2" s="1"/>
  <c r="AS503" i="2" l="1"/>
  <c r="AT504" i="2" s="1"/>
  <c r="AS528" i="2"/>
  <c r="AS519" i="2"/>
  <c r="AU526" i="2"/>
  <c r="AS520" i="2"/>
  <c r="AS510" i="2"/>
  <c r="AS511" i="2"/>
  <c r="AS513" i="2" s="1"/>
  <c r="AS531" i="2" l="1"/>
  <c r="AU537" i="2"/>
  <c r="AS539" i="2"/>
  <c r="AS530" i="2"/>
  <c r="AS512" i="2"/>
  <c r="AS514" i="2" s="1"/>
  <c r="AT515" i="2" s="1"/>
  <c r="AS521" i="2"/>
  <c r="AS522" i="2"/>
  <c r="AS524" i="2" s="1"/>
  <c r="AS541" i="2" l="1"/>
  <c r="AU548" i="2"/>
  <c r="AS542" i="2"/>
  <c r="AS550" i="2"/>
  <c r="AS523" i="2"/>
  <c r="AS525" i="2" s="1"/>
  <c r="AT526" i="2" s="1"/>
  <c r="AS532" i="2"/>
  <c r="AS533" i="2"/>
  <c r="AS535" i="2" s="1"/>
  <c r="AS543" i="2" l="1"/>
  <c r="AS545" i="2" s="1"/>
  <c r="AS544" i="2"/>
  <c r="AS546" i="2" s="1"/>
  <c r="AS534" i="2"/>
  <c r="AS536" i="2" s="1"/>
  <c r="AT537" i="2" s="1"/>
  <c r="AS552" i="2"/>
  <c r="AS553" i="2"/>
  <c r="AS561" i="2"/>
  <c r="AU559" i="2"/>
  <c r="AS547" i="2" l="1"/>
  <c r="AT548" i="2" s="1"/>
  <c r="AS554" i="2"/>
  <c r="AS555" i="2"/>
  <c r="AS557" i="2" s="1"/>
  <c r="AS563" i="2"/>
  <c r="AU570" i="2"/>
  <c r="AS564" i="2"/>
  <c r="AS572" i="2"/>
  <c r="AS556" i="2" l="1"/>
  <c r="AS558" i="2" s="1"/>
  <c r="AT559" i="2" s="1"/>
  <c r="AS575" i="2"/>
  <c r="AS583" i="2"/>
  <c r="AS574" i="2"/>
  <c r="AU581" i="2"/>
  <c r="AS565" i="2"/>
  <c r="AS566" i="2"/>
  <c r="AS568" i="2" s="1"/>
  <c r="AS576" i="2" l="1"/>
  <c r="AS578" i="2" s="1"/>
  <c r="AS577" i="2"/>
  <c r="AS579" i="2" s="1"/>
  <c r="AS567" i="2"/>
  <c r="AS569" i="2" s="1"/>
  <c r="AT570" i="2" s="1"/>
  <c r="AS586" i="2"/>
  <c r="AS594" i="2"/>
  <c r="AS585" i="2"/>
  <c r="AU592" i="2"/>
  <c r="AS580" i="2" l="1"/>
  <c r="AT581" i="2" s="1"/>
  <c r="AU603" i="2"/>
  <c r="AS597" i="2"/>
  <c r="AS605" i="2"/>
  <c r="AS596" i="2"/>
  <c r="AS587" i="2"/>
  <c r="AS589" i="2" s="1"/>
  <c r="AS588" i="2"/>
  <c r="AS590" i="2" s="1"/>
  <c r="AS591" i="2" l="1"/>
  <c r="AT592" i="2" s="1"/>
  <c r="AS608" i="2"/>
  <c r="AU614" i="2"/>
  <c r="AS616" i="2"/>
  <c r="AS607" i="2"/>
  <c r="AS598" i="2"/>
  <c r="AS600" i="2" s="1"/>
  <c r="AS599" i="2"/>
  <c r="AS601" i="2" s="1"/>
  <c r="AS602" i="2" l="1"/>
  <c r="AT603" i="2" s="1"/>
  <c r="AS627" i="2"/>
  <c r="AS619" i="2"/>
  <c r="AS618" i="2"/>
  <c r="AU625" i="2"/>
  <c r="AS609" i="2"/>
  <c r="AS610" i="2"/>
  <c r="AS612" i="2" s="1"/>
  <c r="AS630" i="2" l="1"/>
  <c r="AU636" i="2"/>
  <c r="AS638" i="2"/>
  <c r="AS629" i="2"/>
  <c r="AS611" i="2"/>
  <c r="AS613" i="2" s="1"/>
  <c r="AT614" i="2" s="1"/>
  <c r="AS620" i="2"/>
  <c r="AS621" i="2"/>
  <c r="AS623" i="2" s="1"/>
  <c r="AS622" i="2" l="1"/>
  <c r="AS624" i="2" s="1"/>
  <c r="AT625" i="2" s="1"/>
  <c r="AS631" i="2"/>
  <c r="AS632" i="2"/>
  <c r="AS634" i="2" s="1"/>
  <c r="AS640" i="2"/>
  <c r="AU647" i="2"/>
  <c r="AS641" i="2"/>
  <c r="AS649" i="2"/>
  <c r="AS642" i="2" l="1"/>
  <c r="AS643" i="2"/>
  <c r="AS645" i="2" s="1"/>
  <c r="AS633" i="2"/>
  <c r="AS635" i="2" s="1"/>
  <c r="AT636" i="2" s="1"/>
  <c r="AS651" i="2"/>
  <c r="AS652" i="2"/>
  <c r="AU658" i="2"/>
  <c r="AS660" i="2"/>
  <c r="AS671" i="2" l="1"/>
  <c r="AS663" i="2"/>
  <c r="AS662" i="2"/>
  <c r="AU669" i="2"/>
  <c r="AS653" i="2"/>
  <c r="AS655" i="2" s="1"/>
  <c r="AS654" i="2"/>
  <c r="AS656" i="2" s="1"/>
  <c r="AS644" i="2"/>
  <c r="AS646" i="2" s="1"/>
  <c r="AT647" i="2" s="1"/>
  <c r="AS657" i="2" l="1"/>
  <c r="AT658" i="2" s="1"/>
  <c r="AU680" i="2"/>
  <c r="AS674" i="2"/>
  <c r="AS682" i="2"/>
  <c r="AS673" i="2"/>
  <c r="AS664" i="2"/>
  <c r="AS665" i="2"/>
  <c r="AS667" i="2" s="1"/>
  <c r="AS666" i="2" l="1"/>
  <c r="AS668" i="2" s="1"/>
  <c r="AT669" i="2" s="1"/>
  <c r="AS693" i="2"/>
  <c r="AS684" i="2"/>
  <c r="AU691" i="2"/>
  <c r="AS685" i="2"/>
  <c r="AS675" i="2"/>
  <c r="AS677" i="2" s="1"/>
  <c r="AS676" i="2"/>
  <c r="AS678" i="2" s="1"/>
  <c r="AS704" i="2" l="1"/>
  <c r="AS695" i="2"/>
  <c r="AU702" i="2"/>
  <c r="AS696" i="2"/>
  <c r="AS686" i="2"/>
  <c r="AS687" i="2"/>
  <c r="AS689" i="2" s="1"/>
  <c r="AS679" i="2"/>
  <c r="AT680" i="2" s="1"/>
  <c r="AS707" i="2" l="1"/>
  <c r="AS715" i="2"/>
  <c r="AS706" i="2"/>
  <c r="AU713" i="2"/>
  <c r="AS688" i="2"/>
  <c r="AS690" i="2" s="1"/>
  <c r="AT691" i="2" s="1"/>
  <c r="AS697" i="2"/>
  <c r="AS699" i="2" s="1"/>
  <c r="AS698" i="2"/>
  <c r="AS700" i="2" s="1"/>
  <c r="AS726" i="2" l="1"/>
  <c r="AU724" i="2"/>
  <c r="AS718" i="2"/>
  <c r="AS717" i="2"/>
  <c r="AS708" i="2"/>
  <c r="AS709" i="2"/>
  <c r="AS711" i="2" s="1"/>
  <c r="AS701" i="2"/>
  <c r="AT702" i="2" s="1"/>
  <c r="AS719" i="2" l="1"/>
  <c r="AS721" i="2" s="1"/>
  <c r="AS720" i="2"/>
  <c r="AS722" i="2" s="1"/>
  <c r="AS728" i="2"/>
  <c r="AS737" i="2"/>
  <c r="AU735" i="2"/>
  <c r="AS729" i="2"/>
  <c r="AS710" i="2"/>
  <c r="AS712" i="2" s="1"/>
  <c r="AT713" i="2" s="1"/>
  <c r="AS723" i="2" l="1"/>
  <c r="AT724" i="2" s="1"/>
  <c r="AS748" i="2"/>
  <c r="AS740" i="2"/>
  <c r="AS739" i="2"/>
  <c r="AU746" i="2"/>
  <c r="AS730" i="2"/>
  <c r="AS731" i="2"/>
  <c r="AS733" i="2" s="1"/>
  <c r="AS750" i="2" l="1"/>
  <c r="AS759" i="2"/>
  <c r="AU757" i="2"/>
  <c r="AS751" i="2"/>
  <c r="AS732" i="2"/>
  <c r="AS734" i="2" s="1"/>
  <c r="AT735" i="2" s="1"/>
  <c r="AS741" i="2"/>
  <c r="AS742" i="2"/>
  <c r="AS744" i="2" s="1"/>
  <c r="AS743" i="2" l="1"/>
  <c r="AS745" i="2" s="1"/>
  <c r="AT746" i="2" s="1"/>
  <c r="AS752" i="2"/>
  <c r="AS754" i="2" s="1"/>
  <c r="AS753" i="2"/>
  <c r="AS755" i="2" s="1"/>
  <c r="AS762" i="2"/>
  <c r="AS770" i="2"/>
  <c r="AS761" i="2"/>
  <c r="AU768" i="2"/>
  <c r="AS756" i="2" l="1"/>
  <c r="AT757" i="2" s="1"/>
  <c r="AS772" i="2"/>
  <c r="AS781" i="2"/>
  <c r="AU779" i="2"/>
  <c r="AS773" i="2"/>
  <c r="AS763" i="2"/>
  <c r="AS764" i="2"/>
  <c r="AS766" i="2" s="1"/>
  <c r="AS774" i="2" l="1"/>
  <c r="AS776" i="2" s="1"/>
  <c r="AS775" i="2"/>
  <c r="AS777" i="2" s="1"/>
  <c r="AS765" i="2"/>
  <c r="AS767" i="2" s="1"/>
  <c r="AT768" i="2" s="1"/>
  <c r="AS784" i="2"/>
  <c r="AU790" i="2"/>
  <c r="AS792" i="2"/>
  <c r="AS783" i="2"/>
  <c r="AS778" i="2" l="1"/>
  <c r="AT779" i="2" s="1"/>
  <c r="AS803" i="2"/>
  <c r="AU801" i="2"/>
  <c r="AS795" i="2"/>
  <c r="AS794" i="2"/>
  <c r="AS785" i="2"/>
  <c r="AS786" i="2"/>
  <c r="AS788" i="2" s="1"/>
  <c r="AS796" i="2" l="1"/>
  <c r="AS798" i="2" s="1"/>
  <c r="AS797" i="2"/>
  <c r="AS799" i="2" s="1"/>
  <c r="AS805" i="2"/>
  <c r="AS806" i="2"/>
  <c r="AS814" i="2"/>
  <c r="AU812" i="2"/>
  <c r="AS787" i="2"/>
  <c r="AS789" i="2" s="1"/>
  <c r="AT790" i="2" s="1"/>
  <c r="AS800" i="2" l="1"/>
  <c r="AT801" i="2" s="1"/>
  <c r="AS817" i="2"/>
  <c r="AS825" i="2"/>
  <c r="AU823" i="2"/>
  <c r="AS816" i="2"/>
  <c r="AS807" i="2"/>
  <c r="AS808" i="2"/>
  <c r="AS810" i="2" s="1"/>
  <c r="AS809" i="2" l="1"/>
  <c r="AS811" i="2" s="1"/>
  <c r="AT812" i="2" s="1"/>
  <c r="AS828" i="2"/>
  <c r="AS827" i="2"/>
  <c r="AU834" i="2"/>
  <c r="AS836" i="2"/>
  <c r="AS818" i="2"/>
  <c r="AS819" i="2"/>
  <c r="AS821" i="2" s="1"/>
  <c r="AS820" i="2" l="1"/>
  <c r="AS822" i="2" s="1"/>
  <c r="AT823" i="2" s="1"/>
  <c r="AS829" i="2"/>
  <c r="AS830" i="2"/>
  <c r="AS832" i="2" s="1"/>
  <c r="AS838" i="2"/>
  <c r="AS839" i="2"/>
  <c r="AU845" i="2"/>
  <c r="AS847" i="2"/>
  <c r="AS850" i="2" l="1"/>
  <c r="AS858" i="2"/>
  <c r="AS849" i="2"/>
  <c r="AU856" i="2"/>
  <c r="AS840" i="2"/>
  <c r="AS841" i="2"/>
  <c r="AS843" i="2" s="1"/>
  <c r="AS831" i="2"/>
  <c r="AS833" i="2" s="1"/>
  <c r="AT834" i="2" s="1"/>
  <c r="AS842" i="2" l="1"/>
  <c r="AS844" i="2" s="1"/>
  <c r="AT845" i="2" s="1"/>
  <c r="AS869" i="2"/>
  <c r="AS860" i="2"/>
  <c r="AU867" i="2"/>
  <c r="AS861" i="2"/>
  <c r="AS851" i="2"/>
  <c r="AS853" i="2" s="1"/>
  <c r="AS852" i="2"/>
  <c r="AS854" i="2" s="1"/>
  <c r="AS855" i="2" l="1"/>
  <c r="AT856" i="2" s="1"/>
  <c r="AS862" i="2"/>
  <c r="AS863" i="2"/>
  <c r="AS865" i="2" s="1"/>
  <c r="AS880" i="2"/>
  <c r="AS871" i="2"/>
  <c r="AU878" i="2"/>
  <c r="AS872" i="2"/>
  <c r="AS873" i="2" l="1"/>
  <c r="AS875" i="2" s="1"/>
  <c r="AS874" i="2"/>
  <c r="AS876" i="2" s="1"/>
  <c r="AS864" i="2"/>
  <c r="AS866" i="2" s="1"/>
  <c r="AT867" i="2" s="1"/>
  <c r="AS891" i="2"/>
  <c r="AS883" i="2"/>
  <c r="AS882" i="2"/>
  <c r="AU889" i="2"/>
  <c r="AS877" i="2" l="1"/>
  <c r="AT878" i="2" s="1"/>
  <c r="AS902" i="2"/>
  <c r="AS894" i="2"/>
  <c r="AS893" i="2"/>
  <c r="AU900" i="2"/>
  <c r="AS884" i="2"/>
  <c r="AS885" i="2"/>
  <c r="AS887" i="2" s="1"/>
  <c r="AS904" i="2" l="1"/>
  <c r="AS905" i="2"/>
  <c r="AS913" i="2"/>
  <c r="AU911" i="2"/>
  <c r="AS886" i="2"/>
  <c r="AS888" i="2" s="1"/>
  <c r="AT889" i="2" s="1"/>
  <c r="AS895" i="2"/>
  <c r="AS896" i="2"/>
  <c r="AS898" i="2" s="1"/>
  <c r="AS897" i="2" l="1"/>
  <c r="AS899" i="2" s="1"/>
  <c r="AT900" i="2" s="1"/>
  <c r="AS906" i="2"/>
  <c r="AS907" i="2"/>
  <c r="AS909" i="2" s="1"/>
  <c r="AS915" i="2"/>
  <c r="AU922" i="2"/>
  <c r="AS916" i="2"/>
  <c r="AS924" i="2"/>
  <c r="AS926" i="2" l="1"/>
  <c r="AU933" i="2"/>
  <c r="AS927" i="2"/>
  <c r="AS935" i="2"/>
  <c r="AS917" i="2"/>
  <c r="AS918" i="2"/>
  <c r="AS920" i="2" s="1"/>
  <c r="AS908" i="2"/>
  <c r="AS910" i="2" s="1"/>
  <c r="AT911" i="2" s="1"/>
  <c r="AS938" i="2" l="1"/>
  <c r="AS946" i="2"/>
  <c r="AS937" i="2"/>
  <c r="AU944" i="2"/>
  <c r="AS928" i="2"/>
  <c r="AS930" i="2" s="1"/>
  <c r="AS929" i="2"/>
  <c r="AS931" i="2" s="1"/>
  <c r="AS919" i="2"/>
  <c r="AS921" i="2" s="1"/>
  <c r="AT922" i="2" s="1"/>
  <c r="AS932" i="2" l="1"/>
  <c r="AT933" i="2" s="1"/>
  <c r="AU955" i="2"/>
  <c r="AS949" i="2"/>
  <c r="AS957" i="2"/>
  <c r="AS948" i="2"/>
  <c r="AS939" i="2"/>
  <c r="AS941" i="2" s="1"/>
  <c r="AS940" i="2"/>
  <c r="AS942" i="2" s="1"/>
  <c r="AS943" i="2" l="1"/>
  <c r="AT944" i="2" s="1"/>
  <c r="AS950" i="2"/>
  <c r="AS952" i="2" s="1"/>
  <c r="AS951" i="2"/>
  <c r="AS953" i="2" s="1"/>
  <c r="AS960" i="2"/>
  <c r="AS968" i="2"/>
  <c r="AS959" i="2"/>
  <c r="AU966" i="2"/>
  <c r="AS954" i="2" l="1"/>
  <c r="AT955" i="2" s="1"/>
  <c r="AS979" i="2"/>
  <c r="AS970" i="2"/>
  <c r="AU977" i="2"/>
  <c r="AS971" i="2"/>
  <c r="AS961" i="2"/>
  <c r="AS963" i="2" s="1"/>
  <c r="AS962" i="2"/>
  <c r="AS964" i="2" s="1"/>
  <c r="AS965" i="2" l="1"/>
  <c r="AT966" i="2" s="1"/>
  <c r="AU988" i="2"/>
  <c r="AS982" i="2"/>
  <c r="AS990" i="2"/>
  <c r="AS981" i="2"/>
  <c r="AS972" i="2"/>
  <c r="AS974" i="2" s="1"/>
  <c r="AS973" i="2"/>
  <c r="AS975" i="2" s="1"/>
  <c r="AS976" i="2" l="1"/>
  <c r="AT977" i="2" s="1"/>
  <c r="AS983" i="2"/>
  <c r="AS985" i="2" s="1"/>
  <c r="AS984" i="2"/>
  <c r="AS986" i="2" s="1"/>
  <c r="AS993" i="2"/>
  <c r="AS1001" i="2"/>
  <c r="AU999" i="2"/>
  <c r="AS992" i="2"/>
  <c r="AS987" i="2" l="1"/>
  <c r="AT988" i="2" s="1"/>
  <c r="AU1010" i="2"/>
  <c r="AS1004" i="2"/>
  <c r="AS1012" i="2"/>
  <c r="AS1003" i="2"/>
  <c r="AS994" i="2"/>
  <c r="AS995" i="2"/>
  <c r="AS997" i="2" s="1"/>
  <c r="AS1005" i="2" l="1"/>
  <c r="AS1006" i="2"/>
  <c r="AS1008" i="2" s="1"/>
  <c r="AS996" i="2"/>
  <c r="AS998" i="2" s="1"/>
  <c r="AT999" i="2" s="1"/>
  <c r="AS1014" i="2"/>
  <c r="AU1021" i="2"/>
  <c r="AS1015" i="2"/>
  <c r="AS1023" i="2"/>
  <c r="AS1026" i="2" l="1"/>
  <c r="AS1034" i="2"/>
  <c r="AS1025" i="2"/>
  <c r="AU1032" i="2"/>
  <c r="AS1016" i="2"/>
  <c r="AS1017" i="2"/>
  <c r="AS1019" i="2" s="1"/>
  <c r="AS1007" i="2"/>
  <c r="AS1009" i="2" s="1"/>
  <c r="AT1010" i="2" s="1"/>
  <c r="AS1018" i="2" l="1"/>
  <c r="AS1020" i="2" s="1"/>
  <c r="AT1021" i="2" s="1"/>
  <c r="AS1036" i="2"/>
  <c r="AU1043" i="2"/>
  <c r="AS1037" i="2"/>
  <c r="AS1045" i="2"/>
  <c r="AS1027" i="2"/>
  <c r="AS1028" i="2"/>
  <c r="AS1030" i="2" s="1"/>
  <c r="AS1029" i="2" l="1"/>
  <c r="AS1031" i="2" s="1"/>
  <c r="AT1032" i="2" s="1"/>
  <c r="AS1047" i="2"/>
  <c r="AU1054" i="2"/>
  <c r="AS1048" i="2"/>
  <c r="AS1056" i="2"/>
  <c r="AS1038" i="2"/>
  <c r="AS1040" i="2" s="1"/>
  <c r="AS1039" i="2"/>
  <c r="AS1041" i="2" s="1"/>
  <c r="AS1042" i="2" l="1"/>
  <c r="AT1043" i="2" s="1"/>
  <c r="AS1059" i="2"/>
  <c r="AS1067" i="2"/>
  <c r="AS1058" i="2"/>
  <c r="AU1065" i="2"/>
  <c r="AS1049" i="2"/>
  <c r="AS1050" i="2"/>
  <c r="AS1052" i="2" s="1"/>
  <c r="AS1051" i="2" l="1"/>
  <c r="AS1053" i="2" s="1"/>
  <c r="AT1054" i="2" s="1"/>
  <c r="AS1069" i="2"/>
  <c r="AU1076" i="2"/>
  <c r="AS1070" i="2"/>
  <c r="AS1078" i="2"/>
  <c r="AS1060" i="2"/>
  <c r="AS1062" i="2" s="1"/>
  <c r="AS1061" i="2"/>
  <c r="AS1063" i="2" s="1"/>
  <c r="AS1064" i="2" l="1"/>
  <c r="AT1065" i="2" s="1"/>
  <c r="AU1087" i="2"/>
  <c r="AS1081" i="2"/>
  <c r="AS1089" i="2"/>
  <c r="AS1080" i="2"/>
  <c r="AS1071" i="2"/>
  <c r="AS1073" i="2" s="1"/>
  <c r="AS1072" i="2"/>
  <c r="AS1074" i="2" s="1"/>
  <c r="AS1075" i="2" l="1"/>
  <c r="AT1076" i="2" s="1"/>
  <c r="AS1082" i="2"/>
  <c r="AS1083" i="2"/>
  <c r="AS1085" i="2" s="1"/>
  <c r="AS1092" i="2"/>
  <c r="AS1100" i="2"/>
  <c r="AS1091" i="2"/>
  <c r="AU1098" i="2"/>
  <c r="AS1102" i="2" l="1"/>
  <c r="AU1109" i="2"/>
  <c r="AS1103" i="2"/>
  <c r="AS1111" i="2"/>
  <c r="AS1093" i="2"/>
  <c r="AS1094" i="2"/>
  <c r="AS1096" i="2" s="1"/>
  <c r="AS1084" i="2"/>
  <c r="AS1086" i="2" s="1"/>
  <c r="AT1087" i="2" s="1"/>
  <c r="AS1114" i="2" l="1"/>
  <c r="AS1122" i="2"/>
  <c r="AS1113" i="2"/>
  <c r="AU1120" i="2"/>
  <c r="AS1104" i="2"/>
  <c r="AS1106" i="2" s="1"/>
  <c r="AS1105" i="2"/>
  <c r="AS1107" i="2" s="1"/>
  <c r="AS1095" i="2"/>
  <c r="AS1097" i="2" s="1"/>
  <c r="AT1098" i="2" s="1"/>
  <c r="AS1108" i="2" l="1"/>
  <c r="AT1109" i="2" s="1"/>
  <c r="AS1124" i="2"/>
  <c r="AS1125" i="2"/>
  <c r="AS1133" i="2"/>
  <c r="AU1131" i="2"/>
  <c r="AS1115" i="2"/>
  <c r="AS1117" i="2" s="1"/>
  <c r="AS1116" i="2"/>
  <c r="AS1118" i="2" s="1"/>
  <c r="AS1119" i="2" l="1"/>
  <c r="AT1120" i="2" s="1"/>
  <c r="AS1126" i="2"/>
  <c r="AS1127" i="2"/>
  <c r="AS1129" i="2" s="1"/>
  <c r="AS1144" i="2"/>
  <c r="AS1135" i="2"/>
  <c r="AU1142" i="2"/>
  <c r="AS1136" i="2"/>
  <c r="AS1137" i="2" l="1"/>
  <c r="AS1138" i="2"/>
  <c r="AS1140" i="2" s="1"/>
  <c r="AS1128" i="2"/>
  <c r="AS1130" i="2" s="1"/>
  <c r="AT1131" i="2" s="1"/>
  <c r="AS1146" i="2"/>
  <c r="AU1153" i="2"/>
  <c r="AS1147" i="2"/>
  <c r="AS1155" i="2"/>
  <c r="AS1158" i="2" l="1"/>
  <c r="AS1166" i="2"/>
  <c r="AS1157" i="2"/>
  <c r="AU1164" i="2"/>
  <c r="AS1148" i="2"/>
  <c r="AS1150" i="2" s="1"/>
  <c r="AS1149" i="2"/>
  <c r="AS1151" i="2" s="1"/>
  <c r="AS1139" i="2"/>
  <c r="AS1141" i="2" s="1"/>
  <c r="AT1142" i="2" s="1"/>
  <c r="AS1152" i="2" l="1"/>
  <c r="AT1153" i="2" s="1"/>
  <c r="AU1175" i="2"/>
  <c r="AS1169" i="2"/>
  <c r="AS1177" i="2"/>
  <c r="AS1168" i="2"/>
  <c r="AS1159" i="2"/>
  <c r="AS1160" i="2"/>
  <c r="AS1162" i="2" s="1"/>
  <c r="AS1161" i="2" l="1"/>
  <c r="AS1163" i="2" s="1"/>
  <c r="AT1164" i="2" s="1"/>
  <c r="AS1180" i="2"/>
  <c r="AS1188" i="2"/>
  <c r="AS1179" i="2"/>
  <c r="AU1186" i="2"/>
  <c r="AS1170" i="2"/>
  <c r="AS1171" i="2"/>
  <c r="AS1173" i="2" s="1"/>
  <c r="AS1181" i="2" l="1"/>
  <c r="AS1182" i="2"/>
  <c r="AS1184" i="2" s="1"/>
  <c r="AS1172" i="2"/>
  <c r="AS1174" i="2" s="1"/>
  <c r="AT1175" i="2" s="1"/>
  <c r="AS1190" i="2"/>
  <c r="AU1197" i="2"/>
  <c r="AS1191" i="2"/>
  <c r="AS1199" i="2"/>
  <c r="AS1202" i="2" l="1"/>
  <c r="AS1210" i="2"/>
  <c r="AS1201" i="2"/>
  <c r="AU1208" i="2"/>
  <c r="AS1192" i="2"/>
  <c r="AS1194" i="2" s="1"/>
  <c r="AS1193" i="2"/>
  <c r="AS1195" i="2" s="1"/>
  <c r="AS1183" i="2"/>
  <c r="AS1185" i="2" s="1"/>
  <c r="AT1186" i="2" s="1"/>
  <c r="AS1196" i="2" l="1"/>
  <c r="AT1197" i="2" s="1"/>
  <c r="AS1213" i="2"/>
  <c r="AS1221" i="2"/>
  <c r="AU1219" i="2"/>
  <c r="AS1212" i="2"/>
  <c r="AS1203" i="2"/>
  <c r="AS1205" i="2" s="1"/>
  <c r="AS1204" i="2"/>
  <c r="AS1206" i="2" s="1"/>
  <c r="AS1207" i="2" l="1"/>
  <c r="AT1208" i="2" s="1"/>
  <c r="AU1230" i="2"/>
  <c r="AS1224" i="2"/>
  <c r="AS1232" i="2"/>
  <c r="AS1223" i="2"/>
  <c r="AS1214" i="2"/>
  <c r="AS1215" i="2"/>
  <c r="AS1217" i="2" s="1"/>
  <c r="AS1216" i="2" l="1"/>
  <c r="AS1218" i="2" s="1"/>
  <c r="AT1219" i="2" s="1"/>
  <c r="AS1234" i="2"/>
  <c r="AU1241" i="2"/>
  <c r="AS1235" i="2"/>
  <c r="AS1243" i="2"/>
  <c r="AS1225" i="2"/>
  <c r="AS1226" i="2"/>
  <c r="AS1228" i="2" s="1"/>
  <c r="AS1246" i="2" l="1"/>
  <c r="AS1254" i="2"/>
  <c r="AS1245" i="2"/>
  <c r="AU1252" i="2"/>
  <c r="AS1236" i="2"/>
  <c r="AS1238" i="2" s="1"/>
  <c r="AS1237" i="2"/>
  <c r="AS1239" i="2" s="1"/>
  <c r="AS1227" i="2"/>
  <c r="AS1229" i="2" s="1"/>
  <c r="AT1230" i="2" s="1"/>
  <c r="AS1240" i="2" l="1"/>
  <c r="AT1241" i="2" s="1"/>
  <c r="AU1263" i="2"/>
  <c r="AS1257" i="2"/>
  <c r="AS1265" i="2"/>
  <c r="AS1256" i="2"/>
  <c r="AS1247" i="2"/>
  <c r="AS1249" i="2" s="1"/>
  <c r="AS1248" i="2"/>
  <c r="AS1250" i="2" s="1"/>
  <c r="AS1251" i="2" l="1"/>
  <c r="AT1252" i="2" s="1"/>
  <c r="AS1258" i="2"/>
  <c r="AS1260" i="2" s="1"/>
  <c r="AS1259" i="2"/>
  <c r="AS1261" i="2" s="1"/>
  <c r="AS1268" i="2"/>
  <c r="AS1276" i="2"/>
  <c r="AS1267" i="2"/>
  <c r="AU1274" i="2"/>
  <c r="AS1262" i="2" l="1"/>
  <c r="AT1263" i="2" s="1"/>
  <c r="AS1287" i="2"/>
  <c r="AS1278" i="2"/>
  <c r="AU1285" i="2"/>
  <c r="AS1279" i="2"/>
  <c r="AS1269" i="2"/>
  <c r="AS1270" i="2"/>
  <c r="AS1272" i="2" s="1"/>
  <c r="AS1298" i="2" l="1"/>
  <c r="AS1290" i="2"/>
  <c r="AU1296" i="2"/>
  <c r="AS1289" i="2"/>
  <c r="AS1271" i="2"/>
  <c r="AS1273" i="2" s="1"/>
  <c r="AT1274" i="2" s="1"/>
  <c r="AS1280" i="2"/>
  <c r="AS1281" i="2"/>
  <c r="AS1283" i="2" s="1"/>
  <c r="AS1282" i="2" l="1"/>
  <c r="AS1284" i="2" s="1"/>
  <c r="AT1285" i="2" s="1"/>
  <c r="AS1291" i="2"/>
  <c r="AS1292" i="2"/>
  <c r="AS1294" i="2" s="1"/>
  <c r="AS1309" i="2"/>
  <c r="AS1301" i="2"/>
  <c r="AS1300" i="2"/>
  <c r="AU1307" i="2"/>
  <c r="AS1320" i="2" l="1"/>
  <c r="AU1318" i="2"/>
  <c r="AS1311" i="2"/>
  <c r="AS1312" i="2"/>
  <c r="AS1302" i="2"/>
  <c r="AS1303" i="2"/>
  <c r="AS1305" i="2" s="1"/>
  <c r="AS1293" i="2"/>
  <c r="AS1295" i="2" s="1"/>
  <c r="AT1296" i="2" s="1"/>
  <c r="AS1331" i="2" l="1"/>
  <c r="AS1323" i="2"/>
  <c r="AS1322" i="2"/>
  <c r="AU1329" i="2"/>
  <c r="AS1304" i="2"/>
  <c r="AS1306" i="2" s="1"/>
  <c r="AT1307" i="2" s="1"/>
  <c r="AS1313" i="2"/>
  <c r="AS1315" i="2" s="1"/>
  <c r="AS1314" i="2"/>
  <c r="AS1316" i="2" s="1"/>
  <c r="AS1317" i="2" l="1"/>
  <c r="AT1318" i="2" s="1"/>
  <c r="AU1340" i="2"/>
  <c r="AS1333" i="2"/>
  <c r="AS1342" i="2"/>
  <c r="AS1334" i="2"/>
  <c r="AS1324" i="2"/>
  <c r="AS1325" i="2"/>
  <c r="AS1327" i="2" s="1"/>
  <c r="AS1326" i="2" l="1"/>
  <c r="AS1328" i="2" s="1"/>
  <c r="AT1329" i="2" s="1"/>
  <c r="AS1335" i="2"/>
  <c r="AS1336" i="2"/>
  <c r="AS1338" i="2" s="1"/>
  <c r="AS1345" i="2"/>
  <c r="AS1353" i="2"/>
  <c r="AS1344" i="2"/>
  <c r="AU1351" i="2"/>
  <c r="AS1356" i="2" l="1"/>
  <c r="AS1355" i="2"/>
  <c r="AU1362" i="2"/>
  <c r="AS1364" i="2"/>
  <c r="AS1346" i="2"/>
  <c r="AS1348" i="2" s="1"/>
  <c r="AS1347" i="2"/>
  <c r="AS1349" i="2" s="1"/>
  <c r="AS1337" i="2"/>
  <c r="AS1339" i="2" s="1"/>
  <c r="AT1340" i="2" s="1"/>
  <c r="AS1350" i="2" l="1"/>
  <c r="AT1351" i="2" s="1"/>
  <c r="AS1367" i="2"/>
  <c r="AS1375" i="2"/>
  <c r="AS1366" i="2"/>
  <c r="AU1373" i="2"/>
  <c r="AS1357" i="2"/>
  <c r="AS1359" i="2" s="1"/>
  <c r="AS1358" i="2"/>
  <c r="AS1360" i="2" s="1"/>
  <c r="AS1361" i="2" l="1"/>
  <c r="AT1362" i="2" s="1"/>
  <c r="AS1378" i="2"/>
  <c r="AS1386" i="2"/>
  <c r="AS1377" i="2"/>
  <c r="AU1384" i="2"/>
  <c r="AS1368" i="2"/>
  <c r="AS1370" i="2" s="1"/>
  <c r="AS1369" i="2"/>
  <c r="AS1371" i="2" s="1"/>
  <c r="AS1372" i="2" l="1"/>
  <c r="AT1373" i="2" s="1"/>
  <c r="AS1389" i="2"/>
  <c r="AS1388" i="2"/>
  <c r="AU1395" i="2"/>
  <c r="AS1397" i="2"/>
  <c r="AS1379" i="2"/>
  <c r="AS1381" i="2" s="1"/>
  <c r="AS1380" i="2"/>
  <c r="AS1382" i="2" s="1"/>
  <c r="AS1383" i="2" l="1"/>
  <c r="AT1384" i="2" s="1"/>
  <c r="AS1400" i="2"/>
  <c r="AU1406" i="2"/>
  <c r="AS1408" i="2"/>
  <c r="AS1399" i="2"/>
  <c r="AS1390" i="2"/>
  <c r="AS1391" i="2"/>
  <c r="AS1393" i="2" s="1"/>
  <c r="AS1401" i="2" l="1"/>
  <c r="AS1402" i="2"/>
  <c r="AS1404" i="2" s="1"/>
  <c r="AS1392" i="2"/>
  <c r="AS1394" i="2" s="1"/>
  <c r="AT1395" i="2" s="1"/>
  <c r="AS1410" i="2"/>
  <c r="AU1417" i="2"/>
  <c r="AS1419" i="2"/>
  <c r="AS1411" i="2"/>
  <c r="AS1412" i="2" l="1"/>
  <c r="AS1413" i="2"/>
  <c r="AS1415" i="2" s="1"/>
  <c r="AS1403" i="2"/>
  <c r="AS1405" i="2" s="1"/>
  <c r="AT1406" i="2" s="1"/>
  <c r="AS1430" i="2"/>
  <c r="AS1421" i="2"/>
  <c r="AS1422" i="2"/>
  <c r="AU1428" i="2"/>
  <c r="AS1432" i="2" l="1"/>
  <c r="AU1439" i="2"/>
  <c r="AS1433" i="2"/>
  <c r="AS1441" i="2"/>
  <c r="AS1414" i="2"/>
  <c r="AS1416" i="2" s="1"/>
  <c r="AT1417" i="2" s="1"/>
  <c r="AS1423" i="2"/>
  <c r="AS1424" i="2"/>
  <c r="AS1426" i="2" s="1"/>
  <c r="AS1425" i="2" l="1"/>
  <c r="AS1427" i="2" s="1"/>
  <c r="AT1428" i="2" s="1"/>
  <c r="AS1444" i="2"/>
  <c r="AS1443" i="2"/>
  <c r="AU1450" i="2"/>
  <c r="AS1452" i="2"/>
  <c r="AS1434" i="2"/>
  <c r="AS1435" i="2"/>
  <c r="AS1437" i="2" s="1"/>
  <c r="AS1436" i="2" l="1"/>
  <c r="AS1438" i="2" s="1"/>
  <c r="AT1439" i="2" s="1"/>
  <c r="AS1445" i="2"/>
  <c r="AS1446" i="2"/>
  <c r="AS1448" i="2" s="1"/>
  <c r="AS1454" i="2"/>
  <c r="AU1461" i="2"/>
  <c r="AS1455" i="2"/>
  <c r="AS1463" i="2"/>
  <c r="AS1474" i="2" l="1"/>
  <c r="AS1465" i="2"/>
  <c r="AS1466" i="2"/>
  <c r="AU1472" i="2"/>
  <c r="AS1456" i="2"/>
  <c r="AS1457" i="2"/>
  <c r="AS1459" i="2" s="1"/>
  <c r="AS1447" i="2"/>
  <c r="AS1449" i="2" s="1"/>
  <c r="AT1450" i="2" s="1"/>
  <c r="AS1485" i="2" l="1"/>
  <c r="AS1477" i="2"/>
  <c r="AS1476" i="2"/>
  <c r="AU1483" i="2"/>
  <c r="AS1458" i="2"/>
  <c r="AS1460" i="2" s="1"/>
  <c r="AT1461" i="2" s="1"/>
  <c r="AS1467" i="2"/>
  <c r="AS1468" i="2"/>
  <c r="AS1470" i="2" s="1"/>
  <c r="AS1469" i="2" l="1"/>
  <c r="AS1471" i="2" s="1"/>
  <c r="AT1472" i="2" s="1"/>
  <c r="AS1496" i="2"/>
  <c r="AS1488" i="2"/>
  <c r="AU1494" i="2"/>
  <c r="AS1487" i="2"/>
  <c r="AS1478" i="2"/>
  <c r="AS1479" i="2"/>
  <c r="AS1481" i="2" s="1"/>
  <c r="AS1480" i="2" l="1"/>
  <c r="AS1482" i="2" s="1"/>
  <c r="AT1483" i="2" s="1"/>
  <c r="AS1489" i="2"/>
  <c r="AS1490" i="2"/>
  <c r="AS1492" i="2" s="1"/>
  <c r="AS1507" i="2"/>
  <c r="AS1498" i="2"/>
  <c r="AS1499" i="2"/>
  <c r="AU1505" i="2"/>
  <c r="AS1509" i="2" l="1"/>
  <c r="AS1518" i="2"/>
  <c r="AS1510" i="2"/>
  <c r="AU1516" i="2"/>
  <c r="AS1500" i="2"/>
  <c r="AS1501" i="2"/>
  <c r="AS1503" i="2" s="1"/>
  <c r="AS1491" i="2"/>
  <c r="AS1493" i="2" s="1"/>
  <c r="AT1494" i="2" s="1"/>
  <c r="AS1511" i="2" l="1"/>
  <c r="AS1512" i="2"/>
  <c r="AS1514" i="2" s="1"/>
  <c r="AS1502" i="2"/>
  <c r="AS1504" i="2" s="1"/>
  <c r="AT1505" i="2" s="1"/>
  <c r="AS1521" i="2"/>
  <c r="AU1527" i="2"/>
  <c r="AS1529" i="2"/>
  <c r="AS1520" i="2"/>
  <c r="AS1522" i="2" l="1"/>
  <c r="AS1523" i="2"/>
  <c r="AS1525" i="2" s="1"/>
  <c r="AS1513" i="2"/>
  <c r="AS1515" i="2" s="1"/>
  <c r="AT1516" i="2" s="1"/>
  <c r="AS1532" i="2"/>
  <c r="AU1538" i="2"/>
  <c r="AS1531" i="2"/>
  <c r="AS1540" i="2"/>
  <c r="AS1543" i="2" l="1"/>
  <c r="AS1551" i="2"/>
  <c r="AS1542" i="2"/>
  <c r="AU1549" i="2"/>
  <c r="AS1524" i="2"/>
  <c r="AS1526" i="2" s="1"/>
  <c r="AT1527" i="2" s="1"/>
  <c r="AS1533" i="2"/>
  <c r="AS1534" i="2"/>
  <c r="AS1536" i="2" s="1"/>
  <c r="AS1535" i="2" l="1"/>
  <c r="AS1537" i="2" s="1"/>
  <c r="AT1538" i="2" s="1"/>
  <c r="AU1560" i="2"/>
  <c r="AS1554" i="2"/>
  <c r="AS1562" i="2"/>
  <c r="AS1553" i="2"/>
  <c r="AS1544" i="2"/>
  <c r="AS1545" i="2"/>
  <c r="AS1547" i="2" s="1"/>
  <c r="AS1546" i="2" l="1"/>
  <c r="AS1548" i="2" s="1"/>
  <c r="AT1549" i="2" s="1"/>
  <c r="AS1564" i="2"/>
  <c r="AU1571" i="2"/>
  <c r="AS1573" i="2"/>
  <c r="AS1565" i="2"/>
  <c r="AS1555" i="2"/>
  <c r="AS1556" i="2"/>
  <c r="AS1558" i="2" s="1"/>
  <c r="AS1557" i="2" l="1"/>
  <c r="AS1559" i="2" s="1"/>
  <c r="AT1560" i="2" s="1"/>
  <c r="AU1582" i="2"/>
  <c r="AS1584" i="2"/>
  <c r="AS1575" i="2"/>
  <c r="AS1576" i="2"/>
  <c r="AS1566" i="2"/>
  <c r="AS1567" i="2"/>
  <c r="AS1569" i="2" s="1"/>
  <c r="AS1568" i="2" l="1"/>
  <c r="AS1570" i="2" s="1"/>
  <c r="AT1571" i="2" s="1"/>
  <c r="AS1595" i="2"/>
  <c r="AS1587" i="2"/>
  <c r="AS1586" i="2"/>
  <c r="AU1593" i="2"/>
  <c r="AS1577" i="2"/>
  <c r="AS1578" i="2"/>
  <c r="AS1580" i="2" s="1"/>
  <c r="AS1579" i="2" l="1"/>
  <c r="AS1581" i="2" s="1"/>
  <c r="AT1582" i="2" s="1"/>
  <c r="AS1588" i="2"/>
  <c r="AS1589" i="2"/>
  <c r="AS1591" i="2" s="1"/>
  <c r="AS1606" i="2"/>
  <c r="AS1597" i="2"/>
  <c r="AS1598" i="2"/>
  <c r="AU1604" i="2"/>
  <c r="AS1609" i="2" l="1"/>
  <c r="AS1617" i="2"/>
  <c r="AS1608" i="2"/>
  <c r="AU1615" i="2"/>
  <c r="AS1599" i="2"/>
  <c r="AS1600" i="2"/>
  <c r="AS1602" i="2" s="1"/>
  <c r="AS1590" i="2"/>
  <c r="AS1592" i="2" s="1"/>
  <c r="AT1593" i="2" s="1"/>
  <c r="AS1601" i="2" l="1"/>
  <c r="AS1603" i="2" s="1"/>
  <c r="AT1604" i="2" s="1"/>
  <c r="AS1620" i="2"/>
  <c r="AS1619" i="2"/>
  <c r="AU1626" i="2"/>
  <c r="AS1628" i="2"/>
  <c r="AS1610" i="2"/>
  <c r="AS1611" i="2"/>
  <c r="AS1613" i="2" s="1"/>
  <c r="AS1612" i="2" l="1"/>
  <c r="AS1614" i="2" s="1"/>
  <c r="AT1615" i="2" s="1"/>
  <c r="AS1621" i="2"/>
  <c r="AS1622" i="2"/>
  <c r="AS1624" i="2" s="1"/>
  <c r="AS1630" i="2"/>
  <c r="AU1637" i="2"/>
  <c r="AS1631" i="2"/>
  <c r="AS1639" i="2"/>
  <c r="AS1650" i="2" l="1"/>
  <c r="AS1641" i="2"/>
  <c r="AS1642" i="2"/>
  <c r="AU1648" i="2"/>
  <c r="AS1632" i="2"/>
  <c r="AS1633" i="2"/>
  <c r="AS1635" i="2" s="1"/>
  <c r="AS1623" i="2"/>
  <c r="AS1625" i="2" s="1"/>
  <c r="AT1626" i="2" s="1"/>
  <c r="AS1652" i="2" l="1"/>
  <c r="AU1659" i="2"/>
  <c r="AS1661" i="2"/>
  <c r="AS1653" i="2"/>
  <c r="AS1634" i="2"/>
  <c r="AS1636" i="2" s="1"/>
  <c r="AT1637" i="2" s="1"/>
  <c r="AS1643" i="2"/>
  <c r="AS1644" i="2"/>
  <c r="AS1646" i="2" s="1"/>
  <c r="AS1645" i="2" l="1"/>
  <c r="AS1647" i="2" s="1"/>
  <c r="AT1648" i="2" s="1"/>
  <c r="AS1654" i="2"/>
  <c r="AS1655" i="2"/>
  <c r="AS1657" i="2" s="1"/>
  <c r="AS1672" i="2"/>
  <c r="AU1670" i="2"/>
  <c r="AS1663" i="2"/>
  <c r="AS1664" i="2"/>
  <c r="AS1674" i="2" l="1"/>
  <c r="AU1681" i="2"/>
  <c r="AS1683" i="2"/>
  <c r="AS1675" i="2"/>
  <c r="AS1665" i="2"/>
  <c r="AS1666" i="2"/>
  <c r="AS1668" i="2" s="1"/>
  <c r="AS1656" i="2"/>
  <c r="AS1658" i="2" s="1"/>
  <c r="AT1659" i="2" s="1"/>
  <c r="AS1676" i="2" l="1"/>
  <c r="AS1677" i="2"/>
  <c r="AS1679" i="2" s="1"/>
  <c r="AS1667" i="2"/>
  <c r="AS1669" i="2" s="1"/>
  <c r="AT1670" i="2" s="1"/>
  <c r="AS1686" i="2"/>
  <c r="AS1685" i="2"/>
  <c r="AS1694" i="2"/>
  <c r="AU1692" i="2"/>
  <c r="AS1678" i="2" l="1"/>
  <c r="AS1680" i="2" s="1"/>
  <c r="AT1681" i="2" s="1"/>
  <c r="AS1687" i="2"/>
  <c r="AS1688" i="2"/>
  <c r="AS1690" i="2" s="1"/>
  <c r="AS1696" i="2"/>
  <c r="AS1697" i="2"/>
  <c r="AU1703" i="2"/>
  <c r="AS1705" i="2"/>
  <c r="AS1708" i="2" l="1"/>
  <c r="AS1716" i="2"/>
  <c r="AS1707" i="2"/>
  <c r="AU1714" i="2"/>
  <c r="AS1698" i="2"/>
  <c r="AS1699" i="2"/>
  <c r="AS1701" i="2" s="1"/>
  <c r="AS1689" i="2"/>
  <c r="AS1691" i="2" s="1"/>
  <c r="AT1692" i="2" s="1"/>
  <c r="AS1700" i="2" l="1"/>
  <c r="AS1702" i="2" s="1"/>
  <c r="AT1703" i="2" s="1"/>
  <c r="AS1718" i="2"/>
  <c r="AU1725" i="2"/>
  <c r="AS1719" i="2"/>
  <c r="AS1727" i="2"/>
  <c r="AS1709" i="2"/>
  <c r="AS1710" i="2"/>
  <c r="AS1712" i="2" s="1"/>
  <c r="AS1711" i="2" l="1"/>
  <c r="AS1713" i="2" s="1"/>
  <c r="AT1714" i="2" s="1"/>
  <c r="AS1729" i="2"/>
  <c r="AU1736" i="2"/>
  <c r="AS1730" i="2"/>
  <c r="AS1738" i="2"/>
  <c r="AS1720" i="2"/>
  <c r="AS1722" i="2" s="1"/>
  <c r="AS1721" i="2"/>
  <c r="AS1723" i="2" s="1"/>
  <c r="AS1724" i="2" l="1"/>
  <c r="AT1725" i="2" s="1"/>
  <c r="AS1749" i="2"/>
  <c r="AS1740" i="2"/>
  <c r="AU1747" i="2"/>
  <c r="AS1741" i="2"/>
  <c r="AS1731" i="2"/>
  <c r="AS1732" i="2"/>
  <c r="AS1734" i="2" s="1"/>
  <c r="AS1751" i="2" l="1"/>
  <c r="AU1758" i="2"/>
  <c r="AS1760" i="2"/>
  <c r="AS1752" i="2"/>
  <c r="AS1733" i="2"/>
  <c r="AS1735" i="2" s="1"/>
  <c r="AT1736" i="2" s="1"/>
  <c r="AS1742" i="2"/>
  <c r="AS1743" i="2"/>
  <c r="AS1745" i="2" s="1"/>
  <c r="AS1744" i="2" l="1"/>
  <c r="AS1746" i="2" s="1"/>
  <c r="AT1747" i="2" s="1"/>
  <c r="AS1753" i="2"/>
  <c r="AS1754" i="2"/>
  <c r="AS1756" i="2" s="1"/>
  <c r="AS1763" i="2"/>
  <c r="AS1771" i="2"/>
  <c r="AS1762" i="2"/>
  <c r="AU1769" i="2"/>
  <c r="AU1780" i="2" l="1"/>
  <c r="AS1773" i="2"/>
  <c r="AS1774" i="2"/>
  <c r="AS1782" i="2"/>
  <c r="AS1764" i="2"/>
  <c r="AS1765" i="2"/>
  <c r="AS1767" i="2" s="1"/>
  <c r="AS1755" i="2"/>
  <c r="AS1757" i="2" s="1"/>
  <c r="AT1758" i="2" s="1"/>
  <c r="AS1785" i="2" l="1"/>
  <c r="AS1793" i="2"/>
  <c r="AS1784" i="2"/>
  <c r="AU1791" i="2"/>
  <c r="AS1766" i="2"/>
  <c r="AS1768" i="2" s="1"/>
  <c r="AT1769" i="2" s="1"/>
  <c r="AS1775" i="2"/>
  <c r="AS1776" i="2"/>
  <c r="AS1778" i="2" s="1"/>
  <c r="AS1777" i="2" l="1"/>
  <c r="AS1779" i="2" s="1"/>
  <c r="AT1780" i="2" s="1"/>
  <c r="AS1796" i="2"/>
  <c r="AS1804" i="2"/>
  <c r="AS1795" i="2"/>
  <c r="AU1802" i="2"/>
  <c r="AS1786" i="2"/>
  <c r="AS1788" i="2" s="1"/>
  <c r="AS1787" i="2"/>
  <c r="AS1789" i="2" s="1"/>
  <c r="AS1790" i="2" l="1"/>
  <c r="AT1791" i="2" s="1"/>
  <c r="AS1815" i="2"/>
  <c r="AS1806" i="2"/>
  <c r="AU1813" i="2"/>
  <c r="AS1807" i="2"/>
  <c r="AS1797" i="2"/>
  <c r="AS1798" i="2"/>
  <c r="AS1800" i="2" s="1"/>
  <c r="AS1818" i="2" l="1"/>
  <c r="AU1824" i="2"/>
  <c r="AS1817" i="2"/>
  <c r="AS1826" i="2"/>
  <c r="AS1799" i="2"/>
  <c r="AS1801" i="2" s="1"/>
  <c r="AT1802" i="2" s="1"/>
  <c r="AS1808" i="2"/>
  <c r="AS1809" i="2"/>
  <c r="AS1811" i="2" s="1"/>
  <c r="AS1810" i="2" l="1"/>
  <c r="AS1812" i="2" s="1"/>
  <c r="AT1813" i="2" s="1"/>
  <c r="AS1828" i="2"/>
  <c r="AU1835" i="2"/>
  <c r="AS1829" i="2"/>
  <c r="AS1837" i="2"/>
  <c r="AS1819" i="2"/>
  <c r="AS1820" i="2"/>
  <c r="AS1822" i="2" s="1"/>
  <c r="AS1821" i="2" l="1"/>
  <c r="AS1823" i="2" s="1"/>
  <c r="AT1824" i="2" s="1"/>
  <c r="AS1848" i="2"/>
  <c r="AS1840" i="2"/>
  <c r="AS1839" i="2"/>
  <c r="AU1846" i="2"/>
  <c r="AS1830" i="2"/>
  <c r="AS1832" i="2" s="1"/>
  <c r="AS1831" i="2"/>
  <c r="AS1833" i="2" s="1"/>
  <c r="AS1841" i="2" l="1"/>
  <c r="AS1843" i="2" s="1"/>
  <c r="AS1842" i="2"/>
  <c r="AS1844" i="2" s="1"/>
  <c r="AU1857" i="2"/>
  <c r="AS1851" i="2"/>
  <c r="AS1859" i="2"/>
  <c r="AS1850" i="2"/>
  <c r="AS1834" i="2"/>
  <c r="AT1835" i="2" s="1"/>
  <c r="AS1845" i="2" l="1"/>
  <c r="AT1846" i="2" s="1"/>
  <c r="AS1861" i="2"/>
  <c r="AU1868" i="2"/>
  <c r="AS1862" i="2"/>
  <c r="AS1870" i="2"/>
  <c r="AS1852" i="2"/>
  <c r="AS1853" i="2"/>
  <c r="AS1855" i="2" s="1"/>
  <c r="AU1879" i="2" l="1"/>
  <c r="AS1873" i="2"/>
  <c r="AS1881" i="2"/>
  <c r="AS1872" i="2"/>
  <c r="AS1863" i="2"/>
  <c r="AS1864" i="2"/>
  <c r="AS1866" i="2" s="1"/>
  <c r="AS1854" i="2"/>
  <c r="AS1856" i="2" s="1"/>
  <c r="AT1857" i="2" s="1"/>
  <c r="AS1874" i="2" l="1"/>
  <c r="AS1875" i="2"/>
  <c r="AS1877" i="2" s="1"/>
  <c r="AS1865" i="2"/>
  <c r="AS1867" i="2" s="1"/>
  <c r="AT1868" i="2" s="1"/>
  <c r="AS1884" i="2"/>
  <c r="AS1892" i="2"/>
  <c r="AS1883" i="2"/>
  <c r="AU1890" i="2"/>
  <c r="AS1876" i="2" l="1"/>
  <c r="AS1878" i="2" s="1"/>
  <c r="AT1879" i="2" s="1"/>
  <c r="AS1894" i="2"/>
  <c r="AU1901" i="2"/>
  <c r="AS1895" i="2"/>
  <c r="AS1903" i="2"/>
  <c r="AS1885" i="2"/>
  <c r="AS1886" i="2"/>
  <c r="AS1888" i="2" s="1"/>
  <c r="AS1887" i="2" l="1"/>
  <c r="AS1889" i="2" s="1"/>
  <c r="AT1890" i="2" s="1"/>
  <c r="AS1914" i="2"/>
  <c r="AS1905" i="2"/>
  <c r="AU1912" i="2"/>
  <c r="AS1906" i="2"/>
  <c r="AS1896" i="2"/>
  <c r="AS1897" i="2"/>
  <c r="AS1899" i="2" s="1"/>
  <c r="AS1898" i="2" l="1"/>
  <c r="AS1900" i="2" s="1"/>
  <c r="AT1901" i="2" s="1"/>
  <c r="AS1907" i="2"/>
  <c r="AS1909" i="2" s="1"/>
  <c r="AS1908" i="2"/>
  <c r="AS1910" i="2" s="1"/>
  <c r="AS1917" i="2"/>
  <c r="AS1925" i="2"/>
  <c r="AS1916" i="2"/>
  <c r="AU1923" i="2"/>
  <c r="AU1934" i="2" l="1"/>
  <c r="AS1936" i="2"/>
  <c r="AS1928" i="2"/>
  <c r="AS1927" i="2"/>
  <c r="AS1918" i="2"/>
  <c r="AS1919" i="2"/>
  <c r="AS1921" i="2" s="1"/>
  <c r="AS1911" i="2"/>
  <c r="AT1912" i="2" s="1"/>
  <c r="AS1929" i="2" l="1"/>
  <c r="AS1931" i="2" s="1"/>
  <c r="AS1930" i="2"/>
  <c r="AS1932" i="2" s="1"/>
  <c r="AS1920" i="2"/>
  <c r="AS1922" i="2" s="1"/>
  <c r="AT1923" i="2" s="1"/>
  <c r="AS1939" i="2"/>
  <c r="AS1947" i="2"/>
  <c r="AS1938" i="2"/>
  <c r="AU1945" i="2"/>
  <c r="AS1933" i="2" l="1"/>
  <c r="AT1934" i="2" s="1"/>
  <c r="AS1958" i="2"/>
  <c r="AU1956" i="2"/>
  <c r="AS1949" i="2"/>
  <c r="AS1950" i="2"/>
  <c r="AS1940" i="2"/>
  <c r="AS1941" i="2"/>
  <c r="AS1943" i="2" s="1"/>
  <c r="AS1961" i="2" l="1"/>
  <c r="AS1969" i="2"/>
  <c r="AS1960" i="2"/>
  <c r="AU1967" i="2"/>
  <c r="AS1942" i="2"/>
  <c r="AS1944" i="2" s="1"/>
  <c r="AT1945" i="2" s="1"/>
  <c r="AS1951" i="2"/>
  <c r="AS1953" i="2" s="1"/>
  <c r="AS1952" i="2"/>
  <c r="AS1954" i="2" s="1"/>
  <c r="AS1955" i="2" l="1"/>
  <c r="AT1956" i="2" s="1"/>
  <c r="AU1978" i="2"/>
  <c r="AS1972" i="2"/>
  <c r="AS1980" i="2"/>
  <c r="AS1971" i="2"/>
  <c r="AS1962" i="2"/>
  <c r="AS1964" i="2" s="1"/>
  <c r="AS1963" i="2"/>
  <c r="AS1965" i="2" s="1"/>
  <c r="AS1966" i="2" l="1"/>
  <c r="AT1967" i="2" s="1"/>
  <c r="AS1973" i="2"/>
  <c r="AS1975" i="2" s="1"/>
  <c r="AS1974" i="2"/>
  <c r="AS1976" i="2" s="1"/>
  <c r="AS1982" i="2"/>
  <c r="AU1989" i="2"/>
  <c r="AS1983" i="2"/>
  <c r="AS1991" i="2"/>
  <c r="AS1977" i="2" l="1"/>
  <c r="AT1978" i="2" s="1"/>
  <c r="AU2000" i="2"/>
  <c r="AS1993" i="2"/>
  <c r="AS1994" i="2"/>
  <c r="AS2002" i="2"/>
  <c r="AS1984" i="2"/>
  <c r="AS1986" i="2" s="1"/>
  <c r="AS1985" i="2"/>
  <c r="AS1987" i="2" s="1"/>
  <c r="AS1988" i="2" l="1"/>
  <c r="AT1989" i="2" s="1"/>
  <c r="AS1995" i="2"/>
  <c r="AS1996" i="2"/>
  <c r="AS1998" i="2" s="1"/>
  <c r="AS2013" i="2"/>
  <c r="AS2004" i="2"/>
  <c r="AU2011" i="2"/>
  <c r="AS2005" i="2"/>
  <c r="AS1997" i="2" l="1"/>
  <c r="AS1999" i="2" s="1"/>
  <c r="AT2000" i="2" s="1"/>
  <c r="AS2024" i="2"/>
  <c r="AS2016" i="2"/>
  <c r="AS2015" i="2"/>
  <c r="AU2022" i="2"/>
  <c r="AS2006" i="2"/>
  <c r="AS2007" i="2"/>
  <c r="AS2009" i="2" s="1"/>
  <c r="AS2026" i="2" l="1"/>
  <c r="AU2033" i="2"/>
  <c r="AS2027" i="2"/>
  <c r="AS2035" i="2"/>
  <c r="AS2017" i="2"/>
  <c r="AS2018" i="2"/>
  <c r="AS2020" i="2" s="1"/>
  <c r="AS2008" i="2"/>
  <c r="AS2010" i="2" s="1"/>
  <c r="AT2011" i="2" s="1"/>
  <c r="AS2028" i="2" l="1"/>
  <c r="AS2030" i="2" s="1"/>
  <c r="AS2029" i="2"/>
  <c r="AS2031" i="2" s="1"/>
  <c r="AS2019" i="2"/>
  <c r="AS2021" i="2" s="1"/>
  <c r="AT2022" i="2" s="1"/>
  <c r="AS2046" i="2"/>
  <c r="AU2044" i="2"/>
  <c r="AS2037" i="2"/>
  <c r="AS2038" i="2"/>
  <c r="AS2032" i="2" l="1"/>
  <c r="AT2033" i="2" s="1"/>
  <c r="AU2055" i="2"/>
  <c r="AS2049" i="2"/>
  <c r="AS2057" i="2"/>
  <c r="AS2048" i="2"/>
  <c r="AS2039" i="2"/>
  <c r="AS2041" i="2" s="1"/>
  <c r="AS2040" i="2"/>
  <c r="AS2042" i="2" s="1"/>
  <c r="AS2043" i="2" l="1"/>
  <c r="AT2044" i="2" s="1"/>
  <c r="AS2068" i="2"/>
  <c r="AS2059" i="2"/>
  <c r="AU2066" i="2"/>
  <c r="AS2060" i="2"/>
  <c r="AS2050" i="2"/>
  <c r="AS2052" i="2" s="1"/>
  <c r="AS2051" i="2"/>
  <c r="AS2053" i="2" s="1"/>
  <c r="AS2054" i="2" l="1"/>
  <c r="AT2055" i="2" s="1"/>
  <c r="AU2077" i="2"/>
  <c r="AS2071" i="2"/>
  <c r="AS2079" i="2"/>
  <c r="AS2070" i="2"/>
  <c r="AS2061" i="2"/>
  <c r="AS2063" i="2" s="1"/>
  <c r="AS2062" i="2"/>
  <c r="AS2064" i="2" s="1"/>
  <c r="AS2065" i="2" l="1"/>
  <c r="AT2066" i="2" s="1"/>
  <c r="AS2081" i="2"/>
  <c r="AS2082" i="2"/>
  <c r="AS2090" i="2"/>
  <c r="AU2088" i="2"/>
  <c r="AS2072" i="2"/>
  <c r="AS2074" i="2" s="1"/>
  <c r="AS2073" i="2"/>
  <c r="AS2075" i="2" s="1"/>
  <c r="AS2076" i="2" l="1"/>
  <c r="AT2077" i="2" s="1"/>
  <c r="AS2083" i="2"/>
  <c r="AS2084" i="2"/>
  <c r="AS2086" i="2" s="1"/>
  <c r="AS2092" i="2"/>
  <c r="AU2099" i="2"/>
  <c r="AS2093" i="2"/>
  <c r="AS2101" i="2"/>
  <c r="AS2085" i="2" l="1"/>
  <c r="AS2087" i="2" s="1"/>
  <c r="AT2088" i="2" s="1"/>
  <c r="AS2104" i="2"/>
  <c r="AS2103" i="2"/>
  <c r="AU2110" i="2"/>
  <c r="AS2112" i="2"/>
  <c r="AS2094" i="2"/>
  <c r="AS2096" i="2" s="1"/>
  <c r="AS2095" i="2"/>
  <c r="AS2097" i="2" s="1"/>
  <c r="AS2098" i="2" l="1"/>
  <c r="AT2099" i="2" s="1"/>
  <c r="AS2105" i="2"/>
  <c r="AS2107" i="2" s="1"/>
  <c r="AS2106" i="2"/>
  <c r="AS2108" i="2" s="1"/>
  <c r="AU2121" i="2"/>
  <c r="AS2115" i="2"/>
  <c r="AS2123" i="2"/>
  <c r="AS2114" i="2"/>
  <c r="AS2109" i="2" l="1"/>
  <c r="AT2110" i="2" s="1"/>
  <c r="AU2132" i="2"/>
  <c r="AS2126" i="2"/>
  <c r="AS2134" i="2"/>
  <c r="AS2125" i="2"/>
  <c r="AS2116" i="2"/>
  <c r="AS2118" i="2" s="1"/>
  <c r="AS2117" i="2"/>
  <c r="AS2119" i="2" s="1"/>
  <c r="AS2120" i="2" l="1"/>
  <c r="AT2121" i="2" s="1"/>
  <c r="AS2127" i="2"/>
  <c r="AS2129" i="2" s="1"/>
  <c r="AS2128" i="2"/>
  <c r="AS2130" i="2" s="1"/>
  <c r="AU2143" i="2"/>
  <c r="AS2137" i="2"/>
  <c r="AS2145" i="2"/>
  <c r="AS2136" i="2"/>
  <c r="AS2131" i="2" l="1"/>
  <c r="AT2132" i="2" s="1"/>
  <c r="AU2154" i="2"/>
  <c r="AS2148" i="2"/>
  <c r="AS2156" i="2"/>
  <c r="AS2147" i="2"/>
  <c r="AS2138" i="2"/>
  <c r="AS2139" i="2"/>
  <c r="AS2141" i="2" s="1"/>
  <c r="AS2140" i="2" l="1"/>
  <c r="AS2142" i="2" s="1"/>
  <c r="AT2143" i="2" s="1"/>
  <c r="AU2165" i="2"/>
  <c r="AS2159" i="2"/>
  <c r="AS2167" i="2"/>
  <c r="AS2158" i="2"/>
  <c r="AS2149" i="2"/>
  <c r="AS2151" i="2" s="1"/>
  <c r="AS2150" i="2"/>
  <c r="AS2152" i="2" s="1"/>
  <c r="AS2170" i="2" l="1"/>
  <c r="AS2178" i="2"/>
  <c r="AS2169" i="2"/>
  <c r="AU2176" i="2"/>
  <c r="AS2160" i="2"/>
  <c r="AS2161" i="2"/>
  <c r="AS2163" i="2" s="1"/>
  <c r="AS2153" i="2"/>
  <c r="AT2154" i="2" s="1"/>
  <c r="AS2162" i="2" l="1"/>
  <c r="AS2164" i="2" s="1"/>
  <c r="AT2165" i="2" s="1"/>
  <c r="AU2187" i="2"/>
  <c r="AS2181" i="2"/>
  <c r="AS2189" i="2"/>
  <c r="AS2180" i="2"/>
  <c r="AS2171" i="2"/>
  <c r="AS2172" i="2"/>
  <c r="AS2174" i="2" s="1"/>
  <c r="AU2198" i="2" l="1"/>
  <c r="AS2200" i="2"/>
  <c r="AS2192" i="2"/>
  <c r="AS2191" i="2"/>
  <c r="AS2182" i="2"/>
  <c r="AS2183" i="2"/>
  <c r="AS2185" i="2" s="1"/>
  <c r="AS2173" i="2"/>
  <c r="AS2175" i="2" s="1"/>
  <c r="AT2176" i="2" s="1"/>
  <c r="AS2184" i="2" l="1"/>
  <c r="AS2186" i="2" s="1"/>
  <c r="AT2187" i="2" s="1"/>
  <c r="AS2211" i="2"/>
  <c r="AS2202" i="2"/>
  <c r="AU2209" i="2"/>
  <c r="AS2203" i="2"/>
  <c r="AS2193" i="2"/>
  <c r="AS2194" i="2"/>
  <c r="AS2196" i="2" s="1"/>
  <c r="AS2222" i="2" l="1"/>
  <c r="AU2220" i="2"/>
  <c r="AS2213" i="2"/>
  <c r="AS2214" i="2"/>
  <c r="AS2195" i="2"/>
  <c r="AS2197" i="2" s="1"/>
  <c r="AT2198" i="2" s="1"/>
  <c r="AS2204" i="2"/>
  <c r="AS2206" i="2" s="1"/>
  <c r="AS2205" i="2"/>
  <c r="AS2207" i="2" s="1"/>
  <c r="AS2215" i="2" l="1"/>
  <c r="AS2216" i="2"/>
  <c r="AS2218" i="2" s="1"/>
  <c r="AS2224" i="2"/>
  <c r="AU2231" i="2"/>
  <c r="AS2225" i="2"/>
  <c r="AS2233" i="2"/>
  <c r="AS2208" i="2"/>
  <c r="AT2209" i="2" s="1"/>
  <c r="AS2217" i="2" l="1"/>
  <c r="AS2219" i="2" s="1"/>
  <c r="AT2220" i="2" s="1"/>
  <c r="AS2244" i="2"/>
  <c r="AS2235" i="2"/>
  <c r="AU2242" i="2"/>
  <c r="AS2236" i="2"/>
  <c r="AS2226" i="2"/>
  <c r="AS2227" i="2"/>
  <c r="AS2229" i="2" s="1"/>
  <c r="AU2253" i="2" l="1"/>
  <c r="AS2247" i="2"/>
  <c r="AS2255" i="2"/>
  <c r="AS2246" i="2"/>
  <c r="AS2228" i="2"/>
  <c r="AS2230" i="2" s="1"/>
  <c r="AT2231" i="2" s="1"/>
  <c r="AS2237" i="2"/>
  <c r="AS2238" i="2"/>
  <c r="AS2240" i="2" s="1"/>
  <c r="AS2239" i="2" l="1"/>
  <c r="AS2241" i="2" s="1"/>
  <c r="AT2242" i="2" s="1"/>
  <c r="AS2248" i="2"/>
  <c r="AS2249" i="2"/>
  <c r="AS2251" i="2" s="1"/>
  <c r="AS2257" i="2"/>
  <c r="AS2258" i="2"/>
  <c r="AS2266" i="2"/>
  <c r="AU2264" i="2"/>
  <c r="AS2259" i="2" l="1"/>
  <c r="AS2260" i="2"/>
  <c r="AS2262" i="2" s="1"/>
  <c r="AS2277" i="2"/>
  <c r="AS2268" i="2"/>
  <c r="AU2275" i="2"/>
  <c r="AS2269" i="2"/>
  <c r="AS2250" i="2"/>
  <c r="AS2252" i="2" s="1"/>
  <c r="AT2253" i="2" s="1"/>
  <c r="AS2270" i="2" l="1"/>
  <c r="AS2271" i="2"/>
  <c r="AS2273" i="2" s="1"/>
  <c r="AS2261" i="2"/>
  <c r="AS2263" i="2" s="1"/>
  <c r="AT2264" i="2" s="1"/>
  <c r="AU2286" i="2"/>
  <c r="AS2288" i="2"/>
  <c r="AS2280" i="2"/>
  <c r="AS2279" i="2"/>
  <c r="AS2272" i="2" l="1"/>
  <c r="AS2274" i="2" s="1"/>
  <c r="AT2275" i="2" s="1"/>
  <c r="AS2299" i="2"/>
  <c r="AS2290" i="2"/>
  <c r="AU2297" i="2"/>
  <c r="AS2291" i="2"/>
  <c r="AS2281" i="2"/>
  <c r="AS2282" i="2"/>
  <c r="AS2284" i="2" s="1"/>
  <c r="AS2310" i="2" l="1"/>
  <c r="AS2301" i="2"/>
  <c r="AU2308" i="2"/>
  <c r="AS2302" i="2"/>
  <c r="AS2283" i="2"/>
  <c r="AS2285" i="2" s="1"/>
  <c r="AT2286" i="2" s="1"/>
  <c r="AS2292" i="2"/>
  <c r="AS2294" i="2" s="1"/>
  <c r="AS2293" i="2"/>
  <c r="AS2295" i="2" s="1"/>
  <c r="AS2312" i="2" l="1"/>
  <c r="AU2319" i="2"/>
  <c r="AS2313" i="2"/>
  <c r="AS2321" i="2"/>
  <c r="AS2303" i="2"/>
  <c r="AS2304" i="2"/>
  <c r="AS2306" i="2" s="1"/>
  <c r="AS2296" i="2"/>
  <c r="AT2297" i="2" s="1"/>
  <c r="AS2314" i="2" l="1"/>
  <c r="AS2316" i="2" s="1"/>
  <c r="AS2315" i="2"/>
  <c r="AS2317" i="2" s="1"/>
  <c r="AS2305" i="2"/>
  <c r="AS2307" i="2" s="1"/>
  <c r="AT2308" i="2" s="1"/>
  <c r="AU2330" i="2"/>
  <c r="AS2324" i="2"/>
  <c r="AS2332" i="2"/>
  <c r="AS2323" i="2"/>
  <c r="AS2318" i="2" l="1"/>
  <c r="AT2319" i="2" s="1"/>
  <c r="AS2335" i="2"/>
  <c r="AS2343" i="2"/>
  <c r="AS2334" i="2"/>
  <c r="AU2341" i="2"/>
  <c r="AS2325" i="2"/>
  <c r="AS2326" i="2"/>
  <c r="AS2328" i="2" s="1"/>
  <c r="AS2327" i="2" l="1"/>
  <c r="AS2329" i="2" s="1"/>
  <c r="AT2330" i="2" s="1"/>
  <c r="AU2352" i="2"/>
  <c r="AS2346" i="2"/>
  <c r="AS2354" i="2"/>
  <c r="AS2345" i="2"/>
  <c r="AS2336" i="2"/>
  <c r="AS2337" i="2"/>
  <c r="AS2339" i="2" s="1"/>
  <c r="AS2338" i="2" l="1"/>
  <c r="AS2340" i="2" s="1"/>
  <c r="AT2341" i="2" s="1"/>
  <c r="AS2365" i="2"/>
  <c r="AS2356" i="2"/>
  <c r="AU2363" i="2"/>
  <c r="AS2357" i="2"/>
  <c r="AS2347" i="2"/>
  <c r="AS2348" i="2"/>
  <c r="AS2350" i="2" s="1"/>
  <c r="AS2349" i="2" l="1"/>
  <c r="AS2351" i="2" s="1"/>
  <c r="AT2352" i="2" s="1"/>
  <c r="AS2358" i="2"/>
  <c r="AS2360" i="2" s="1"/>
  <c r="AS2359" i="2"/>
  <c r="AS2361" i="2" s="1"/>
  <c r="AU2374" i="2"/>
  <c r="AS2376" i="2"/>
  <c r="AS2368" i="2"/>
  <c r="AS2367" i="2"/>
  <c r="AS2369" i="2" l="1"/>
  <c r="AS2371" i="2" s="1"/>
  <c r="AS2370" i="2"/>
  <c r="AS2372" i="2" s="1"/>
  <c r="AS2379" i="2"/>
  <c r="AS2387" i="2"/>
  <c r="AS2378" i="2"/>
  <c r="AU2385" i="2"/>
  <c r="AS2362" i="2"/>
  <c r="AT2363" i="2" s="1"/>
  <c r="AS2373" i="2" l="1"/>
  <c r="AT2374" i="2" s="1"/>
  <c r="AS2390" i="2"/>
  <c r="AS2398" i="2"/>
  <c r="AU2396" i="2"/>
  <c r="AS2389" i="2"/>
  <c r="AS2380" i="2"/>
  <c r="AS2381" i="2"/>
  <c r="AS2383" i="2" s="1"/>
  <c r="AS2382" i="2" l="1"/>
  <c r="AS2384" i="2" s="1"/>
  <c r="AT2385" i="2" s="1"/>
  <c r="AU2407" i="2"/>
  <c r="AS2401" i="2"/>
  <c r="AS2409" i="2"/>
  <c r="AS2400" i="2"/>
  <c r="AS2391" i="2"/>
  <c r="AS2392" i="2"/>
  <c r="AS2394" i="2" s="1"/>
  <c r="AU2418" i="2" l="1"/>
  <c r="AS2412" i="2"/>
  <c r="AS2420" i="2"/>
  <c r="AS2411" i="2"/>
  <c r="AS2402" i="2"/>
  <c r="AS2403" i="2"/>
  <c r="AS2405" i="2" s="1"/>
  <c r="AS2393" i="2"/>
  <c r="AS2395" i="2" s="1"/>
  <c r="AT2396" i="2" s="1"/>
  <c r="AS2404" i="2" l="1"/>
  <c r="AS2406" i="2" s="1"/>
  <c r="AT2407" i="2" s="1"/>
  <c r="AS2431" i="2"/>
  <c r="AS2422" i="2"/>
  <c r="AU2429" i="2"/>
  <c r="AS2423" i="2"/>
  <c r="AS2413" i="2"/>
  <c r="AS2414" i="2"/>
  <c r="AS2416" i="2" s="1"/>
  <c r="AS2433" i="2" l="1"/>
  <c r="AS2434" i="2"/>
  <c r="AS2442" i="2"/>
  <c r="AU2440" i="2"/>
  <c r="AS2415" i="2"/>
  <c r="AS2417" i="2" s="1"/>
  <c r="AT2418" i="2" s="1"/>
  <c r="AS2424" i="2"/>
  <c r="AS2426" i="2" s="1"/>
  <c r="AS2425" i="2"/>
  <c r="AS2427" i="2" s="1"/>
  <c r="AS2435" i="2" l="1"/>
  <c r="AS2436" i="2"/>
  <c r="AS2438" i="2" s="1"/>
  <c r="AS2445" i="2"/>
  <c r="AS2453" i="2"/>
  <c r="AS2444" i="2"/>
  <c r="AU2451" i="2"/>
  <c r="AS2428" i="2"/>
  <c r="AT2429" i="2" s="1"/>
  <c r="AS2446" i="2" l="1"/>
  <c r="AS2447" i="2"/>
  <c r="AS2449" i="2" s="1"/>
  <c r="AS2437" i="2"/>
  <c r="AS2439" i="2" s="1"/>
  <c r="AT2440" i="2" s="1"/>
  <c r="AS2456" i="2"/>
  <c r="AS2455" i="2"/>
  <c r="AU2462" i="2"/>
  <c r="AS2464" i="2"/>
  <c r="AS2448" i="2" l="1"/>
  <c r="AS2450" i="2" s="1"/>
  <c r="AT2451" i="2" s="1"/>
  <c r="AS2457" i="2"/>
  <c r="AS2458" i="2"/>
  <c r="AS2460" i="2" s="1"/>
  <c r="AU2473" i="2"/>
  <c r="AS2467" i="2"/>
  <c r="AS2475" i="2"/>
  <c r="AS2466" i="2"/>
  <c r="AU2484" i="2" l="1"/>
  <c r="AS2478" i="2"/>
  <c r="AS2486" i="2"/>
  <c r="AS2477" i="2"/>
  <c r="AS2459" i="2"/>
  <c r="AS2461" i="2" s="1"/>
  <c r="AT2462" i="2" s="1"/>
  <c r="AS2468" i="2"/>
  <c r="AS2469" i="2"/>
  <c r="AS2471" i="2" s="1"/>
  <c r="AU2495" i="2" l="1"/>
  <c r="AS2489" i="2"/>
  <c r="AS2497" i="2"/>
  <c r="AS2488" i="2"/>
  <c r="AS2470" i="2"/>
  <c r="AS2472" i="2" s="1"/>
  <c r="AT2473" i="2" s="1"/>
  <c r="AS2479" i="2"/>
  <c r="AS2481" i="2" s="1"/>
  <c r="AS2480" i="2"/>
  <c r="AS2482" i="2" s="1"/>
  <c r="AS2500" i="2" l="1"/>
  <c r="AS2508" i="2"/>
  <c r="AS2499" i="2"/>
  <c r="AU2506" i="2"/>
  <c r="AS2490" i="2"/>
  <c r="AS2492" i="2" s="1"/>
  <c r="AS2491" i="2"/>
  <c r="AS2493" i="2" s="1"/>
  <c r="AS2483" i="2"/>
  <c r="AT2484" i="2" s="1"/>
  <c r="AS2494" i="2" l="1"/>
  <c r="AT2495" i="2" s="1"/>
  <c r="AS2501" i="2"/>
  <c r="AS2503" i="2" s="1"/>
  <c r="AS2502" i="2"/>
  <c r="AS2504" i="2" s="1"/>
  <c r="AS2510" i="2"/>
  <c r="AU2517" i="2"/>
  <c r="AS2511" i="2"/>
  <c r="AS2519" i="2"/>
  <c r="AS2505" i="2" l="1"/>
  <c r="AT2506" i="2" s="1"/>
  <c r="AS2512" i="2"/>
  <c r="AS2514" i="2" s="1"/>
  <c r="AS2513" i="2"/>
  <c r="AS2515" i="2" s="1"/>
  <c r="AS2530" i="2"/>
  <c r="AS2521" i="2"/>
  <c r="AU2528" i="2"/>
  <c r="AS2522" i="2"/>
  <c r="AS2516" i="2" l="1"/>
  <c r="AT2517" i="2" s="1"/>
  <c r="AS2532" i="2"/>
  <c r="AU2539" i="2"/>
  <c r="AS2533" i="2"/>
  <c r="AS2541" i="2"/>
  <c r="AS2523" i="2"/>
  <c r="AS2524" i="2"/>
  <c r="AS2526" i="2" s="1"/>
  <c r="AS2534" i="2" l="1"/>
  <c r="AS2536" i="2" s="1"/>
  <c r="AS2535" i="2"/>
  <c r="AS2537" i="2" s="1"/>
  <c r="AS2525" i="2"/>
  <c r="AS2527" i="2" s="1"/>
  <c r="AT2528" i="2" s="1"/>
  <c r="AS2543" i="2"/>
  <c r="AU2550" i="2"/>
  <c r="AS2552" i="2"/>
  <c r="AS2544" i="2"/>
  <c r="AS2538" i="2" l="1"/>
  <c r="AT2539" i="2" s="1"/>
  <c r="AS2545" i="2"/>
  <c r="AS2546" i="2"/>
  <c r="AS2548" i="2" s="1"/>
  <c r="AS2554" i="2"/>
  <c r="AU2561" i="2"/>
  <c r="AS2555" i="2"/>
  <c r="AS2563" i="2"/>
  <c r="AS2547" i="2" l="1"/>
  <c r="AS2549" i="2" s="1"/>
  <c r="AT2550" i="2" s="1"/>
  <c r="AU2572" i="2"/>
  <c r="AS2565" i="2"/>
  <c r="AS2566" i="2"/>
  <c r="AS2574" i="2"/>
  <c r="AS2556" i="2"/>
  <c r="AS2558" i="2" s="1"/>
  <c r="AS2557" i="2"/>
  <c r="AS2559" i="2" s="1"/>
  <c r="AS2560" i="2" l="1"/>
  <c r="AT2561" i="2" s="1"/>
  <c r="AS2567" i="2"/>
  <c r="AS2569" i="2" s="1"/>
  <c r="AS2568" i="2"/>
  <c r="AS2570" i="2" s="1"/>
  <c r="AU2583" i="2"/>
  <c r="AS2577" i="2"/>
  <c r="AS2585" i="2"/>
  <c r="AS2576" i="2"/>
  <c r="AS2571" i="2" l="1"/>
  <c r="AT2572" i="2" s="1"/>
  <c r="AS2596" i="2"/>
  <c r="AS2587" i="2"/>
  <c r="AU2594" i="2"/>
  <c r="AS2588" i="2"/>
  <c r="AS2578" i="2"/>
  <c r="AS2580" i="2" s="1"/>
  <c r="AS2579" i="2"/>
  <c r="AS2581" i="2" s="1"/>
  <c r="AS2582" i="2" l="1"/>
  <c r="AT2583" i="2" s="1"/>
  <c r="AS2598" i="2"/>
  <c r="AU2605" i="2"/>
  <c r="AS2599" i="2"/>
  <c r="AS2607" i="2"/>
  <c r="AS2589" i="2"/>
  <c r="AS2590" i="2"/>
  <c r="AS2592" i="2" s="1"/>
  <c r="AS2600" i="2" l="1"/>
  <c r="AS2601" i="2"/>
  <c r="AS2603" i="2" s="1"/>
  <c r="AS2591" i="2"/>
  <c r="AS2593" i="2" s="1"/>
  <c r="AT2594" i="2" s="1"/>
  <c r="AU2616" i="2"/>
  <c r="AS2609" i="2"/>
  <c r="AS2610" i="2"/>
  <c r="AS2618" i="2"/>
  <c r="AS2620" i="2" l="1"/>
  <c r="AU2627" i="2"/>
  <c r="AS2621" i="2"/>
  <c r="AS2629" i="2"/>
  <c r="AS2602" i="2"/>
  <c r="AS2604" i="2" s="1"/>
  <c r="AT2605" i="2" s="1"/>
  <c r="AS2611" i="2"/>
  <c r="AS2612" i="2"/>
  <c r="AS2614" i="2" s="1"/>
  <c r="AS2613" i="2" l="1"/>
  <c r="AS2615" i="2" s="1"/>
  <c r="AT2616" i="2" s="1"/>
  <c r="AS2640" i="2"/>
  <c r="AS2632" i="2"/>
  <c r="AS2631" i="2"/>
  <c r="AU2638" i="2"/>
  <c r="AS2622" i="2"/>
  <c r="AS2623" i="2"/>
  <c r="AS2625" i="2" s="1"/>
  <c r="AS2624" i="2" l="1"/>
  <c r="AS2626" i="2" s="1"/>
  <c r="AT2627" i="2" s="1"/>
  <c r="AS2633" i="2"/>
  <c r="AS2634" i="2"/>
  <c r="AS2636" i="2" s="1"/>
  <c r="AU2649" i="2"/>
  <c r="AS2643" i="2"/>
  <c r="AS2651" i="2"/>
  <c r="AS2642" i="2"/>
  <c r="AS2644" i="2" l="1"/>
  <c r="AS2645" i="2"/>
  <c r="AS2647" i="2" s="1"/>
  <c r="AU2660" i="2"/>
  <c r="AS2654" i="2"/>
  <c r="AS2662" i="2"/>
  <c r="AS2653" i="2"/>
  <c r="AS2635" i="2"/>
  <c r="AS2637" i="2" s="1"/>
  <c r="AT2638" i="2" s="1"/>
  <c r="AS2665" i="2" l="1"/>
  <c r="AS2673" i="2"/>
  <c r="AS2664" i="2"/>
  <c r="AU2671" i="2"/>
  <c r="AS2646" i="2"/>
  <c r="AS2648" i="2" s="1"/>
  <c r="AT2649" i="2" s="1"/>
  <c r="AS2655" i="2"/>
  <c r="AS2656" i="2"/>
  <c r="AS2658" i="2" s="1"/>
  <c r="AS2657" i="2" l="1"/>
  <c r="AS2659" i="2" s="1"/>
  <c r="AT2660" i="2" s="1"/>
  <c r="AU2682" i="2"/>
  <c r="AS2676" i="2"/>
  <c r="AS2684" i="2"/>
  <c r="AS2675" i="2"/>
  <c r="AS2666" i="2"/>
  <c r="AS2667" i="2"/>
  <c r="AS2669" i="2" s="1"/>
  <c r="AS2668" i="2" l="1"/>
  <c r="AS2670" i="2" s="1"/>
  <c r="AT2671" i="2" s="1"/>
  <c r="AS2687" i="2"/>
  <c r="AS2695" i="2"/>
  <c r="AS2686" i="2"/>
  <c r="AU2693" i="2"/>
  <c r="AS2677" i="2"/>
  <c r="AS2678" i="2"/>
  <c r="AS2680" i="2" s="1"/>
  <c r="AS2679" i="2" l="1"/>
  <c r="AS2681" i="2" s="1"/>
  <c r="AT2682" i="2" s="1"/>
  <c r="AS2697" i="2"/>
  <c r="AS2698" i="2"/>
  <c r="AS2706" i="2"/>
  <c r="AU2704" i="2"/>
  <c r="AS2688" i="2"/>
  <c r="AS2690" i="2" s="1"/>
  <c r="AS2689" i="2"/>
  <c r="AS2691" i="2" s="1"/>
  <c r="AS2692" i="2" l="1"/>
  <c r="AT2693" i="2" s="1"/>
  <c r="AU2715" i="2"/>
  <c r="AS2717" i="2"/>
  <c r="AS2708" i="2"/>
  <c r="AS2709" i="2"/>
  <c r="AS2699" i="2"/>
  <c r="AS2700" i="2"/>
  <c r="AS2702" i="2" s="1"/>
  <c r="AS2701" i="2" l="1"/>
  <c r="AS2703" i="2" s="1"/>
  <c r="AT2704" i="2" s="1"/>
  <c r="AS2719" i="2"/>
  <c r="AU2726" i="2"/>
  <c r="AS2728" i="2"/>
  <c r="AS2720" i="2"/>
  <c r="AS2710" i="2"/>
  <c r="AS2712" i="2" s="1"/>
  <c r="AS2711" i="2"/>
  <c r="AS2713" i="2" s="1"/>
  <c r="AS2714" i="2" l="1"/>
  <c r="AT2715" i="2" s="1"/>
  <c r="AU2737" i="2"/>
  <c r="AS2739" i="2"/>
  <c r="AS2730" i="2"/>
  <c r="AS2731" i="2"/>
  <c r="AS2721" i="2"/>
  <c r="AS2722" i="2"/>
  <c r="AS2724" i="2" s="1"/>
  <c r="AS2723" i="2" l="1"/>
  <c r="AS2725" i="2" s="1"/>
  <c r="AT2726" i="2" s="1"/>
  <c r="AS2742" i="2"/>
  <c r="AS2750" i="2"/>
  <c r="AS2741" i="2"/>
  <c r="AU2748" i="2"/>
  <c r="AS2732" i="2"/>
  <c r="AS2734" i="2" s="1"/>
  <c r="AS2733" i="2"/>
  <c r="AS2735" i="2" s="1"/>
  <c r="AS2736" i="2" l="1"/>
  <c r="AT2737" i="2" s="1"/>
  <c r="AS2761" i="2"/>
  <c r="AS2752" i="2"/>
  <c r="AU2759" i="2"/>
  <c r="AS2753" i="2"/>
  <c r="AS2743" i="2"/>
  <c r="AS2744" i="2"/>
  <c r="AS2746" i="2" s="1"/>
  <c r="AS2764" i="2" l="1"/>
  <c r="AS2772" i="2"/>
  <c r="AS2763" i="2"/>
  <c r="AU2770" i="2"/>
  <c r="AS2745" i="2"/>
  <c r="AS2747" i="2" s="1"/>
  <c r="AT2748" i="2" s="1"/>
  <c r="AS2754" i="2"/>
  <c r="AS2755" i="2"/>
  <c r="AS2757" i="2" s="1"/>
  <c r="AS2756" i="2" l="1"/>
  <c r="AS2758" i="2" s="1"/>
  <c r="AT2759" i="2" s="1"/>
  <c r="AS2774" i="2"/>
  <c r="AU2781" i="2"/>
  <c r="AS2775" i="2"/>
  <c r="AS2783" i="2"/>
  <c r="AS2765" i="2"/>
  <c r="AS2766" i="2"/>
  <c r="AS2768" i="2" s="1"/>
  <c r="AS2767" i="2" l="1"/>
  <c r="AS2769" i="2" s="1"/>
  <c r="AT2770" i="2" s="1"/>
  <c r="AS2785" i="2"/>
  <c r="AU2792" i="2"/>
  <c r="AS2786" i="2"/>
  <c r="AS2794" i="2"/>
  <c r="AS2776" i="2"/>
  <c r="AS2778" i="2" s="1"/>
  <c r="AS2777" i="2"/>
  <c r="AS2779" i="2" s="1"/>
  <c r="AS2780" i="2" l="1"/>
  <c r="AT2781" i="2" s="1"/>
  <c r="AS2797" i="2"/>
  <c r="AS2805" i="2"/>
  <c r="AS2796" i="2"/>
  <c r="AU2803" i="2"/>
  <c r="AS2787" i="2"/>
  <c r="AS2788" i="2"/>
  <c r="AS2790" i="2" s="1"/>
  <c r="AS2789" i="2" l="1"/>
  <c r="AS2791" i="2" s="1"/>
  <c r="AT2792" i="2" s="1"/>
  <c r="AU2814" i="2"/>
  <c r="AS2816" i="2"/>
  <c r="AS2808" i="2"/>
  <c r="AS2807" i="2"/>
  <c r="AS2798" i="2"/>
  <c r="AS2799" i="2"/>
  <c r="AS2801" i="2" s="1"/>
  <c r="AS2800" i="2" l="1"/>
  <c r="AS2802" i="2" s="1"/>
  <c r="AT2803" i="2" s="1"/>
  <c r="AS2819" i="2"/>
  <c r="AS2827" i="2"/>
  <c r="AS2818" i="2"/>
  <c r="AU2825" i="2"/>
  <c r="AS2809" i="2"/>
  <c r="AS2810" i="2"/>
  <c r="AS2812" i="2" s="1"/>
  <c r="AS2811" i="2" l="1"/>
  <c r="AS2813" i="2" s="1"/>
  <c r="AT2814" i="2" s="1"/>
  <c r="AU2836" i="2"/>
  <c r="AS2829" i="2"/>
  <c r="AS2830" i="2"/>
  <c r="AS2838" i="2"/>
  <c r="AS2820" i="2"/>
  <c r="AS2821" i="2"/>
  <c r="AS2823" i="2" s="1"/>
  <c r="AS2822" i="2" l="1"/>
  <c r="AS2824" i="2" s="1"/>
  <c r="AT2825" i="2" s="1"/>
  <c r="AS2831" i="2"/>
  <c r="AS2832" i="2"/>
  <c r="AS2834" i="2" s="1"/>
  <c r="AS2841" i="2"/>
  <c r="AU2847" i="2"/>
  <c r="AS2849" i="2"/>
  <c r="AS2840" i="2"/>
  <c r="AS2842" i="2" l="1"/>
  <c r="AS2843" i="2"/>
  <c r="AS2845" i="2" s="1"/>
  <c r="AS2851" i="2"/>
  <c r="AU2858" i="2"/>
  <c r="AS2852" i="2"/>
  <c r="AS2860" i="2"/>
  <c r="AS2833" i="2"/>
  <c r="AS2835" i="2" s="1"/>
  <c r="AT2836" i="2" s="1"/>
  <c r="AS2844" i="2" l="1"/>
  <c r="AS2846" i="2" s="1"/>
  <c r="AT2847" i="2" s="1"/>
  <c r="AS2863" i="2"/>
  <c r="AS2871" i="2"/>
  <c r="AS2862" i="2"/>
  <c r="AU2869" i="2"/>
  <c r="AS2853" i="2"/>
  <c r="AS2854" i="2"/>
  <c r="AS2856" i="2" s="1"/>
  <c r="AS2855" i="2" l="1"/>
  <c r="AS2857" i="2" s="1"/>
  <c r="AT2858" i="2" s="1"/>
  <c r="AS2882" i="2"/>
  <c r="AU2880" i="2"/>
  <c r="AS2873" i="2"/>
  <c r="AS2874" i="2"/>
  <c r="AS2864" i="2"/>
  <c r="AS2865" i="2"/>
  <c r="AS2867" i="2" s="1"/>
  <c r="AS2866" i="2" l="1"/>
  <c r="AS2868" i="2" s="1"/>
  <c r="AT2869" i="2" s="1"/>
  <c r="AS2875" i="2"/>
  <c r="AS2876" i="2"/>
  <c r="AS2878" i="2" s="1"/>
  <c r="AS2884" i="2"/>
  <c r="AU2891" i="2"/>
  <c r="AS2885" i="2"/>
  <c r="AS2893" i="2"/>
  <c r="AS2904" i="2" l="1"/>
  <c r="AU2902" i="2"/>
  <c r="AS2896" i="2"/>
  <c r="AS2895" i="2"/>
  <c r="AS2886" i="2"/>
  <c r="AS2887" i="2"/>
  <c r="AS2889" i="2" s="1"/>
  <c r="AS2877" i="2"/>
  <c r="AS2879" i="2" s="1"/>
  <c r="AT2880" i="2" s="1"/>
  <c r="AS2897" i="2" l="1"/>
  <c r="AS2898" i="2"/>
  <c r="AS2900" i="2" s="1"/>
  <c r="AS2906" i="2"/>
  <c r="AU2913" i="2"/>
  <c r="AS2907" i="2"/>
  <c r="AS2915" i="2"/>
  <c r="AS2888" i="2"/>
  <c r="AS2890" i="2" s="1"/>
  <c r="AT2891" i="2" s="1"/>
  <c r="AS2899" i="2" l="1"/>
  <c r="AS2901" i="2" s="1"/>
  <c r="AT2902" i="2" s="1"/>
  <c r="AU2924" i="2"/>
  <c r="AS2926" i="2"/>
  <c r="AS2918" i="2"/>
  <c r="AS2917" i="2"/>
  <c r="AS2908" i="2"/>
  <c r="AS2909" i="2"/>
  <c r="AS2911" i="2" s="1"/>
  <c r="AS2910" i="2" l="1"/>
  <c r="AS2912" i="2" s="1"/>
  <c r="AT2913" i="2" s="1"/>
  <c r="AS2929" i="2"/>
  <c r="AS2937" i="2"/>
  <c r="AS2928" i="2"/>
  <c r="AU2935" i="2"/>
  <c r="AS2919" i="2"/>
  <c r="AS2920" i="2"/>
  <c r="AS2922" i="2" s="1"/>
  <c r="AS2921" i="2" l="1"/>
  <c r="AS2923" i="2" s="1"/>
  <c r="AT2924" i="2" s="1"/>
  <c r="AS2940" i="2"/>
  <c r="AS2948" i="2"/>
  <c r="AS2939" i="2"/>
  <c r="AU2946" i="2"/>
  <c r="AS2930" i="2"/>
  <c r="AS2932" i="2" s="1"/>
  <c r="AS2931" i="2"/>
  <c r="AS2933" i="2" s="1"/>
  <c r="AS2934" i="2" l="1"/>
  <c r="AT2935" i="2" s="1"/>
  <c r="AU2957" i="2"/>
  <c r="AS2950" i="2"/>
  <c r="AS2951" i="2"/>
  <c r="AS2959" i="2"/>
  <c r="AS2941" i="2"/>
  <c r="AS2942" i="2"/>
  <c r="AS2944" i="2" s="1"/>
  <c r="AS2970" i="2" l="1"/>
  <c r="AS2961" i="2"/>
  <c r="AS2962" i="2"/>
  <c r="AU2968" i="2"/>
  <c r="AS2943" i="2"/>
  <c r="AS2945" i="2" s="1"/>
  <c r="AT2946" i="2" s="1"/>
  <c r="AS2952" i="2"/>
  <c r="AS2953" i="2"/>
  <c r="AS2955" i="2" s="1"/>
  <c r="AS2954" i="2" l="1"/>
  <c r="AS2956" i="2" s="1"/>
  <c r="AT2957" i="2" s="1"/>
  <c r="AU2979" i="2"/>
  <c r="AS2972" i="2"/>
  <c r="AS2973" i="2"/>
  <c r="AS2981" i="2"/>
  <c r="AS2963" i="2"/>
  <c r="AS2964" i="2"/>
  <c r="AS2966" i="2" s="1"/>
  <c r="AS2965" i="2" l="1"/>
  <c r="AS2967" i="2" s="1"/>
  <c r="AT2968" i="2" s="1"/>
  <c r="AS2974" i="2"/>
  <c r="AS2975" i="2"/>
  <c r="AS2977" i="2" s="1"/>
  <c r="AS2992" i="2"/>
  <c r="AS2983" i="2"/>
  <c r="AS2984" i="2"/>
  <c r="AU2990" i="2"/>
  <c r="AS3003" i="2" l="1"/>
  <c r="AS2994" i="2"/>
  <c r="AU3001" i="2"/>
  <c r="AS2995" i="2"/>
  <c r="AS2985" i="2"/>
  <c r="AS2986" i="2"/>
  <c r="AS2988" i="2" s="1"/>
  <c r="AS2976" i="2"/>
  <c r="AS2978" i="2" s="1"/>
  <c r="AT2979" i="2" s="1"/>
  <c r="AU3012" i="2" l="1"/>
  <c r="AS3005" i="2"/>
  <c r="AS3014" i="2"/>
  <c r="AS3006" i="2"/>
  <c r="AS2987" i="2"/>
  <c r="AS2989" i="2" s="1"/>
  <c r="AT2990" i="2" s="1"/>
  <c r="AS2996" i="2"/>
  <c r="AS2998" i="2" s="1"/>
  <c r="AS2997" i="2"/>
  <c r="AS2999" i="2" s="1"/>
  <c r="AS3000" i="2" l="1"/>
  <c r="AT3001" i="2" s="1"/>
  <c r="AS3007" i="2"/>
  <c r="AS3008" i="2"/>
  <c r="AS3010" i="2" s="1"/>
  <c r="AS3017" i="2"/>
  <c r="AS3025" i="2"/>
  <c r="AS3016" i="2"/>
  <c r="AU3023" i="2"/>
  <c r="AS3036" i="2" l="1"/>
  <c r="AS3027" i="2"/>
  <c r="AU3034" i="2"/>
  <c r="AS3028" i="2"/>
  <c r="AS3018" i="2"/>
  <c r="AS3019" i="2"/>
  <c r="AS3021" i="2" s="1"/>
  <c r="AS3009" i="2"/>
  <c r="AS3011" i="2" s="1"/>
  <c r="AT3012" i="2" s="1"/>
  <c r="AU3045" i="2" l="1"/>
  <c r="AS3039" i="2"/>
  <c r="AS3047" i="2"/>
  <c r="AS3038" i="2"/>
  <c r="AS3020" i="2"/>
  <c r="AS3022" i="2" s="1"/>
  <c r="AT3023" i="2" s="1"/>
  <c r="AS3029" i="2"/>
  <c r="AS3031" i="2" s="1"/>
  <c r="AS3030" i="2"/>
  <c r="AS3032" i="2" s="1"/>
  <c r="AS3033" i="2" l="1"/>
  <c r="AT3034" i="2" s="1"/>
  <c r="AS3040" i="2"/>
  <c r="AS3042" i="2" s="1"/>
  <c r="AS3041" i="2"/>
  <c r="AS3043" i="2" s="1"/>
  <c r="AS3058" i="2"/>
  <c r="AS3049" i="2"/>
  <c r="AU3056" i="2"/>
  <c r="AS3050" i="2"/>
  <c r="AS3044" i="2" l="1"/>
  <c r="AT3045" i="2" s="1"/>
  <c r="AS3051" i="2"/>
  <c r="AS3053" i="2" s="1"/>
  <c r="AS3052" i="2"/>
  <c r="AS3054" i="2" s="1"/>
  <c r="AS3069" i="2"/>
  <c r="AS3060" i="2"/>
  <c r="AU3067" i="2"/>
  <c r="AS3061" i="2"/>
  <c r="AS3055" i="2" l="1"/>
  <c r="AT3056" i="2" s="1"/>
  <c r="AS3062" i="2"/>
  <c r="AS3063" i="2"/>
  <c r="AS3065" i="2" s="1"/>
  <c r="AS3072" i="2"/>
  <c r="AS3080" i="2"/>
  <c r="AS3071" i="2"/>
  <c r="AU3078" i="2"/>
  <c r="AS3082" i="2" l="1"/>
  <c r="AS3083" i="2"/>
  <c r="AS3091" i="2"/>
  <c r="AU3089" i="2"/>
  <c r="AS3073" i="2"/>
  <c r="AS3074" i="2"/>
  <c r="AS3076" i="2" s="1"/>
  <c r="AS3064" i="2"/>
  <c r="AS3066" i="2" s="1"/>
  <c r="AT3067" i="2" s="1"/>
  <c r="AS3084" i="2" l="1"/>
  <c r="AS3085" i="2"/>
  <c r="AS3087" i="2" s="1"/>
  <c r="AS3075" i="2"/>
  <c r="AS3077" i="2" s="1"/>
  <c r="AT3078" i="2" s="1"/>
  <c r="AU3100" i="2"/>
  <c r="AS3102" i="2"/>
  <c r="AS3094" i="2"/>
  <c r="AS3093" i="2"/>
  <c r="AS3095" i="2" l="1"/>
  <c r="AS3096" i="2"/>
  <c r="AS3098" i="2" s="1"/>
  <c r="AS3086" i="2"/>
  <c r="AS3088" i="2" s="1"/>
  <c r="AT3089" i="2" s="1"/>
  <c r="AU3111" i="2"/>
  <c r="AS3105" i="2"/>
  <c r="AS3113" i="2"/>
  <c r="AS3104" i="2"/>
  <c r="AS3106" i="2" l="1"/>
  <c r="AS3107" i="2"/>
  <c r="AS3109" i="2" s="1"/>
  <c r="AS3097" i="2"/>
  <c r="AS3099" i="2" s="1"/>
  <c r="AT3100" i="2" s="1"/>
  <c r="AU3122" i="2"/>
  <c r="AS3116" i="2"/>
  <c r="AS3124" i="2"/>
  <c r="AS3115" i="2"/>
  <c r="AS3117" i="2" l="1"/>
  <c r="AS3119" i="2" s="1"/>
  <c r="AS3118" i="2"/>
  <c r="AS3120" i="2" s="1"/>
  <c r="AS3108" i="2"/>
  <c r="AS3110" i="2" s="1"/>
  <c r="AT3111" i="2" s="1"/>
  <c r="AU3133" i="2"/>
  <c r="AS3127" i="2"/>
  <c r="AS3135" i="2"/>
  <c r="AS3126" i="2"/>
  <c r="AS3121" i="2" l="1"/>
  <c r="AT3122" i="2" s="1"/>
  <c r="AS3128" i="2"/>
  <c r="AS3130" i="2" s="1"/>
  <c r="AS3129" i="2"/>
  <c r="AS3131" i="2" s="1"/>
  <c r="AS3146" i="2"/>
  <c r="AS3137" i="2"/>
  <c r="AU3144" i="2"/>
  <c r="AS3138" i="2"/>
  <c r="AS3132" i="2" l="1"/>
  <c r="AT3133" i="2" s="1"/>
  <c r="AS3139" i="2"/>
  <c r="AS3140" i="2"/>
  <c r="AS3142" i="2" s="1"/>
  <c r="AS3149" i="2"/>
  <c r="AS3157" i="2"/>
  <c r="AS3148" i="2"/>
  <c r="AU3155" i="2"/>
  <c r="AS3168" i="2" l="1"/>
  <c r="AS3159" i="2"/>
  <c r="AU3166" i="2"/>
  <c r="AS3160" i="2"/>
  <c r="AS3150" i="2"/>
  <c r="AS3151" i="2"/>
  <c r="AS3153" i="2" s="1"/>
  <c r="AS3141" i="2"/>
  <c r="AS3143" i="2" s="1"/>
  <c r="AT3144" i="2" s="1"/>
  <c r="AS3170" i="2" l="1"/>
  <c r="AS3171" i="2"/>
  <c r="AS3179" i="2"/>
  <c r="AU3177" i="2"/>
  <c r="AS3152" i="2"/>
  <c r="AS3154" i="2" s="1"/>
  <c r="AT3155" i="2" s="1"/>
  <c r="AS3161" i="2"/>
  <c r="AS3162" i="2"/>
  <c r="AS3164" i="2" s="1"/>
  <c r="AS3163" i="2" l="1"/>
  <c r="AS3165" i="2" s="1"/>
  <c r="AT3166" i="2" s="1"/>
  <c r="AS3172" i="2"/>
  <c r="AS3173" i="2"/>
  <c r="AS3175" i="2" s="1"/>
  <c r="AU3188" i="2"/>
  <c r="AS3190" i="2"/>
  <c r="AS3182" i="2"/>
  <c r="AS3181" i="2"/>
  <c r="AS3183" i="2" l="1"/>
  <c r="AS3184" i="2"/>
  <c r="AS3186" i="2" s="1"/>
  <c r="AU3199" i="2"/>
  <c r="AS3193" i="2"/>
  <c r="AS3201" i="2"/>
  <c r="AS3192" i="2"/>
  <c r="AS3174" i="2"/>
  <c r="AS3176" i="2" s="1"/>
  <c r="AT3177" i="2" s="1"/>
  <c r="AU3210" i="2" l="1"/>
  <c r="AS3204" i="2"/>
  <c r="AS3212" i="2"/>
  <c r="AS3203" i="2"/>
  <c r="AS3185" i="2"/>
  <c r="AS3187" i="2" s="1"/>
  <c r="AT3188" i="2" s="1"/>
  <c r="AS3194" i="2"/>
  <c r="AS3195" i="2"/>
  <c r="AS3197" i="2" s="1"/>
  <c r="AS3196" i="2" l="1"/>
  <c r="AS3198" i="2" s="1"/>
  <c r="AT3199" i="2" s="1"/>
  <c r="AS3205" i="2"/>
  <c r="AS3206" i="2"/>
  <c r="AS3208" i="2" s="1"/>
  <c r="AU3221" i="2"/>
  <c r="AS3215" i="2"/>
  <c r="AS3223" i="2"/>
  <c r="AS3214" i="2"/>
  <c r="AS3216" i="2" l="1"/>
  <c r="AS3217" i="2"/>
  <c r="AS3219" i="2" s="1"/>
  <c r="AS3234" i="2"/>
  <c r="AS3225" i="2"/>
  <c r="AU3232" i="2"/>
  <c r="AS3226" i="2"/>
  <c r="AS3207" i="2"/>
  <c r="AS3209" i="2" s="1"/>
  <c r="AT3210" i="2" s="1"/>
  <c r="AS3227" i="2" l="1"/>
  <c r="AS3229" i="2" s="1"/>
  <c r="AS3228" i="2"/>
  <c r="AS3230" i="2" s="1"/>
  <c r="AS3218" i="2"/>
  <c r="AS3220" i="2" s="1"/>
  <c r="AT3221" i="2" s="1"/>
  <c r="AU3243" i="2"/>
  <c r="AS3237" i="2"/>
  <c r="AS3245" i="2"/>
  <c r="AS3236" i="2"/>
  <c r="AS3231" i="2" l="1"/>
  <c r="AT3232" i="2" s="1"/>
  <c r="AS3238" i="2"/>
  <c r="AS3239" i="2"/>
  <c r="AS3241" i="2" s="1"/>
  <c r="AS3256" i="2"/>
  <c r="AS3247" i="2"/>
  <c r="AU3254" i="2"/>
  <c r="AS3248" i="2"/>
  <c r="AS3249" i="2" l="1"/>
  <c r="AS3251" i="2" s="1"/>
  <c r="AS3250" i="2"/>
  <c r="AS3252" i="2" s="1"/>
  <c r="AS3240" i="2"/>
  <c r="AS3242" i="2" s="1"/>
  <c r="AT3243" i="2" s="1"/>
  <c r="AS3258" i="2"/>
  <c r="AS3259" i="2"/>
  <c r="AS3267" i="2"/>
  <c r="AU3265" i="2"/>
  <c r="AS3253" i="2" l="1"/>
  <c r="AT3254" i="2" s="1"/>
  <c r="AS3260" i="2"/>
  <c r="AS3261" i="2"/>
  <c r="AS3263" i="2" s="1"/>
  <c r="AU3276" i="2"/>
  <c r="AS3278" i="2"/>
  <c r="AS3270" i="2"/>
  <c r="AS3269" i="2"/>
  <c r="AU3287" i="2" l="1"/>
  <c r="AS3281" i="2"/>
  <c r="AS3289" i="2"/>
  <c r="AS3280" i="2"/>
  <c r="AS3262" i="2"/>
  <c r="AS3264" i="2" s="1"/>
  <c r="AT3265" i="2" s="1"/>
  <c r="AS3271" i="2"/>
  <c r="AS3272" i="2"/>
  <c r="AS3274" i="2" s="1"/>
  <c r="AS3300" i="2" l="1"/>
  <c r="AS3291" i="2"/>
  <c r="AU3298" i="2"/>
  <c r="AS3292" i="2"/>
  <c r="AS3273" i="2"/>
  <c r="AS3275" i="2" s="1"/>
  <c r="AT3276" i="2" s="1"/>
  <c r="AS3282" i="2"/>
  <c r="AS3283" i="2"/>
  <c r="AS3285" i="2" s="1"/>
  <c r="AU3309" i="2" l="1"/>
  <c r="AS3303" i="2"/>
  <c r="AS3311" i="2"/>
  <c r="AS3302" i="2"/>
  <c r="AS3293" i="2"/>
  <c r="AS3294" i="2"/>
  <c r="AS3296" i="2" s="1"/>
  <c r="AS3284" i="2"/>
  <c r="AS3286" i="2" s="1"/>
  <c r="AT3287" i="2" s="1"/>
  <c r="AS3322" i="2" l="1"/>
  <c r="AS3313" i="2"/>
  <c r="AU3320" i="2"/>
  <c r="AS3314" i="2"/>
  <c r="AS3295" i="2"/>
  <c r="AS3297" i="2" s="1"/>
  <c r="AT3298" i="2" s="1"/>
  <c r="AS3304" i="2"/>
  <c r="AS3305" i="2"/>
  <c r="AS3307" i="2" s="1"/>
  <c r="AU3331" i="2" l="1"/>
  <c r="AS3325" i="2"/>
  <c r="AS3333" i="2"/>
  <c r="AS3324" i="2"/>
  <c r="AS3315" i="2"/>
  <c r="AS3316" i="2"/>
  <c r="AS3318" i="2" s="1"/>
  <c r="AS3306" i="2"/>
  <c r="AS3308" i="2" s="1"/>
  <c r="AT3309" i="2" s="1"/>
  <c r="AS3317" i="2" l="1"/>
  <c r="AS3319" i="2" s="1"/>
  <c r="AT3320" i="2" s="1"/>
  <c r="AU3342" i="2"/>
  <c r="AS3336" i="2"/>
  <c r="AS3344" i="2"/>
  <c r="AS3335" i="2"/>
  <c r="AS3326" i="2"/>
  <c r="AS3327" i="2"/>
  <c r="AS3329" i="2" s="1"/>
  <c r="AS3346" i="2" l="1"/>
  <c r="AS3347" i="2"/>
  <c r="AS3355" i="2"/>
  <c r="AU3353" i="2"/>
  <c r="AS3337" i="2"/>
  <c r="AS3338" i="2"/>
  <c r="AS3340" i="2" s="1"/>
  <c r="AS3328" i="2"/>
  <c r="AS3330" i="2" s="1"/>
  <c r="AT3331" i="2" s="1"/>
  <c r="AS3348" i="2" l="1"/>
  <c r="AS3349" i="2"/>
  <c r="AS3351" i="2" s="1"/>
  <c r="AS3339" i="2"/>
  <c r="AS3341" i="2" s="1"/>
  <c r="AT3342" i="2" s="1"/>
  <c r="AU3364" i="2"/>
  <c r="AS3366" i="2"/>
  <c r="AS3358" i="2"/>
  <c r="AS3357" i="2"/>
  <c r="AS3359" i="2" l="1"/>
  <c r="AS3360" i="2"/>
  <c r="AS3362" i="2" s="1"/>
  <c r="AS3350" i="2"/>
  <c r="AS3352" i="2" s="1"/>
  <c r="AT3353" i="2" s="1"/>
  <c r="AU3375" i="2"/>
  <c r="AS3369" i="2"/>
  <c r="AS3377" i="2"/>
  <c r="AS3368" i="2"/>
  <c r="AS3370" i="2" l="1"/>
  <c r="AS3371" i="2"/>
  <c r="AS3373" i="2" s="1"/>
  <c r="AS3361" i="2"/>
  <c r="AS3363" i="2" s="1"/>
  <c r="AT3364" i="2" s="1"/>
  <c r="AU3386" i="2"/>
  <c r="AS3380" i="2"/>
  <c r="AS3388" i="2"/>
  <c r="AS3379" i="2"/>
  <c r="AS3381" i="2" l="1"/>
  <c r="AS3382" i="2"/>
  <c r="AS3384" i="2" s="1"/>
  <c r="AS3372" i="2"/>
  <c r="AS3374" i="2" s="1"/>
  <c r="AT3375" i="2" s="1"/>
  <c r="AU3397" i="2"/>
  <c r="AS3391" i="2"/>
  <c r="AS3399" i="2"/>
  <c r="AS3390" i="2"/>
  <c r="AS3392" i="2" l="1"/>
  <c r="AS3393" i="2"/>
  <c r="AS3395" i="2" s="1"/>
  <c r="AS3383" i="2"/>
  <c r="AS3385" i="2" s="1"/>
  <c r="AT3386" i="2" s="1"/>
  <c r="AS3410" i="2"/>
  <c r="AS3401" i="2"/>
  <c r="AU3408" i="2"/>
  <c r="AS3402" i="2"/>
  <c r="AU3419" i="2" l="1"/>
  <c r="AS3413" i="2"/>
  <c r="AS3421" i="2"/>
  <c r="AS3412" i="2"/>
  <c r="AS3394" i="2"/>
  <c r="AS3396" i="2" s="1"/>
  <c r="AT3397" i="2" s="1"/>
  <c r="AS3403" i="2"/>
  <c r="AS3404" i="2"/>
  <c r="AS3406" i="2" s="1"/>
  <c r="AS3405" i="2" l="1"/>
  <c r="AS3407" i="2" s="1"/>
  <c r="AT3408" i="2" s="1"/>
  <c r="AS3414" i="2"/>
  <c r="AS3415" i="2"/>
  <c r="AS3417" i="2" s="1"/>
  <c r="AU3430" i="2"/>
  <c r="AS3424" i="2"/>
  <c r="AS3432" i="2"/>
  <c r="AS3423" i="2"/>
  <c r="AS3425" i="2" l="1"/>
  <c r="AS3426" i="2"/>
  <c r="AS3428" i="2" s="1"/>
  <c r="AS3434" i="2"/>
  <c r="AS3435" i="2"/>
  <c r="AS3443" i="2"/>
  <c r="AU3441" i="2"/>
  <c r="AS3416" i="2"/>
  <c r="AS3418" i="2" s="1"/>
  <c r="AT3419" i="2" s="1"/>
  <c r="AS3446" i="2" l="1"/>
  <c r="AS3445" i="2"/>
  <c r="AU3452" i="2"/>
  <c r="AS3454" i="2"/>
  <c r="AS3427" i="2"/>
  <c r="AS3429" i="2" s="1"/>
  <c r="AT3430" i="2" s="1"/>
  <c r="AS3436" i="2"/>
  <c r="AS3437" i="2"/>
  <c r="AS3439" i="2" s="1"/>
  <c r="AS3438" i="2" l="1"/>
  <c r="AS3440" i="2" s="1"/>
  <c r="AT3441" i="2" s="1"/>
  <c r="AU3463" i="2"/>
  <c r="AS3457" i="2"/>
  <c r="AS3465" i="2"/>
  <c r="AS3456" i="2"/>
  <c r="AS3447" i="2"/>
  <c r="AS3448" i="2"/>
  <c r="AS3450" i="2" s="1"/>
  <c r="AS3449" i="2" l="1"/>
  <c r="AS3451" i="2" s="1"/>
  <c r="AT3452" i="2" s="1"/>
  <c r="AU3474" i="2"/>
  <c r="AS3468" i="2"/>
  <c r="AS3476" i="2"/>
  <c r="AS3467" i="2"/>
  <c r="AS3458" i="2"/>
  <c r="AS3459" i="2"/>
  <c r="AS3461" i="2" s="1"/>
  <c r="AS3460" i="2" l="1"/>
  <c r="AS3462" i="2" s="1"/>
  <c r="AT3463" i="2" s="1"/>
  <c r="AU3485" i="2"/>
  <c r="AS3479" i="2"/>
  <c r="AS3487" i="2"/>
  <c r="AS3478" i="2"/>
  <c r="AS3469" i="2"/>
  <c r="AS3470" i="2"/>
  <c r="AS3472" i="2" s="1"/>
  <c r="AS3471" i="2" l="1"/>
  <c r="AS3473" i="2" s="1"/>
  <c r="AT3474" i="2" s="1"/>
  <c r="AS3490" i="2"/>
  <c r="AS3498" i="2"/>
  <c r="AS3489" i="2"/>
  <c r="AU3496" i="2"/>
  <c r="AS3480" i="2"/>
  <c r="AS3481" i="2"/>
  <c r="AS3483" i="2" s="1"/>
  <c r="AS3482" i="2" l="1"/>
  <c r="AS3484" i="2" s="1"/>
  <c r="AT3485" i="2" s="1"/>
  <c r="AU3507" i="2"/>
  <c r="AS3501" i="2"/>
  <c r="AS3509" i="2"/>
  <c r="AS3500" i="2"/>
  <c r="AS3491" i="2"/>
  <c r="AS3492" i="2"/>
  <c r="AS3494" i="2" s="1"/>
  <c r="AS3493" i="2" l="1"/>
  <c r="AS3495" i="2" s="1"/>
  <c r="AT3496" i="2" s="1"/>
  <c r="AS3511" i="2"/>
  <c r="AU3518" i="2"/>
  <c r="AS3512" i="2"/>
  <c r="AS3520" i="2"/>
  <c r="AS3502" i="2"/>
  <c r="AS3503" i="2"/>
  <c r="AS3505" i="2" s="1"/>
  <c r="AS3504" i="2" l="1"/>
  <c r="AS3506" i="2" s="1"/>
  <c r="AT3507" i="2" s="1"/>
  <c r="AU3529" i="2"/>
  <c r="AS3523" i="2"/>
  <c r="AS3531" i="2"/>
  <c r="AS3522" i="2"/>
  <c r="AS3513" i="2"/>
  <c r="AS3514" i="2"/>
  <c r="AS3516" i="2" s="1"/>
  <c r="AS3515" i="2" l="1"/>
  <c r="AS3517" i="2" s="1"/>
  <c r="AT3518" i="2" s="1"/>
  <c r="AS3542" i="2"/>
  <c r="AS3534" i="2"/>
  <c r="AS3533" i="2"/>
  <c r="AU3540" i="2"/>
  <c r="AS3524" i="2"/>
  <c r="AS3525" i="2"/>
  <c r="AS3527" i="2" s="1"/>
  <c r="AS3526" i="2" l="1"/>
  <c r="AS3528" i="2" s="1"/>
  <c r="AT3529" i="2" s="1"/>
  <c r="AS3535" i="2"/>
  <c r="AS3536" i="2"/>
  <c r="AS3538" i="2" s="1"/>
  <c r="AS3544" i="2"/>
  <c r="AS3553" i="2"/>
  <c r="AS3545" i="2"/>
  <c r="AU3551" i="2"/>
  <c r="AS3546" i="2" l="1"/>
  <c r="AS3548" i="2" s="1"/>
  <c r="AS3547" i="2"/>
  <c r="AS3549" i="2" s="1"/>
  <c r="AS3556" i="2"/>
  <c r="AS3564" i="2"/>
  <c r="AS3555" i="2"/>
  <c r="AU3562" i="2"/>
  <c r="AS3537" i="2"/>
  <c r="AS3539" i="2" s="1"/>
  <c r="AT3540" i="2" s="1"/>
  <c r="AS3550" i="2" l="1"/>
  <c r="AT3551" i="2" s="1"/>
  <c r="AS3557" i="2"/>
  <c r="AS3558" i="2"/>
  <c r="AS3560" i="2" s="1"/>
  <c r="AS3566" i="2"/>
  <c r="AS3567" i="2"/>
  <c r="AU3573" i="2"/>
  <c r="AS3575" i="2"/>
  <c r="AS3559" i="2" l="1"/>
  <c r="AS3561" i="2" s="1"/>
  <c r="AT3562" i="2" s="1"/>
  <c r="AS3586" i="2"/>
  <c r="AS3578" i="2"/>
  <c r="AS3577" i="2"/>
  <c r="AU3584" i="2"/>
  <c r="AS3568" i="2"/>
  <c r="AS3569" i="2"/>
  <c r="AS3571" i="2" s="1"/>
  <c r="AS3597" i="2" l="1"/>
  <c r="AU3595" i="2"/>
  <c r="AS3588" i="2"/>
  <c r="AS3589" i="2"/>
  <c r="AS3579" i="2"/>
  <c r="AS3580" i="2"/>
  <c r="AS3582" i="2" s="1"/>
  <c r="AS3570" i="2"/>
  <c r="AS3572" i="2" s="1"/>
  <c r="AT3573" i="2" s="1"/>
  <c r="AS3590" i="2" l="1"/>
  <c r="AS3591" i="2"/>
  <c r="AS3593" i="2" s="1"/>
  <c r="AS3599" i="2"/>
  <c r="AS3608" i="2"/>
  <c r="AU3606" i="2"/>
  <c r="AS3600" i="2"/>
  <c r="AS3581" i="2"/>
  <c r="AS3583" i="2" s="1"/>
  <c r="AT3584" i="2" s="1"/>
  <c r="AS3592" i="2" l="1"/>
  <c r="AS3594" i="2" s="1"/>
  <c r="AT3595" i="2" s="1"/>
  <c r="AS3601" i="2"/>
  <c r="AS3602" i="2"/>
  <c r="AS3604" i="2" s="1"/>
  <c r="AS3610" i="2"/>
  <c r="AS3611" i="2"/>
  <c r="AS3619" i="2"/>
  <c r="AU3617" i="2"/>
  <c r="AS3612" i="2" l="1"/>
  <c r="AS3613" i="2"/>
  <c r="AS3615" i="2" s="1"/>
  <c r="AS3630" i="2"/>
  <c r="AS3621" i="2"/>
  <c r="AU3628" i="2"/>
  <c r="AS3622" i="2"/>
  <c r="AS3603" i="2"/>
  <c r="AS3605" i="2" s="1"/>
  <c r="AT3606" i="2" s="1"/>
  <c r="AS3623" i="2" l="1"/>
  <c r="AS3624" i="2"/>
  <c r="AS3626" i="2" s="1"/>
  <c r="AS3614" i="2"/>
  <c r="AS3616" i="2" s="1"/>
  <c r="AT3617" i="2" s="1"/>
  <c r="AS3632" i="2"/>
  <c r="AU3639" i="2"/>
  <c r="AS3641" i="2"/>
  <c r="AS3633" i="2"/>
  <c r="AS3634" i="2" l="1"/>
  <c r="AS3635" i="2"/>
  <c r="AS3637" i="2" s="1"/>
  <c r="AS3625" i="2"/>
  <c r="AS3627" i="2" s="1"/>
  <c r="AT3628" i="2" s="1"/>
  <c r="AS3652" i="2"/>
  <c r="AS3643" i="2"/>
  <c r="AU3650" i="2"/>
  <c r="AS3644" i="2"/>
  <c r="AS3663" i="2" l="1"/>
  <c r="AS3654" i="2"/>
  <c r="AU3661" i="2"/>
  <c r="AS3655" i="2"/>
  <c r="AS3636" i="2"/>
  <c r="AS3638" i="2" s="1"/>
  <c r="AT3639" i="2" s="1"/>
  <c r="AS3645" i="2"/>
  <c r="AS3646" i="2"/>
  <c r="AS3648" i="2" s="1"/>
  <c r="AS3674" i="2" l="1"/>
  <c r="AS3666" i="2"/>
  <c r="AS3665" i="2"/>
  <c r="AU3672" i="2"/>
  <c r="AS3656" i="2"/>
  <c r="AS3657" i="2"/>
  <c r="AS3659" i="2" s="1"/>
  <c r="AS3647" i="2"/>
  <c r="AS3649" i="2" s="1"/>
  <c r="AT3650" i="2" s="1"/>
  <c r="AS3685" i="2" l="1"/>
  <c r="AU3683" i="2"/>
  <c r="AS3676" i="2"/>
  <c r="AS3677" i="2"/>
  <c r="AS3658" i="2"/>
  <c r="AS3660" i="2" s="1"/>
  <c r="AT3661" i="2" s="1"/>
  <c r="AS3667" i="2"/>
  <c r="AS3668" i="2"/>
  <c r="AS3670" i="2" s="1"/>
  <c r="AS3669" i="2" l="1"/>
  <c r="AS3671" i="2" s="1"/>
  <c r="AT3672" i="2" s="1"/>
  <c r="AS3687" i="2"/>
  <c r="AS3696" i="2"/>
  <c r="AU3694" i="2"/>
  <c r="AS3688" i="2"/>
  <c r="AS3678" i="2"/>
  <c r="AS3679" i="2"/>
  <c r="AS3681" i="2" s="1"/>
  <c r="AS3680" i="2" l="1"/>
  <c r="AS3682" i="2" s="1"/>
  <c r="AT3683" i="2" s="1"/>
  <c r="AS3707" i="2"/>
  <c r="AS3698" i="2"/>
  <c r="AS3699" i="2"/>
  <c r="AU3705" i="2"/>
  <c r="AS3689" i="2"/>
  <c r="AS3690" i="2"/>
  <c r="AS3692" i="2" s="1"/>
  <c r="AS3691" i="2" l="1"/>
  <c r="AS3693" i="2" s="1"/>
  <c r="AT3694" i="2" s="1"/>
  <c r="AS3700" i="2"/>
  <c r="AS3701" i="2"/>
  <c r="AS3703" i="2" s="1"/>
  <c r="AS3709" i="2"/>
  <c r="AU3716" i="2"/>
  <c r="AS3710" i="2"/>
  <c r="AS3718" i="2"/>
  <c r="AS3720" i="2" l="1"/>
  <c r="AU3727" i="2"/>
  <c r="AS3721" i="2"/>
  <c r="AS3729" i="2"/>
  <c r="AS3711" i="2"/>
  <c r="AS3713" i="2" s="1"/>
  <c r="AS3712" i="2"/>
  <c r="AS3714" i="2" s="1"/>
  <c r="AS3702" i="2"/>
  <c r="AS3704" i="2" s="1"/>
  <c r="AT3705" i="2" s="1"/>
  <c r="AS3715" i="2" l="1"/>
  <c r="AT3716" i="2" s="1"/>
  <c r="AS3732" i="2"/>
  <c r="AS3740" i="2"/>
  <c r="AS3731" i="2"/>
  <c r="AU3738" i="2"/>
  <c r="AS3722" i="2"/>
  <c r="AS3724" i="2" s="1"/>
  <c r="AS3723" i="2"/>
  <c r="AS3725" i="2" s="1"/>
  <c r="AS3726" i="2" l="1"/>
  <c r="AT3727" i="2" s="1"/>
  <c r="AS3751" i="2"/>
  <c r="AS3743" i="2"/>
  <c r="AS3742" i="2"/>
  <c r="AU3749" i="2"/>
  <c r="AS3733" i="2"/>
  <c r="AS3734" i="2"/>
  <c r="AS3736" i="2" s="1"/>
  <c r="AS3753" i="2" l="1"/>
  <c r="AS3754" i="2"/>
  <c r="AU3760" i="2"/>
  <c r="AS3762" i="2"/>
  <c r="AS3735" i="2"/>
  <c r="AS3737" i="2" s="1"/>
  <c r="AT3738" i="2" s="1"/>
  <c r="AS3744" i="2"/>
  <c r="AS3746" i="2" s="1"/>
  <c r="AS3745" i="2"/>
  <c r="AS3747" i="2" s="1"/>
  <c r="AS3748" i="2" l="1"/>
  <c r="AT3749" i="2" s="1"/>
  <c r="AU3771" i="2"/>
  <c r="AS3765" i="2"/>
  <c r="AS3773" i="2"/>
  <c r="AS3764" i="2"/>
  <c r="AS3755" i="2"/>
  <c r="AS3756" i="2"/>
  <c r="AS3758" i="2" s="1"/>
  <c r="AS3766" i="2" l="1"/>
  <c r="AS3767" i="2"/>
  <c r="AS3769" i="2" s="1"/>
  <c r="AS3757" i="2"/>
  <c r="AS3759" i="2" s="1"/>
  <c r="AT3760" i="2" s="1"/>
  <c r="AS3775" i="2"/>
  <c r="AU3782" i="2"/>
  <c r="AS3776" i="2"/>
  <c r="AS3784" i="2"/>
  <c r="AS3795" i="2" l="1"/>
  <c r="AS3787" i="2"/>
  <c r="AS3786" i="2"/>
  <c r="AU3793" i="2"/>
  <c r="AS3777" i="2"/>
  <c r="AS3779" i="2" s="1"/>
  <c r="AS3778" i="2"/>
  <c r="AS3780" i="2" s="1"/>
  <c r="AS3768" i="2"/>
  <c r="AS3770" i="2" s="1"/>
  <c r="AT3771" i="2" s="1"/>
  <c r="AS3781" i="2" l="1"/>
  <c r="AT3782" i="2" s="1"/>
  <c r="AS3797" i="2"/>
  <c r="AS3798" i="2"/>
  <c r="AS3806" i="2"/>
  <c r="AU3804" i="2"/>
  <c r="AS3788" i="2"/>
  <c r="AS3790" i="2" s="1"/>
  <c r="AS3789" i="2"/>
  <c r="AS3791" i="2" s="1"/>
  <c r="AS3792" i="2" l="1"/>
  <c r="AT3793" i="2" s="1"/>
  <c r="AS3799" i="2"/>
  <c r="AS3801" i="2" s="1"/>
  <c r="AS3800" i="2"/>
  <c r="AS3802" i="2" s="1"/>
  <c r="AS3809" i="2"/>
  <c r="AS3808" i="2"/>
  <c r="AS3817" i="2"/>
  <c r="AU3815" i="2"/>
  <c r="AS3803" i="2" l="1"/>
  <c r="AT3804" i="2" s="1"/>
  <c r="AS3810" i="2"/>
  <c r="AS3811" i="2"/>
  <c r="AS3813" i="2" s="1"/>
  <c r="AS3828" i="2"/>
  <c r="AU3826" i="2"/>
  <c r="AS3820" i="2"/>
  <c r="AS3819" i="2"/>
  <c r="AS3812" i="2" l="1"/>
  <c r="AS3814" i="2" s="1"/>
  <c r="AT3815" i="2" s="1"/>
  <c r="AS3821" i="2"/>
  <c r="AS3822" i="2"/>
  <c r="AS3824" i="2" s="1"/>
  <c r="AS3831" i="2"/>
  <c r="AU3837" i="2"/>
  <c r="AS3839" i="2"/>
  <c r="AS3830" i="2"/>
  <c r="AS3832" i="2" l="1"/>
  <c r="AS3833" i="2"/>
  <c r="AS3835" i="2" s="1"/>
  <c r="AS3841" i="2"/>
  <c r="AS3842" i="2"/>
  <c r="AS3850" i="2"/>
  <c r="AU3848" i="2"/>
  <c r="AS3823" i="2"/>
  <c r="AS3825" i="2" s="1"/>
  <c r="AT3826" i="2" s="1"/>
  <c r="AU3859" i="2" l="1"/>
  <c r="AS3861" i="2"/>
  <c r="AS3852" i="2"/>
  <c r="AS3853" i="2"/>
  <c r="AS3834" i="2"/>
  <c r="AS3836" i="2" s="1"/>
  <c r="AT3837" i="2" s="1"/>
  <c r="AS3843" i="2"/>
  <c r="AS3845" i="2" s="1"/>
  <c r="AS3844" i="2"/>
  <c r="AS3846" i="2" s="1"/>
  <c r="AS3847" i="2" l="1"/>
  <c r="AT3848" i="2" s="1"/>
  <c r="AS3863" i="2"/>
  <c r="AU3870" i="2"/>
  <c r="AS3864" i="2"/>
  <c r="AS3872" i="2"/>
  <c r="AS3854" i="2"/>
  <c r="AS3856" i="2" s="1"/>
  <c r="AS3855" i="2"/>
  <c r="AS3857" i="2" s="1"/>
  <c r="AS3858" i="2" l="1"/>
  <c r="AT3859" i="2" s="1"/>
  <c r="AS3874" i="2"/>
  <c r="AS3883" i="2"/>
  <c r="AS3875" i="2"/>
  <c r="AU3881" i="2"/>
  <c r="AS3865" i="2"/>
  <c r="AS3867" i="2" s="1"/>
  <c r="AS3866" i="2"/>
  <c r="AS3868" i="2" s="1"/>
  <c r="AS3869" i="2" l="1"/>
  <c r="AT3870" i="2" s="1"/>
  <c r="AS3876" i="2"/>
  <c r="AS3877" i="2"/>
  <c r="AS3879" i="2" s="1"/>
  <c r="AU3892" i="2"/>
  <c r="AS3894" i="2"/>
  <c r="AS3886" i="2"/>
  <c r="AS3885" i="2"/>
  <c r="AS3897" i="2" l="1"/>
  <c r="AS3896" i="2"/>
  <c r="AS3905" i="2"/>
  <c r="AU3903" i="2"/>
  <c r="AS3878" i="2"/>
  <c r="AS3880" i="2" s="1"/>
  <c r="AT3881" i="2" s="1"/>
  <c r="AS3887" i="2"/>
  <c r="AS3888" i="2"/>
  <c r="AS3890" i="2" s="1"/>
  <c r="AS3889" i="2" l="1"/>
  <c r="AS3891" i="2" s="1"/>
  <c r="AT3892" i="2" s="1"/>
  <c r="AS3898" i="2"/>
  <c r="AS3899" i="2"/>
  <c r="AS3901" i="2" s="1"/>
  <c r="AS3907" i="2"/>
  <c r="AS3908" i="2"/>
  <c r="AS3916" i="2"/>
  <c r="AU3914" i="2"/>
  <c r="AS3909" i="2" l="1"/>
  <c r="AS3910" i="2"/>
  <c r="AS3912" i="2" s="1"/>
  <c r="AS3919" i="2"/>
  <c r="AS3927" i="2"/>
  <c r="AS3918" i="2"/>
  <c r="AU3925" i="2"/>
  <c r="AS3900" i="2"/>
  <c r="AS3902" i="2" s="1"/>
  <c r="AT3903" i="2" s="1"/>
  <c r="AS3929" i="2" l="1"/>
  <c r="AS3930" i="2"/>
  <c r="AU3936" i="2"/>
  <c r="AS3938" i="2"/>
  <c r="AS3920" i="2"/>
  <c r="AS3921" i="2"/>
  <c r="AS3923" i="2" s="1"/>
  <c r="AS3911" i="2"/>
  <c r="AS3913" i="2" s="1"/>
  <c r="AT3914" i="2" s="1"/>
  <c r="AU3947" i="2" l="1"/>
  <c r="AS3940" i="2"/>
  <c r="AS3941" i="2"/>
  <c r="AS3949" i="2"/>
  <c r="AS3931" i="2"/>
  <c r="AS3932" i="2"/>
  <c r="AS3934" i="2" s="1"/>
  <c r="AS3922" i="2"/>
  <c r="AS3924" i="2" s="1"/>
  <c r="AT3925" i="2" s="1"/>
  <c r="AS3952" i="2" l="1"/>
  <c r="AS3960" i="2"/>
  <c r="AS3951" i="2"/>
  <c r="AU3958" i="2"/>
  <c r="AS3933" i="2"/>
  <c r="AS3935" i="2" s="1"/>
  <c r="AT3936" i="2" s="1"/>
  <c r="AS3942" i="2"/>
  <c r="AS3943" i="2"/>
  <c r="AS3945" i="2" s="1"/>
  <c r="AS3944" i="2" l="1"/>
  <c r="AS3946" i="2" s="1"/>
  <c r="AT3947" i="2" s="1"/>
  <c r="AS3971" i="2"/>
  <c r="AS3963" i="2"/>
  <c r="AS3962" i="2"/>
  <c r="AU3969" i="2"/>
  <c r="AS3953" i="2"/>
  <c r="AS3954" i="2"/>
  <c r="AS3956" i="2" s="1"/>
  <c r="AS3955" i="2" l="1"/>
  <c r="AS3957" i="2" s="1"/>
  <c r="AT3958" i="2" s="1"/>
  <c r="AS3964" i="2"/>
  <c r="AS3965" i="2"/>
  <c r="AS3967" i="2" s="1"/>
  <c r="AS3974" i="2"/>
  <c r="AS3982" i="2"/>
  <c r="AS3973" i="2"/>
  <c r="AU3980" i="2"/>
  <c r="AS3984" i="2" l="1"/>
  <c r="AU3991" i="2"/>
  <c r="AS3985" i="2"/>
  <c r="AS3993" i="2"/>
  <c r="AS3975" i="2"/>
  <c r="AS3976" i="2"/>
  <c r="AS3978" i="2" s="1"/>
  <c r="AS3966" i="2"/>
  <c r="AS3968" i="2" s="1"/>
  <c r="AT3969" i="2" s="1"/>
  <c r="AS3995" i="2" l="1"/>
  <c r="AU4002" i="2"/>
  <c r="AS3996" i="2"/>
  <c r="AS4004" i="2"/>
  <c r="AS3986" i="2"/>
  <c r="AS3987" i="2"/>
  <c r="AS3989" i="2" s="1"/>
  <c r="AS3977" i="2"/>
  <c r="AS3979" i="2" s="1"/>
  <c r="AT3980" i="2" s="1"/>
  <c r="AS4007" i="2" l="1"/>
  <c r="AS4015" i="2"/>
  <c r="AS4006" i="2"/>
  <c r="AU4013" i="2"/>
  <c r="AS3997" i="2"/>
  <c r="AS3998" i="2"/>
  <c r="AS4000" i="2" s="1"/>
  <c r="AS3988" i="2"/>
  <c r="AS3990" i="2" s="1"/>
  <c r="AT3991" i="2" s="1"/>
  <c r="AS3999" i="2" l="1"/>
  <c r="AS4001" i="2" s="1"/>
  <c r="AT4002" i="2" s="1"/>
  <c r="AS4017" i="2"/>
  <c r="AU4024" i="2"/>
  <c r="AS4018" i="2"/>
  <c r="AS4026" i="2"/>
  <c r="AS4008" i="2"/>
  <c r="AS4009" i="2"/>
  <c r="AS4011" i="2" s="1"/>
  <c r="AS4010" i="2" l="1"/>
  <c r="AS4012" i="2" s="1"/>
  <c r="AT4013" i="2" s="1"/>
  <c r="AU4035" i="2"/>
  <c r="AS4028" i="2"/>
  <c r="AS4029" i="2"/>
  <c r="AS4037" i="2"/>
  <c r="AS4019" i="2"/>
  <c r="AS4020" i="2"/>
  <c r="AS4022" i="2" s="1"/>
  <c r="AS4021" i="2" l="1"/>
  <c r="AS4023" i="2" s="1"/>
  <c r="AT4024" i="2" s="1"/>
  <c r="AS4030" i="2"/>
  <c r="AS4031" i="2"/>
  <c r="AS4033" i="2" s="1"/>
  <c r="AS4039" i="2"/>
  <c r="AU4046" i="2"/>
  <c r="AS4040" i="2"/>
  <c r="AS4048" i="2"/>
  <c r="AS4059" i="2" l="1"/>
  <c r="AS4051" i="2"/>
  <c r="AS4050" i="2"/>
  <c r="AU4057" i="2"/>
  <c r="AS4041" i="2"/>
  <c r="AS4042" i="2"/>
  <c r="AS4044" i="2" s="1"/>
  <c r="AS4032" i="2"/>
  <c r="AS4034" i="2" s="1"/>
  <c r="AT4035" i="2" s="1"/>
  <c r="AS4061" i="2" l="1"/>
  <c r="AU4068" i="2"/>
  <c r="AS4062" i="2"/>
  <c r="AS4070" i="2"/>
  <c r="AS4043" i="2"/>
  <c r="AS4045" i="2" s="1"/>
  <c r="AT4046" i="2" s="1"/>
  <c r="AS4052" i="2"/>
  <c r="AS4053" i="2"/>
  <c r="AS4055" i="2" s="1"/>
  <c r="AS4054" i="2" l="1"/>
  <c r="AS4056" i="2" s="1"/>
  <c r="AT4057" i="2" s="1"/>
  <c r="AS4072" i="2"/>
  <c r="AU4079" i="2"/>
  <c r="AS4073" i="2"/>
  <c r="AS4081" i="2"/>
  <c r="AS4063" i="2"/>
  <c r="AS4064" i="2"/>
  <c r="AS4066" i="2" s="1"/>
  <c r="AS4065" i="2" l="1"/>
  <c r="AS4067" i="2" s="1"/>
  <c r="AT4068" i="2" s="1"/>
  <c r="AS4084" i="2"/>
  <c r="AS4092" i="2"/>
  <c r="AS4083" i="2"/>
  <c r="AU4090" i="2"/>
  <c r="AS4074" i="2"/>
  <c r="AS4075" i="2"/>
  <c r="AS4077" i="2" s="1"/>
  <c r="AS4076" i="2" l="1"/>
  <c r="AS4078" i="2" s="1"/>
  <c r="AT4079" i="2" s="1"/>
  <c r="AS4094" i="2"/>
  <c r="AU4101" i="2"/>
  <c r="AS4095" i="2"/>
  <c r="AS4103" i="2"/>
  <c r="AS4085" i="2"/>
  <c r="AS4086" i="2"/>
  <c r="AS4088" i="2" s="1"/>
  <c r="AS4087" i="2" l="1"/>
  <c r="AS4089" i="2" s="1"/>
  <c r="AT4090" i="2" s="1"/>
  <c r="AS4106" i="2"/>
  <c r="AS4114" i="2"/>
  <c r="AS4105" i="2"/>
  <c r="AU4112" i="2"/>
  <c r="AS4096" i="2"/>
  <c r="AS4097" i="2"/>
  <c r="AS4099" i="2" s="1"/>
  <c r="AS4098" i="2" l="1"/>
  <c r="AS4100" i="2" s="1"/>
  <c r="AT4101" i="2" s="1"/>
  <c r="AU4123" i="2"/>
  <c r="AS4116" i="2"/>
  <c r="AS4117" i="2"/>
  <c r="AS4125" i="2"/>
  <c r="AS4107" i="2"/>
  <c r="AS4109" i="2" s="1"/>
  <c r="AS4108" i="2"/>
  <c r="AS4110" i="2" s="1"/>
  <c r="AS4111" i="2" l="1"/>
  <c r="AT4112" i="2" s="1"/>
  <c r="AS4118" i="2"/>
  <c r="AS4120" i="2" s="1"/>
  <c r="AS4119" i="2"/>
  <c r="AS4121" i="2" s="1"/>
  <c r="AU4134" i="2"/>
  <c r="AS4128" i="2"/>
  <c r="AS4136" i="2"/>
  <c r="AS4127" i="2"/>
  <c r="AS4122" i="2" l="1"/>
  <c r="AT4123" i="2" s="1"/>
  <c r="AS4139" i="2"/>
  <c r="AS4138" i="2"/>
  <c r="AU4145" i="2"/>
  <c r="AS4147" i="2"/>
  <c r="AS4129" i="2"/>
  <c r="AS4130" i="2"/>
  <c r="AS4132" i="2" s="1"/>
  <c r="AS4131" i="2" l="1"/>
  <c r="AS4133" i="2" s="1"/>
  <c r="AT4134" i="2" s="1"/>
  <c r="AS4140" i="2"/>
  <c r="AS4141" i="2"/>
  <c r="AS4143" i="2" s="1"/>
  <c r="AS4150" i="2"/>
  <c r="AS4158" i="2"/>
  <c r="AS4149" i="2"/>
  <c r="AU4156" i="2"/>
  <c r="AS4160" i="2" l="1"/>
  <c r="AU4167" i="2"/>
  <c r="AS4161" i="2"/>
  <c r="AS4169" i="2"/>
  <c r="AS4151" i="2"/>
  <c r="AS4152" i="2"/>
  <c r="AS4154" i="2" s="1"/>
  <c r="AS4142" i="2"/>
  <c r="AS4144" i="2" s="1"/>
  <c r="AT4145" i="2" s="1"/>
  <c r="AS4162" i="2" l="1"/>
  <c r="AS4163" i="2"/>
  <c r="AS4165" i="2" s="1"/>
  <c r="AS4153" i="2"/>
  <c r="AS4155" i="2" s="1"/>
  <c r="AT4156" i="2" s="1"/>
  <c r="AS4171" i="2"/>
  <c r="AU4178" i="2"/>
  <c r="AS4172" i="2"/>
  <c r="AS4180" i="2"/>
  <c r="AS4183" i="2" l="1"/>
  <c r="AS4191" i="2"/>
  <c r="AS4182" i="2"/>
  <c r="AU4189" i="2"/>
  <c r="AS4173" i="2"/>
  <c r="AS4174" i="2"/>
  <c r="AS4176" i="2" s="1"/>
  <c r="AS4164" i="2"/>
  <c r="AS4166" i="2" s="1"/>
  <c r="AT4167" i="2" s="1"/>
  <c r="AS4175" i="2" l="1"/>
  <c r="AS4177" i="2" s="1"/>
  <c r="AT4178" i="2" s="1"/>
  <c r="AS4193" i="2"/>
  <c r="AU4200" i="2"/>
  <c r="AS4194" i="2"/>
  <c r="AS4202" i="2"/>
  <c r="AS4184" i="2"/>
  <c r="AS4185" i="2"/>
  <c r="AS4187" i="2" s="1"/>
  <c r="AS4186" i="2" l="1"/>
  <c r="AS4188" i="2" s="1"/>
  <c r="AT4189" i="2" s="1"/>
  <c r="AU4211" i="2"/>
  <c r="AS4204" i="2"/>
  <c r="AS4205" i="2"/>
  <c r="AS4213" i="2"/>
  <c r="AS4195" i="2"/>
  <c r="AS4196" i="2"/>
  <c r="AS4198" i="2" s="1"/>
  <c r="AS4197" i="2" l="1"/>
  <c r="AS4199" i="2" s="1"/>
  <c r="AT4200" i="2" s="1"/>
  <c r="AS4206" i="2"/>
  <c r="AS4207" i="2"/>
  <c r="AS4209" i="2" s="1"/>
  <c r="AS4216" i="2"/>
  <c r="AS4224" i="2"/>
  <c r="AS4215" i="2"/>
  <c r="AU4222" i="2"/>
  <c r="AS4217" i="2" l="1"/>
  <c r="AS4218" i="2"/>
  <c r="AS4220" i="2" s="1"/>
  <c r="AS4208" i="2"/>
  <c r="AS4210" i="2" s="1"/>
  <c r="AT4211" i="2" s="1"/>
  <c r="AS4226" i="2"/>
  <c r="AU4233" i="2"/>
  <c r="AS4235" i="2"/>
  <c r="AS4227" i="2"/>
  <c r="AS4238" i="2" l="1"/>
  <c r="AS4246" i="2"/>
  <c r="AS4237" i="2"/>
  <c r="AU4244" i="2"/>
  <c r="AS4228" i="2"/>
  <c r="AS4229" i="2"/>
  <c r="AS4231" i="2" s="1"/>
  <c r="AS4219" i="2"/>
  <c r="AS4221" i="2" s="1"/>
  <c r="AT4222" i="2" s="1"/>
  <c r="AS4230" i="2" l="1"/>
  <c r="AS4232" i="2" s="1"/>
  <c r="AT4233" i="2" s="1"/>
  <c r="AS4248" i="2"/>
  <c r="AU4255" i="2"/>
  <c r="AS4249" i="2"/>
  <c r="AS4257" i="2"/>
  <c r="AS4239" i="2"/>
  <c r="AS4240" i="2"/>
  <c r="AS4242" i="2" s="1"/>
  <c r="AS4260" i="2" l="1"/>
  <c r="AS4268" i="2"/>
  <c r="AS4259" i="2"/>
  <c r="AU4266" i="2"/>
  <c r="AS4250" i="2"/>
  <c r="AS4251" i="2"/>
  <c r="AS4253" i="2" s="1"/>
  <c r="AS4241" i="2"/>
  <c r="AS4243" i="2" s="1"/>
  <c r="AT4244" i="2" s="1"/>
  <c r="AS4261" i="2" l="1"/>
  <c r="AS4262" i="2"/>
  <c r="AS4264" i="2" s="1"/>
  <c r="AS4252" i="2"/>
  <c r="AS4254" i="2" s="1"/>
  <c r="AT4255" i="2" s="1"/>
  <c r="AS4270" i="2"/>
  <c r="AU4277" i="2"/>
  <c r="AS4271" i="2"/>
  <c r="AS4279" i="2"/>
  <c r="AS4272" i="2" l="1"/>
  <c r="AS4273" i="2"/>
  <c r="AS4275" i="2" s="1"/>
  <c r="AS4263" i="2"/>
  <c r="AS4265" i="2" s="1"/>
  <c r="AT4266" i="2" s="1"/>
  <c r="AS4281" i="2"/>
  <c r="AU4288" i="2"/>
  <c r="AS4282" i="2"/>
  <c r="AS4290" i="2"/>
  <c r="AS4283" i="2" l="1"/>
  <c r="AS4284" i="2"/>
  <c r="AS4286" i="2" s="1"/>
  <c r="AS4274" i="2"/>
  <c r="AS4276" i="2" s="1"/>
  <c r="AT4277" i="2" s="1"/>
  <c r="AU4299" i="2"/>
  <c r="AS4292" i="2"/>
  <c r="AS4293" i="2"/>
  <c r="AS4301" i="2"/>
  <c r="AS4285" i="2" l="1"/>
  <c r="AS4287" i="2" s="1"/>
  <c r="AT4288" i="2" s="1"/>
  <c r="AS4294" i="2"/>
  <c r="AS4295" i="2"/>
  <c r="AS4297" i="2" s="1"/>
  <c r="AS4304" i="2"/>
  <c r="AS4312" i="2"/>
  <c r="AS4303" i="2"/>
  <c r="AU4310" i="2"/>
  <c r="AS4323" i="2" l="1"/>
  <c r="AS4315" i="2"/>
  <c r="AS4314" i="2"/>
  <c r="AU4321" i="2"/>
  <c r="AS4305" i="2"/>
  <c r="AS4306" i="2"/>
  <c r="AS4308" i="2" s="1"/>
  <c r="AS4296" i="2"/>
  <c r="AS4298" i="2" s="1"/>
  <c r="AT4299" i="2" s="1"/>
  <c r="AS4325" i="2" l="1"/>
  <c r="AU4332" i="2"/>
  <c r="AS4326" i="2"/>
  <c r="AS4334" i="2"/>
  <c r="AS4307" i="2"/>
  <c r="AS4309" i="2" s="1"/>
  <c r="AT4310" i="2" s="1"/>
  <c r="AS4316" i="2"/>
  <c r="AS4317" i="2"/>
  <c r="AS4319" i="2" s="1"/>
  <c r="AS4327" i="2" l="1"/>
  <c r="AS4329" i="2" s="1"/>
  <c r="AS4328" i="2"/>
  <c r="AS4330" i="2" s="1"/>
  <c r="AS4318" i="2"/>
  <c r="AS4320" i="2" s="1"/>
  <c r="AT4321" i="2" s="1"/>
  <c r="AS4336" i="2"/>
  <c r="AU4343" i="2"/>
  <c r="AS4337" i="2"/>
  <c r="AS4345" i="2"/>
  <c r="AS4331" i="2" l="1"/>
  <c r="AT4332" i="2" s="1"/>
  <c r="AS4338" i="2"/>
  <c r="AS4340" i="2" s="1"/>
  <c r="AS4339" i="2"/>
  <c r="AS4341" i="2" s="1"/>
  <c r="AS4348" i="2"/>
  <c r="AS4356" i="2"/>
  <c r="AS4347" i="2"/>
  <c r="AU4354" i="2"/>
  <c r="AS4342" i="2" l="1"/>
  <c r="AT4343" i="2" s="1"/>
  <c r="AS4349" i="2"/>
  <c r="AS4350" i="2"/>
  <c r="AS4352" i="2" s="1"/>
  <c r="AS4367" i="2"/>
  <c r="AS4358" i="2"/>
  <c r="AU4365" i="2"/>
  <c r="AS4359" i="2"/>
  <c r="AS4351" i="2" l="1"/>
  <c r="AS4353" i="2" s="1"/>
  <c r="AT4354" i="2" s="1"/>
  <c r="AS4370" i="2"/>
  <c r="AS4378" i="2"/>
  <c r="AS4369" i="2"/>
  <c r="AU4376" i="2"/>
  <c r="AS4360" i="2"/>
  <c r="AS4361" i="2"/>
  <c r="AS4363" i="2" s="1"/>
  <c r="AS4371" i="2" l="1"/>
  <c r="AS4372" i="2"/>
  <c r="AS4374" i="2" s="1"/>
  <c r="AS4362" i="2"/>
  <c r="AS4364" i="2" s="1"/>
  <c r="AT4365" i="2" s="1"/>
  <c r="AU4387" i="2"/>
  <c r="AS4380" i="2"/>
  <c r="AS4381" i="2"/>
  <c r="AS4389" i="2"/>
  <c r="AS4373" i="2" l="1"/>
  <c r="AS4375" i="2" s="1"/>
  <c r="AT4376" i="2" s="1"/>
  <c r="AS4382" i="2"/>
  <c r="AS4384" i="2" s="1"/>
  <c r="AS4383" i="2"/>
  <c r="AS4385" i="2" s="1"/>
  <c r="AS4391" i="2"/>
  <c r="AU4398" i="2"/>
  <c r="AS4392" i="2"/>
  <c r="AS4400" i="2"/>
  <c r="AS4386" i="2" l="1"/>
  <c r="AT4387" i="2" s="1"/>
  <c r="AS4393" i="2"/>
  <c r="AS4394" i="2"/>
  <c r="AS4396" i="2" s="1"/>
  <c r="AS4411" i="2"/>
  <c r="AS4403" i="2"/>
  <c r="AS4402" i="2"/>
  <c r="AU4409" i="2"/>
  <c r="AS4404" i="2" l="1"/>
  <c r="AS4405" i="2"/>
  <c r="AS4407" i="2" s="1"/>
  <c r="AS4395" i="2"/>
  <c r="AS4397" i="2" s="1"/>
  <c r="AT4398" i="2" s="1"/>
  <c r="AS4413" i="2"/>
  <c r="AU4420" i="2"/>
  <c r="AS4414" i="2"/>
  <c r="AS4422" i="2"/>
  <c r="AS4415" i="2" l="1"/>
  <c r="AS4417" i="2" s="1"/>
  <c r="AS4416" i="2"/>
  <c r="AS4418" i="2" s="1"/>
  <c r="AS4406" i="2"/>
  <c r="AS4408" i="2" s="1"/>
  <c r="AT4409" i="2" s="1"/>
  <c r="AS4424" i="2"/>
  <c r="AU4431" i="2"/>
  <c r="AS4425" i="2"/>
  <c r="AS4433" i="2"/>
  <c r="AS4419" i="2" l="1"/>
  <c r="AT4420" i="2" s="1"/>
  <c r="AS4426" i="2"/>
  <c r="AS4428" i="2" s="1"/>
  <c r="AS4427" i="2"/>
  <c r="AS4429" i="2" s="1"/>
  <c r="AS4435" i="2"/>
  <c r="AU4442" i="2"/>
  <c r="AS4436" i="2"/>
  <c r="AS4444" i="2"/>
  <c r="AS4430" i="2" l="1"/>
  <c r="AT4431" i="2" s="1"/>
  <c r="AS4446" i="2"/>
  <c r="AU4453" i="2"/>
  <c r="AS4447" i="2"/>
  <c r="AS4455" i="2"/>
  <c r="AS4437" i="2"/>
  <c r="AS4439" i="2" s="1"/>
  <c r="AS4438" i="2"/>
  <c r="AS4440" i="2" s="1"/>
  <c r="AS4441" i="2" l="1"/>
  <c r="AT4442" i="2" s="1"/>
  <c r="AS4448" i="2"/>
  <c r="AS4450" i="2" s="1"/>
  <c r="AS4449" i="2"/>
  <c r="AS4451" i="2" s="1"/>
  <c r="AU4464" i="2"/>
  <c r="AS4458" i="2"/>
  <c r="AS4466" i="2"/>
  <c r="AS4457" i="2"/>
  <c r="AS4452" i="2" l="1"/>
  <c r="AT4453" i="2" s="1"/>
  <c r="AS4468" i="2"/>
  <c r="AS4469" i="2"/>
  <c r="AS4477" i="2"/>
  <c r="AU4475" i="2"/>
  <c r="AS4459" i="2"/>
  <c r="AS4460" i="2"/>
  <c r="AS4462" i="2" s="1"/>
  <c r="AS4470" i="2" l="1"/>
  <c r="AS4471" i="2"/>
  <c r="AS4473" i="2" s="1"/>
  <c r="AS4461" i="2"/>
  <c r="AS4463" i="2" s="1"/>
  <c r="AT4464" i="2" s="1"/>
  <c r="AS4479" i="2"/>
  <c r="AU4486" i="2"/>
  <c r="AS4480" i="2"/>
  <c r="AS4488" i="2"/>
  <c r="AS4481" i="2" l="1"/>
  <c r="AS4482" i="2"/>
  <c r="AS4484" i="2" s="1"/>
  <c r="AS4472" i="2"/>
  <c r="AS4474" i="2" s="1"/>
  <c r="AT4475" i="2" s="1"/>
  <c r="AS4499" i="2"/>
  <c r="AS4491" i="2"/>
  <c r="AS4490" i="2"/>
  <c r="AU4497" i="2"/>
  <c r="AS4501" i="2" l="1"/>
  <c r="AU4508" i="2"/>
  <c r="AS4502" i="2"/>
  <c r="AS4510" i="2"/>
  <c r="AS4483" i="2"/>
  <c r="AS4485" i="2" s="1"/>
  <c r="AT4486" i="2" s="1"/>
  <c r="AS4492" i="2"/>
  <c r="AS4493" i="2"/>
  <c r="AS4495" i="2" s="1"/>
  <c r="AS4503" i="2" l="1"/>
  <c r="AS4504" i="2"/>
  <c r="AS4506" i="2" s="1"/>
  <c r="AS4494" i="2"/>
  <c r="AS4496" i="2" s="1"/>
  <c r="AT4497" i="2" s="1"/>
  <c r="AS4512" i="2"/>
  <c r="AU4519" i="2"/>
  <c r="AS4513" i="2"/>
  <c r="AS4521" i="2"/>
  <c r="AS4514" i="2" l="1"/>
  <c r="AS4515" i="2"/>
  <c r="AS4517" i="2" s="1"/>
  <c r="AS4505" i="2"/>
  <c r="AS4507" i="2" s="1"/>
  <c r="AT4508" i="2" s="1"/>
  <c r="AS4524" i="2"/>
  <c r="AS4532" i="2"/>
  <c r="AS4523" i="2"/>
  <c r="AU4530" i="2"/>
  <c r="AS4516" i="2" l="1"/>
  <c r="AS4518" i="2" s="1"/>
  <c r="AT4519" i="2" s="1"/>
  <c r="AS4534" i="2"/>
  <c r="AU4541" i="2"/>
  <c r="AS4535" i="2"/>
  <c r="AS4543" i="2"/>
  <c r="AS4525" i="2"/>
  <c r="AS4526" i="2"/>
  <c r="AS4528" i="2" s="1"/>
  <c r="AS4546" i="2" l="1"/>
  <c r="AS4554" i="2"/>
  <c r="AS4545" i="2"/>
  <c r="AU4552" i="2"/>
  <c r="AS4536" i="2"/>
  <c r="AS4538" i="2" s="1"/>
  <c r="AS4537" i="2"/>
  <c r="AS4539" i="2" s="1"/>
  <c r="AS4527" i="2"/>
  <c r="AS4529" i="2" s="1"/>
  <c r="AT4530" i="2" s="1"/>
  <c r="AS4540" i="2" l="1"/>
  <c r="AT4541" i="2" s="1"/>
  <c r="AU4563" i="2"/>
  <c r="AS4556" i="2"/>
  <c r="AS4557" i="2"/>
  <c r="AS4565" i="2"/>
  <c r="AS4547" i="2"/>
  <c r="AS4548" i="2"/>
  <c r="AS4550" i="2" s="1"/>
  <c r="AS4549" i="2" l="1"/>
  <c r="AS4551" i="2" s="1"/>
  <c r="AT4552" i="2" s="1"/>
  <c r="AS4558" i="2"/>
  <c r="AS4560" i="2" s="1"/>
  <c r="AS4559" i="2"/>
  <c r="AS4561" i="2" s="1"/>
  <c r="AS4568" i="2"/>
  <c r="AS4576" i="2"/>
  <c r="AS4567" i="2"/>
  <c r="AU4574" i="2"/>
  <c r="AS4562" i="2" l="1"/>
  <c r="AT4563" i="2" s="1"/>
  <c r="AS4587" i="2"/>
  <c r="AS4578" i="2"/>
  <c r="AS4579" i="2"/>
  <c r="AU4585" i="2"/>
  <c r="AS4569" i="2"/>
  <c r="AS4570" i="2"/>
  <c r="AS4572" i="2" s="1"/>
  <c r="AS4590" i="2" l="1"/>
  <c r="AS4589" i="2"/>
  <c r="AS4598" i="2"/>
  <c r="AU4596" i="2"/>
  <c r="AS4571" i="2"/>
  <c r="AS4573" i="2" s="1"/>
  <c r="AT4574" i="2" s="1"/>
  <c r="AS4580" i="2"/>
  <c r="AS4582" i="2" s="1"/>
  <c r="AS4581" i="2"/>
  <c r="AS4583" i="2" s="1"/>
  <c r="AS4591" i="2" l="1"/>
  <c r="AS4592" i="2"/>
  <c r="AS4594" i="2" s="1"/>
  <c r="AS4600" i="2"/>
  <c r="AU4607" i="2"/>
  <c r="AS4601" i="2"/>
  <c r="AS4609" i="2"/>
  <c r="AS4584" i="2"/>
  <c r="AT4585" i="2" s="1"/>
  <c r="AS4593" i="2" l="1"/>
  <c r="AS4595" i="2" s="1"/>
  <c r="AT4596" i="2" s="1"/>
  <c r="AS4611" i="2"/>
  <c r="AS4612" i="2"/>
  <c r="AU4618" i="2"/>
  <c r="AS4620" i="2"/>
  <c r="AS4602" i="2"/>
  <c r="AS4603" i="2"/>
  <c r="AS4605" i="2" s="1"/>
  <c r="AS4623" i="2" l="1"/>
  <c r="AS4631" i="2"/>
  <c r="AS4622" i="2"/>
  <c r="AU4629" i="2"/>
  <c r="AS4613" i="2"/>
  <c r="AS4615" i="2" s="1"/>
  <c r="AS4614" i="2"/>
  <c r="AS4616" i="2" s="1"/>
  <c r="AS4604" i="2"/>
  <c r="AS4606" i="2" s="1"/>
  <c r="AT4607" i="2" s="1"/>
  <c r="AS4617" i="2" l="1"/>
  <c r="AT4618" i="2" s="1"/>
  <c r="AS4642" i="2"/>
  <c r="AS4633" i="2"/>
  <c r="AU4640" i="2"/>
  <c r="AS4634" i="2"/>
  <c r="AS4624" i="2"/>
  <c r="AS4625" i="2"/>
  <c r="AS4627" i="2" s="1"/>
  <c r="AS4645" i="2" l="1"/>
  <c r="AS4653" i="2"/>
  <c r="AU4651" i="2"/>
  <c r="AS4644" i="2"/>
  <c r="AS4626" i="2"/>
  <c r="AS4628" i="2" s="1"/>
  <c r="AT4629" i="2" s="1"/>
  <c r="AS4635" i="2"/>
  <c r="AS4636" i="2"/>
  <c r="AS4638" i="2" s="1"/>
  <c r="AS4655" i="2" l="1"/>
  <c r="AU4662" i="2"/>
  <c r="AS4656" i="2"/>
  <c r="AS4637" i="2"/>
  <c r="AS4639" i="2" s="1"/>
  <c r="AT4640" i="2" s="1"/>
  <c r="AS4646" i="2"/>
  <c r="AS4647" i="2"/>
  <c r="AS4649" i="2" s="1"/>
  <c r="AS4657" i="2" l="1"/>
  <c r="AS4659" i="2" s="1"/>
  <c r="AS4658" i="2"/>
  <c r="AS4660" i="2" s="1"/>
  <c r="AS4648" i="2"/>
  <c r="AS4650" i="2" s="1"/>
  <c r="AT4651" i="2" s="1"/>
  <c r="AS4661" i="2" l="1"/>
  <c r="AT4662" i="2" s="1"/>
  <c r="AU18" i="2" s="1"/>
  <c r="AU19" i="2" s="1"/>
  <c r="I16" i="2" s="1"/>
  <c r="L35" i="2" l="1"/>
  <c r="V40" i="3"/>
  <c r="U40" i="3" s="1"/>
  <c r="T44" i="3" s="1"/>
  <c r="AU20" i="2"/>
  <c r="U44" i="3" l="1"/>
  <c r="T41" i="3"/>
  <c r="L37" i="2"/>
  <c r="L36" i="2"/>
  <c r="I37" i="2"/>
  <c r="E37" i="2"/>
  <c r="J36" i="2"/>
  <c r="F36" i="2"/>
  <c r="J37" i="2"/>
  <c r="F37" i="2"/>
  <c r="K36" i="2"/>
  <c r="G36" i="2"/>
  <c r="C36" i="2"/>
  <c r="I36" i="2"/>
  <c r="K37" i="2"/>
  <c r="G37" i="2"/>
  <c r="C37" i="2"/>
  <c r="H36" i="2"/>
  <c r="D36" i="2"/>
  <c r="H37" i="2"/>
  <c r="D37" i="2"/>
  <c r="E36" i="2"/>
  <c r="B37" i="2"/>
  <c r="B36" i="2"/>
  <c r="C35" i="2"/>
  <c r="D35" i="2"/>
  <c r="E35" i="2"/>
  <c r="F35" i="2"/>
  <c r="G35" i="2"/>
  <c r="H35" i="2"/>
  <c r="I35" i="2"/>
  <c r="J35" i="2"/>
  <c r="K35" i="2"/>
  <c r="U41" i="3" l="1"/>
</calcChain>
</file>

<file path=xl/sharedStrings.xml><?xml version="1.0" encoding="utf-8"?>
<sst xmlns="http://schemas.openxmlformats.org/spreadsheetml/2006/main" count="21761" uniqueCount="374">
  <si>
    <t>CONTROL VALVE SIZING: LIQUID</t>
  </si>
  <si>
    <t>Flow</t>
  </si>
  <si>
    <t>Q</t>
  </si>
  <si>
    <t>DESCRIPTION OF VARIABLE</t>
  </si>
  <si>
    <t>NAME OF VARIABLE</t>
  </si>
  <si>
    <t>FORMULA</t>
  </si>
  <si>
    <t>Inlet pressure</t>
  </si>
  <si>
    <t>P_1</t>
  </si>
  <si>
    <t>CALCULATED IN COLUMN "S"</t>
  </si>
  <si>
    <t>Pressure drop</t>
  </si>
  <si>
    <t>DELTA_P</t>
  </si>
  <si>
    <t>Critical pressure ratio factor</t>
  </si>
  <si>
    <t>F_F</t>
  </si>
  <si>
    <t>G</t>
  </si>
  <si>
    <t>WITHOUT REDUCERS</t>
  </si>
  <si>
    <t>Vapor pressure</t>
  </si>
  <si>
    <t>P_V</t>
  </si>
  <si>
    <t>C Non choked</t>
  </si>
  <si>
    <t>C_NonCh</t>
  </si>
  <si>
    <t>Critical pressure</t>
  </si>
  <si>
    <t>P_C</t>
  </si>
  <si>
    <t>======&gt;</t>
  </si>
  <si>
    <t>C Choked</t>
  </si>
  <si>
    <t>C_Ch</t>
  </si>
  <si>
    <t>Recovery factor</t>
  </si>
  <si>
    <t>F_L</t>
  </si>
  <si>
    <t>Choked pressure drop</t>
  </si>
  <si>
    <t>Inlet pipe diameter</t>
  </si>
  <si>
    <t>D_1</t>
  </si>
  <si>
    <t>Select C Non choked or C choked</t>
  </si>
  <si>
    <t>Outlet pipe diameter</t>
  </si>
  <si>
    <t>D_2</t>
  </si>
  <si>
    <t>(This is the initial guess for</t>
  </si>
  <si>
    <t>Valve size</t>
  </si>
  <si>
    <t>d</t>
  </si>
  <si>
    <t xml:space="preserve"> the following iterative calculations)</t>
  </si>
  <si>
    <t>Valve style SPL code</t>
  </si>
  <si>
    <t>VSC</t>
  </si>
  <si>
    <t>Valve type</t>
  </si>
  <si>
    <t xml:space="preserve">Pipe wall correction </t>
  </si>
  <si>
    <t>dB(A)</t>
  </si>
  <si>
    <t>DeltaLp</t>
  </si>
  <si>
    <t>Globe</t>
  </si>
  <si>
    <t>WITH REDUCERS</t>
  </si>
  <si>
    <t>Rotary eccentric plug</t>
  </si>
  <si>
    <t>Reducer velocity head coefficients</t>
  </si>
  <si>
    <t>ZETA_1</t>
  </si>
  <si>
    <t xml:space="preserve">  Choked delta p</t>
  </si>
  <si>
    <t>Segment ball</t>
  </si>
  <si>
    <t>ZETA_B1</t>
  </si>
  <si>
    <t xml:space="preserve">  Sound pressure level</t>
  </si>
  <si>
    <t>Butterfly</t>
  </si>
  <si>
    <t>ZETA_2</t>
  </si>
  <si>
    <t>Full ball</t>
  </si>
  <si>
    <t>ZETA_B2</t>
  </si>
  <si>
    <t>Sum of velocity head coefficients</t>
  </si>
  <si>
    <t>SIGMA_ZETA</t>
  </si>
  <si>
    <t>Sum of upstream velocity head coef</t>
  </si>
  <si>
    <t>SIGMA_ZETA_1</t>
  </si>
  <si>
    <t>Beginning of iterative calculation</t>
  </si>
  <si>
    <t>Assumed C for iterative purposes</t>
  </si>
  <si>
    <t>C_i</t>
  </si>
  <si>
    <t>Piping geometry factor</t>
  </si>
  <si>
    <t>F_P</t>
  </si>
  <si>
    <t>Numerical constants</t>
  </si>
  <si>
    <t>Combined liquid pressure recovery</t>
  </si>
  <si>
    <t>N_1</t>
  </si>
  <si>
    <t xml:space="preserve"> factor and piping geometry factor</t>
  </si>
  <si>
    <t>F_LP</t>
  </si>
  <si>
    <t>C Non choked w/ reducers</t>
  </si>
  <si>
    <t>C_NonCh_W_Reducers</t>
  </si>
  <si>
    <t>12.1=density lbm/ft^3, pressure psia</t>
  </si>
  <si>
    <t>C Choked w/ reducers</t>
  </si>
  <si>
    <t>C_Ch_W_Reducers</t>
  </si>
  <si>
    <t>39.0 =density kg/m^3, barA</t>
  </si>
  <si>
    <t>Choked pressure drop w/ reducers</t>
  </si>
  <si>
    <t xml:space="preserve">  3.0=density kg/m^3, pressure kPaA</t>
  </si>
  <si>
    <t>1=flow coef is Cv 2=flow coef is Kv</t>
  </si>
  <si>
    <t>Ci/ C, this iteration</t>
  </si>
  <si>
    <t>C_i divided by S29</t>
  </si>
  <si>
    <t>FLAG_1 &amp; N_41 only have an effect in the noise calculation</t>
  </si>
  <si>
    <t>Ci / C, this iteration</t>
  </si>
  <si>
    <t>CI / C, this iteration</t>
  </si>
  <si>
    <t>Hydrodynamic noise calculation</t>
  </si>
  <si>
    <t>Valve nominal size in inches</t>
  </si>
  <si>
    <t>d_in</t>
  </si>
  <si>
    <t>Cv/nominal size in inches squared</t>
  </si>
  <si>
    <t>C_d</t>
  </si>
  <si>
    <t>VALVE STYLE SPECIFIC</t>
  </si>
  <si>
    <t>PRESSURE DROP RATIOS WHERE</t>
  </si>
  <si>
    <t>CAVITATION NOISE IS FIRST</t>
  </si>
  <si>
    <t>DETECTED</t>
  </si>
  <si>
    <t xml:space="preserve">  For globe valves</t>
  </si>
  <si>
    <t>z_0</t>
  </si>
  <si>
    <t xml:space="preserve">  For eccentric rotary plug valves</t>
  </si>
  <si>
    <t>z_1</t>
  </si>
  <si>
    <t xml:space="preserve">  For segment ball valves</t>
  </si>
  <si>
    <t>z_2</t>
  </si>
  <si>
    <t xml:space="preserve">  For butterfly valves</t>
  </si>
  <si>
    <t>z_3</t>
  </si>
  <si>
    <t xml:space="preserve">  For ball valves</t>
  </si>
  <si>
    <t>z_4</t>
  </si>
  <si>
    <t xml:space="preserve">  For selected valve based on VSC</t>
  </si>
  <si>
    <t>z</t>
  </si>
  <si>
    <t xml:space="preserve">  (Valve Style Code)</t>
  </si>
  <si>
    <t>Pressure drop ratio</t>
  </si>
  <si>
    <t>x_F</t>
  </si>
  <si>
    <t>Scaled pressure drop ratio</t>
  </si>
  <si>
    <t>x_R</t>
  </si>
  <si>
    <t>VALVE STYLE SPECIFIC NOISE</t>
  </si>
  <si>
    <t>COEFFICIENT</t>
  </si>
  <si>
    <t>DeltaLf_0</t>
  </si>
  <si>
    <t>DeltaLf_1</t>
  </si>
  <si>
    <t>DeltaLf_2</t>
  </si>
  <si>
    <t>DeltaLf_3</t>
  </si>
  <si>
    <t>DeltaLf_4</t>
  </si>
  <si>
    <t>DeltaLf</t>
  </si>
  <si>
    <t>Common portion of SPL Calculation</t>
  </si>
  <si>
    <t>SPL_C</t>
  </si>
  <si>
    <t>SPL calculation if x_F is &lt;=z</t>
  </si>
  <si>
    <t>SPL_L</t>
  </si>
  <si>
    <t>SPL calculation if x_F is &gt;z</t>
  </si>
  <si>
    <t>SPL_G</t>
  </si>
  <si>
    <t>Selected SPL (SPL_L or SPL_G)</t>
  </si>
  <si>
    <t>SPL_SELECTED</t>
  </si>
  <si>
    <t>1=flow is gpm, valve size is inch, inlet velocity is ft/s</t>
  </si>
  <si>
    <t>2= flow is m^3/h, valve size is mm, inlet velocity is m/s</t>
  </si>
  <si>
    <t>TAG:</t>
  </si>
  <si>
    <t>Data input</t>
  </si>
  <si>
    <t>Final results</t>
  </si>
  <si>
    <r>
      <t>Specific gravity (</t>
    </r>
    <r>
      <rPr>
        <sz val="10"/>
        <rFont val="Symbol"/>
        <family val="1"/>
        <charset val="2"/>
      </rPr>
      <t>r</t>
    </r>
    <r>
      <rPr>
        <vertAlign val="subscript"/>
        <sz val="10"/>
        <rFont val="Arial"/>
        <family val="2"/>
      </rPr>
      <t>1</t>
    </r>
    <r>
      <rPr>
        <sz val="10"/>
        <rFont val="Arial"/>
        <family val="2"/>
      </rPr>
      <t>/</t>
    </r>
    <r>
      <rPr>
        <sz val="10"/>
        <rFont val="Symbol"/>
        <family val="1"/>
        <charset val="2"/>
      </rPr>
      <t>r</t>
    </r>
    <r>
      <rPr>
        <vertAlign val="subscript"/>
        <sz val="10"/>
        <rFont val="Arial"/>
        <family val="2"/>
      </rPr>
      <t>0</t>
    </r>
    <r>
      <rPr>
        <sz val="10"/>
        <rFont val="Arial"/>
        <family val="2"/>
      </rPr>
      <t>)</t>
    </r>
  </si>
  <si>
    <t>Valve sizing per ISA S75.01.01 2012</t>
  </si>
  <si>
    <t>Applicable_C_NonCh_or_Ch</t>
  </si>
  <si>
    <t>Delta_P_Ch_W_Reducers</t>
  </si>
  <si>
    <t>Delta_P_Ch</t>
  </si>
  <si>
    <t>Confirmation that the calculated C will</t>
  </si>
  <si>
    <t>produce the given flow rate</t>
  </si>
  <si>
    <t>Final C calculated above</t>
  </si>
  <si>
    <t>Final_Calculated_C</t>
  </si>
  <si>
    <t>Final_F_P</t>
  </si>
  <si>
    <t>Final_F_LP</t>
  </si>
  <si>
    <t>Flow Non choked w/ reducers</t>
  </si>
  <si>
    <t>Final_Flow_NonCh_W_Reducers</t>
  </si>
  <si>
    <t>Flow Choked w/ reducers</t>
  </si>
  <si>
    <t>Final_Flow_Ch_W_Reducers</t>
  </si>
  <si>
    <t>Final_Delta_P_Ch_W_Reducers</t>
  </si>
  <si>
    <t>Calc_Flow_From_Final_ Calc_C</t>
  </si>
  <si>
    <t>Based on VDMA24422 1979</t>
  </si>
  <si>
    <t>Eqn.</t>
  </si>
  <si>
    <t xml:space="preserve">  Valve inlet velocity</t>
  </si>
  <si>
    <t xml:space="preserve">This worksheet is distributed at no cost on an as-is basis. </t>
  </si>
  <si>
    <t>The author does not assume any liability for its use.</t>
  </si>
  <si>
    <t xml:space="preserve">  Selected valve style (VSC)</t>
  </si>
  <si>
    <t>Kinematic viscosity</t>
  </si>
  <si>
    <t>Valve style modifier</t>
  </si>
  <si>
    <t>F_D</t>
  </si>
  <si>
    <t xml:space="preserve">  Valve Reynolds Number</t>
  </si>
  <si>
    <t>N_4</t>
  </si>
  <si>
    <t>PV123</t>
  </si>
  <si>
    <t>Valve Reynolds Number</t>
  </si>
  <si>
    <t>Initial value of C for Non-turb Calculations</t>
  </si>
  <si>
    <t>C_i_NT</t>
  </si>
  <si>
    <t>A.8a</t>
  </si>
  <si>
    <t>A8.b</t>
  </si>
  <si>
    <t>N_32</t>
  </si>
  <si>
    <r>
      <t xml:space="preserve">  Reynolds Number Factor (F</t>
    </r>
    <r>
      <rPr>
        <vertAlign val="subscript"/>
        <sz val="10"/>
        <rFont val="Arial"/>
        <family val="2"/>
      </rPr>
      <t>R</t>
    </r>
    <r>
      <rPr>
        <sz val="10"/>
        <rFont val="Arial"/>
        <family val="2"/>
      </rPr>
      <t>)</t>
    </r>
  </si>
  <si>
    <r>
      <t xml:space="preserve">     For laminar flow (Re</t>
    </r>
    <r>
      <rPr>
        <vertAlign val="subscript"/>
        <sz val="10"/>
        <rFont val="Arial"/>
        <family val="2"/>
      </rPr>
      <t>v</t>
    </r>
    <r>
      <rPr>
        <sz val="10"/>
        <rFont val="Arial"/>
        <family val="2"/>
      </rPr>
      <t xml:space="preserve"> &lt; 10)</t>
    </r>
  </si>
  <si>
    <r>
      <t xml:space="preserve">     For transitional flow (Re</t>
    </r>
    <r>
      <rPr>
        <vertAlign val="subscript"/>
        <sz val="10"/>
        <rFont val="Arial"/>
        <family val="2"/>
      </rPr>
      <t>v</t>
    </r>
    <r>
      <rPr>
        <sz val="10"/>
        <rFont val="Arial"/>
        <family val="2"/>
      </rPr>
      <t xml:space="preserve"> &gt;= 10)</t>
    </r>
  </si>
  <si>
    <t>Select Eta, full or reduced trim</t>
  </si>
  <si>
    <t>A.6</t>
  </si>
  <si>
    <r>
      <t xml:space="preserve">     Selected based on actual Re</t>
    </r>
    <r>
      <rPr>
        <vertAlign val="subscript"/>
        <sz val="10"/>
        <rFont val="Arial"/>
        <family val="2"/>
      </rPr>
      <t>v</t>
    </r>
  </si>
  <si>
    <t>A.7</t>
  </si>
  <si>
    <t>A.2</t>
  </si>
  <si>
    <t>Change from previouse iteration</t>
  </si>
  <si>
    <t>Non-Turbulent Calculation of C</t>
  </si>
  <si>
    <t>Calculated flow from final calculated C</t>
  </si>
  <si>
    <t>N_18</t>
  </si>
  <si>
    <t xml:space="preserve">  Turbulent flow coef. (Cv or Kv)</t>
  </si>
  <si>
    <t xml:space="preserve">  Non-turb. Flow Calc from Cv or Kv</t>
  </si>
  <si>
    <t>TURB1</t>
  </si>
  <si>
    <t>TURB2</t>
  </si>
  <si>
    <t>TURB4</t>
  </si>
  <si>
    <t>TURB3</t>
  </si>
  <si>
    <t>N_TURB1</t>
  </si>
  <si>
    <t>N_TURB2</t>
  </si>
  <si>
    <t>N_TURB3</t>
  </si>
  <si>
    <t>N_TURB4</t>
  </si>
  <si>
    <t>If it is, error messages are blanked out of the calculated results.</t>
  </si>
  <si>
    <t>The cells below (Rows 52 &amp; 54) detrmine if any input data is missing.</t>
  </si>
  <si>
    <t>FLAG_3 only has an effect of the Inlet velocity calculation</t>
  </si>
  <si>
    <t>C_</t>
  </si>
  <si>
    <t xml:space="preserve">  Non-turb flow coef. (Cv or Kv)</t>
  </si>
  <si>
    <t>Calculated flow from Initial Cv</t>
  </si>
  <si>
    <t>Non-turbulent flow this iteration</t>
  </si>
  <si>
    <t>Re_V</t>
  </si>
  <si>
    <t>RED_TRM</t>
  </si>
  <si>
    <t>No</t>
  </si>
  <si>
    <t xml:space="preserve">  Turbulent flow calc from Cv or Kv</t>
  </si>
  <si>
    <t>CALCULATED IN COLUMN "P"</t>
  </si>
  <si>
    <t>Intermediate Calculations</t>
  </si>
  <si>
    <t>Minimum design flow (From Col D)</t>
  </si>
  <si>
    <t>Q_min</t>
  </si>
  <si>
    <t>Maximum design flow (From Col F)</t>
  </si>
  <si>
    <t>Q_max</t>
  </si>
  <si>
    <t>P_1_minQ</t>
  </si>
  <si>
    <t>P_1_maxQ</t>
  </si>
  <si>
    <t xml:space="preserve">Pressure drop at minimum des. flow </t>
  </si>
  <si>
    <t xml:space="preserve">Pressure drop at maximum des. flow </t>
  </si>
  <si>
    <t>DELTA_P_minQ</t>
  </si>
  <si>
    <t>DELTA_P_maxQ</t>
  </si>
  <si>
    <t>Valve inlet pressure at minimum des. Flow</t>
  </si>
  <si>
    <t>Valve inlet pressure at maximum des. flow</t>
  </si>
  <si>
    <t>Valve outlet pressure at minimum des. Flow</t>
  </si>
  <si>
    <t>Valve outlet pressure at maximum des. flow</t>
  </si>
  <si>
    <t>P_2_minQ</t>
  </si>
  <si>
    <t>P_2_maxQ</t>
  </si>
  <si>
    <t>Upstream system drop</t>
  </si>
  <si>
    <t>dp_up</t>
  </si>
  <si>
    <t>Upstream system resistance factor</t>
  </si>
  <si>
    <t>R_up</t>
  </si>
  <si>
    <t>dp_dn</t>
  </si>
  <si>
    <t>Downstream system drop</t>
  </si>
  <si>
    <t>Downstream system resistance factor</t>
  </si>
  <si>
    <t>R_dn</t>
  </si>
  <si>
    <t>dpup_minQ</t>
  </si>
  <si>
    <t>dpdn_minQ</t>
  </si>
  <si>
    <t>Upstream system press drop an min flow</t>
  </si>
  <si>
    <t>Downstream system press drop an min flow</t>
  </si>
  <si>
    <t>Combined liquid pressure recovery factor</t>
  </si>
  <si>
    <t>First iteration flow rate</t>
  </si>
  <si>
    <t>Q_i</t>
  </si>
  <si>
    <t>P1 at this iteration flow rate</t>
  </si>
  <si>
    <t>P1_Qi</t>
  </si>
  <si>
    <t>P2 at this iteration flow rate</t>
  </si>
  <si>
    <t>P2_Qi</t>
  </si>
  <si>
    <t>Next iteration flow rate</t>
  </si>
  <si>
    <t>CALCULATE PARAMETERS FOR UPSTREAM AND DOWNSTREAM PROCESS PRESSURE MODEL</t>
  </si>
  <si>
    <t>Scroll to the right to view the intermediate calculations.</t>
  </si>
  <si>
    <t>Abs Value of</t>
  </si>
  <si>
    <t>Total of 59 iterations</t>
  </si>
  <si>
    <t>Total of 12 iterations</t>
  </si>
  <si>
    <t>Flow this</t>
  </si>
  <si>
    <t>iteration</t>
  </si>
  <si>
    <t>Delta P at this iteration flow rate</t>
  </si>
  <si>
    <t>DELTA_P_Qi</t>
  </si>
  <si>
    <t>C_N_Ch</t>
  </si>
  <si>
    <t>Selected C this iteration</t>
  </si>
  <si>
    <t>DELTA_P_CH_W_Reducers</t>
  </si>
  <si>
    <t>Total iterations 421</t>
  </si>
  <si>
    <t>Min C_h - Ci</t>
  </si>
  <si>
    <t>C_h - C this iteration</t>
  </si>
  <si>
    <t>Flow at C_h</t>
  </si>
  <si>
    <t>C_h</t>
  </si>
  <si>
    <t>Relative Travel, h</t>
  </si>
  <si>
    <t>FLOW AT EACH INCREMENT OF RELATIVE VALVE TRAVEL</t>
  </si>
  <si>
    <t>Valve C at travel h (Cv or Kv)</t>
  </si>
  <si>
    <t>Relative travel, h</t>
  </si>
  <si>
    <t>C (Cv or Kv)</t>
  </si>
  <si>
    <r>
      <t>F</t>
    </r>
    <r>
      <rPr>
        <b/>
        <vertAlign val="subscript"/>
        <sz val="10"/>
        <rFont val="Arial"/>
        <family val="2"/>
      </rPr>
      <t>L</t>
    </r>
  </si>
  <si>
    <t>VALVE DATA</t>
  </si>
  <si>
    <t>Piping geometry factor at relative travel, h</t>
  </si>
  <si>
    <t xml:space="preserve"> and piping geometry factor at relative travel, h</t>
  </si>
  <si>
    <t>F_P_h</t>
  </si>
  <si>
    <t>F_LP_h</t>
  </si>
  <si>
    <t>Absolute value C_h - Selected C</t>
  </si>
  <si>
    <t>Values found on Line</t>
  </si>
  <si>
    <t xml:space="preserve">Valve relative travel, h </t>
  </si>
  <si>
    <t xml:space="preserve">Relative Flow Q/Qf </t>
  </si>
  <si>
    <t>Minimum Flow</t>
  </si>
  <si>
    <t>Maximum Flow</t>
  </si>
  <si>
    <t>Valve style / model #</t>
  </si>
  <si>
    <t>Scroll to the right to see the</t>
  </si>
  <si>
    <t xml:space="preserve">intermediate calculations   </t>
  </si>
  <si>
    <r>
      <t>Fully open Flow, Q</t>
    </r>
    <r>
      <rPr>
        <b/>
        <vertAlign val="subscript"/>
        <sz val="12"/>
        <color indexed="8"/>
        <rFont val="Arial"/>
        <family val="2"/>
      </rPr>
      <t>f</t>
    </r>
  </si>
  <si>
    <t>Delta h</t>
  </si>
  <si>
    <t>Delta Q</t>
  </si>
  <si>
    <t>Gain = Delta Q / Delta h</t>
  </si>
  <si>
    <t>Graph Data</t>
  </si>
  <si>
    <t>Installed gain is based on installed flow as graphed above.</t>
  </si>
  <si>
    <t>1.0 on the relative flow axis represents the maximum specified</t>
  </si>
  <si>
    <t>This makes it possible to compare valves of different sizes</t>
  </si>
  <si>
    <r>
      <t>design flow, Q</t>
    </r>
    <r>
      <rPr>
        <vertAlign val="subscript"/>
        <sz val="11"/>
        <rFont val="Arial"/>
        <family val="2"/>
      </rPr>
      <t>ma</t>
    </r>
    <r>
      <rPr>
        <vertAlign val="subscript"/>
        <sz val="10"/>
        <rFont val="Arial"/>
        <family val="2"/>
      </rPr>
      <t>x</t>
    </r>
    <r>
      <rPr>
        <sz val="10"/>
        <rFont val="Arial"/>
        <family val="2"/>
      </rPr>
      <t xml:space="preserve">, </t>
    </r>
    <r>
      <rPr>
        <vertAlign val="subscript"/>
        <sz val="10"/>
        <rFont val="Arial"/>
        <family val="2"/>
      </rPr>
      <t xml:space="preserve"> </t>
    </r>
    <r>
      <rPr>
        <sz val="10"/>
        <rFont val="Arial"/>
        <family val="2"/>
      </rPr>
      <t>for the system being evaluated.</t>
    </r>
  </si>
  <si>
    <t>and types when they are installed in the same system.</t>
  </si>
  <si>
    <t>`</t>
  </si>
  <si>
    <t>CALCULATE FLOW AT EACH  INCREMENT OF h</t>
  </si>
  <si>
    <t>Caculation of flow conditions</t>
  </si>
  <si>
    <t xml:space="preserve">Flow units are  </t>
  </si>
  <si>
    <t>Qmin vertical line</t>
  </si>
  <si>
    <t>Qmax vertical line</t>
  </si>
  <si>
    <t>INSTALED FLOW AND GAIN ERRORS</t>
  </si>
  <si>
    <t>Scroll down for instructions for the Installed flow and gain graphs and</t>
  </si>
  <si>
    <t>on this and the Installed Gain tab depend on the accuracy of the process</t>
  </si>
  <si>
    <t>data.</t>
  </si>
  <si>
    <t>design flow =</t>
  </si>
  <si>
    <r>
      <t>Q</t>
    </r>
    <r>
      <rPr>
        <sz val="9"/>
        <rFont val="Arial"/>
        <family val="2"/>
      </rPr>
      <t>max</t>
    </r>
    <r>
      <rPr>
        <sz val="10"/>
        <rFont val="Arial"/>
        <family val="2"/>
      </rPr>
      <t xml:space="preserve"> = maximum</t>
    </r>
  </si>
  <si>
    <r>
      <t>Q</t>
    </r>
    <r>
      <rPr>
        <sz val="9"/>
        <rFont val="Arial"/>
        <family val="2"/>
      </rPr>
      <t>min</t>
    </r>
    <r>
      <rPr>
        <sz val="10"/>
        <rFont val="Arial"/>
        <family val="2"/>
      </rPr>
      <t xml:space="preserve"> = minimum</t>
    </r>
  </si>
  <si>
    <r>
      <t>Q</t>
    </r>
    <r>
      <rPr>
        <b/>
        <sz val="8"/>
        <color indexed="8"/>
        <rFont val="Arial"/>
        <family val="2"/>
      </rPr>
      <t>f</t>
    </r>
    <r>
      <rPr>
        <b/>
        <sz val="10"/>
        <color indexed="8"/>
        <rFont val="Arial"/>
        <family val="2"/>
      </rPr>
      <t>=</t>
    </r>
  </si>
  <si>
    <r>
      <t>If there are any error messages below, the graphs and Q</t>
    </r>
    <r>
      <rPr>
        <sz val="8"/>
        <rFont val="Arial"/>
        <family val="2"/>
      </rPr>
      <t>f</t>
    </r>
    <r>
      <rPr>
        <sz val="10"/>
        <rFont val="Arial"/>
        <family val="2"/>
      </rPr>
      <t xml:space="preserve"> are not valid</t>
    </r>
  </si>
  <si>
    <r>
      <rPr>
        <b/>
        <sz val="10"/>
        <rFont val="Arial"/>
        <family val="2"/>
      </rPr>
      <t xml:space="preserve">               INSTRUCTIONS FOR THE OPTIONAL INSTALLED FLOW AND GAIN GRAPHS 
                                               AND FULLY OPEN FLOW CALCULATION                                                               
</t>
    </r>
    <r>
      <rPr>
        <sz val="10"/>
        <rFont val="Arial"/>
        <family val="2"/>
      </rPr>
      <t xml:space="preserve">The process pressure model is a curve fit based on the Flow, P1 and Delta P in Columns D and G on the Valve Sizing tab. The curve fit is based on the principle that piping pressure losses are approximately proportional to flow squared. </t>
    </r>
    <r>
      <rPr>
        <sz val="10"/>
        <color rgb="FFFF0000"/>
        <rFont val="Arial"/>
        <family val="2"/>
      </rPr>
      <t>This model is only valid for fully turbulent flow.</t>
    </r>
    <r>
      <rPr>
        <sz val="10"/>
        <rFont val="Arial"/>
        <family val="2"/>
      </rPr>
      <t xml:space="preserve"> The Vapor pressure and specific gravity used in the installed flow calculation are the values entered in Column G on the Valve Sizing tab. </t>
    </r>
    <r>
      <rPr>
        <b/>
        <sz val="10"/>
        <rFont val="Arial"/>
        <family val="2"/>
      </rPr>
      <t xml:space="preserve">
</t>
    </r>
    <r>
      <rPr>
        <sz val="10"/>
        <rFont val="Arial"/>
        <family val="2"/>
      </rPr>
      <t xml:space="preserve">
To calculate the fully open flow, Qf, the installed flow and the installed gain, on the </t>
    </r>
    <r>
      <rPr>
        <b/>
        <sz val="10"/>
        <rFont val="Arial"/>
        <family val="2"/>
      </rPr>
      <t>Valve Sizing</t>
    </r>
    <r>
      <rPr>
        <sz val="10"/>
        <rFont val="Arial"/>
        <family val="2"/>
      </rPr>
      <t xml:space="preserve"> tab, enter the minimum design flow along with its associated values of P1 and Delta P in Column D and the maximum design flow along with its associated values of P1 and Delta P in Column G. </t>
    </r>
    <r>
      <rPr>
        <sz val="10"/>
        <color rgb="FFFF0000"/>
        <rFont val="Arial"/>
        <family val="2"/>
      </rPr>
      <t>The accuracy of these calculations depends on the accuracy of the process data that is used</t>
    </r>
    <r>
      <rPr>
        <sz val="10"/>
        <rFont val="Arial"/>
        <family val="2"/>
      </rPr>
      <t xml:space="preserve">. Any process conditions entered in Columns E and F are not used in the calculation of the fully open flow, the installed flow and the installed gain.
</t>
    </r>
    <r>
      <rPr>
        <b/>
        <sz val="10"/>
        <rFont val="Arial"/>
        <family val="2"/>
      </rPr>
      <t xml:space="preserve">
T</t>
    </r>
    <r>
      <rPr>
        <sz val="10"/>
        <rFont val="Arial"/>
        <family val="2"/>
      </rPr>
      <t>he process model, Qf, and the graphs are only valid if:
1. The flow in G2 on the Valve Sizing tab is greater than the flow in D2
2. P1 is either constant or decreasing with increasing flow
3. P2 is either constant or increasing with increasing flow
4. Flow is turbulent.</t>
    </r>
    <r>
      <rPr>
        <b/>
        <sz val="10"/>
        <rFont val="Arial"/>
        <family val="2"/>
      </rPr>
      <t xml:space="preserve">
</t>
    </r>
    <r>
      <rPr>
        <sz val="10"/>
        <rFont val="Arial"/>
        <family val="2"/>
      </rPr>
      <t>NOTE: Extrapolating curve-fit data beyond the limits for which the curve fit was established can be uncertain. The farther beyond the limits, the greater is the potential for uncertainty. As such, the fully open flow, the Installed Flow and the Installed Gain should be treated as approximations.</t>
    </r>
  </si>
  <si>
    <t>Valve relative travel, h</t>
  </si>
  <si>
    <t>Relative flow Q/Qmax</t>
  </si>
  <si>
    <t>Neles RE</t>
  </si>
  <si>
    <t>3 inch</t>
  </si>
  <si>
    <t>Milti-stage globe</t>
  </si>
  <si>
    <t xml:space="preserve">  For multi-stage globe valves</t>
  </si>
  <si>
    <t>DeltaLf_5</t>
  </si>
  <si>
    <t>z_5</t>
  </si>
  <si>
    <t>Final Reynolds Number with error hidden</t>
  </si>
  <si>
    <t xml:space="preserve">The cell below prevents an error in M20 above when viscosity and F_D are </t>
  </si>
  <si>
    <t>not entered in Columns D and G of the Valve Sizing tab.</t>
  </si>
  <si>
    <t>N_2 *</t>
  </si>
  <si>
    <t>N_41 *</t>
  </si>
  <si>
    <t>N_41 is a constant added by the Author for setting the noise calculation to use the appropriate units.</t>
  </si>
  <si>
    <t>which incllude all the options for the ISA Standard</t>
  </si>
  <si>
    <t>NOTE: The constants in B53, 54, 55, 56, 57, 58, 61 and 62 are set by formulas in those cells and are based on the unit selection made in Cell B1.</t>
  </si>
  <si>
    <t>* Using anything other than the exact numeric values in Table 1 of ISA S75.01.01 or Table 1 of the author's instructions may result in a logic error in the Mach number calc.</t>
  </si>
  <si>
    <t>FLAG_3**</t>
  </si>
  <si>
    <t>*** Using anything other than the exact numeric values for FLAG_1 may result in a logic error in the noise calculation.</t>
  </si>
  <si>
    <t>FLAG_1 ***</t>
  </si>
  <si>
    <t>** Using anything other than the exact numeric values for FLAG_3 may result in a logic error in the velocity calculation.</t>
  </si>
  <si>
    <t>Unit selection:</t>
  </si>
  <si>
    <r>
      <t>Reduced trim? C</t>
    </r>
    <r>
      <rPr>
        <vertAlign val="subscript"/>
        <sz val="11"/>
        <rFont val="Arial"/>
        <family val="2"/>
      </rPr>
      <t>(Rated</t>
    </r>
    <r>
      <rPr>
        <sz val="8"/>
        <rFont val="Arial"/>
        <family val="2"/>
      </rPr>
      <t>)</t>
    </r>
    <r>
      <rPr>
        <sz val="10"/>
        <rFont val="Arial"/>
        <family val="2"/>
      </rPr>
      <t>&lt;N18*0.016 (yes or no)</t>
    </r>
  </si>
  <si>
    <t>n</t>
  </si>
  <si>
    <r>
      <t xml:space="preserve">For non-turbulent flow (valve Reynolds Number &lt; 10,000) - </t>
    </r>
    <r>
      <rPr>
        <u/>
        <sz val="10"/>
        <rFont val="Arial"/>
        <family val="2"/>
      </rPr>
      <t>Optional calculation</t>
    </r>
    <r>
      <rPr>
        <sz val="10"/>
        <rFont val="Arial"/>
        <family val="2"/>
      </rPr>
      <t xml:space="preserve"> if non-turbulent flow is suspected</t>
    </r>
  </si>
  <si>
    <r>
      <t>Eta, C/d</t>
    </r>
    <r>
      <rPr>
        <vertAlign val="superscript"/>
        <sz val="10"/>
        <rFont val="Arial"/>
        <family val="2"/>
      </rPr>
      <t>2</t>
    </r>
    <r>
      <rPr>
        <sz val="10"/>
        <rFont val="Arial"/>
        <family val="2"/>
      </rPr>
      <t xml:space="preserve"> &gt;= 0.016 (Full area trim)</t>
    </r>
  </si>
  <si>
    <r>
      <t>Eta, C/d</t>
    </r>
    <r>
      <rPr>
        <vertAlign val="superscript"/>
        <sz val="10"/>
        <rFont val="Arial"/>
        <family val="2"/>
      </rPr>
      <t>2</t>
    </r>
    <r>
      <rPr>
        <sz val="10"/>
        <rFont val="Arial"/>
        <family val="2"/>
      </rPr>
      <t xml:space="preserve"> &lt; 0.016 (reduced trim)</t>
    </r>
  </si>
  <si>
    <t>These Numerical constants are set by the units choises set by the user above the user interface</t>
  </si>
  <si>
    <r>
      <t>1 = US;  2 = SI (C</t>
    </r>
    <r>
      <rPr>
        <vertAlign val="subscript"/>
        <sz val="10"/>
        <rFont val="Arial"/>
        <family val="2"/>
      </rPr>
      <t>v</t>
    </r>
    <r>
      <rPr>
        <sz val="10"/>
        <rFont val="Arial"/>
        <family val="2"/>
      </rPr>
      <t>, bar);  3 = SI (C</t>
    </r>
    <r>
      <rPr>
        <vertAlign val="subscript"/>
        <sz val="10"/>
        <rFont val="Arial"/>
        <family val="2"/>
      </rPr>
      <t>v</t>
    </r>
    <r>
      <rPr>
        <sz val="10"/>
        <rFont val="Arial"/>
        <family val="2"/>
      </rPr>
      <t>, kPa);  4 = SI (K</t>
    </r>
    <r>
      <rPr>
        <vertAlign val="subscript"/>
        <sz val="10"/>
        <rFont val="Arial"/>
        <family val="2"/>
      </rPr>
      <t>v</t>
    </r>
    <r>
      <rPr>
        <sz val="10"/>
        <rFont val="Arial"/>
        <family val="2"/>
      </rPr>
      <t>, bar);  5 = SI (K</t>
    </r>
    <r>
      <rPr>
        <vertAlign val="subscript"/>
        <sz val="10"/>
        <rFont val="Arial"/>
        <family val="2"/>
      </rPr>
      <t>v</t>
    </r>
    <r>
      <rPr>
        <sz val="10"/>
        <rFont val="Arial"/>
        <family val="2"/>
      </rPr>
      <t>, kPa)</t>
    </r>
  </si>
  <si>
    <t>Globe, 4 port cage</t>
  </si>
  <si>
    <t>Globe, Parabolic plug</t>
  </si>
  <si>
    <t>Intermediate calculations</t>
  </si>
  <si>
    <t>CALCULATED IN COLUMN "O"</t>
  </si>
  <si>
    <t xml:space="preserve">where Kv has been converted to Cv if the worksheet has been </t>
  </si>
  <si>
    <t>configured for Kv and valve size in mm has been converted</t>
  </si>
  <si>
    <t>to inch if the worksheet has been configured for mm.</t>
  </si>
  <si>
    <t>The value of "Cv_over_d_Sq_T" is taken from the Valve Sizing tab (S, T, U, V 628)</t>
  </si>
  <si>
    <r>
      <t>Valve Cv/Valve size squared (</t>
    </r>
    <r>
      <rPr>
        <b/>
        <sz val="10"/>
        <rFont val="Arial"/>
        <family val="2"/>
      </rPr>
      <t>Turbulent flow</t>
    </r>
    <r>
      <rPr>
        <sz val="10"/>
        <rFont val="Arial"/>
        <family val="2"/>
      </rPr>
      <t>)</t>
    </r>
  </si>
  <si>
    <r>
      <t>Valve Cv/Valve size squared (</t>
    </r>
    <r>
      <rPr>
        <b/>
        <sz val="10"/>
        <rFont val="Arial"/>
        <family val="2"/>
      </rPr>
      <t>NonTurbulent flow</t>
    </r>
    <r>
      <rPr>
        <sz val="10"/>
        <rFont val="Arial"/>
        <family val="2"/>
      </rPr>
      <t>)</t>
    </r>
  </si>
  <si>
    <r>
      <t>Cv_over_d_Sq_</t>
    </r>
    <r>
      <rPr>
        <b/>
        <sz val="10"/>
        <rFont val="Arial"/>
        <family val="2"/>
      </rPr>
      <t>T</t>
    </r>
  </si>
  <si>
    <r>
      <t>Cv_over_d_Sq_</t>
    </r>
    <r>
      <rPr>
        <b/>
        <sz val="10"/>
        <rFont val="Arial"/>
        <family val="2"/>
      </rPr>
      <t>NT</t>
    </r>
  </si>
  <si>
    <t>The value of "Cv_over_d_Sq_NT" is calculated from the Non-turb flow coef. on</t>
  </si>
  <si>
    <t>Line 26 of the Valve Sizing tab converted to Cv if the worksheet has been configured</t>
  </si>
  <si>
    <t>for Kv and Valve size in D12 of the Valve Sizing tab is converted to inch</t>
  </si>
  <si>
    <t xml:space="preserve"> if the worksheet has been configured for valve size in mm.</t>
  </si>
  <si>
    <r>
      <t>Liquid pressure recovery factor. F</t>
    </r>
    <r>
      <rPr>
        <vertAlign val="subscript"/>
        <sz val="10"/>
        <rFont val="Arial"/>
        <family val="2"/>
      </rPr>
      <t>L</t>
    </r>
  </si>
  <si>
    <r>
      <t>Typical F</t>
    </r>
    <r>
      <rPr>
        <b/>
        <vertAlign val="subscript"/>
        <sz val="14"/>
        <rFont val="Arial"/>
        <family val="2"/>
      </rPr>
      <t>L</t>
    </r>
    <r>
      <rPr>
        <sz val="10"/>
        <rFont val="Arial"/>
        <family val="2"/>
      </rPr>
      <t xml:space="preserve"> values based on the Cv reported on Line </t>
    </r>
    <r>
      <rPr>
        <sz val="10"/>
        <color rgb="FFFF0000"/>
        <rFont val="Arial"/>
        <family val="2"/>
      </rPr>
      <t>15</t>
    </r>
    <r>
      <rPr>
        <sz val="10"/>
        <rFont val="Arial"/>
        <family val="2"/>
      </rPr>
      <t xml:space="preserve"> of the Valve Sizing tab </t>
    </r>
  </si>
  <si>
    <r>
      <t>Typical F</t>
    </r>
    <r>
      <rPr>
        <b/>
        <vertAlign val="subscript"/>
        <sz val="14"/>
        <rFont val="Arial"/>
        <family val="2"/>
      </rPr>
      <t>L</t>
    </r>
    <r>
      <rPr>
        <sz val="10"/>
        <rFont val="Arial"/>
        <family val="2"/>
      </rPr>
      <t xml:space="preserve"> values based on the Cv reported on Line </t>
    </r>
    <r>
      <rPr>
        <sz val="10"/>
        <color rgb="FFFF0000"/>
        <rFont val="Arial"/>
        <family val="2"/>
      </rPr>
      <t>26</t>
    </r>
    <r>
      <rPr>
        <sz val="10"/>
        <rFont val="Arial"/>
        <family val="2"/>
      </rPr>
      <t xml:space="preserve"> of the Valve Sizing tab </t>
    </r>
  </si>
  <si>
    <r>
      <rPr>
        <sz val="10"/>
        <rFont val="Arial"/>
        <family val="2"/>
      </rPr>
      <t>for</t>
    </r>
    <r>
      <rPr>
        <sz val="14"/>
        <rFont val="Arial"/>
        <family val="2"/>
      </rPr>
      <t xml:space="preserve"> </t>
    </r>
    <r>
      <rPr>
        <sz val="10"/>
        <color rgb="FFFF0000"/>
        <rFont val="Arial"/>
        <family val="2"/>
      </rPr>
      <t>TURBULENT FLOW</t>
    </r>
    <r>
      <rPr>
        <u/>
        <sz val="10"/>
        <rFont val="Arial"/>
        <family val="2"/>
      </rPr>
      <t xml:space="preserve"> </t>
    </r>
    <r>
      <rPr>
        <sz val="10"/>
        <rFont val="Arial"/>
        <family val="2"/>
      </rPr>
      <t xml:space="preserve">and the valve size entered in D12 of the Valve Sizing tab.       </t>
    </r>
  </si>
  <si>
    <r>
      <rPr>
        <sz val="10"/>
        <rFont val="Arial"/>
        <family val="2"/>
      </rPr>
      <t xml:space="preserve">for </t>
    </r>
    <r>
      <rPr>
        <sz val="10"/>
        <color rgb="FFFF0000"/>
        <rFont val="Arial"/>
        <family val="2"/>
      </rPr>
      <t>NON-TURBULENT FLOW</t>
    </r>
    <r>
      <rPr>
        <sz val="10"/>
        <rFont val="Arial"/>
        <family val="2"/>
      </rPr>
      <t xml:space="preserve"> and the valve size entered in D12 of the Valve Sizing tab.       </t>
    </r>
  </si>
  <si>
    <t xml:space="preserve">For initial  calculations (before </t>
  </si>
  <si>
    <t xml:space="preserve">the Cv is known), consider using </t>
  </si>
  <si>
    <t xml:space="preserve">Minimum </t>
  </si>
  <si>
    <t>Maximum</t>
  </si>
  <si>
    <r>
      <t>the F</t>
    </r>
    <r>
      <rPr>
        <vertAlign val="subscript"/>
        <sz val="10"/>
        <rFont val="Arial"/>
        <family val="2"/>
      </rPr>
      <t>L</t>
    </r>
    <r>
      <rPr>
        <sz val="10"/>
        <rFont val="Arial"/>
        <family val="2"/>
      </rPr>
      <t xml:space="preserve"> values listed below.</t>
    </r>
  </si>
  <si>
    <t>Case 1</t>
  </si>
  <si>
    <t>Case 2</t>
  </si>
  <si>
    <t>Case 3</t>
  </si>
  <si>
    <t>Case 4</t>
  </si>
  <si>
    <t>RHO_kg</t>
  </si>
  <si>
    <t>RHO_lb</t>
  </si>
  <si>
    <r>
      <t>kg/m</t>
    </r>
    <r>
      <rPr>
        <vertAlign val="superscript"/>
        <sz val="10"/>
        <rFont val="Arial"/>
        <family val="2"/>
      </rPr>
      <t>3</t>
    </r>
  </si>
  <si>
    <r>
      <t>lbm/ft</t>
    </r>
    <r>
      <rPr>
        <vertAlign val="superscript"/>
        <sz val="10"/>
        <rFont val="Arial"/>
        <family val="2"/>
      </rPr>
      <t>3</t>
    </r>
  </si>
  <si>
    <t>Conversion from Pounds per hour to Gallons per minute (gpm)</t>
  </si>
  <si>
    <t>Pounds per hour (lbm/h)</t>
  </si>
  <si>
    <t>Gallons per minutte (gpm)</t>
  </si>
  <si>
    <t>lb_h</t>
  </si>
  <si>
    <r>
      <t>Conversion from Kilograms per hour to cubic meters per hour (m</t>
    </r>
    <r>
      <rPr>
        <b/>
        <vertAlign val="superscript"/>
        <sz val="10"/>
        <rFont val="Arial"/>
        <family val="2"/>
      </rPr>
      <t>3</t>
    </r>
    <r>
      <rPr>
        <b/>
        <sz val="10"/>
        <rFont val="Arial"/>
        <family val="2"/>
      </rPr>
      <t>/h)</t>
    </r>
  </si>
  <si>
    <t>Kilograms per hour (kg/h)</t>
  </si>
  <si>
    <r>
      <t>Cubic meters per hour (m</t>
    </r>
    <r>
      <rPr>
        <vertAlign val="superscript"/>
        <sz val="10"/>
        <rFont val="Arial"/>
        <family val="2"/>
      </rPr>
      <t>3</t>
    </r>
    <r>
      <rPr>
        <sz val="10"/>
        <rFont val="Arial"/>
        <family val="2"/>
      </rPr>
      <t>/h)</t>
    </r>
  </si>
  <si>
    <t>kg_h</t>
  </si>
  <si>
    <t>This tab calculates Volumetric Flow for use on the Valve Sizing tab from the Mass flow entered in the blue fields on this tab and the specific gravity entered on the Valve Sizing tab.</t>
  </si>
  <si>
    <t>Density based on Specific Gravity on the Valve Sizing Tab</t>
  </si>
  <si>
    <r>
      <t>the calculation of the fully open flow, Q</t>
    </r>
    <r>
      <rPr>
        <b/>
        <vertAlign val="subscript"/>
        <sz val="14"/>
        <rFont val="Arial"/>
        <family val="2"/>
      </rPr>
      <t>f</t>
    </r>
    <r>
      <rPr>
        <b/>
        <sz val="10"/>
        <rFont val="Arial"/>
        <family val="2"/>
      </rPr>
      <t>. The accuracy of the calculations</t>
    </r>
  </si>
  <si>
    <t>Assumed C for this iteration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</si>
</sst>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0"/>
    <numFmt numFmtId="165" formatCode="0.0"/>
    <numFmt numFmtId="166" formatCode="00000"/>
    <numFmt numFmtId="167" formatCode="0.0000%"/>
    <numFmt numFmtId="168" formatCode="#,##0.0"/>
    <numFmt numFmtId="169" formatCode="#,##0.0000"/>
    <numFmt numFmtId="170" formatCode="0.000"/>
    <numFmt numFmtId="171" formatCode="0.000000"/>
  </numFmts>
  <fonts count="78" x14ac:knownFonts="1">
    <font>
      <sz val="10"/>
      <name val="Arial"/>
    </font>
    <font>
      <sz val="10"/>
      <color theme="1"/>
      <name val="Arial"/>
      <family val="2"/>
    </font>
    <font>
      <sz val="10"/>
      <color indexed="8"/>
      <name val="Arial"/>
      <family val="2"/>
    </font>
    <font>
      <b/>
      <sz val="10"/>
      <color indexed="8"/>
      <name val="Arial"/>
      <family val="2"/>
    </font>
    <font>
      <sz val="10"/>
      <color indexed="17"/>
      <name val="Arial"/>
      <family val="2"/>
    </font>
    <font>
      <sz val="10"/>
      <name val="Arial"/>
      <family val="2"/>
    </font>
    <font>
      <sz val="10"/>
      <name val="Arial"/>
      <family val="2"/>
    </font>
    <font>
      <sz val="10"/>
      <color theme="1"/>
      <name val="Arial"/>
      <family val="2"/>
    </font>
    <font>
      <sz val="12"/>
      <name val="Arial"/>
      <family val="2"/>
    </font>
    <font>
      <b/>
      <sz val="10"/>
      <name val="Arial"/>
      <family val="2"/>
    </font>
    <font>
      <b/>
      <sz val="12"/>
      <color rgb="FFFF0000"/>
      <name val="Arial"/>
      <family val="2"/>
    </font>
    <font>
      <sz val="10"/>
      <name val="Symbol"/>
      <family val="1"/>
      <charset val="2"/>
    </font>
    <font>
      <vertAlign val="subscript"/>
      <sz val="10"/>
      <name val="Arial"/>
      <family val="2"/>
    </font>
    <font>
      <sz val="10"/>
      <color rgb="FFFF0000"/>
      <name val="Arial"/>
      <family val="2"/>
    </font>
    <font>
      <sz val="11"/>
      <name val="Calibri"/>
      <family val="2"/>
    </font>
    <font>
      <b/>
      <sz val="11"/>
      <color rgb="FFFF0000"/>
      <name val="Arial"/>
      <family val="2"/>
    </font>
    <font>
      <b/>
      <sz val="11"/>
      <name val="Arial"/>
      <family val="2"/>
    </font>
    <font>
      <b/>
      <u/>
      <sz val="11"/>
      <name val="Arial"/>
      <family val="2"/>
    </font>
    <font>
      <b/>
      <sz val="10"/>
      <color rgb="FFFF0000"/>
      <name val="Arial"/>
      <family val="2"/>
    </font>
    <font>
      <b/>
      <sz val="12"/>
      <color rgb="FF009900"/>
      <name val="Arial"/>
      <family val="2"/>
    </font>
    <font>
      <sz val="12"/>
      <color rgb="FF009900"/>
      <name val="Arial"/>
      <family val="2"/>
    </font>
    <font>
      <sz val="10"/>
      <color rgb="FF009900"/>
      <name val="Arial"/>
      <family val="2"/>
    </font>
    <font>
      <b/>
      <sz val="10"/>
      <color rgb="FF003366"/>
      <name val="Arial"/>
      <family val="2"/>
    </font>
    <font>
      <b/>
      <sz val="10"/>
      <name val="Calibri"/>
      <family val="2"/>
    </font>
    <font>
      <b/>
      <vertAlign val="subscript"/>
      <sz val="10"/>
      <name val="Arial"/>
      <family val="2"/>
    </font>
    <font>
      <sz val="10"/>
      <name val="Calibri"/>
      <family val="2"/>
    </font>
    <font>
      <b/>
      <vertAlign val="subscript"/>
      <sz val="12"/>
      <color indexed="8"/>
      <name val="Arial"/>
      <family val="2"/>
    </font>
    <font>
      <vertAlign val="subscript"/>
      <sz val="11"/>
      <name val="Arial"/>
      <family val="2"/>
    </font>
    <font>
      <sz val="11"/>
      <color rgb="FFFF0000"/>
      <name val="Calibri"/>
      <family val="2"/>
    </font>
    <font>
      <sz val="9"/>
      <name val="Arial"/>
      <family val="2"/>
    </font>
    <font>
      <b/>
      <sz val="8"/>
      <color indexed="8"/>
      <name val="Arial"/>
      <family val="2"/>
    </font>
    <font>
      <sz val="8"/>
      <name val="Arial"/>
      <family val="2"/>
    </font>
    <font>
      <b/>
      <sz val="12"/>
      <name val="Arial"/>
      <family val="2"/>
    </font>
    <font>
      <u/>
      <sz val="10"/>
      <name val="Arial"/>
      <family val="2"/>
    </font>
    <font>
      <vertAlign val="superscript"/>
      <sz val="10"/>
      <name val="Arial"/>
      <family val="2"/>
    </font>
    <font>
      <sz val="10"/>
      <name val="Arial"/>
      <family val="2"/>
    </font>
    <font>
      <b/>
      <sz val="12"/>
      <name val="Arial"/>
      <family val="2"/>
    </font>
    <font>
      <b/>
      <sz val="14"/>
      <name val="Arial"/>
      <family val="2"/>
    </font>
    <font>
      <sz val="10"/>
      <color indexed="8"/>
      <name val="Arial"/>
      <family val="2"/>
    </font>
    <font>
      <b/>
      <sz val="10"/>
      <color indexed="8"/>
      <name val="Arial"/>
      <family val="2"/>
    </font>
    <font>
      <b/>
      <sz val="11"/>
      <name val="Arial"/>
      <family val="2"/>
    </font>
    <font>
      <b/>
      <sz val="10"/>
      <name val="Arial"/>
      <family val="2"/>
    </font>
    <font>
      <sz val="10"/>
      <name val="Arial"/>
      <family val="2"/>
    </font>
    <font>
      <sz val="10"/>
      <color rgb="FFFF0000"/>
      <name val="Arial"/>
      <family val="2"/>
    </font>
    <font>
      <sz val="11"/>
      <name val="Arial"/>
      <family val="2"/>
    </font>
    <font>
      <sz val="11"/>
      <color rgb="FF000000"/>
      <name val="Arial"/>
      <family val="2"/>
    </font>
    <font>
      <sz val="11"/>
      <name val="Calibri"/>
      <family val="2"/>
    </font>
    <font>
      <sz val="12"/>
      <name val="Arial"/>
      <family val="2"/>
    </font>
    <font>
      <sz val="10"/>
      <color rgb="FF000000"/>
      <name val="Arial"/>
      <family val="2"/>
    </font>
    <font>
      <b/>
      <sz val="10"/>
      <color rgb="FFFF0000"/>
      <name val="Arial"/>
      <family val="2"/>
    </font>
    <font>
      <b/>
      <sz val="10"/>
      <color rgb="FF0000CC"/>
      <name val="Arial"/>
      <family val="2"/>
    </font>
    <font>
      <sz val="10"/>
      <color rgb="FF0000CC"/>
      <name val="Arial"/>
      <family val="2"/>
    </font>
    <font>
      <sz val="10"/>
      <name val="Arial"/>
      <family val="2"/>
    </font>
    <font>
      <sz val="8"/>
      <color indexed="8"/>
      <name val="Arial"/>
      <family val="2"/>
    </font>
    <font>
      <sz val="10"/>
      <color indexed="8"/>
      <name val="Arial"/>
      <family val="2"/>
    </font>
    <font>
      <b/>
      <sz val="10"/>
      <color indexed="8"/>
      <name val="Arial"/>
      <family val="2"/>
    </font>
    <font>
      <b/>
      <sz val="10"/>
      <color rgb="FF003366"/>
      <name val="Arial"/>
      <family val="2"/>
    </font>
    <font>
      <b/>
      <sz val="10"/>
      <name val="Arial"/>
      <family val="2"/>
    </font>
    <font>
      <sz val="9"/>
      <color indexed="8"/>
      <name val="Arial"/>
      <family val="2"/>
    </font>
    <font>
      <sz val="9"/>
      <color indexed="8"/>
      <name val="Calibri"/>
      <family val="2"/>
    </font>
    <font>
      <sz val="11"/>
      <color rgb="FF0000CC"/>
      <name val="Calibri"/>
      <family val="2"/>
    </font>
    <font>
      <sz val="10"/>
      <color theme="1"/>
      <name val="Arial"/>
      <family val="2"/>
    </font>
    <font>
      <sz val="10"/>
      <color indexed="8"/>
      <name val="Calibri"/>
      <family val="2"/>
    </font>
    <font>
      <b/>
      <sz val="10"/>
      <color rgb="FFFF0000"/>
      <name val="Arial"/>
      <family val="2"/>
    </font>
    <font>
      <sz val="11"/>
      <name val="Calibri"/>
      <family val="2"/>
    </font>
    <font>
      <b/>
      <sz val="12"/>
      <color indexed="8"/>
      <name val="Symbol"/>
      <family val="1"/>
      <charset val="2"/>
    </font>
    <font>
      <sz val="10"/>
      <color rgb="FFFF0000"/>
      <name val="Arial"/>
      <family val="2"/>
    </font>
    <font>
      <b/>
      <sz val="12"/>
      <color rgb="FFFF0000"/>
      <name val="Arial"/>
      <family val="2"/>
    </font>
    <font>
      <sz val="11"/>
      <color indexed="8"/>
      <name val="Arial"/>
      <family val="2"/>
    </font>
    <font>
      <sz val="10"/>
      <color rgb="FFFFC000"/>
      <name val="Arial"/>
      <family val="2"/>
    </font>
    <font>
      <sz val="11"/>
      <color rgb="FFFF0000"/>
      <name val="Arial"/>
      <family val="2"/>
    </font>
    <font>
      <i/>
      <sz val="10"/>
      <name val="Arial"/>
      <family val="2"/>
    </font>
    <font>
      <b/>
      <vertAlign val="subscript"/>
      <sz val="14"/>
      <name val="Arial"/>
      <family val="2"/>
    </font>
    <font>
      <sz val="14"/>
      <name val="Arial"/>
      <family val="2"/>
    </font>
    <font>
      <b/>
      <sz val="10"/>
      <color theme="1"/>
      <name val="Arial"/>
      <family val="2"/>
    </font>
    <font>
      <b/>
      <vertAlign val="superscript"/>
      <sz val="10"/>
      <name val="Arial"/>
      <family val="2"/>
    </font>
    <font>
      <b/>
      <sz val="11"/>
      <color indexed="8"/>
      <name val="Arial"/>
      <family val="2"/>
    </font>
    <font>
      <sz val="10"/>
      <color rgb="FFC00000"/>
      <name val="Arial"/>
      <family val="2"/>
    </font>
  </fonts>
  <fills count="11">
    <fill>
      <patternFill patternType="none"/>
    </fill>
    <fill>
      <patternFill patternType="gray125"/>
    </fill>
    <fill>
      <patternFill patternType="solid">
        <fgColor indexed="42"/>
      </patternFill>
    </fill>
    <fill>
      <patternFill patternType="solid">
        <fgColor rgb="FFFFFFCC"/>
      </patternFill>
    </fill>
    <fill>
      <patternFill patternType="solid">
        <fgColor theme="8" tint="0.59999389629810485"/>
        <bgColor indexed="65"/>
      </patternFill>
    </fill>
    <fill>
      <patternFill patternType="solid">
        <fgColor rgb="FFFFC000"/>
        <bgColor indexed="64"/>
      </patternFill>
    </fill>
    <fill>
      <patternFill patternType="solid">
        <fgColor theme="0" tint="-4.9989318521683403E-2"/>
        <bgColor indexed="64"/>
      </patternFill>
    </fill>
    <fill>
      <patternFill patternType="solid">
        <fgColor theme="8" tint="0.59996337778862885"/>
        <bgColor indexed="64"/>
      </patternFill>
    </fill>
    <fill>
      <patternFill patternType="solid">
        <fgColor theme="0"/>
        <bgColor indexed="64"/>
      </patternFill>
    </fill>
    <fill>
      <patternFill patternType="solid">
        <fgColor rgb="FFB6DDE8"/>
        <bgColor indexed="64"/>
      </patternFill>
    </fill>
    <fill>
      <patternFill patternType="solid">
        <fgColor theme="0" tint="-0.14996795556505021"/>
        <bgColor indexed="64"/>
      </patternFill>
    </fill>
  </fills>
  <borders count="71">
    <border>
      <left/>
      <right/>
      <top/>
      <bottom/>
      <diagonal/>
    </border>
    <border>
      <left/>
      <right/>
      <top/>
      <bottom style="thick">
        <color indexed="64"/>
      </bottom>
      <diagonal/>
    </border>
    <border>
      <left style="thin">
        <color rgb="FFB2B2B2"/>
      </left>
      <right style="thin">
        <color rgb="FFB2B2B2"/>
      </right>
      <top style="thin">
        <color rgb="FFB2B2B2"/>
      </top>
      <bottom style="thin">
        <color rgb="FFB2B2B2"/>
      </bottom>
      <diagonal/>
    </border>
    <border>
      <left style="double">
        <color auto="1"/>
      </left>
      <right/>
      <top style="double">
        <color auto="1"/>
      </top>
      <bottom/>
      <diagonal/>
    </border>
    <border>
      <left/>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style="double">
        <color auto="1"/>
      </left>
      <right/>
      <top/>
      <bottom style="thin">
        <color auto="1"/>
      </bottom>
      <diagonal/>
    </border>
    <border>
      <left/>
      <right/>
      <top/>
      <bottom style="thin">
        <color auto="1"/>
      </bottom>
      <diagonal/>
    </border>
    <border>
      <left/>
      <right style="double">
        <color auto="1"/>
      </right>
      <top/>
      <bottom style="thin">
        <color auto="1"/>
      </bottom>
      <diagonal/>
    </border>
    <border>
      <left style="double">
        <color auto="1"/>
      </left>
      <right/>
      <top style="thin">
        <color auto="1"/>
      </top>
      <bottom/>
      <diagonal/>
    </border>
    <border>
      <left/>
      <right style="double">
        <color auto="1"/>
      </right>
      <top/>
      <bottom style="double">
        <color auto="1"/>
      </bottom>
      <diagonal/>
    </border>
    <border>
      <left style="thick">
        <color auto="1"/>
      </left>
      <right/>
      <top/>
      <bottom/>
      <diagonal/>
    </border>
    <border>
      <left style="thick">
        <color auto="1"/>
      </left>
      <right/>
      <top/>
      <bottom style="thick">
        <color indexed="64"/>
      </bottom>
      <diagonal/>
    </border>
    <border>
      <left/>
      <right style="thick">
        <color auto="1"/>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style="thick">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ck">
        <color auto="1"/>
      </left>
      <right style="thin">
        <color auto="1"/>
      </right>
      <top/>
      <bottom/>
      <diagonal/>
    </border>
    <border>
      <left/>
      <right style="double">
        <color auto="1"/>
      </right>
      <top style="thick">
        <color auto="1"/>
      </top>
      <bottom style="medium">
        <color auto="1"/>
      </bottom>
      <diagonal/>
    </border>
    <border>
      <left style="double">
        <color auto="1"/>
      </left>
      <right style="thick">
        <color auto="1"/>
      </right>
      <top style="thick">
        <color auto="1"/>
      </top>
      <bottom style="medium">
        <color auto="1"/>
      </bottom>
      <diagonal/>
    </border>
    <border>
      <left style="double">
        <color auto="1"/>
      </left>
      <right style="thick">
        <color auto="1"/>
      </right>
      <top/>
      <bottom style="thin">
        <color auto="1"/>
      </bottom>
      <diagonal/>
    </border>
    <border>
      <left style="double">
        <color auto="1"/>
      </left>
      <right style="thick">
        <color auto="1"/>
      </right>
      <top/>
      <bottom style="double">
        <color auto="1"/>
      </bottom>
      <diagonal/>
    </border>
    <border>
      <left/>
      <right style="thin">
        <color auto="1"/>
      </right>
      <top style="thick">
        <color auto="1"/>
      </top>
      <bottom style="medium">
        <color auto="1"/>
      </bottom>
      <diagonal/>
    </border>
    <border>
      <left/>
      <right style="thin">
        <color auto="1"/>
      </right>
      <top/>
      <bottom style="double">
        <color auto="1"/>
      </bottom>
      <diagonal/>
    </border>
    <border>
      <left style="thick">
        <color auto="1"/>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n">
        <color auto="1"/>
      </left>
      <right/>
      <top style="thick">
        <color auto="1"/>
      </top>
      <bottom style="medium">
        <color auto="1"/>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ck">
        <color auto="1"/>
      </left>
      <right style="thin">
        <color auto="1"/>
      </right>
      <top/>
      <bottom style="double">
        <color auto="1"/>
      </bottom>
      <diagonal/>
    </border>
    <border>
      <left style="thin">
        <color auto="1"/>
      </left>
      <right style="thin">
        <color auto="1"/>
      </right>
      <top/>
      <bottom style="double">
        <color auto="1"/>
      </bottom>
      <diagonal/>
    </border>
    <border>
      <left style="thin">
        <color auto="1"/>
      </left>
      <right/>
      <top/>
      <bottom style="double">
        <color auto="1"/>
      </bottom>
      <diagonal/>
    </border>
    <border>
      <left style="double">
        <color auto="1"/>
      </left>
      <right/>
      <top style="double">
        <color auto="1"/>
      </top>
      <bottom style="thick">
        <color auto="1"/>
      </bottom>
      <diagonal/>
    </border>
    <border>
      <left/>
      <right/>
      <top style="double">
        <color auto="1"/>
      </top>
      <bottom style="thick">
        <color auto="1"/>
      </bottom>
      <diagonal/>
    </border>
    <border>
      <left/>
      <right style="double">
        <color auto="1"/>
      </right>
      <top style="double">
        <color auto="1"/>
      </top>
      <bottom style="thick">
        <color auto="1"/>
      </bottom>
      <diagonal/>
    </border>
    <border>
      <left style="double">
        <color auto="1"/>
      </left>
      <right style="thick">
        <color auto="1"/>
      </right>
      <top/>
      <bottom style="thick">
        <color auto="1"/>
      </bottom>
      <diagonal/>
    </border>
    <border>
      <left style="thick">
        <color auto="1"/>
      </left>
      <right/>
      <top style="thick">
        <color auto="1"/>
      </top>
      <bottom style="thin">
        <color auto="1"/>
      </bottom>
      <diagonal/>
    </border>
    <border>
      <left/>
      <right style="thin">
        <color auto="1"/>
      </right>
      <top style="thick">
        <color auto="1"/>
      </top>
      <bottom style="thin">
        <color auto="1"/>
      </bottom>
      <diagonal/>
    </border>
    <border>
      <left style="thick">
        <color auto="1"/>
      </left>
      <right style="thin">
        <color auto="1"/>
      </right>
      <top style="thin">
        <color auto="1"/>
      </top>
      <bottom style="thick">
        <color auto="1"/>
      </bottom>
      <diagonal/>
    </border>
    <border>
      <left/>
      <right style="thick">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double">
        <color auto="1"/>
      </left>
      <right style="thick">
        <color auto="1"/>
      </right>
      <top style="thick">
        <color auto="1"/>
      </top>
      <bottom style="thin">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auto="1"/>
      </left>
      <right style="thick">
        <color auto="1"/>
      </right>
      <top style="thick">
        <color auto="1"/>
      </top>
      <bottom/>
      <diagonal/>
    </border>
    <border>
      <left style="thin">
        <color auto="1"/>
      </left>
      <right style="thick">
        <color auto="1"/>
      </right>
      <top/>
      <bottom style="thick">
        <color auto="1"/>
      </bottom>
      <diagonal/>
    </border>
    <border>
      <left style="thin">
        <color auto="1"/>
      </left>
      <right/>
      <top style="thick">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ck">
        <color auto="1"/>
      </bottom>
      <diagonal/>
    </border>
    <border>
      <left style="thin">
        <color rgb="FFFF0000"/>
      </left>
      <right style="thin">
        <color rgb="FFFF0000"/>
      </right>
      <top style="thin">
        <color rgb="FFFF0000"/>
      </top>
      <bottom style="thin">
        <color rgb="FFFF0000"/>
      </bottom>
      <diagonal/>
    </border>
    <border>
      <left/>
      <right/>
      <top/>
      <bottom style="medium">
        <color auto="1"/>
      </bottom>
      <diagonal/>
    </border>
    <border>
      <left style="thin">
        <color rgb="FFB2B2B2"/>
      </left>
      <right/>
      <top/>
      <bottom style="double">
        <color auto="1"/>
      </bottom>
      <diagonal/>
    </border>
  </borders>
  <cellStyleXfs count="6">
    <xf numFmtId="0" fontId="0" fillId="0" borderId="0"/>
    <xf numFmtId="0" fontId="7" fillId="4" borderId="0" applyNumberFormat="0" applyBorder="0" applyAlignment="0" applyProtection="0"/>
    <xf numFmtId="0" fontId="4" fillId="2" borderId="0" applyNumberFormat="0" applyBorder="0" applyAlignment="0" applyProtection="0"/>
    <xf numFmtId="0" fontId="5" fillId="3" borderId="2" applyNumberFormat="0" applyFont="0" applyAlignment="0" applyProtection="0"/>
    <xf numFmtId="0" fontId="8" fillId="0" borderId="0"/>
    <xf numFmtId="0" fontId="2" fillId="0" borderId="0"/>
  </cellStyleXfs>
  <cellXfs count="386">
    <xf numFmtId="0" fontId="0" fillId="0" borderId="0" xfId="0"/>
    <xf numFmtId="0" fontId="2" fillId="0" borderId="0" xfId="0" applyFont="1"/>
    <xf numFmtId="0" fontId="3" fillId="0" borderId="0" xfId="0" applyFont="1"/>
    <xf numFmtId="164" fontId="2" fillId="0" borderId="0" xfId="0" applyNumberFormat="1" applyFont="1"/>
    <xf numFmtId="0" fontId="2" fillId="0" borderId="1" xfId="0" applyFont="1" applyBorder="1"/>
    <xf numFmtId="164" fontId="3" fillId="0" borderId="1" xfId="0" applyNumberFormat="1" applyFont="1" applyBorder="1"/>
    <xf numFmtId="0" fontId="5" fillId="0" borderId="0" xfId="0" applyFont="1"/>
    <xf numFmtId="0" fontId="9" fillId="0" borderId="0" xfId="0" applyFont="1"/>
    <xf numFmtId="0" fontId="16" fillId="0" borderId="0" xfId="0" applyFont="1"/>
    <xf numFmtId="0" fontId="5" fillId="0" borderId="0" xfId="0" applyFont="1" applyFill="1" applyBorder="1"/>
    <xf numFmtId="0" fontId="9" fillId="0" borderId="0" xfId="0" applyFont="1" applyFill="1" applyBorder="1"/>
    <xf numFmtId="0" fontId="0" fillId="0" borderId="0" xfId="0" applyBorder="1"/>
    <xf numFmtId="0" fontId="21" fillId="0" borderId="0" xfId="0" applyFont="1" applyBorder="1"/>
    <xf numFmtId="0" fontId="5" fillId="0" borderId="0" xfId="0" applyFont="1" applyBorder="1"/>
    <xf numFmtId="0" fontId="9" fillId="0" borderId="0" xfId="0" applyFont="1" applyBorder="1" applyAlignment="1">
      <alignment horizontal="center" vertical="center"/>
    </xf>
    <xf numFmtId="164" fontId="5" fillId="0" borderId="0" xfId="0" applyNumberFormat="1" applyFont="1" applyBorder="1"/>
    <xf numFmtId="164" fontId="0" fillId="0" borderId="0" xfId="0" applyNumberFormat="1" applyBorder="1"/>
    <xf numFmtId="0" fontId="5" fillId="0" borderId="0" xfId="0" applyFont="1" applyAlignment="1">
      <alignment horizontal="right"/>
    </xf>
    <xf numFmtId="0" fontId="1" fillId="0" borderId="0" xfId="0" applyFont="1" applyAlignment="1">
      <alignment horizontal="right"/>
    </xf>
    <xf numFmtId="0" fontId="16" fillId="0" borderId="0" xfId="0" applyFont="1" applyBorder="1"/>
    <xf numFmtId="0" fontId="19" fillId="0" borderId="0" xfId="0" applyFont="1" applyBorder="1"/>
    <xf numFmtId="164" fontId="19" fillId="0" borderId="0" xfId="0" applyNumberFormat="1" applyFont="1" applyBorder="1"/>
    <xf numFmtId="0" fontId="5" fillId="0" borderId="0" xfId="0" applyFont="1" applyAlignment="1">
      <alignment wrapText="1"/>
    </xf>
    <xf numFmtId="0" fontId="23" fillId="0" borderId="0" xfId="0" applyFont="1"/>
    <xf numFmtId="0" fontId="18" fillId="0" borderId="25" xfId="0" applyFont="1" applyFill="1" applyBorder="1"/>
    <xf numFmtId="0" fontId="0" fillId="0" borderId="6" xfId="0" applyBorder="1"/>
    <xf numFmtId="0" fontId="5" fillId="0" borderId="26" xfId="0" applyFont="1" applyBorder="1"/>
    <xf numFmtId="0" fontId="9" fillId="0" borderId="27" xfId="0" applyFont="1" applyBorder="1"/>
    <xf numFmtId="0" fontId="9" fillId="0" borderId="28" xfId="0" applyFont="1" applyBorder="1"/>
    <xf numFmtId="0" fontId="9" fillId="0" borderId="29" xfId="0" applyFont="1" applyBorder="1"/>
    <xf numFmtId="0" fontId="5" fillId="0" borderId="30" xfId="0" applyFont="1" applyBorder="1"/>
    <xf numFmtId="0" fontId="0" fillId="0" borderId="32" xfId="0" applyBorder="1"/>
    <xf numFmtId="0" fontId="0" fillId="0" borderId="33" xfId="0" applyBorder="1"/>
    <xf numFmtId="0" fontId="5" fillId="0" borderId="33" xfId="0" applyFont="1" applyBorder="1"/>
    <xf numFmtId="0" fontId="5" fillId="0" borderId="34" xfId="0" applyFont="1" applyBorder="1"/>
    <xf numFmtId="0" fontId="0" fillId="0" borderId="41" xfId="0" applyBorder="1"/>
    <xf numFmtId="0" fontId="0" fillId="0" borderId="42" xfId="0" applyBorder="1"/>
    <xf numFmtId="0" fontId="3" fillId="0" borderId="43" xfId="0" applyFont="1" applyBorder="1"/>
    <xf numFmtId="0" fontId="0" fillId="0" borderId="16" xfId="0" applyBorder="1"/>
    <xf numFmtId="0" fontId="0" fillId="0" borderId="14" xfId="0" applyBorder="1"/>
    <xf numFmtId="164" fontId="5" fillId="0" borderId="0" xfId="0" applyNumberFormat="1" applyFont="1" applyFill="1" applyBorder="1"/>
    <xf numFmtId="0" fontId="9" fillId="0" borderId="0" xfId="0" applyFont="1" applyFill="1" applyBorder="1" applyAlignment="1">
      <alignment horizontal="center" vertical="center"/>
    </xf>
    <xf numFmtId="164" fontId="13" fillId="0" borderId="0" xfId="0" applyNumberFormat="1" applyFont="1" applyFill="1" applyBorder="1"/>
    <xf numFmtId="164" fontId="14" fillId="0" borderId="0" xfId="0" applyNumberFormat="1" applyFont="1" applyFill="1" applyBorder="1"/>
    <xf numFmtId="0" fontId="0" fillId="0" borderId="0" xfId="0" applyFill="1" applyBorder="1"/>
    <xf numFmtId="164" fontId="0" fillId="0" borderId="0" xfId="0" applyNumberFormat="1" applyFill="1" applyBorder="1"/>
    <xf numFmtId="164" fontId="16" fillId="0" borderId="0" xfId="0" applyNumberFormat="1" applyFont="1" applyFill="1" applyBorder="1"/>
    <xf numFmtId="0" fontId="14" fillId="0" borderId="0" xfId="0" applyFont="1" applyFill="1" applyBorder="1"/>
    <xf numFmtId="0" fontId="5" fillId="0" borderId="25" xfId="0" applyFont="1" applyFill="1" applyBorder="1"/>
    <xf numFmtId="0" fontId="0" fillId="0" borderId="21" xfId="0" applyFill="1" applyBorder="1"/>
    <xf numFmtId="0" fontId="0" fillId="0" borderId="22" xfId="0" applyFill="1" applyBorder="1"/>
    <xf numFmtId="2" fontId="5" fillId="0" borderId="25" xfId="0" applyNumberFormat="1" applyFont="1" applyFill="1" applyBorder="1"/>
    <xf numFmtId="2" fontId="0" fillId="0" borderId="25" xfId="0" applyNumberFormat="1" applyFill="1" applyBorder="1"/>
    <xf numFmtId="164" fontId="5" fillId="0" borderId="25" xfId="0" applyNumberFormat="1" applyFont="1" applyFill="1" applyBorder="1"/>
    <xf numFmtId="2" fontId="9" fillId="0" borderId="21" xfId="0" applyNumberFormat="1" applyFont="1" applyFill="1" applyBorder="1"/>
    <xf numFmtId="0" fontId="0" fillId="0" borderId="25" xfId="0" applyFill="1" applyBorder="1"/>
    <xf numFmtId="0" fontId="5" fillId="0" borderId="21" xfId="0" applyFont="1" applyFill="1" applyBorder="1"/>
    <xf numFmtId="0" fontId="5" fillId="0" borderId="22" xfId="0" applyFont="1" applyFill="1" applyBorder="1"/>
    <xf numFmtId="0" fontId="9" fillId="0" borderId="21" xfId="0" applyFont="1" applyFill="1" applyBorder="1" applyAlignment="1">
      <alignment horizontal="center" vertical="center"/>
    </xf>
    <xf numFmtId="0" fontId="9" fillId="0" borderId="22" xfId="0" applyFont="1" applyFill="1" applyBorder="1" applyAlignment="1">
      <alignment horizontal="center" vertical="center"/>
    </xf>
    <xf numFmtId="0" fontId="5" fillId="0" borderId="0" xfId="0" applyFont="1" applyFill="1"/>
    <xf numFmtId="0" fontId="0" fillId="0" borderId="0" xfId="0" applyFill="1"/>
    <xf numFmtId="0" fontId="17" fillId="0" borderId="25" xfId="0" applyFont="1" applyFill="1" applyBorder="1"/>
    <xf numFmtId="0" fontId="9" fillId="0" borderId="23" xfId="0" applyFont="1" applyFill="1" applyBorder="1" applyAlignment="1">
      <alignment horizontal="center" vertical="center"/>
    </xf>
    <xf numFmtId="164" fontId="0" fillId="0" borderId="25" xfId="0" applyNumberFormat="1" applyFill="1" applyBorder="1"/>
    <xf numFmtId="0" fontId="2" fillId="0" borderId="0" xfId="0" applyFont="1" applyFill="1"/>
    <xf numFmtId="164" fontId="5" fillId="0" borderId="21" xfId="0" applyNumberFormat="1" applyFont="1" applyFill="1" applyBorder="1"/>
    <xf numFmtId="164" fontId="14" fillId="0" borderId="25" xfId="0" applyNumberFormat="1" applyFont="1" applyFill="1" applyBorder="1"/>
    <xf numFmtId="164" fontId="9" fillId="0" borderId="25" xfId="0" applyNumberFormat="1" applyFont="1" applyFill="1" applyBorder="1"/>
    <xf numFmtId="164" fontId="13" fillId="0" borderId="21" xfId="0" applyNumberFormat="1" applyFont="1" applyFill="1" applyBorder="1"/>
    <xf numFmtId="164" fontId="13" fillId="0" borderId="25" xfId="0" applyNumberFormat="1" applyFont="1" applyFill="1" applyBorder="1"/>
    <xf numFmtId="0" fontId="9" fillId="0" borderId="47" xfId="0" applyFont="1" applyFill="1" applyBorder="1" applyAlignment="1">
      <alignment horizontal="center" vertical="center"/>
    </xf>
    <xf numFmtId="0" fontId="0" fillId="0" borderId="16" xfId="0" applyFill="1" applyBorder="1"/>
    <xf numFmtId="0" fontId="9" fillId="0" borderId="16" xfId="0" applyFont="1" applyFill="1" applyBorder="1" applyAlignment="1">
      <alignment horizontal="center" vertical="center"/>
    </xf>
    <xf numFmtId="164" fontId="0" fillId="0" borderId="16" xfId="0" applyNumberFormat="1" applyFill="1" applyBorder="1"/>
    <xf numFmtId="164" fontId="5" fillId="0" borderId="16" xfId="0" applyNumberFormat="1" applyFont="1" applyFill="1" applyBorder="1" applyAlignment="1">
      <alignment horizontal="right"/>
    </xf>
    <xf numFmtId="164" fontId="5" fillId="0" borderId="16" xfId="0" applyNumberFormat="1" applyFont="1" applyFill="1" applyBorder="1"/>
    <xf numFmtId="0" fontId="5" fillId="0" borderId="16" xfId="0" applyFont="1" applyFill="1" applyBorder="1"/>
    <xf numFmtId="164" fontId="5" fillId="0" borderId="0" xfId="0" applyNumberFormat="1" applyFont="1" applyFill="1" applyBorder="1" applyAlignment="1">
      <alignment horizontal="right"/>
    </xf>
    <xf numFmtId="164" fontId="14" fillId="0" borderId="0" xfId="0" applyNumberFormat="1" applyFont="1" applyBorder="1"/>
    <xf numFmtId="164" fontId="13" fillId="0" borderId="0" xfId="0" applyNumberFormat="1" applyFont="1" applyBorder="1"/>
    <xf numFmtId="0" fontId="14" fillId="0" borderId="0" xfId="0" applyFont="1" applyBorder="1"/>
    <xf numFmtId="0" fontId="9" fillId="0" borderId="14" xfId="0" applyFont="1" applyBorder="1"/>
    <xf numFmtId="0" fontId="20" fillId="0" borderId="14" xfId="0" applyFont="1" applyBorder="1"/>
    <xf numFmtId="164" fontId="0" fillId="0" borderId="0" xfId="0" applyNumberFormat="1" applyFill="1"/>
    <xf numFmtId="164" fontId="25" fillId="0" borderId="25" xfId="0" applyNumberFormat="1" applyFont="1" applyFill="1" applyBorder="1"/>
    <xf numFmtId="164" fontId="25" fillId="0" borderId="0" xfId="0" applyNumberFormat="1" applyFont="1" applyFill="1" applyBorder="1"/>
    <xf numFmtId="0" fontId="9" fillId="0" borderId="0" xfId="0" applyFont="1" applyFill="1"/>
    <xf numFmtId="0" fontId="9" fillId="0" borderId="17" xfId="0" applyFont="1" applyFill="1" applyBorder="1"/>
    <xf numFmtId="0" fontId="9" fillId="0" borderId="19" xfId="0" applyFont="1" applyFill="1" applyBorder="1"/>
    <xf numFmtId="0" fontId="9" fillId="0" borderId="18" xfId="0" applyFont="1" applyFill="1" applyBorder="1"/>
    <xf numFmtId="0" fontId="5" fillId="0" borderId="0" xfId="5" applyFont="1" applyFill="1"/>
    <xf numFmtId="0" fontId="5" fillId="0" borderId="0" xfId="5" applyFont="1" applyFill="1" applyAlignment="1">
      <alignment horizontal="left" vertical="center"/>
    </xf>
    <xf numFmtId="164" fontId="5" fillId="0" borderId="0" xfId="0" applyNumberFormat="1" applyFont="1" applyFill="1"/>
    <xf numFmtId="0" fontId="5" fillId="0" borderId="14" xfId="0" applyFont="1" applyFill="1" applyBorder="1"/>
    <xf numFmtId="0" fontId="0" fillId="0" borderId="14" xfId="0" applyFill="1" applyBorder="1"/>
    <xf numFmtId="0" fontId="10" fillId="0" borderId="14" xfId="0" applyFont="1" applyFill="1" applyBorder="1"/>
    <xf numFmtId="169" fontId="19" fillId="0" borderId="16" xfId="0" applyNumberFormat="1" applyFont="1" applyFill="1" applyBorder="1"/>
    <xf numFmtId="169" fontId="19" fillId="0" borderId="0" xfId="0" applyNumberFormat="1" applyFont="1" applyFill="1" applyBorder="1"/>
    <xf numFmtId="0" fontId="5" fillId="0" borderId="15" xfId="0" applyFont="1" applyFill="1" applyBorder="1"/>
    <xf numFmtId="1" fontId="0" fillId="0" borderId="20" xfId="0" applyNumberFormat="1" applyFill="1" applyBorder="1"/>
    <xf numFmtId="0" fontId="0" fillId="0" borderId="1" xfId="0" applyFill="1" applyBorder="1"/>
    <xf numFmtId="1" fontId="0" fillId="0" borderId="1" xfId="0" applyNumberFormat="1" applyFill="1" applyBorder="1"/>
    <xf numFmtId="0" fontId="0" fillId="0" borderId="15" xfId="0" applyFill="1" applyBorder="1"/>
    <xf numFmtId="0" fontId="0" fillId="0" borderId="17" xfId="0" applyFill="1" applyBorder="1"/>
    <xf numFmtId="0" fontId="0" fillId="0" borderId="18" xfId="0" applyFill="1" applyBorder="1"/>
    <xf numFmtId="0" fontId="19" fillId="0" borderId="16" xfId="0" applyFont="1" applyFill="1" applyBorder="1"/>
    <xf numFmtId="0" fontId="20" fillId="0" borderId="18" xfId="0" applyFont="1" applyFill="1" applyBorder="1"/>
    <xf numFmtId="164" fontId="19" fillId="0" borderId="0" xfId="0" applyNumberFormat="1" applyFont="1" applyFill="1" applyBorder="1"/>
    <xf numFmtId="0" fontId="15" fillId="0" borderId="16" xfId="0" applyFont="1" applyFill="1" applyBorder="1"/>
    <xf numFmtId="0" fontId="15" fillId="0" borderId="0" xfId="0" applyFont="1" applyFill="1" applyBorder="1"/>
    <xf numFmtId="0" fontId="20" fillId="0" borderId="17" xfId="0" applyFont="1" applyFill="1" applyBorder="1"/>
    <xf numFmtId="0" fontId="16" fillId="0" borderId="0" xfId="0" applyFont="1" applyFill="1"/>
    <xf numFmtId="1" fontId="0" fillId="0" borderId="0" xfId="0" applyNumberFormat="1" applyFill="1" applyBorder="1"/>
    <xf numFmtId="0" fontId="0" fillId="0" borderId="0" xfId="0" applyFill="1" applyAlignment="1">
      <alignment wrapText="1"/>
    </xf>
    <xf numFmtId="0" fontId="5" fillId="0" borderId="0" xfId="0" applyFont="1" applyFill="1" applyAlignment="1">
      <alignment horizontal="right"/>
    </xf>
    <xf numFmtId="0" fontId="1" fillId="0" borderId="0" xfId="0" applyFont="1" applyFill="1" applyAlignment="1">
      <alignment horizontal="right"/>
    </xf>
    <xf numFmtId="2" fontId="0" fillId="0" borderId="0" xfId="0" applyNumberFormat="1" applyBorder="1"/>
    <xf numFmtId="0" fontId="5" fillId="0" borderId="0" xfId="0" applyFont="1" applyAlignment="1">
      <alignment horizontal="center" vertical="center"/>
    </xf>
    <xf numFmtId="0" fontId="0" fillId="8" borderId="0" xfId="0" applyFill="1"/>
    <xf numFmtId="0" fontId="0" fillId="0" borderId="0" xfId="0" applyAlignment="1">
      <alignment vertical="center"/>
    </xf>
    <xf numFmtId="0" fontId="0" fillId="0" borderId="0" xfId="0" applyAlignment="1">
      <alignment horizontal="left" vertical="center"/>
    </xf>
    <xf numFmtId="0" fontId="0" fillId="0" borderId="0" xfId="0" applyAlignment="1">
      <alignment horizontal="left"/>
    </xf>
    <xf numFmtId="0" fontId="5" fillId="0" borderId="0" xfId="0" applyFont="1" applyAlignment="1">
      <alignment horizontal="left"/>
    </xf>
    <xf numFmtId="0" fontId="5" fillId="0" borderId="0" xfId="0" applyFont="1" applyAlignment="1">
      <alignment horizontal="right" wrapText="1"/>
    </xf>
    <xf numFmtId="0" fontId="0" fillId="0" borderId="0" xfId="0" applyAlignment="1">
      <alignment horizontal="right" wrapText="1"/>
    </xf>
    <xf numFmtId="0" fontId="9" fillId="0" borderId="52" xfId="0" applyFont="1" applyBorder="1"/>
    <xf numFmtId="0" fontId="22" fillId="8" borderId="0" xfId="0" applyFont="1" applyFill="1" applyBorder="1" applyAlignment="1">
      <alignment horizontal="right" vertical="center"/>
    </xf>
    <xf numFmtId="0" fontId="0" fillId="8" borderId="0" xfId="0" applyFill="1" applyBorder="1"/>
    <xf numFmtId="0" fontId="2" fillId="8" borderId="0" xfId="0" applyFont="1" applyFill="1" applyBorder="1"/>
    <xf numFmtId="0" fontId="5" fillId="8" borderId="0" xfId="0" applyFont="1" applyFill="1" applyBorder="1" applyProtection="1">
      <protection locked="0"/>
    </xf>
    <xf numFmtId="0" fontId="5" fillId="8" borderId="0" xfId="0" applyFont="1" applyFill="1" applyBorder="1"/>
    <xf numFmtId="0" fontId="2" fillId="8" borderId="0" xfId="0" applyFont="1" applyFill="1" applyBorder="1" applyProtection="1">
      <protection locked="0"/>
    </xf>
    <xf numFmtId="4" fontId="5" fillId="8" borderId="0" xfId="0" applyNumberFormat="1" applyFont="1" applyFill="1" applyBorder="1"/>
    <xf numFmtId="0" fontId="16" fillId="8" borderId="0" xfId="0" applyFont="1" applyFill="1" applyBorder="1"/>
    <xf numFmtId="9" fontId="0" fillId="8" borderId="0" xfId="0" applyNumberFormat="1" applyFill="1" applyBorder="1"/>
    <xf numFmtId="0" fontId="3" fillId="8" borderId="0" xfId="0" applyFont="1" applyFill="1" applyBorder="1" applyAlignment="1" applyProtection="1">
      <alignment horizontal="left" vertical="center"/>
      <protection locked="0"/>
    </xf>
    <xf numFmtId="0" fontId="13" fillId="8" borderId="0" xfId="0" applyFont="1" applyFill="1" applyBorder="1"/>
    <xf numFmtId="165" fontId="6" fillId="8" borderId="0" xfId="2" applyNumberFormat="1" applyFont="1" applyFill="1" applyBorder="1" applyAlignment="1">
      <alignment horizontal="right"/>
    </xf>
    <xf numFmtId="0" fontId="7" fillId="8" borderId="0" xfId="1" applyNumberFormat="1" applyFont="1" applyFill="1" applyBorder="1" applyAlignment="1" applyProtection="1"/>
    <xf numFmtId="166" fontId="5" fillId="8" borderId="0" xfId="3" applyNumberFormat="1" applyFont="1" applyFill="1" applyBorder="1" applyAlignment="1" applyProtection="1"/>
    <xf numFmtId="0" fontId="0" fillId="8" borderId="0" xfId="0" applyFill="1" applyAlignment="1">
      <alignment wrapText="1"/>
    </xf>
    <xf numFmtId="0" fontId="0" fillId="0" borderId="0" xfId="0" applyAlignment="1"/>
    <xf numFmtId="0" fontId="5" fillId="0" borderId="41" xfId="0" applyFont="1" applyBorder="1"/>
    <xf numFmtId="0" fontId="0" fillId="9" borderId="35" xfId="0" applyFill="1" applyBorder="1" applyProtection="1">
      <protection locked="0"/>
    </xf>
    <xf numFmtId="0" fontId="0" fillId="9" borderId="36" xfId="0" applyFill="1" applyBorder="1" applyProtection="1">
      <protection locked="0"/>
    </xf>
    <xf numFmtId="0" fontId="0" fillId="9" borderId="23" xfId="0" applyFill="1" applyBorder="1" applyProtection="1">
      <protection locked="0"/>
    </xf>
    <xf numFmtId="0" fontId="0" fillId="9" borderId="24" xfId="0" applyFill="1" applyBorder="1" applyProtection="1">
      <protection locked="0"/>
    </xf>
    <xf numFmtId="0" fontId="0" fillId="9" borderId="11" xfId="0" applyFill="1" applyBorder="1" applyProtection="1">
      <protection locked="0"/>
    </xf>
    <xf numFmtId="0" fontId="0" fillId="9" borderId="37" xfId="0" applyFill="1" applyBorder="1" applyProtection="1">
      <protection locked="0"/>
    </xf>
    <xf numFmtId="0" fontId="0" fillId="9" borderId="38" xfId="0" applyFill="1" applyBorder="1" applyProtection="1">
      <protection locked="0"/>
    </xf>
    <xf numFmtId="0" fontId="0" fillId="9" borderId="39" xfId="0" applyFill="1" applyBorder="1" applyProtection="1">
      <protection locked="0"/>
    </xf>
    <xf numFmtId="0" fontId="0" fillId="9" borderId="31" xfId="0" applyFill="1" applyBorder="1" applyProtection="1">
      <protection locked="0"/>
    </xf>
    <xf numFmtId="0" fontId="0" fillId="9" borderId="13" xfId="0" applyFill="1" applyBorder="1" applyProtection="1">
      <protection locked="0"/>
    </xf>
    <xf numFmtId="0" fontId="3" fillId="0" borderId="48" xfId="0" applyFont="1" applyFill="1" applyBorder="1" applyAlignment="1" applyProtection="1">
      <alignment horizontal="left"/>
    </xf>
    <xf numFmtId="0" fontId="0" fillId="0" borderId="49" xfId="0" applyFill="1" applyBorder="1" applyProtection="1"/>
    <xf numFmtId="0" fontId="0" fillId="0" borderId="50" xfId="0" applyFill="1" applyBorder="1" applyProtection="1"/>
    <xf numFmtId="0" fontId="3" fillId="0" borderId="23" xfId="0" applyFont="1" applyFill="1" applyBorder="1" applyAlignment="1" applyProtection="1">
      <alignment horizontal="right" vertical="center"/>
    </xf>
    <xf numFmtId="0" fontId="0" fillId="0" borderId="0" xfId="0" applyFill="1" applyAlignment="1"/>
    <xf numFmtId="0" fontId="5" fillId="9" borderId="46" xfId="0" applyFont="1" applyFill="1" applyBorder="1" applyProtection="1">
      <protection locked="0"/>
    </xf>
    <xf numFmtId="2" fontId="0" fillId="0" borderId="51" xfId="0" applyNumberFormat="1" applyBorder="1" applyAlignment="1">
      <alignment horizontal="right" vertical="center"/>
    </xf>
    <xf numFmtId="0" fontId="0" fillId="0" borderId="51" xfId="0" applyBorder="1" applyAlignment="1">
      <alignment horizontal="right" vertical="center"/>
    </xf>
    <xf numFmtId="0" fontId="0" fillId="0" borderId="57" xfId="0" applyBorder="1" applyAlignment="1">
      <alignment horizontal="right" vertical="center"/>
    </xf>
    <xf numFmtId="0" fontId="5" fillId="0" borderId="56" xfId="0" applyFont="1" applyBorder="1"/>
    <xf numFmtId="0" fontId="5" fillId="0" borderId="56" xfId="0" applyFont="1" applyBorder="1" applyAlignment="1">
      <alignment horizontal="left"/>
    </xf>
    <xf numFmtId="0" fontId="5" fillId="0" borderId="46" xfId="0" applyFont="1" applyBorder="1" applyAlignment="1">
      <alignment horizontal="left"/>
    </xf>
    <xf numFmtId="0" fontId="0" fillId="0" borderId="0" xfId="0" applyAlignment="1">
      <alignment wrapText="1"/>
    </xf>
    <xf numFmtId="0" fontId="0" fillId="0" borderId="0" xfId="0" applyAlignment="1"/>
    <xf numFmtId="0" fontId="0" fillId="0" borderId="0" xfId="0" applyNumberFormat="1" applyAlignment="1">
      <alignment horizontal="left" vertical="center"/>
    </xf>
    <xf numFmtId="0" fontId="0" fillId="0" borderId="0" xfId="0" applyAlignment="1">
      <alignment horizontal="left"/>
    </xf>
    <xf numFmtId="0" fontId="5" fillId="0" borderId="0" xfId="0" applyFont="1" applyFill="1" applyAlignment="1">
      <alignment vertical="top" wrapText="1"/>
    </xf>
    <xf numFmtId="0" fontId="5" fillId="0" borderId="53" xfId="0" applyFont="1" applyBorder="1" applyAlignment="1">
      <alignment horizontal="right" vertical="center"/>
    </xf>
    <xf numFmtId="0" fontId="0" fillId="0" borderId="54" xfId="0" applyBorder="1"/>
    <xf numFmtId="0" fontId="5" fillId="0" borderId="54" xfId="0" applyFont="1" applyBorder="1"/>
    <xf numFmtId="0" fontId="5" fillId="0" borderId="56" xfId="0" applyFont="1" applyBorder="1" applyAlignment="1">
      <alignment horizontal="right" vertical="center"/>
    </xf>
    <xf numFmtId="2" fontId="0" fillId="0" borderId="51" xfId="0" applyNumberFormat="1" applyBorder="1"/>
    <xf numFmtId="2" fontId="0" fillId="0" borderId="57" xfId="0" applyNumberFormat="1" applyBorder="1"/>
    <xf numFmtId="0" fontId="0" fillId="0" borderId="51" xfId="0" applyBorder="1"/>
    <xf numFmtId="0" fontId="5" fillId="0" borderId="46" xfId="0" applyFont="1" applyFill="1" applyBorder="1"/>
    <xf numFmtId="0" fontId="0" fillId="0" borderId="58" xfId="0" applyBorder="1"/>
    <xf numFmtId="0" fontId="5" fillId="0" borderId="0" xfId="0" applyFont="1" applyBorder="1" applyAlignment="1">
      <alignment horizontal="center" vertical="center"/>
    </xf>
    <xf numFmtId="0" fontId="13" fillId="0" borderId="0" xfId="0" applyFont="1" applyFill="1" applyBorder="1"/>
    <xf numFmtId="0" fontId="28" fillId="0" borderId="0" xfId="0" applyFont="1" applyBorder="1"/>
    <xf numFmtId="0" fontId="5" fillId="0" borderId="0" xfId="0" applyFont="1" applyAlignment="1"/>
    <xf numFmtId="0" fontId="9" fillId="0" borderId="60" xfId="0" applyFont="1" applyBorder="1" applyAlignment="1">
      <alignment horizontal="center" vertical="center"/>
    </xf>
    <xf numFmtId="0" fontId="5" fillId="0" borderId="63" xfId="0" applyFont="1" applyBorder="1"/>
    <xf numFmtId="0" fontId="0" fillId="0" borderId="64" xfId="0" applyFill="1" applyBorder="1"/>
    <xf numFmtId="169" fontId="0" fillId="0" borderId="0" xfId="0" applyNumberFormat="1" applyFill="1" applyBorder="1"/>
    <xf numFmtId="0" fontId="9" fillId="0" borderId="40" xfId="0" applyFont="1" applyBorder="1"/>
    <xf numFmtId="0" fontId="5" fillId="0" borderId="0" xfId="0" applyFont="1" applyAlignment="1">
      <alignment horizontal="right"/>
    </xf>
    <xf numFmtId="0" fontId="5" fillId="0" borderId="0" xfId="0" applyFont="1" applyAlignment="1">
      <alignment horizontal="right" wrapText="1"/>
    </xf>
    <xf numFmtId="0" fontId="0" fillId="0" borderId="0" xfId="0" applyAlignment="1"/>
    <xf numFmtId="4" fontId="3" fillId="5" borderId="10" xfId="0" applyNumberFormat="1" applyFont="1" applyFill="1" applyBorder="1" applyAlignment="1" applyProtection="1">
      <alignment horizontal="left" vertical="center"/>
    </xf>
    <xf numFmtId="0" fontId="5" fillId="0" borderId="0" xfId="0" applyFont="1" applyAlignment="1">
      <alignment horizontal="left" wrapText="1"/>
    </xf>
    <xf numFmtId="0" fontId="13" fillId="0" borderId="60" xfId="0" applyFont="1" applyFill="1" applyBorder="1" applyAlignment="1">
      <alignment vertical="center"/>
    </xf>
    <xf numFmtId="0" fontId="13" fillId="0" borderId="61" xfId="0" applyFont="1" applyFill="1" applyBorder="1" applyAlignment="1">
      <alignment vertical="center"/>
    </xf>
    <xf numFmtId="0" fontId="28" fillId="0" borderId="61" xfId="0" applyFont="1" applyBorder="1" applyAlignment="1">
      <alignment vertical="center"/>
    </xf>
    <xf numFmtId="4" fontId="3" fillId="5" borderId="24" xfId="0" applyNumberFormat="1" applyFont="1" applyFill="1" applyBorder="1" applyAlignment="1" applyProtection="1">
      <alignment horizontal="left" vertical="center"/>
    </xf>
    <xf numFmtId="0" fontId="5" fillId="0" borderId="0" xfId="0" applyFont="1" applyBorder="1" applyAlignment="1">
      <alignment horizontal="left" wrapText="1"/>
    </xf>
    <xf numFmtId="0" fontId="5" fillId="0" borderId="61" xfId="0" applyFont="1" applyBorder="1" applyAlignment="1">
      <alignment horizontal="left" vertical="center"/>
    </xf>
    <xf numFmtId="0" fontId="32" fillId="0" borderId="0" xfId="0" applyFont="1"/>
    <xf numFmtId="0" fontId="13" fillId="0" borderId="0" xfId="0" applyFont="1" applyFill="1"/>
    <xf numFmtId="0" fontId="5" fillId="0" borderId="53" xfId="0" applyFont="1" applyBorder="1"/>
    <xf numFmtId="0" fontId="0" fillId="0" borderId="55" xfId="0" applyBorder="1"/>
    <xf numFmtId="0" fontId="0" fillId="0" borderId="57" xfId="0" applyBorder="1"/>
    <xf numFmtId="0" fontId="0" fillId="0" borderId="59" xfId="0" applyBorder="1"/>
    <xf numFmtId="0" fontId="0" fillId="0" borderId="65" xfId="0" applyBorder="1"/>
    <xf numFmtId="0" fontId="0" fillId="0" borderId="66" xfId="0" applyBorder="1"/>
    <xf numFmtId="0" fontId="0" fillId="0" borderId="67" xfId="0" applyBorder="1"/>
    <xf numFmtId="2" fontId="0" fillId="0" borderId="57" xfId="0" applyNumberFormat="1" applyBorder="1" applyAlignment="1">
      <alignment horizontal="right" vertical="center"/>
    </xf>
    <xf numFmtId="170" fontId="0" fillId="0" borderId="51" xfId="0" applyNumberFormat="1" applyBorder="1"/>
    <xf numFmtId="170" fontId="0" fillId="0" borderId="51" xfId="0" applyNumberFormat="1" applyBorder="1" applyAlignment="1">
      <alignment horizontal="right" vertical="center"/>
    </xf>
    <xf numFmtId="0" fontId="13" fillId="0" borderId="62" xfId="0" applyFont="1" applyFill="1" applyBorder="1"/>
    <xf numFmtId="0" fontId="0" fillId="0" borderId="66" xfId="0" applyFill="1" applyBorder="1"/>
    <xf numFmtId="0" fontId="0" fillId="0" borderId="56" xfId="0" applyFill="1" applyBorder="1"/>
    <xf numFmtId="0" fontId="35" fillId="0" borderId="0" xfId="0" applyFont="1"/>
    <xf numFmtId="0" fontId="36" fillId="0" borderId="0" xfId="0" applyFont="1"/>
    <xf numFmtId="0" fontId="37" fillId="0" borderId="0" xfId="0" applyFont="1"/>
    <xf numFmtId="0" fontId="38" fillId="0" borderId="0" xfId="0" applyFont="1"/>
    <xf numFmtId="164" fontId="38" fillId="0" borderId="0" xfId="0" applyNumberFormat="1" applyFont="1"/>
    <xf numFmtId="0" fontId="38" fillId="0" borderId="1" xfId="0" applyFont="1" applyBorder="1"/>
    <xf numFmtId="164" fontId="39" fillId="0" borderId="1" xfId="0" applyNumberFormat="1" applyFont="1" applyBorder="1"/>
    <xf numFmtId="0" fontId="35" fillId="0" borderId="1" xfId="0" applyFont="1" applyBorder="1"/>
    <xf numFmtId="0" fontId="40" fillId="0" borderId="0" xfId="0" applyFont="1"/>
    <xf numFmtId="0" fontId="41" fillId="0" borderId="0" xfId="0" applyFont="1"/>
    <xf numFmtId="0" fontId="40" fillId="0" borderId="69" xfId="0" applyFont="1" applyBorder="1"/>
    <xf numFmtId="0" fontId="42" fillId="0" borderId="0" xfId="0" applyFont="1"/>
    <xf numFmtId="0" fontId="42" fillId="0" borderId="0" xfId="0" applyFont="1" applyAlignment="1">
      <alignment horizontal="right"/>
    </xf>
    <xf numFmtId="0" fontId="43" fillId="0" borderId="0" xfId="0" applyFont="1"/>
    <xf numFmtId="0" fontId="44" fillId="0" borderId="0" xfId="0" applyFont="1"/>
    <xf numFmtId="2" fontId="44" fillId="5" borderId="0" xfId="0" applyNumberFormat="1" applyFont="1" applyFill="1"/>
    <xf numFmtId="0" fontId="46" fillId="0" borderId="0" xfId="0" applyFont="1" applyAlignment="1">
      <alignment vertical="center"/>
    </xf>
    <xf numFmtId="0" fontId="47" fillId="0" borderId="0" xfId="0" applyFont="1"/>
    <xf numFmtId="0" fontId="48" fillId="0" borderId="0" xfId="0" applyFont="1" applyAlignment="1">
      <alignment vertical="center"/>
    </xf>
    <xf numFmtId="0" fontId="44" fillId="0" borderId="0" xfId="0" applyFont="1" applyAlignment="1">
      <alignment wrapText="1"/>
    </xf>
    <xf numFmtId="171" fontId="35" fillId="0" borderId="0" xfId="0" applyNumberFormat="1" applyFont="1"/>
    <xf numFmtId="2" fontId="44" fillId="5" borderId="0" xfId="0" applyNumberFormat="1" applyFont="1" applyFill="1" applyAlignment="1">
      <alignment vertical="center"/>
    </xf>
    <xf numFmtId="0" fontId="45" fillId="0" borderId="0" xfId="0" applyFont="1"/>
    <xf numFmtId="0" fontId="49" fillId="0" borderId="0" xfId="0" applyFont="1"/>
    <xf numFmtId="2" fontId="35" fillId="0" borderId="0" xfId="0" applyNumberFormat="1" applyFont="1" applyFill="1"/>
    <xf numFmtId="2" fontId="44" fillId="0" borderId="0" xfId="0" applyNumberFormat="1" applyFont="1" applyFill="1"/>
    <xf numFmtId="0" fontId="50" fillId="0" borderId="0" xfId="0" applyFont="1" applyAlignment="1">
      <alignment horizontal="right"/>
    </xf>
    <xf numFmtId="0" fontId="50" fillId="0" borderId="0" xfId="0" applyFont="1" applyAlignment="1">
      <alignment horizontal="center"/>
    </xf>
    <xf numFmtId="0" fontId="51" fillId="0" borderId="0" xfId="0" applyFont="1"/>
    <xf numFmtId="0" fontId="52" fillId="0" borderId="0" xfId="0" applyFont="1"/>
    <xf numFmtId="0" fontId="53" fillId="0" borderId="0" xfId="0" applyFont="1"/>
    <xf numFmtId="0" fontId="54" fillId="0" borderId="0" xfId="0" applyFont="1"/>
    <xf numFmtId="0" fontId="55" fillId="0" borderId="0" xfId="0" applyFont="1"/>
    <xf numFmtId="164" fontId="54" fillId="0" borderId="0" xfId="0" applyNumberFormat="1" applyFont="1"/>
    <xf numFmtId="0" fontId="56" fillId="6" borderId="3" xfId="0" applyFont="1" applyFill="1" applyBorder="1"/>
    <xf numFmtId="0" fontId="52" fillId="6" borderId="4" xfId="0" applyFont="1" applyFill="1" applyBorder="1"/>
    <xf numFmtId="0" fontId="57" fillId="6" borderId="4" xfId="4" applyNumberFormat="1" applyFont="1" applyFill="1" applyBorder="1" applyAlignment="1" applyProtection="1">
      <alignment horizontal="right"/>
    </xf>
    <xf numFmtId="0" fontId="54" fillId="6" borderId="4" xfId="0" applyFont="1" applyFill="1" applyBorder="1"/>
    <xf numFmtId="0" fontId="54" fillId="0" borderId="5" xfId="0" applyFont="1" applyBorder="1"/>
    <xf numFmtId="0" fontId="58" fillId="0" borderId="0" xfId="0" applyFont="1"/>
    <xf numFmtId="0" fontId="59" fillId="0" borderId="0" xfId="0" applyFont="1"/>
    <xf numFmtId="0" fontId="51" fillId="6" borderId="5" xfId="0" applyFont="1" applyFill="1" applyBorder="1"/>
    <xf numFmtId="0" fontId="60" fillId="6" borderId="0" xfId="0" quotePrefix="1" applyFont="1" applyFill="1" applyAlignment="1">
      <alignment wrapText="1"/>
    </xf>
    <xf numFmtId="0" fontId="51" fillId="6" borderId="0" xfId="0" applyFont="1" applyFill="1" applyBorder="1"/>
    <xf numFmtId="0" fontId="51" fillId="4" borderId="0" xfId="1" applyNumberFormat="1" applyFont="1" applyBorder="1" applyProtection="1">
      <protection locked="0"/>
    </xf>
    <xf numFmtId="0" fontId="58" fillId="0" borderId="0" xfId="0" applyFont="1" applyAlignment="1">
      <alignment horizontal="center"/>
    </xf>
    <xf numFmtId="0" fontId="54" fillId="0" borderId="1" xfId="0" applyFont="1" applyBorder="1"/>
    <xf numFmtId="164" fontId="55" fillId="0" borderId="1" xfId="0" applyNumberFormat="1" applyFont="1" applyBorder="1"/>
    <xf numFmtId="0" fontId="52" fillId="0" borderId="1" xfId="0" applyFont="1" applyBorder="1"/>
    <xf numFmtId="0" fontId="54" fillId="6" borderId="5" xfId="0" applyFont="1" applyFill="1" applyBorder="1"/>
    <xf numFmtId="0" fontId="54" fillId="6" borderId="0" xfId="0" applyFont="1" applyFill="1" applyBorder="1" applyProtection="1"/>
    <xf numFmtId="0" fontId="54" fillId="6" borderId="0" xfId="0" applyFont="1" applyFill="1" applyBorder="1"/>
    <xf numFmtId="0" fontId="61" fillId="4" borderId="0" xfId="1" applyFont="1" applyBorder="1" applyProtection="1">
      <protection locked="0"/>
    </xf>
    <xf numFmtId="0" fontId="61" fillId="4" borderId="0" xfId="1" applyNumberFormat="1" applyFont="1" applyBorder="1" applyProtection="1">
      <protection locked="0"/>
    </xf>
    <xf numFmtId="0" fontId="52" fillId="6" borderId="5" xfId="0" applyFont="1" applyFill="1" applyBorder="1"/>
    <xf numFmtId="0" fontId="52" fillId="4" borderId="0" xfId="1" applyNumberFormat="1" applyFont="1" applyBorder="1" applyProtection="1">
      <protection locked="0"/>
    </xf>
    <xf numFmtId="0" fontId="52" fillId="10" borderId="0" xfId="0" quotePrefix="1" applyFont="1" applyFill="1" applyBorder="1"/>
    <xf numFmtId="0" fontId="54" fillId="0" borderId="0" xfId="0" applyFont="1" applyAlignment="1">
      <alignment horizontal="center"/>
    </xf>
    <xf numFmtId="0" fontId="62" fillId="0" borderId="0" xfId="0" applyFont="1"/>
    <xf numFmtId="0" fontId="54" fillId="6" borderId="9" xfId="0" applyFont="1" applyFill="1" applyBorder="1"/>
    <xf numFmtId="0" fontId="54" fillId="6" borderId="10" xfId="0" applyFont="1" applyFill="1" applyBorder="1" applyProtection="1"/>
    <xf numFmtId="0" fontId="54" fillId="6" borderId="10" xfId="0" applyFont="1" applyFill="1" applyBorder="1"/>
    <xf numFmtId="0" fontId="61" fillId="4" borderId="10" xfId="1" applyNumberFormat="1" applyFont="1" applyBorder="1" applyProtection="1">
      <protection locked="0"/>
    </xf>
    <xf numFmtId="0" fontId="52" fillId="10" borderId="10" xfId="0" quotePrefix="1" applyFont="1" applyFill="1" applyBorder="1"/>
    <xf numFmtId="0" fontId="63" fillId="6" borderId="5" xfId="0" applyFont="1" applyFill="1" applyBorder="1"/>
    <xf numFmtId="0" fontId="63" fillId="6" borderId="0" xfId="0" applyFont="1" applyFill="1" applyBorder="1" applyProtection="1"/>
    <xf numFmtId="0" fontId="63" fillId="6" borderId="0" xfId="0" applyFont="1" applyFill="1" applyBorder="1"/>
    <xf numFmtId="2" fontId="63" fillId="5" borderId="0" xfId="2" applyNumberFormat="1" applyFont="1" applyFill="1" applyBorder="1"/>
    <xf numFmtId="2" fontId="63" fillId="5" borderId="49" xfId="2" applyNumberFormat="1" applyFont="1" applyFill="1" applyBorder="1"/>
    <xf numFmtId="0" fontId="51" fillId="6" borderId="0" xfId="0" applyFont="1" applyFill="1" applyBorder="1" applyProtection="1"/>
    <xf numFmtId="2" fontId="51" fillId="5" borderId="0" xfId="0" applyNumberFormat="1" applyFont="1" applyFill="1" applyBorder="1"/>
    <xf numFmtId="0" fontId="52" fillId="6" borderId="0" xfId="0" applyFont="1" applyFill="1" applyBorder="1" applyProtection="1"/>
    <xf numFmtId="165" fontId="52" fillId="5" borderId="0" xfId="2" applyNumberFormat="1" applyFont="1" applyFill="1" applyBorder="1" applyAlignment="1">
      <alignment horizontal="right"/>
    </xf>
    <xf numFmtId="0" fontId="52" fillId="6" borderId="0" xfId="0" applyFont="1" applyFill="1" applyBorder="1"/>
    <xf numFmtId="165" fontId="64" fillId="5" borderId="0" xfId="0" applyNumberFormat="1" applyFont="1" applyFill="1" applyBorder="1"/>
    <xf numFmtId="165" fontId="52" fillId="5" borderId="0" xfId="2" applyNumberFormat="1" applyFont="1" applyFill="1" applyBorder="1"/>
    <xf numFmtId="0" fontId="54" fillId="5" borderId="10" xfId="0" applyFont="1" applyFill="1" applyBorder="1"/>
    <xf numFmtId="0" fontId="61" fillId="0" borderId="5" xfId="1" applyFont="1" applyFill="1" applyBorder="1" applyAlignment="1"/>
    <xf numFmtId="0" fontId="50" fillId="6" borderId="5" xfId="0" applyFont="1" applyFill="1" applyBorder="1"/>
    <xf numFmtId="0" fontId="57" fillId="6" borderId="0" xfId="0" applyFont="1" applyFill="1" applyBorder="1"/>
    <xf numFmtId="0" fontId="52" fillId="6" borderId="49" xfId="0" applyFont="1" applyFill="1" applyBorder="1"/>
    <xf numFmtId="0" fontId="52" fillId="0" borderId="5" xfId="0" applyFont="1" applyFill="1" applyBorder="1" applyAlignment="1"/>
    <xf numFmtId="0" fontId="65" fillId="6" borderId="0" xfId="0" applyFont="1" applyFill="1" applyBorder="1"/>
    <xf numFmtId="0" fontId="52" fillId="7" borderId="0" xfId="0" applyFont="1" applyFill="1" applyBorder="1" applyProtection="1">
      <protection locked="0"/>
    </xf>
    <xf numFmtId="0" fontId="63" fillId="0" borderId="0" xfId="0" applyFont="1"/>
    <xf numFmtId="0" fontId="52" fillId="6" borderId="9" xfId="0" applyFont="1" applyFill="1" applyBorder="1"/>
    <xf numFmtId="0" fontId="52" fillId="6" borderId="10" xfId="0" applyFont="1" applyFill="1" applyBorder="1" applyProtection="1"/>
    <xf numFmtId="0" fontId="52" fillId="6" borderId="10" xfId="0" applyFont="1" applyFill="1" applyBorder="1"/>
    <xf numFmtId="0" fontId="52" fillId="7" borderId="10" xfId="0" applyFont="1" applyFill="1" applyBorder="1" applyProtection="1">
      <protection locked="0"/>
    </xf>
    <xf numFmtId="168" fontId="52" fillId="5" borderId="0" xfId="0" applyNumberFormat="1" applyFont="1" applyFill="1" applyBorder="1"/>
    <xf numFmtId="0" fontId="55" fillId="6" borderId="0" xfId="0" applyFont="1" applyFill="1" applyBorder="1"/>
    <xf numFmtId="2" fontId="63" fillId="5" borderId="0" xfId="0" applyNumberFormat="1" applyFont="1" applyFill="1" applyBorder="1" applyAlignment="1">
      <alignment horizontal="right"/>
    </xf>
    <xf numFmtId="0" fontId="51" fillId="6" borderId="9" xfId="0" applyFont="1" applyFill="1" applyBorder="1"/>
    <xf numFmtId="0" fontId="51" fillId="6" borderId="10" xfId="0" applyFont="1" applyFill="1" applyBorder="1" applyProtection="1"/>
    <xf numFmtId="0" fontId="51" fillId="6" borderId="10" xfId="0" applyFont="1" applyFill="1" applyBorder="1"/>
    <xf numFmtId="165" fontId="51" fillId="5" borderId="10" xfId="0" applyNumberFormat="1" applyFont="1" applyFill="1" applyBorder="1"/>
    <xf numFmtId="0" fontId="52" fillId="6" borderId="12" xfId="0" applyFont="1" applyFill="1" applyBorder="1"/>
    <xf numFmtId="0" fontId="61" fillId="4" borderId="0" xfId="1" applyNumberFormat="1" applyFont="1" applyBorder="1" applyAlignment="1" applyProtection="1"/>
    <xf numFmtId="0" fontId="51" fillId="6" borderId="7" xfId="0" applyFont="1" applyFill="1" applyBorder="1"/>
    <xf numFmtId="0" fontId="54" fillId="6" borderId="8" xfId="0" applyFont="1" applyFill="1" applyBorder="1"/>
    <xf numFmtId="166" fontId="52" fillId="5" borderId="70" xfId="3" applyNumberFormat="1" applyFont="1" applyFill="1" applyBorder="1" applyAlignment="1" applyProtection="1"/>
    <xf numFmtId="0" fontId="67" fillId="0" borderId="0" xfId="0" applyFont="1"/>
    <xf numFmtId="0" fontId="57" fillId="0" borderId="0" xfId="0" applyFont="1"/>
    <xf numFmtId="0" fontId="68" fillId="0" borderId="0" xfId="0" applyFont="1"/>
    <xf numFmtId="0" fontId="52" fillId="0" borderId="0" xfId="0" applyFont="1" applyProtection="1"/>
    <xf numFmtId="0" fontId="66" fillId="0" borderId="0" xfId="0" applyFont="1"/>
    <xf numFmtId="0" fontId="69" fillId="0" borderId="0" xfId="0" applyFont="1" applyProtection="1"/>
    <xf numFmtId="0" fontId="70" fillId="0" borderId="0" xfId="0" applyFont="1"/>
    <xf numFmtId="164" fontId="52" fillId="0" borderId="0" xfId="0" applyNumberFormat="1" applyFont="1"/>
    <xf numFmtId="164" fontId="66" fillId="0" borderId="0" xfId="0" applyNumberFormat="1" applyFont="1"/>
    <xf numFmtId="9" fontId="52" fillId="0" borderId="0" xfId="0" applyNumberFormat="1" applyFont="1"/>
    <xf numFmtId="167" fontId="52" fillId="0" borderId="0" xfId="0" applyNumberFormat="1" applyFont="1"/>
    <xf numFmtId="0" fontId="52" fillId="0" borderId="0" xfId="0" applyNumberFormat="1" applyFont="1"/>
    <xf numFmtId="164" fontId="71" fillId="0" borderId="0" xfId="0" applyNumberFormat="1" applyFont="1"/>
    <xf numFmtId="0" fontId="52" fillId="0" borderId="68" xfId="0" applyFont="1" applyBorder="1"/>
    <xf numFmtId="164" fontId="52" fillId="0" borderId="68" xfId="0" applyNumberFormat="1" applyFont="1" applyBorder="1"/>
    <xf numFmtId="0" fontId="52" fillId="0" borderId="0" xfId="0" applyFont="1" applyBorder="1"/>
    <xf numFmtId="0" fontId="73" fillId="0" borderId="0" xfId="0" applyFont="1"/>
    <xf numFmtId="0" fontId="9" fillId="0" borderId="69" xfId="0" applyFont="1" applyBorder="1" applyAlignment="1">
      <alignment horizontal="center"/>
    </xf>
    <xf numFmtId="2" fontId="44" fillId="0" borderId="0" xfId="0" applyNumberFormat="1" applyFont="1"/>
    <xf numFmtId="0" fontId="74" fillId="0" borderId="0" xfId="0" applyFont="1"/>
    <xf numFmtId="0" fontId="74" fillId="0" borderId="0" xfId="0" applyFont="1" applyAlignment="1">
      <alignment horizontal="center"/>
    </xf>
    <xf numFmtId="165" fontId="0" fillId="0" borderId="0" xfId="0" applyNumberFormat="1"/>
    <xf numFmtId="2" fontId="0" fillId="0" borderId="0" xfId="0" applyNumberFormat="1"/>
    <xf numFmtId="0" fontId="1" fillId="4" borderId="0" xfId="1" applyNumberFormat="1" applyFont="1" applyBorder="1" applyAlignment="1" applyProtection="1"/>
    <xf numFmtId="166" fontId="5" fillId="5" borderId="0" xfId="3" applyNumberFormat="1" applyFont="1" applyFill="1" applyBorder="1" applyAlignment="1" applyProtection="1"/>
    <xf numFmtId="2" fontId="0" fillId="5" borderId="0" xfId="0" applyNumberFormat="1" applyFill="1"/>
    <xf numFmtId="170" fontId="0" fillId="5" borderId="0" xfId="0" applyNumberFormat="1" applyFill="1"/>
    <xf numFmtId="0" fontId="9" fillId="0" borderId="0" xfId="0" applyFont="1" applyBorder="1" applyAlignment="1"/>
    <xf numFmtId="2" fontId="9" fillId="0" borderId="0" xfId="0" applyNumberFormat="1" applyFont="1" applyBorder="1"/>
    <xf numFmtId="2" fontId="70" fillId="5" borderId="0" xfId="0" applyNumberFormat="1" applyFont="1" applyFill="1" applyAlignment="1">
      <alignment vertical="center"/>
    </xf>
    <xf numFmtId="0" fontId="5" fillId="0" borderId="0" xfId="0" quotePrefix="1" applyFont="1"/>
    <xf numFmtId="2" fontId="5" fillId="5" borderId="0" xfId="0" quotePrefix="1" applyNumberFormat="1" applyFont="1" applyFill="1"/>
    <xf numFmtId="0" fontId="13" fillId="0" borderId="0" xfId="0" applyFont="1"/>
    <xf numFmtId="2" fontId="35" fillId="0" borderId="0" xfId="0" applyNumberFormat="1" applyFont="1"/>
    <xf numFmtId="2" fontId="44" fillId="5" borderId="0" xfId="0" quotePrefix="1" applyNumberFormat="1" applyFont="1" applyFill="1" applyAlignment="1">
      <alignment vertical="center"/>
    </xf>
    <xf numFmtId="2" fontId="44" fillId="5" borderId="0" xfId="0" quotePrefix="1" applyNumberFormat="1" applyFont="1" applyFill="1"/>
    <xf numFmtId="0" fontId="76" fillId="0" borderId="0" xfId="0" applyFont="1"/>
    <xf numFmtId="164" fontId="77" fillId="0" borderId="0" xfId="0" applyNumberFormat="1" applyFont="1"/>
    <xf numFmtId="0" fontId="77" fillId="0" borderId="0" xfId="0" applyFont="1"/>
    <xf numFmtId="164" fontId="5" fillId="0" borderId="0" xfId="0" applyNumberFormat="1" applyFont="1"/>
    <xf numFmtId="164" fontId="9" fillId="0" borderId="0" xfId="0" applyNumberFormat="1" applyFont="1"/>
    <xf numFmtId="0" fontId="1" fillId="4" borderId="0" xfId="1" applyFont="1" applyBorder="1" applyProtection="1">
      <protection locked="0"/>
    </xf>
    <xf numFmtId="0" fontId="1" fillId="4" borderId="0" xfId="1" applyNumberFormat="1" applyFont="1" applyBorder="1" applyProtection="1">
      <protection locked="0"/>
    </xf>
    <xf numFmtId="0" fontId="5" fillId="4" borderId="0" xfId="1" applyNumberFormat="1" applyFont="1" applyBorder="1" applyProtection="1">
      <protection locked="0"/>
    </xf>
    <xf numFmtId="2" fontId="52" fillId="7" borderId="0" xfId="0" applyNumberFormat="1" applyFont="1" applyFill="1" applyBorder="1" applyProtection="1">
      <protection locked="0"/>
    </xf>
    <xf numFmtId="0" fontId="52" fillId="7" borderId="4" xfId="4" applyNumberFormat="1" applyFont="1" applyFill="1" applyBorder="1" applyAlignment="1" applyProtection="1">
      <alignment horizontal="left"/>
      <protection locked="0"/>
    </xf>
    <xf numFmtId="0" fontId="52" fillId="0" borderId="0" xfId="0" applyFont="1" applyAlignment="1">
      <alignment wrapText="1"/>
    </xf>
    <xf numFmtId="0" fontId="66" fillId="0" borderId="0" xfId="0" applyFont="1" applyAlignment="1">
      <alignment vertical="top" wrapText="1"/>
    </xf>
    <xf numFmtId="0" fontId="52" fillId="0" borderId="0" xfId="0" applyFont="1" applyAlignment="1">
      <alignment vertical="top" wrapText="1"/>
    </xf>
    <xf numFmtId="0" fontId="5" fillId="0" borderId="17" xfId="0" applyFont="1" applyFill="1" applyBorder="1" applyAlignment="1">
      <alignment vertical="top" wrapText="1"/>
    </xf>
    <xf numFmtId="0" fontId="0" fillId="0" borderId="18" xfId="0" applyBorder="1" applyAlignment="1">
      <alignment wrapText="1"/>
    </xf>
    <xf numFmtId="0" fontId="0" fillId="0" borderId="19" xfId="0" applyBorder="1" applyAlignment="1">
      <alignment wrapText="1"/>
    </xf>
    <xf numFmtId="0" fontId="0" fillId="0" borderId="14" xfId="0" applyBorder="1" applyAlignment="1">
      <alignment wrapText="1"/>
    </xf>
    <xf numFmtId="0" fontId="0" fillId="0" borderId="0" xfId="0" applyBorder="1" applyAlignment="1">
      <alignment wrapText="1"/>
    </xf>
    <xf numFmtId="0" fontId="0" fillId="0" borderId="16" xfId="0" applyBorder="1" applyAlignment="1">
      <alignment wrapText="1"/>
    </xf>
    <xf numFmtId="0" fontId="0" fillId="0" borderId="15" xfId="0" applyBorder="1" applyAlignment="1">
      <alignment wrapText="1"/>
    </xf>
    <xf numFmtId="0" fontId="0" fillId="0" borderId="1" xfId="0" applyBorder="1" applyAlignment="1">
      <alignment wrapText="1"/>
    </xf>
    <xf numFmtId="0" fontId="0" fillId="0" borderId="20" xfId="0" applyBorder="1" applyAlignment="1">
      <alignment wrapText="1"/>
    </xf>
    <xf numFmtId="0" fontId="5" fillId="9" borderId="44" xfId="0" applyFont="1" applyFill="1" applyBorder="1" applyAlignment="1" applyProtection="1">
      <alignment horizontal="left"/>
      <protection locked="0"/>
    </xf>
    <xf numFmtId="0" fontId="0" fillId="9" borderId="45" xfId="0" applyFill="1" applyBorder="1" applyAlignment="1" applyProtection="1">
      <alignment horizontal="left"/>
      <protection locked="0"/>
    </xf>
    <xf numFmtId="0" fontId="0" fillId="0" borderId="0" xfId="0" applyAlignment="1"/>
    <xf numFmtId="0" fontId="5" fillId="8" borderId="0" xfId="0" applyFont="1" applyFill="1" applyBorder="1" applyAlignment="1">
      <alignment horizontal="right" vertical="center"/>
    </xf>
    <xf numFmtId="0" fontId="0" fillId="8" borderId="0" xfId="0" applyFill="1" applyBorder="1" applyAlignment="1">
      <alignment horizontal="right" vertical="center"/>
    </xf>
    <xf numFmtId="0" fontId="5" fillId="0" borderId="0" xfId="0" applyFont="1" applyAlignment="1">
      <alignment horizontal="right"/>
    </xf>
    <xf numFmtId="0" fontId="0" fillId="0" borderId="0" xfId="0" applyAlignment="1">
      <alignment horizontal="right"/>
    </xf>
    <xf numFmtId="0" fontId="40" fillId="0" borderId="69" xfId="0" applyFont="1" applyBorder="1" applyAlignment="1">
      <alignment horizontal="center"/>
    </xf>
    <xf numFmtId="0" fontId="35" fillId="0" borderId="69" xfId="0" applyFont="1" applyBorder="1" applyAlignment="1">
      <alignment horizontal="center"/>
    </xf>
    <xf numFmtId="0" fontId="32" fillId="0" borderId="0" xfId="0" applyFont="1" applyAlignment="1">
      <alignment wrapText="1"/>
    </xf>
    <xf numFmtId="0" fontId="0" fillId="0" borderId="0" xfId="0" applyAlignment="1">
      <alignment wrapText="1"/>
    </xf>
    <xf numFmtId="0" fontId="54" fillId="0" borderId="0" xfId="0" applyFont="1" applyBorder="1"/>
  </cellXfs>
  <cellStyles count="6">
    <cellStyle name="40% - Accent5" xfId="1" builtinId="47"/>
    <cellStyle name="Good" xfId="2" builtinId="26" customBuiltin="1"/>
    <cellStyle name="Normal" xfId="0" builtinId="0"/>
    <cellStyle name="Normal_Compress Nelson F" xfId="4" xr:uid="{00000000-0005-0000-0000-000003000000}"/>
    <cellStyle name="Normal_Valve P1 and P2 vs Q Rev 3" xfId="5" xr:uid="{00000000-0005-0000-0000-000004000000}"/>
    <cellStyle name="Note" xfId="3" builtinId="10"/>
  </cellStyles>
  <dxfs count="3">
    <dxf>
      <font>
        <strike val="0"/>
        <color auto="1"/>
      </font>
      <fill>
        <patternFill>
          <bgColor rgb="FFFF7979"/>
        </patternFill>
      </fill>
    </dxf>
    <dxf>
      <font>
        <color auto="1"/>
      </font>
      <fill>
        <patternFill>
          <bgColor rgb="FFFF7979"/>
        </patternFill>
      </fill>
    </dxf>
    <dxf>
      <font>
        <strike val="0"/>
        <color auto="1"/>
      </font>
      <fill>
        <patternFill>
          <bgColor rgb="FFFF7979"/>
        </patternFill>
      </fill>
    </dxf>
  </dxfs>
  <tableStyles count="0" defaultTableStyle="TableStyleMedium9" defaultPivotStyle="PivotStyleLight16"/>
  <colors>
    <mruColors>
      <color rgb="FF0000CC"/>
      <color rgb="FF006600"/>
      <color rgb="FF800000"/>
      <color rgb="FF003366"/>
      <color rgb="FFB6DDE8"/>
      <color rgb="FF996633"/>
      <color rgb="FF2B2F79"/>
      <color rgb="FF3E43B0"/>
      <color rgb="FF00602B"/>
      <color rgb="FFFF79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US"/>
              <a:t>Installed Flow</a:t>
            </a:r>
          </a:p>
        </c:rich>
      </c:tx>
      <c:layout>
        <c:manualLayout>
          <c:xMode val="edge"/>
          <c:yMode val="edge"/>
          <c:x val="0.36976266562015503"/>
          <c:y val="7.1641804516028576E-3"/>
        </c:manualLayout>
      </c:layout>
      <c:overlay val="1"/>
    </c:title>
    <c:autoTitleDeleted val="0"/>
    <c:plotArea>
      <c:layout>
        <c:manualLayout>
          <c:layoutTarget val="inner"/>
          <c:xMode val="edge"/>
          <c:yMode val="edge"/>
          <c:x val="0.15932938905467844"/>
          <c:y val="0.10599602416190441"/>
          <c:w val="0.78360950658621664"/>
          <c:h val="0.76719572540993775"/>
        </c:manualLayout>
      </c:layout>
      <c:scatterChart>
        <c:scatterStyle val="smoothMarker"/>
        <c:varyColors val="0"/>
        <c:ser>
          <c:idx val="1"/>
          <c:order val="1"/>
          <c:spPr>
            <a:ln w="41275" cap="sq">
              <a:solidFill>
                <a:srgbClr val="0000CC"/>
              </a:solidFill>
              <a:prstDash val="sysDot"/>
            </a:ln>
          </c:spPr>
          <c:marker>
            <c:symbol val="none"/>
          </c:marker>
          <c:xVal>
            <c:numRef>
              <c:f>'Installed Flow'!$B$34:$L$34</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Flow'!$B$36:$L$36</c:f>
              <c:numCache>
                <c:formatCode>General</c:formatCode>
                <c:ptCount val="11"/>
                <c:pt idx="0">
                  <c:v>0.10721044739870837</c:v>
                </c:pt>
                <c:pt idx="1">
                  <c:v>0.10721044739870837</c:v>
                </c:pt>
                <c:pt idx="2">
                  <c:v>0.10721044739870837</c:v>
                </c:pt>
                <c:pt idx="3">
                  <c:v>0.10721044739870837</c:v>
                </c:pt>
                <c:pt idx="4">
                  <c:v>0.10721044739870837</c:v>
                </c:pt>
                <c:pt idx="5">
                  <c:v>0.10721044739870837</c:v>
                </c:pt>
                <c:pt idx="6">
                  <c:v>0.10721044739870837</c:v>
                </c:pt>
                <c:pt idx="7">
                  <c:v>0.10721044739870837</c:v>
                </c:pt>
                <c:pt idx="8">
                  <c:v>0.10721044739870837</c:v>
                </c:pt>
                <c:pt idx="9">
                  <c:v>0.10721044739870837</c:v>
                </c:pt>
                <c:pt idx="10">
                  <c:v>0.10721044739870837</c:v>
                </c:pt>
              </c:numCache>
            </c:numRef>
          </c:yVal>
          <c:smooth val="1"/>
          <c:extLst>
            <c:ext xmlns:c16="http://schemas.microsoft.com/office/drawing/2014/chart" uri="{C3380CC4-5D6E-409C-BE32-E72D297353CC}">
              <c16:uniqueId val="{00000000-B963-44E6-90AC-C2A1A0928230}"/>
            </c:ext>
          </c:extLst>
        </c:ser>
        <c:ser>
          <c:idx val="2"/>
          <c:order val="2"/>
          <c:spPr>
            <a:ln w="41275" cap="sq">
              <a:solidFill>
                <a:srgbClr val="800000"/>
              </a:solidFill>
              <a:prstDash val="sysDot"/>
            </a:ln>
          </c:spPr>
          <c:marker>
            <c:symbol val="none"/>
          </c:marker>
          <c:xVal>
            <c:numRef>
              <c:f>'Installed Flow'!$B$34:$L$34</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Flow'!$B$37:$L$37</c:f>
              <c:numCache>
                <c:formatCode>General</c:formatCode>
                <c:ptCount val="11"/>
                <c:pt idx="0">
                  <c:v>0.73707182586612008</c:v>
                </c:pt>
                <c:pt idx="1">
                  <c:v>0.73707182586612008</c:v>
                </c:pt>
                <c:pt idx="2">
                  <c:v>0.73707182586612008</c:v>
                </c:pt>
                <c:pt idx="3">
                  <c:v>0.73707182586612008</c:v>
                </c:pt>
                <c:pt idx="4">
                  <c:v>0.73707182586612008</c:v>
                </c:pt>
                <c:pt idx="5">
                  <c:v>0.73707182586612008</c:v>
                </c:pt>
                <c:pt idx="6">
                  <c:v>0.73707182586612008</c:v>
                </c:pt>
                <c:pt idx="7">
                  <c:v>0.73707182586612008</c:v>
                </c:pt>
                <c:pt idx="8">
                  <c:v>0.73707182586612008</c:v>
                </c:pt>
                <c:pt idx="9">
                  <c:v>0.73707182586612008</c:v>
                </c:pt>
                <c:pt idx="10">
                  <c:v>0.73707182586612008</c:v>
                </c:pt>
              </c:numCache>
            </c:numRef>
          </c:yVal>
          <c:smooth val="1"/>
          <c:extLst>
            <c:ext xmlns:c16="http://schemas.microsoft.com/office/drawing/2014/chart" uri="{C3380CC4-5D6E-409C-BE32-E72D297353CC}">
              <c16:uniqueId val="{00000001-B963-44E6-90AC-C2A1A0928230}"/>
            </c:ext>
          </c:extLst>
        </c:ser>
        <c:dLbls>
          <c:showLegendKey val="0"/>
          <c:showVal val="0"/>
          <c:showCatName val="0"/>
          <c:showSerName val="0"/>
          <c:showPercent val="0"/>
          <c:showBubbleSize val="0"/>
        </c:dLbls>
        <c:axId val="142004608"/>
        <c:axId val="142006528"/>
      </c:scatterChart>
      <c:scatterChart>
        <c:scatterStyle val="lineMarker"/>
        <c:varyColors val="0"/>
        <c:ser>
          <c:idx val="0"/>
          <c:order val="0"/>
          <c:spPr>
            <a:ln w="38100">
              <a:solidFill>
                <a:srgbClr val="006600"/>
              </a:solidFill>
              <a:prstDash val="solid"/>
            </a:ln>
          </c:spPr>
          <c:marker>
            <c:symbol val="none"/>
          </c:marker>
          <c:xVal>
            <c:numRef>
              <c:f>'Installed Flow'!$B$34:$L$34</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Flow'!$B$35:$L$35</c:f>
              <c:numCache>
                <c:formatCode>0.00</c:formatCode>
                <c:ptCount val="11"/>
                <c:pt idx="0">
                  <c:v>0</c:v>
                </c:pt>
                <c:pt idx="1">
                  <c:v>3.7867621322771494E-2</c:v>
                </c:pt>
                <c:pt idx="2">
                  <c:v>9.0896867838598086E-2</c:v>
                </c:pt>
                <c:pt idx="3">
                  <c:v>0.17355543333103204</c:v>
                </c:pt>
                <c:pt idx="4">
                  <c:v>0.28543478851011977</c:v>
                </c:pt>
                <c:pt idx="5">
                  <c:v>0.42497350491714142</c:v>
                </c:pt>
                <c:pt idx="6">
                  <c:v>0.56712878975028969</c:v>
                </c:pt>
                <c:pt idx="7">
                  <c:v>0.69200490062104825</c:v>
                </c:pt>
                <c:pt idx="8">
                  <c:v>0.80339620658493827</c:v>
                </c:pt>
                <c:pt idx="9">
                  <c:v>0.914339824239913</c:v>
                </c:pt>
                <c:pt idx="10">
                  <c:v>1</c:v>
                </c:pt>
              </c:numCache>
            </c:numRef>
          </c:yVal>
          <c:smooth val="0"/>
          <c:extLst>
            <c:ext xmlns:c16="http://schemas.microsoft.com/office/drawing/2014/chart" uri="{C3380CC4-5D6E-409C-BE32-E72D297353CC}">
              <c16:uniqueId val="{00000002-B963-44E6-90AC-C2A1A0928230}"/>
            </c:ext>
          </c:extLst>
        </c:ser>
        <c:dLbls>
          <c:showLegendKey val="0"/>
          <c:showVal val="0"/>
          <c:showCatName val="0"/>
          <c:showSerName val="0"/>
          <c:showPercent val="0"/>
          <c:showBubbleSize val="0"/>
        </c:dLbls>
        <c:axId val="142004608"/>
        <c:axId val="142006528"/>
      </c:scatterChart>
      <c:valAx>
        <c:axId val="142004608"/>
        <c:scaling>
          <c:orientation val="minMax"/>
          <c:max val="1"/>
          <c:min val="0"/>
        </c:scaling>
        <c:delete val="0"/>
        <c:axPos val="b"/>
        <c:majorGridlines>
          <c:spPr>
            <a:ln w="25400"/>
          </c:spPr>
        </c:majorGridlines>
        <c:minorGridlines/>
        <c:title>
          <c:tx>
            <c:rich>
              <a:bodyPr/>
              <a:lstStyle/>
              <a:p>
                <a:pPr>
                  <a:defRPr sz="1400" b="1"/>
                </a:pPr>
                <a:r>
                  <a:rPr lang="en-US" sz="1400" b="1"/>
                  <a:t>Relative Travel, h</a:t>
                </a:r>
              </a:p>
            </c:rich>
          </c:tx>
          <c:layout>
            <c:manualLayout>
              <c:xMode val="edge"/>
              <c:yMode val="edge"/>
              <c:x val="0.34940138114831032"/>
              <c:y val="0.92551911811023557"/>
            </c:manualLayout>
          </c:layout>
          <c:overlay val="0"/>
        </c:title>
        <c:numFmt formatCode="#,##0.0" sourceLinked="0"/>
        <c:majorTickMark val="out"/>
        <c:minorTickMark val="none"/>
        <c:tickLblPos val="nextTo"/>
        <c:crossAx val="142006528"/>
        <c:crosses val="autoZero"/>
        <c:crossBetween val="midCat"/>
        <c:majorUnit val="0.1"/>
      </c:valAx>
      <c:valAx>
        <c:axId val="142006528"/>
        <c:scaling>
          <c:orientation val="minMax"/>
          <c:max val="1"/>
          <c:min val="0"/>
        </c:scaling>
        <c:delete val="0"/>
        <c:axPos val="l"/>
        <c:majorGridlines>
          <c:spPr>
            <a:ln>
              <a:solidFill>
                <a:schemeClr val="bg1"/>
              </a:solidFill>
            </a:ln>
          </c:spPr>
        </c:majorGridlines>
        <c:title>
          <c:tx>
            <c:rich>
              <a:bodyPr rot="-5400000" vert="horz" anchor="b" anchorCtr="1"/>
              <a:lstStyle/>
              <a:p>
                <a:pPr>
                  <a:defRPr sz="1400" b="1"/>
                </a:pPr>
                <a:r>
                  <a:rPr lang="en-US" sz="1400" b="1"/>
                  <a:t>Relative Flow - Q/Q</a:t>
                </a:r>
                <a:r>
                  <a:rPr lang="en-US" sz="1800" b="1" baseline="-25000"/>
                  <a:t>f</a:t>
                </a:r>
                <a:endParaRPr lang="en-US" sz="1400" b="1" baseline="-25000"/>
              </a:p>
            </c:rich>
          </c:tx>
          <c:layout>
            <c:manualLayout>
              <c:xMode val="edge"/>
              <c:yMode val="edge"/>
              <c:x val="3.09089638952602E-2"/>
              <c:y val="0.24687429558014637"/>
            </c:manualLayout>
          </c:layout>
          <c:overlay val="0"/>
          <c:spPr>
            <a:noFill/>
          </c:spPr>
        </c:title>
        <c:numFmt formatCode="0.0" sourceLinked="0"/>
        <c:majorTickMark val="out"/>
        <c:minorTickMark val="none"/>
        <c:tickLblPos val="nextTo"/>
        <c:txPr>
          <a:bodyPr/>
          <a:lstStyle/>
          <a:p>
            <a:pPr>
              <a:defRPr>
                <a:solidFill>
                  <a:sysClr val="windowText" lastClr="000000"/>
                </a:solidFill>
              </a:defRPr>
            </a:pPr>
            <a:endParaRPr lang="en-US"/>
          </a:p>
        </c:txPr>
        <c:crossAx val="142004608"/>
        <c:crosses val="autoZero"/>
        <c:crossBetween val="midCat"/>
      </c:valAx>
    </c:plotArea>
    <c:plotVisOnly val="1"/>
    <c:dispBlanksAs val="gap"/>
    <c:showDLblsOverMax val="0"/>
  </c:chart>
  <c:spPr>
    <a:ln w="19050">
      <a:solidFill>
        <a:srgbClr val="0000CC"/>
      </a:solidFill>
    </a:ln>
  </c:spPr>
  <c:printSettings>
    <c:headerFooter/>
    <c:pageMargins b="0.75000000000000533" l="0.70000000000000095" r="0.70000000000000095" t="0.75000000000000533"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00018188986402E-2"/>
          <c:y val="4.4754406257474018E-2"/>
          <c:w val="0.93399996362202764"/>
          <c:h val="0.94032745832336884"/>
        </c:manualLayout>
      </c:layout>
      <c:scatterChart>
        <c:scatterStyle val="lineMarker"/>
        <c:varyColors val="0"/>
        <c:dLbls>
          <c:showLegendKey val="0"/>
          <c:showVal val="0"/>
          <c:showCatName val="0"/>
          <c:showSerName val="0"/>
          <c:showPercent val="0"/>
          <c:showBubbleSize val="0"/>
        </c:dLbls>
        <c:axId val="98633216"/>
        <c:axId val="98634752"/>
      </c:scatterChart>
      <c:valAx>
        <c:axId val="98633216"/>
        <c:scaling>
          <c:orientation val="minMax"/>
          <c:max val="1.4"/>
          <c:min val="0"/>
        </c:scaling>
        <c:delete val="1"/>
        <c:axPos val="b"/>
        <c:numFmt formatCode="General" sourceLinked="1"/>
        <c:majorTickMark val="out"/>
        <c:minorTickMark val="none"/>
        <c:tickLblPos val="none"/>
        <c:crossAx val="98634752"/>
        <c:crosses val="autoZero"/>
        <c:crossBetween val="midCat"/>
      </c:valAx>
      <c:valAx>
        <c:axId val="98634752"/>
        <c:scaling>
          <c:orientation val="minMax"/>
          <c:max val="4"/>
          <c:min val="0"/>
        </c:scaling>
        <c:delete val="1"/>
        <c:axPos val="l"/>
        <c:numFmt formatCode="General" sourceLinked="1"/>
        <c:majorTickMark val="out"/>
        <c:minorTickMark val="none"/>
        <c:tickLblPos val="none"/>
        <c:crossAx val="98633216"/>
        <c:crosses val="autoZero"/>
        <c:crossBetween val="midCat"/>
      </c:valAx>
      <c:spPr>
        <a:noFill/>
        <a:ln w="25400">
          <a:noFill/>
        </a:ln>
      </c:spPr>
    </c:plotArea>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600"/>
              <a:t>Installed Flow</a:t>
            </a:r>
          </a:p>
          <a:p>
            <a:pPr>
              <a:defRPr sz="1200"/>
            </a:pPr>
            <a:r>
              <a:rPr lang="en-US" sz="1200" b="1" i="0" u="none" strike="noStrike" baseline="0"/>
              <a:t>Q/Q</a:t>
            </a:r>
            <a:r>
              <a:rPr lang="en-US" sz="1200" b="1" i="0" u="none" strike="noStrike" baseline="-25000"/>
              <a:t>max</a:t>
            </a:r>
            <a:endParaRPr lang="en-US" sz="1200"/>
          </a:p>
        </c:rich>
      </c:tx>
      <c:layout>
        <c:manualLayout>
          <c:xMode val="edge"/>
          <c:yMode val="edge"/>
          <c:x val="0.42392692739142729"/>
          <c:y val="1.6564196826604129E-3"/>
        </c:manualLayout>
      </c:layout>
      <c:overlay val="0"/>
    </c:title>
    <c:autoTitleDeleted val="0"/>
    <c:plotArea>
      <c:layout>
        <c:manualLayout>
          <c:layoutTarget val="inner"/>
          <c:xMode val="edge"/>
          <c:yMode val="edge"/>
          <c:x val="0.21263801359395695"/>
          <c:y val="0.11541796405884035"/>
          <c:w val="0.75033422116135651"/>
          <c:h val="0.73117229911478465"/>
        </c:manualLayout>
      </c:layout>
      <c:scatterChart>
        <c:scatterStyle val="smoothMarker"/>
        <c:varyColors val="0"/>
        <c:ser>
          <c:idx val="0"/>
          <c:order val="0"/>
          <c:spPr>
            <a:ln>
              <a:solidFill>
                <a:srgbClr val="0000CC"/>
              </a:solidFill>
            </a:ln>
          </c:spPr>
          <c:marker>
            <c:symbol val="none"/>
          </c:marker>
          <c:xVal>
            <c:numRef>
              <c:f>'Installed Gain'!$B$39:$V$39</c:f>
              <c:numCache>
                <c:formatCode>General</c:formatCode>
                <c:ptCount val="21"/>
                <c:pt idx="0">
                  <c:v>0</c:v>
                </c:pt>
                <c:pt idx="1">
                  <c:v>0.05</c:v>
                </c:pt>
                <c:pt idx="2">
                  <c:v>0.1</c:v>
                </c:pt>
                <c:pt idx="3">
                  <c:v>0.15</c:v>
                </c:pt>
                <c:pt idx="4">
                  <c:v>0.2</c:v>
                </c:pt>
                <c:pt idx="5">
                  <c:v>0.25</c:v>
                </c:pt>
                <c:pt idx="6">
                  <c:v>0.3</c:v>
                </c:pt>
                <c:pt idx="7">
                  <c:v>0.35</c:v>
                </c:pt>
                <c:pt idx="8">
                  <c:v>0.4</c:v>
                </c:pt>
                <c:pt idx="9">
                  <c:v>0.45</c:v>
                </c:pt>
                <c:pt idx="10">
                  <c:v>0.5</c:v>
                </c:pt>
                <c:pt idx="11">
                  <c:v>0.55000000000000004</c:v>
                </c:pt>
                <c:pt idx="12">
                  <c:v>0.6</c:v>
                </c:pt>
                <c:pt idx="13">
                  <c:v>0.65</c:v>
                </c:pt>
                <c:pt idx="14">
                  <c:v>0.7</c:v>
                </c:pt>
                <c:pt idx="15">
                  <c:v>0.75</c:v>
                </c:pt>
                <c:pt idx="16">
                  <c:v>0.8</c:v>
                </c:pt>
                <c:pt idx="17">
                  <c:v>0.85</c:v>
                </c:pt>
                <c:pt idx="18">
                  <c:v>0.9</c:v>
                </c:pt>
                <c:pt idx="19">
                  <c:v>0.95</c:v>
                </c:pt>
                <c:pt idx="20">
                  <c:v>1</c:v>
                </c:pt>
              </c:numCache>
            </c:numRef>
          </c:xVal>
          <c:yVal>
            <c:numRef>
              <c:f>'Installed Gain'!$B$40:$V$40</c:f>
              <c:numCache>
                <c:formatCode>0.000</c:formatCode>
                <c:ptCount val="21"/>
                <c:pt idx="0" formatCode="0.00">
                  <c:v>0</c:v>
                </c:pt>
                <c:pt idx="1">
                  <c:v>2.5687877350537666E-2</c:v>
                </c:pt>
                <c:pt idx="2">
                  <c:v>5.1375754701075332E-2</c:v>
                </c:pt>
                <c:pt idx="3">
                  <c:v>8.7348671216716703E-2</c:v>
                </c:pt>
                <c:pt idx="4">
                  <c:v>0.12332158773235807</c:v>
                </c:pt>
                <c:pt idx="5">
                  <c:v>0.17939384730848784</c:v>
                </c:pt>
                <c:pt idx="6">
                  <c:v>0.23546610688461758</c:v>
                </c:pt>
                <c:pt idx="7">
                  <c:v>0.31136057961637631</c:v>
                </c:pt>
                <c:pt idx="8">
                  <c:v>0.38725505234813501</c:v>
                </c:pt>
                <c:pt idx="9">
                  <c:v>0.48191252771904081</c:v>
                </c:pt>
                <c:pt idx="10">
                  <c:v>0.57657000308994666</c:v>
                </c:pt>
                <c:pt idx="11">
                  <c:v>0.67300245366293121</c:v>
                </c:pt>
                <c:pt idx="12">
                  <c:v>0.76943490423591576</c:v>
                </c:pt>
                <c:pt idx="13">
                  <c:v>0.85414585538644905</c:v>
                </c:pt>
                <c:pt idx="14">
                  <c:v>0.93885680653698234</c:v>
                </c:pt>
                <c:pt idx="15">
                  <c:v>1.0144202062321179</c:v>
                </c:pt>
                <c:pt idx="16">
                  <c:v>1.0899836059272534</c:v>
                </c:pt>
                <c:pt idx="17">
                  <c:v>1.1652433118077536</c:v>
                </c:pt>
                <c:pt idx="18">
                  <c:v>1.2405030176882539</c:v>
                </c:pt>
                <c:pt idx="19">
                  <c:v>1.2986114494272023</c:v>
                </c:pt>
                <c:pt idx="20">
                  <c:v>1.3567198811661505</c:v>
                </c:pt>
              </c:numCache>
            </c:numRef>
          </c:yVal>
          <c:smooth val="1"/>
          <c:extLst>
            <c:ext xmlns:c16="http://schemas.microsoft.com/office/drawing/2014/chart" uri="{C3380CC4-5D6E-409C-BE32-E72D297353CC}">
              <c16:uniqueId val="{00000000-A693-4F33-9337-2B19B6D263DF}"/>
            </c:ext>
          </c:extLst>
        </c:ser>
        <c:dLbls>
          <c:showLegendKey val="0"/>
          <c:showVal val="0"/>
          <c:showCatName val="0"/>
          <c:showSerName val="0"/>
          <c:showPercent val="0"/>
          <c:showBubbleSize val="0"/>
        </c:dLbls>
        <c:axId val="98653696"/>
        <c:axId val="98655616"/>
      </c:scatterChart>
      <c:valAx>
        <c:axId val="98653696"/>
        <c:scaling>
          <c:orientation val="minMax"/>
          <c:max val="1"/>
          <c:min val="0"/>
        </c:scaling>
        <c:delete val="0"/>
        <c:axPos val="b"/>
        <c:title>
          <c:tx>
            <c:rich>
              <a:bodyPr/>
              <a:lstStyle/>
              <a:p>
                <a:pPr>
                  <a:defRPr sz="1400"/>
                </a:pPr>
                <a:r>
                  <a:rPr lang="en-US" sz="1400"/>
                  <a:t>Relative Travel</a:t>
                </a:r>
              </a:p>
            </c:rich>
          </c:tx>
          <c:overlay val="0"/>
        </c:title>
        <c:numFmt formatCode="General" sourceLinked="1"/>
        <c:majorTickMark val="out"/>
        <c:minorTickMark val="none"/>
        <c:tickLblPos val="nextTo"/>
        <c:crossAx val="98655616"/>
        <c:crosses val="autoZero"/>
        <c:crossBetween val="midCat"/>
      </c:valAx>
      <c:valAx>
        <c:axId val="98655616"/>
        <c:scaling>
          <c:orientation val="minMax"/>
          <c:max val="2"/>
          <c:min val="0"/>
        </c:scaling>
        <c:delete val="0"/>
        <c:axPos val="l"/>
        <c:majorGridlines/>
        <c:title>
          <c:tx>
            <c:rich>
              <a:bodyPr rot="-5400000" vert="horz"/>
              <a:lstStyle/>
              <a:p>
                <a:pPr>
                  <a:defRPr sz="1600"/>
                </a:pPr>
                <a:r>
                  <a:rPr lang="en-US" sz="1400" b="1" i="0" baseline="0"/>
                  <a:t>Relative Flow - Q/Q</a:t>
                </a:r>
                <a:r>
                  <a:rPr lang="en-US" sz="1800" b="1" i="0" baseline="-25000"/>
                  <a:t>max</a:t>
                </a:r>
              </a:p>
            </c:rich>
          </c:tx>
          <c:overlay val="0"/>
        </c:title>
        <c:numFmt formatCode="0.00" sourceLinked="1"/>
        <c:majorTickMark val="out"/>
        <c:minorTickMark val="none"/>
        <c:tickLblPos val="nextTo"/>
        <c:crossAx val="98653696"/>
        <c:crosses val="autoZero"/>
        <c:crossBetween val="midCat"/>
      </c:valAx>
    </c:plotArea>
    <c:plotVisOnly val="1"/>
    <c:dispBlanksAs val="gap"/>
    <c:showDLblsOverMax val="0"/>
  </c:chart>
  <c:printSettings>
    <c:headerFooter/>
    <c:pageMargins b="0.750000000000006" l="0.70000000000000062" r="0.70000000000000062" t="0.75000000000000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Installed Gain </a:t>
            </a:r>
          </a:p>
        </c:rich>
      </c:tx>
      <c:overlay val="0"/>
    </c:title>
    <c:autoTitleDeleted val="0"/>
    <c:plotArea>
      <c:layout>
        <c:manualLayout>
          <c:layoutTarget val="inner"/>
          <c:xMode val="edge"/>
          <c:yMode val="edge"/>
          <c:x val="0.16684461326592928"/>
          <c:y val="0.10865269327282052"/>
          <c:w val="0.79280019631453325"/>
          <c:h val="0.77297817392540902"/>
        </c:manualLayout>
      </c:layout>
      <c:scatterChart>
        <c:scatterStyle val="smoothMarker"/>
        <c:varyColors val="0"/>
        <c:ser>
          <c:idx val="1"/>
          <c:order val="1"/>
          <c:spPr>
            <a:ln w="41275" cap="sq">
              <a:solidFill>
                <a:srgbClr val="0000CC"/>
              </a:solidFill>
              <a:prstDash val="sysDot"/>
            </a:ln>
          </c:spPr>
          <c:marker>
            <c:symbol val="none"/>
          </c:marker>
          <c:xVal>
            <c:numRef>
              <c:f>'Installed Gain'!$C$40:$Z$40</c:f>
              <c:numCache>
                <c:formatCode>0.000</c:formatCode>
                <c:ptCount val="24"/>
                <c:pt idx="0">
                  <c:v>2.5687877350537666E-2</c:v>
                </c:pt>
                <c:pt idx="1">
                  <c:v>5.1375754701075332E-2</c:v>
                </c:pt>
                <c:pt idx="2">
                  <c:v>8.7348671216716703E-2</c:v>
                </c:pt>
                <c:pt idx="3">
                  <c:v>0.12332158773235807</c:v>
                </c:pt>
                <c:pt idx="4">
                  <c:v>0.17939384730848784</c:v>
                </c:pt>
                <c:pt idx="5">
                  <c:v>0.23546610688461758</c:v>
                </c:pt>
                <c:pt idx="6">
                  <c:v>0.31136057961637631</c:v>
                </c:pt>
                <c:pt idx="7">
                  <c:v>0.38725505234813501</c:v>
                </c:pt>
                <c:pt idx="8">
                  <c:v>0.48191252771904081</c:v>
                </c:pt>
                <c:pt idx="9">
                  <c:v>0.57657000308994666</c:v>
                </c:pt>
                <c:pt idx="10">
                  <c:v>0.67300245366293121</c:v>
                </c:pt>
                <c:pt idx="11">
                  <c:v>0.76943490423591576</c:v>
                </c:pt>
                <c:pt idx="12">
                  <c:v>0.85414585538644905</c:v>
                </c:pt>
                <c:pt idx="13">
                  <c:v>0.93885680653698234</c:v>
                </c:pt>
                <c:pt idx="14">
                  <c:v>1.0144202062321179</c:v>
                </c:pt>
                <c:pt idx="15">
                  <c:v>1.0899836059272534</c:v>
                </c:pt>
                <c:pt idx="16">
                  <c:v>1.1652433118077536</c:v>
                </c:pt>
                <c:pt idx="17">
                  <c:v>1.2405030176882539</c:v>
                </c:pt>
                <c:pt idx="18">
                  <c:v>1.2986114494272023</c:v>
                </c:pt>
                <c:pt idx="19">
                  <c:v>1.3567198811661505</c:v>
                </c:pt>
                <c:pt idx="20" formatCode="0.00">
                  <c:v>0.14545454545454545</c:v>
                </c:pt>
                <c:pt idx="21" formatCode="0.00">
                  <c:v>0.14545454545454545</c:v>
                </c:pt>
                <c:pt idx="22" formatCode="0.00">
                  <c:v>1</c:v>
                </c:pt>
                <c:pt idx="23" formatCode="0.00">
                  <c:v>1</c:v>
                </c:pt>
              </c:numCache>
            </c:numRef>
          </c:xVal>
          <c:yVal>
            <c:numRef>
              <c:f>'Installed Gain'!$C$42:$Z$42</c:f>
              <c:numCache>
                <c:formatCode>General</c:formatCode>
                <c:ptCount val="24"/>
                <c:pt idx="20">
                  <c:v>0</c:v>
                </c:pt>
                <c:pt idx="21">
                  <c:v>4</c:v>
                </c:pt>
              </c:numCache>
            </c:numRef>
          </c:yVal>
          <c:smooth val="1"/>
          <c:extLst>
            <c:ext xmlns:c16="http://schemas.microsoft.com/office/drawing/2014/chart" uri="{C3380CC4-5D6E-409C-BE32-E72D297353CC}">
              <c16:uniqueId val="{00000000-5595-47D8-A46D-157E374D7A23}"/>
            </c:ext>
          </c:extLst>
        </c:ser>
        <c:ser>
          <c:idx val="2"/>
          <c:order val="2"/>
          <c:spPr>
            <a:ln w="41275" cap="sq">
              <a:solidFill>
                <a:srgbClr val="800000"/>
              </a:solidFill>
              <a:prstDash val="sysDot"/>
            </a:ln>
          </c:spPr>
          <c:marker>
            <c:symbol val="none"/>
          </c:marker>
          <c:xVal>
            <c:numRef>
              <c:f>'Installed Gain'!$C$40:$Z$40</c:f>
              <c:numCache>
                <c:formatCode>0.000</c:formatCode>
                <c:ptCount val="24"/>
                <c:pt idx="0">
                  <c:v>2.5687877350537666E-2</c:v>
                </c:pt>
                <c:pt idx="1">
                  <c:v>5.1375754701075332E-2</c:v>
                </c:pt>
                <c:pt idx="2">
                  <c:v>8.7348671216716703E-2</c:v>
                </c:pt>
                <c:pt idx="3">
                  <c:v>0.12332158773235807</c:v>
                </c:pt>
                <c:pt idx="4">
                  <c:v>0.17939384730848784</c:v>
                </c:pt>
                <c:pt idx="5">
                  <c:v>0.23546610688461758</c:v>
                </c:pt>
                <c:pt idx="6">
                  <c:v>0.31136057961637631</c:v>
                </c:pt>
                <c:pt idx="7">
                  <c:v>0.38725505234813501</c:v>
                </c:pt>
                <c:pt idx="8">
                  <c:v>0.48191252771904081</c:v>
                </c:pt>
                <c:pt idx="9">
                  <c:v>0.57657000308994666</c:v>
                </c:pt>
                <c:pt idx="10">
                  <c:v>0.67300245366293121</c:v>
                </c:pt>
                <c:pt idx="11">
                  <c:v>0.76943490423591576</c:v>
                </c:pt>
                <c:pt idx="12">
                  <c:v>0.85414585538644905</c:v>
                </c:pt>
                <c:pt idx="13">
                  <c:v>0.93885680653698234</c:v>
                </c:pt>
                <c:pt idx="14">
                  <c:v>1.0144202062321179</c:v>
                </c:pt>
                <c:pt idx="15">
                  <c:v>1.0899836059272534</c:v>
                </c:pt>
                <c:pt idx="16">
                  <c:v>1.1652433118077536</c:v>
                </c:pt>
                <c:pt idx="17">
                  <c:v>1.2405030176882539</c:v>
                </c:pt>
                <c:pt idx="18">
                  <c:v>1.2986114494272023</c:v>
                </c:pt>
                <c:pt idx="19">
                  <c:v>1.3567198811661505</c:v>
                </c:pt>
                <c:pt idx="20" formatCode="0.00">
                  <c:v>0.14545454545454545</c:v>
                </c:pt>
                <c:pt idx="21" formatCode="0.00">
                  <c:v>0.14545454545454545</c:v>
                </c:pt>
                <c:pt idx="22" formatCode="0.00">
                  <c:v>1</c:v>
                </c:pt>
                <c:pt idx="23" formatCode="0.00">
                  <c:v>1</c:v>
                </c:pt>
              </c:numCache>
            </c:numRef>
          </c:xVal>
          <c:yVal>
            <c:numRef>
              <c:f>'Installed Gain'!$C$43:$Z$43</c:f>
              <c:numCache>
                <c:formatCode>General</c:formatCode>
                <c:ptCount val="24"/>
                <c:pt idx="22">
                  <c:v>0</c:v>
                </c:pt>
                <c:pt idx="23">
                  <c:v>4</c:v>
                </c:pt>
              </c:numCache>
            </c:numRef>
          </c:yVal>
          <c:smooth val="1"/>
          <c:extLst>
            <c:ext xmlns:c16="http://schemas.microsoft.com/office/drawing/2014/chart" uri="{C3380CC4-5D6E-409C-BE32-E72D297353CC}">
              <c16:uniqueId val="{00000001-5595-47D8-A46D-157E374D7A23}"/>
            </c:ext>
          </c:extLst>
        </c:ser>
        <c:dLbls>
          <c:showLegendKey val="0"/>
          <c:showVal val="0"/>
          <c:showCatName val="0"/>
          <c:showSerName val="0"/>
          <c:showPercent val="0"/>
          <c:showBubbleSize val="0"/>
        </c:dLbls>
        <c:axId val="143134720"/>
        <c:axId val="143136640"/>
      </c:scatterChart>
      <c:scatterChart>
        <c:scatterStyle val="lineMarker"/>
        <c:varyColors val="0"/>
        <c:ser>
          <c:idx val="0"/>
          <c:order val="0"/>
          <c:spPr>
            <a:ln w="38100">
              <a:solidFill>
                <a:srgbClr val="006600"/>
              </a:solidFill>
              <a:prstDash val="solid"/>
            </a:ln>
          </c:spPr>
          <c:marker>
            <c:symbol val="none"/>
          </c:marker>
          <c:xVal>
            <c:numRef>
              <c:f>'Installed Gain'!$C$40:$Z$40</c:f>
              <c:numCache>
                <c:formatCode>0.000</c:formatCode>
                <c:ptCount val="24"/>
                <c:pt idx="0">
                  <c:v>2.5687877350537666E-2</c:v>
                </c:pt>
                <c:pt idx="1">
                  <c:v>5.1375754701075332E-2</c:v>
                </c:pt>
                <c:pt idx="2">
                  <c:v>8.7348671216716703E-2</c:v>
                </c:pt>
                <c:pt idx="3">
                  <c:v>0.12332158773235807</c:v>
                </c:pt>
                <c:pt idx="4">
                  <c:v>0.17939384730848784</c:v>
                </c:pt>
                <c:pt idx="5">
                  <c:v>0.23546610688461758</c:v>
                </c:pt>
                <c:pt idx="6">
                  <c:v>0.31136057961637631</c:v>
                </c:pt>
                <c:pt idx="7">
                  <c:v>0.38725505234813501</c:v>
                </c:pt>
                <c:pt idx="8">
                  <c:v>0.48191252771904081</c:v>
                </c:pt>
                <c:pt idx="9">
                  <c:v>0.57657000308994666</c:v>
                </c:pt>
                <c:pt idx="10">
                  <c:v>0.67300245366293121</c:v>
                </c:pt>
                <c:pt idx="11">
                  <c:v>0.76943490423591576</c:v>
                </c:pt>
                <c:pt idx="12">
                  <c:v>0.85414585538644905</c:v>
                </c:pt>
                <c:pt idx="13">
                  <c:v>0.93885680653698234</c:v>
                </c:pt>
                <c:pt idx="14">
                  <c:v>1.0144202062321179</c:v>
                </c:pt>
                <c:pt idx="15">
                  <c:v>1.0899836059272534</c:v>
                </c:pt>
                <c:pt idx="16">
                  <c:v>1.1652433118077536</c:v>
                </c:pt>
                <c:pt idx="17">
                  <c:v>1.2405030176882539</c:v>
                </c:pt>
                <c:pt idx="18">
                  <c:v>1.2986114494272023</c:v>
                </c:pt>
                <c:pt idx="19">
                  <c:v>1.3567198811661505</c:v>
                </c:pt>
                <c:pt idx="20" formatCode="0.00">
                  <c:v>0.14545454545454545</c:v>
                </c:pt>
                <c:pt idx="21" formatCode="0.00">
                  <c:v>0.14545454545454545</c:v>
                </c:pt>
                <c:pt idx="22" formatCode="0.00">
                  <c:v>1</c:v>
                </c:pt>
                <c:pt idx="23" formatCode="0.00">
                  <c:v>1</c:v>
                </c:pt>
              </c:numCache>
            </c:numRef>
          </c:xVal>
          <c:yVal>
            <c:numRef>
              <c:f>'Installed Gain'!$C$41:$Z$41</c:f>
              <c:numCache>
                <c:formatCode>General</c:formatCode>
                <c:ptCount val="24"/>
                <c:pt idx="0">
                  <c:v>0.51375754701075327</c:v>
                </c:pt>
                <c:pt idx="1">
                  <c:v>0.61660793866179031</c:v>
                </c:pt>
                <c:pt idx="2">
                  <c:v>0.71945833031282735</c:v>
                </c:pt>
                <c:pt idx="3">
                  <c:v>0.9204517609177113</c:v>
                </c:pt>
                <c:pt idx="4">
                  <c:v>1.1214451915225949</c:v>
                </c:pt>
                <c:pt idx="5">
                  <c:v>1.3196673230788847</c:v>
                </c:pt>
                <c:pt idx="6">
                  <c:v>1.5178894546351742</c:v>
                </c:pt>
                <c:pt idx="7">
                  <c:v>1.705519481026645</c:v>
                </c:pt>
                <c:pt idx="8">
                  <c:v>1.8931495074181164</c:v>
                </c:pt>
                <c:pt idx="9">
                  <c:v>1.910899259438904</c:v>
                </c:pt>
                <c:pt idx="10">
                  <c:v>1.928649011459691</c:v>
                </c:pt>
                <c:pt idx="11">
                  <c:v>1.8114340172351784</c:v>
                </c:pt>
                <c:pt idx="12">
                  <c:v>1.6942190230106657</c:v>
                </c:pt>
                <c:pt idx="13">
                  <c:v>1.6027435084566888</c:v>
                </c:pt>
                <c:pt idx="14">
                  <c:v>1.5112679939027107</c:v>
                </c:pt>
                <c:pt idx="15">
                  <c:v>1.5082310557563572</c:v>
                </c:pt>
                <c:pt idx="16">
                  <c:v>1.5051941176100048</c:v>
                </c:pt>
                <c:pt idx="17">
                  <c:v>1.3336813761944866</c:v>
                </c:pt>
                <c:pt idx="18">
                  <c:v>1.1621686347789661</c:v>
                </c:pt>
              </c:numCache>
            </c:numRef>
          </c:yVal>
          <c:smooth val="0"/>
          <c:extLst>
            <c:ext xmlns:c16="http://schemas.microsoft.com/office/drawing/2014/chart" uri="{C3380CC4-5D6E-409C-BE32-E72D297353CC}">
              <c16:uniqueId val="{00000002-5595-47D8-A46D-157E374D7A23}"/>
            </c:ext>
          </c:extLst>
        </c:ser>
        <c:dLbls>
          <c:showLegendKey val="0"/>
          <c:showVal val="0"/>
          <c:showCatName val="0"/>
          <c:showSerName val="0"/>
          <c:showPercent val="0"/>
          <c:showBubbleSize val="0"/>
        </c:dLbls>
        <c:axId val="143134720"/>
        <c:axId val="143136640"/>
      </c:scatterChart>
      <c:valAx>
        <c:axId val="143134720"/>
        <c:scaling>
          <c:orientation val="minMax"/>
          <c:max val="1.2"/>
          <c:min val="0"/>
        </c:scaling>
        <c:delete val="0"/>
        <c:axPos val="b"/>
        <c:title>
          <c:tx>
            <c:rich>
              <a:bodyPr/>
              <a:lstStyle/>
              <a:p>
                <a:pPr>
                  <a:defRPr sz="1600"/>
                </a:pPr>
                <a:r>
                  <a:rPr lang="en-US" sz="1400"/>
                  <a:t>Q/Q</a:t>
                </a:r>
                <a:r>
                  <a:rPr lang="en-US" sz="2000" baseline="-25000"/>
                  <a:t>ma</a:t>
                </a:r>
                <a:r>
                  <a:rPr lang="en-US" sz="2400" baseline="-25000"/>
                  <a:t>x</a:t>
                </a:r>
                <a:endParaRPr lang="en-US" sz="1600" baseline="-25000"/>
              </a:p>
            </c:rich>
          </c:tx>
          <c:layout>
            <c:manualLayout>
              <c:xMode val="edge"/>
              <c:yMode val="edge"/>
              <c:x val="0.43152798919381913"/>
              <c:y val="0.89455620790343149"/>
            </c:manualLayout>
          </c:layout>
          <c:overlay val="0"/>
        </c:title>
        <c:numFmt formatCode="0.0" sourceLinked="0"/>
        <c:majorTickMark val="out"/>
        <c:minorTickMark val="none"/>
        <c:tickLblPos val="nextTo"/>
        <c:spPr>
          <a:ln>
            <a:solidFill>
              <a:schemeClr val="tx1"/>
            </a:solidFill>
          </a:ln>
        </c:spPr>
        <c:crossAx val="143136640"/>
        <c:crossesAt val="0"/>
        <c:crossBetween val="midCat"/>
        <c:majorUnit val="0.1"/>
      </c:valAx>
      <c:valAx>
        <c:axId val="143136640"/>
        <c:scaling>
          <c:orientation val="minMax"/>
          <c:max val="4"/>
          <c:min val="0"/>
        </c:scaling>
        <c:delete val="0"/>
        <c:axPos val="l"/>
        <c:majorGridlines>
          <c:spPr>
            <a:ln w="25400">
              <a:solidFill>
                <a:sysClr val="windowText" lastClr="000000">
                  <a:tint val="75000"/>
                  <a:shade val="95000"/>
                  <a:satMod val="105000"/>
                </a:sysClr>
              </a:solidFill>
            </a:ln>
          </c:spPr>
        </c:majorGridlines>
        <c:minorGridlines/>
        <c:title>
          <c:tx>
            <c:rich>
              <a:bodyPr rot="-5400000" vert="horz"/>
              <a:lstStyle/>
              <a:p>
                <a:pPr>
                  <a:defRPr sz="1400"/>
                </a:pPr>
                <a:r>
                  <a:rPr lang="en-US" sz="1400" b="1" i="0" u="none" strike="noStrike" baseline="0"/>
                  <a:t>Gain,   d(Q/Q</a:t>
                </a:r>
                <a:r>
                  <a:rPr lang="en-US" sz="1800" b="1" i="0" u="none" strike="noStrike" baseline="-25000"/>
                  <a:t>max</a:t>
                </a:r>
                <a:r>
                  <a:rPr lang="en-US" sz="1400" b="1" i="0" u="none" strike="noStrike" baseline="0"/>
                  <a:t>)/dh</a:t>
                </a:r>
                <a:endParaRPr lang="en-US" sz="1400"/>
              </a:p>
            </c:rich>
          </c:tx>
          <c:overlay val="0"/>
        </c:title>
        <c:numFmt formatCode="General" sourceLinked="1"/>
        <c:majorTickMark val="out"/>
        <c:minorTickMark val="none"/>
        <c:tickLblPos val="nextTo"/>
        <c:crossAx val="143134720"/>
        <c:crosses val="autoZero"/>
        <c:crossBetween val="midCat"/>
      </c:valAx>
    </c:plotArea>
    <c:plotVisOnly val="1"/>
    <c:dispBlanksAs val="gap"/>
    <c:showDLblsOverMax val="0"/>
  </c:chart>
  <c:spPr>
    <a:noFill/>
    <a:ln w="19050">
      <a:solidFill>
        <a:srgbClr val="0000CC"/>
      </a:solidFill>
    </a:ln>
  </c:spPr>
  <c:printSettings>
    <c:headerFooter/>
    <c:pageMargins b="0.75000000000000577" l="0.70000000000000062" r="0.70000000000000062" t="0.75000000000000577"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8</xdr:col>
      <xdr:colOff>54757</xdr:colOff>
      <xdr:row>8</xdr:row>
      <xdr:rowOff>40481</xdr:rowOff>
    </xdr:from>
    <xdr:to>
      <xdr:col>11</xdr:col>
      <xdr:colOff>546394</xdr:colOff>
      <xdr:row>20</xdr:row>
      <xdr:rowOff>142081</xdr:rowOff>
    </xdr:to>
    <xdr:pic>
      <xdr:nvPicPr>
        <xdr:cNvPr id="2" name="Picture 1" descr="Figure 1.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7333445" y="1461294"/>
          <a:ext cx="2377359" cy="2101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235216</xdr:colOff>
      <xdr:row>8</xdr:row>
      <xdr:rowOff>84667</xdr:rowOff>
    </xdr:from>
    <xdr:to>
      <xdr:col>6</xdr:col>
      <xdr:colOff>400483</xdr:colOff>
      <xdr:row>30</xdr:row>
      <xdr:rowOff>137583</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201082</xdr:colOff>
      <xdr:row>23</xdr:row>
      <xdr:rowOff>95250</xdr:rowOff>
    </xdr:from>
    <xdr:to>
      <xdr:col>8</xdr:col>
      <xdr:colOff>412749</xdr:colOff>
      <xdr:row>23</xdr:row>
      <xdr:rowOff>95250</xdr:rowOff>
    </xdr:to>
    <xdr:cxnSp macro="">
      <xdr:nvCxnSpPr>
        <xdr:cNvPr id="7" name="Straight Connector 6">
          <a:extLst>
            <a:ext uri="{FF2B5EF4-FFF2-40B4-BE49-F238E27FC236}">
              <a16:creationId xmlns:a16="http://schemas.microsoft.com/office/drawing/2014/main" id="{00000000-0008-0000-0100-000007000000}"/>
            </a:ext>
          </a:extLst>
        </xdr:cNvPr>
        <xdr:cNvCxnSpPr/>
      </xdr:nvCxnSpPr>
      <xdr:spPr>
        <a:xfrm>
          <a:off x="5968999" y="3926417"/>
          <a:ext cx="793750" cy="0"/>
        </a:xfrm>
        <a:prstGeom prst="line">
          <a:avLst/>
        </a:prstGeom>
        <a:ln w="28575">
          <a:solidFill>
            <a:srgbClr val="0000C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69662</xdr:colOff>
      <xdr:row>18</xdr:row>
      <xdr:rowOff>69635</xdr:rowOff>
    </xdr:from>
    <xdr:to>
      <xdr:col>8</xdr:col>
      <xdr:colOff>281330</xdr:colOff>
      <xdr:row>18</xdr:row>
      <xdr:rowOff>69635</xdr:rowOff>
    </xdr:to>
    <xdr:cxnSp macro="">
      <xdr:nvCxnSpPr>
        <xdr:cNvPr id="8" name="Straight Connector 7">
          <a:extLst>
            <a:ext uri="{FF2B5EF4-FFF2-40B4-BE49-F238E27FC236}">
              <a16:creationId xmlns:a16="http://schemas.microsoft.com/office/drawing/2014/main" id="{00000000-0008-0000-0100-000008000000}"/>
            </a:ext>
          </a:extLst>
        </xdr:cNvPr>
        <xdr:cNvCxnSpPr/>
      </xdr:nvCxnSpPr>
      <xdr:spPr>
        <a:xfrm>
          <a:off x="5837579" y="3107052"/>
          <a:ext cx="793751" cy="0"/>
        </a:xfrm>
        <a:prstGeom prst="line">
          <a:avLst/>
        </a:prstGeom>
        <a:ln w="28575">
          <a:solidFill>
            <a:srgbClr val="8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95252</xdr:colOff>
      <xdr:row>7</xdr:row>
      <xdr:rowOff>108238</xdr:rowOff>
    </xdr:from>
    <xdr:to>
      <xdr:col>10</xdr:col>
      <xdr:colOff>127001</xdr:colOff>
      <xdr:row>31</xdr:row>
      <xdr:rowOff>116416</xdr:rowOff>
    </xdr:to>
    <xdr:sp macro="" textlink="">
      <xdr:nvSpPr>
        <xdr:cNvPr id="5" name="Rectangle 4">
          <a:extLst>
            <a:ext uri="{FF2B5EF4-FFF2-40B4-BE49-F238E27FC236}">
              <a16:creationId xmlns:a16="http://schemas.microsoft.com/office/drawing/2014/main" id="{00000000-0008-0000-0100-000005000000}"/>
            </a:ext>
          </a:extLst>
        </xdr:cNvPr>
        <xdr:cNvSpPr/>
      </xdr:nvSpPr>
      <xdr:spPr>
        <a:xfrm>
          <a:off x="95252" y="1399405"/>
          <a:ext cx="7545916" cy="3828761"/>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915255</xdr:colOff>
      <xdr:row>10</xdr:row>
      <xdr:rowOff>158749</xdr:rowOff>
    </xdr:from>
    <xdr:to>
      <xdr:col>6</xdr:col>
      <xdr:colOff>508000</xdr:colOff>
      <xdr:row>31</xdr:row>
      <xdr:rowOff>46810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26460</xdr:colOff>
      <xdr:row>0</xdr:row>
      <xdr:rowOff>127000</xdr:rowOff>
    </xdr:from>
    <xdr:to>
      <xdr:col>26</xdr:col>
      <xdr:colOff>582083</xdr:colOff>
      <xdr:row>27</xdr:row>
      <xdr:rowOff>84665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190497</xdr:colOff>
      <xdr:row>22</xdr:row>
      <xdr:rowOff>105832</xdr:rowOff>
    </xdr:from>
    <xdr:to>
      <xdr:col>8</xdr:col>
      <xdr:colOff>402164</xdr:colOff>
      <xdr:row>22</xdr:row>
      <xdr:rowOff>105832</xdr:rowOff>
    </xdr:to>
    <xdr:cxnSp macro="">
      <xdr:nvCxnSpPr>
        <xdr:cNvPr id="7" name="Straight Connector 6">
          <a:extLst>
            <a:ext uri="{FF2B5EF4-FFF2-40B4-BE49-F238E27FC236}">
              <a16:creationId xmlns:a16="http://schemas.microsoft.com/office/drawing/2014/main" id="{00000000-0008-0000-0200-000007000000}"/>
            </a:ext>
          </a:extLst>
        </xdr:cNvPr>
        <xdr:cNvCxnSpPr/>
      </xdr:nvCxnSpPr>
      <xdr:spPr>
        <a:xfrm>
          <a:off x="5323414" y="3778249"/>
          <a:ext cx="825500" cy="0"/>
        </a:xfrm>
        <a:prstGeom prst="line">
          <a:avLst/>
        </a:prstGeom>
        <a:ln w="28575">
          <a:solidFill>
            <a:srgbClr val="0000C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120652</xdr:colOff>
      <xdr:row>18</xdr:row>
      <xdr:rowOff>120629</xdr:rowOff>
    </xdr:from>
    <xdr:to>
      <xdr:col>8</xdr:col>
      <xdr:colOff>332319</xdr:colOff>
      <xdr:row>18</xdr:row>
      <xdr:rowOff>120629</xdr:rowOff>
    </xdr:to>
    <xdr:cxnSp macro="">
      <xdr:nvCxnSpPr>
        <xdr:cNvPr id="8" name="Straight Connector 7">
          <a:extLst>
            <a:ext uri="{FF2B5EF4-FFF2-40B4-BE49-F238E27FC236}">
              <a16:creationId xmlns:a16="http://schemas.microsoft.com/office/drawing/2014/main" id="{00000000-0008-0000-0200-000008000000}"/>
            </a:ext>
          </a:extLst>
        </xdr:cNvPr>
        <xdr:cNvCxnSpPr/>
      </xdr:nvCxnSpPr>
      <xdr:spPr>
        <a:xfrm>
          <a:off x="5253569" y="3158046"/>
          <a:ext cx="825500" cy="0"/>
        </a:xfrm>
        <a:prstGeom prst="line">
          <a:avLst/>
        </a:prstGeom>
        <a:ln w="28575">
          <a:solidFill>
            <a:srgbClr val="8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237644</xdr:colOff>
      <xdr:row>12</xdr:row>
      <xdr:rowOff>162721</xdr:rowOff>
    </xdr:from>
    <xdr:to>
      <xdr:col>26</xdr:col>
      <xdr:colOff>432954</xdr:colOff>
      <xdr:row>12</xdr:row>
      <xdr:rowOff>162721</xdr:rowOff>
    </xdr:to>
    <xdr:cxnSp macro="">
      <xdr:nvCxnSpPr>
        <xdr:cNvPr id="11" name="Straight Connector 10">
          <a:extLst>
            <a:ext uri="{FF2B5EF4-FFF2-40B4-BE49-F238E27FC236}">
              <a16:creationId xmlns:a16="http://schemas.microsoft.com/office/drawing/2014/main" id="{00000000-0008-0000-0200-00000B000000}"/>
            </a:ext>
          </a:extLst>
        </xdr:cNvPr>
        <xdr:cNvCxnSpPr/>
      </xdr:nvCxnSpPr>
      <xdr:spPr>
        <a:xfrm>
          <a:off x="14441800" y="2341565"/>
          <a:ext cx="2624185" cy="0"/>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337705</xdr:colOff>
      <xdr:row>11</xdr:row>
      <xdr:rowOff>38488</xdr:rowOff>
    </xdr:from>
    <xdr:to>
      <xdr:col>23</xdr:col>
      <xdr:colOff>355023</xdr:colOff>
      <xdr:row>12</xdr:row>
      <xdr:rowOff>145283</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11069205" y="1805905"/>
          <a:ext cx="631151" cy="2655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Q</a:t>
          </a:r>
          <a:r>
            <a:rPr lang="en-US" sz="1400" baseline="-25000"/>
            <a:t>max</a:t>
          </a:r>
          <a:endParaRPr lang="en-US" sz="1100" baseline="-25000"/>
        </a:p>
      </xdr:txBody>
    </xdr:sp>
    <xdr:clientData/>
  </xdr:twoCellAnchor>
  <xdr:twoCellAnchor>
    <xdr:from>
      <xdr:col>0</xdr:col>
      <xdr:colOff>201227</xdr:colOff>
      <xdr:row>4</xdr:row>
      <xdr:rowOff>67106</xdr:rowOff>
    </xdr:from>
    <xdr:to>
      <xdr:col>6</xdr:col>
      <xdr:colOff>543358</xdr:colOff>
      <xdr:row>30</xdr:row>
      <xdr:rowOff>143932</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xdr:row>
      <xdr:rowOff>107037</xdr:rowOff>
    </xdr:from>
    <xdr:to>
      <xdr:col>10</xdr:col>
      <xdr:colOff>296333</xdr:colOff>
      <xdr:row>31</xdr:row>
      <xdr:rowOff>116417</xdr:rowOff>
    </xdr:to>
    <xdr:sp macro="" textlink="">
      <xdr:nvSpPr>
        <xdr:cNvPr id="9" name="Rectangle 8">
          <a:extLst>
            <a:ext uri="{FF2B5EF4-FFF2-40B4-BE49-F238E27FC236}">
              <a16:creationId xmlns:a16="http://schemas.microsoft.com/office/drawing/2014/main" id="{00000000-0008-0000-0200-000009000000}"/>
            </a:ext>
          </a:extLst>
        </xdr:cNvPr>
        <xdr:cNvSpPr/>
      </xdr:nvSpPr>
      <xdr:spPr>
        <a:xfrm>
          <a:off x="95250" y="785693"/>
          <a:ext cx="7118614" cy="4676630"/>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Y1393"/>
  <sheetViews>
    <sheetView tabSelected="1" zoomScale="70" zoomScaleNormal="70" zoomScaleSheetLayoutView="110" workbookViewId="0">
      <selection activeCell="E2" sqref="E2:F2"/>
    </sheetView>
  </sheetViews>
  <sheetFormatPr defaultRowHeight="12.5" x14ac:dyDescent="0.25"/>
  <cols>
    <col min="1" max="1" width="30.81640625" style="244" customWidth="1"/>
    <col min="2" max="2" width="10.6328125" style="244" customWidth="1"/>
    <col min="3" max="3" width="11.6328125" style="244" customWidth="1"/>
    <col min="4" max="7" width="12.26953125" style="244" customWidth="1"/>
    <col min="8" max="8" width="2" style="244" customWidth="1"/>
    <col min="9" max="14" width="9" style="244" customWidth="1"/>
    <col min="15" max="15" width="107.1796875" style="244" customWidth="1"/>
    <col min="16" max="16" width="37.54296875" style="244" customWidth="1"/>
    <col min="17" max="17" width="4.81640625" style="244" customWidth="1"/>
    <col min="18" max="18" width="29.26953125" style="244" customWidth="1"/>
    <col min="19" max="19" width="23.453125" style="244" customWidth="1"/>
    <col min="20" max="22" width="15.81640625" style="244" customWidth="1"/>
    <col min="23" max="16384" width="8.7265625" style="244"/>
  </cols>
  <sheetData>
    <row r="1" spans="1:22" ht="16" thickBot="1" x14ac:dyDescent="0.45">
      <c r="A1" s="241" t="s">
        <v>320</v>
      </c>
      <c r="B1" s="242">
        <v>1</v>
      </c>
      <c r="C1" s="243" t="s">
        <v>327</v>
      </c>
      <c r="H1" s="245"/>
      <c r="I1" s="246"/>
      <c r="J1" s="245"/>
      <c r="K1" s="246"/>
      <c r="L1" s="246"/>
      <c r="M1" s="246"/>
      <c r="N1" s="246"/>
      <c r="O1" s="362" t="s">
        <v>237</v>
      </c>
      <c r="P1" s="352" t="s">
        <v>131</v>
      </c>
      <c r="Q1" s="246"/>
      <c r="R1" s="246"/>
      <c r="S1" s="248"/>
      <c r="U1" s="246"/>
      <c r="V1" s="246"/>
    </row>
    <row r="2" spans="1:22" ht="13" customHeight="1" thickTop="1" x14ac:dyDescent="0.3">
      <c r="A2" s="249" t="s">
        <v>0</v>
      </c>
      <c r="B2" s="250"/>
      <c r="C2" s="250"/>
      <c r="D2" s="251" t="s">
        <v>127</v>
      </c>
      <c r="E2" s="361" t="s">
        <v>158</v>
      </c>
      <c r="F2" s="361"/>
      <c r="G2" s="252"/>
      <c r="H2" s="253"/>
      <c r="I2" s="254" t="s">
        <v>38</v>
      </c>
      <c r="J2" s="255"/>
      <c r="K2" s="254" t="s">
        <v>36</v>
      </c>
      <c r="L2" s="246"/>
      <c r="M2" s="246"/>
      <c r="N2" s="246"/>
      <c r="O2" s="362"/>
      <c r="P2" s="246" t="s">
        <v>3</v>
      </c>
      <c r="Q2" s="246" t="s">
        <v>148</v>
      </c>
      <c r="R2" s="246" t="s">
        <v>4</v>
      </c>
      <c r="S2" s="248" t="s">
        <v>5</v>
      </c>
      <c r="U2" s="246"/>
      <c r="V2" s="246"/>
    </row>
    <row r="3" spans="1:22" ht="13" customHeight="1" thickBot="1" x14ac:dyDescent="0.4">
      <c r="A3" s="256" t="s">
        <v>1</v>
      </c>
      <c r="B3" s="257" t="str">
        <f>IF(B1&lt;1,"Undefined",IF(B1=1,"gpm",IF(B1&lt;=5,"m^3/h",IF(B1&gt;5,"Undefined"))))</f>
        <v>gpm</v>
      </c>
      <c r="C3" s="258" t="s">
        <v>2</v>
      </c>
      <c r="D3" s="259">
        <v>80</v>
      </c>
      <c r="E3" s="259">
        <v>213</v>
      </c>
      <c r="F3" s="259">
        <v>423</v>
      </c>
      <c r="G3" s="259">
        <v>550</v>
      </c>
      <c r="H3" s="253"/>
      <c r="I3" s="254" t="s">
        <v>42</v>
      </c>
      <c r="J3" s="255"/>
      <c r="K3" s="260">
        <v>0</v>
      </c>
      <c r="L3" s="246"/>
      <c r="M3" s="246"/>
      <c r="N3" s="246"/>
      <c r="O3" s="246"/>
      <c r="P3" s="261" t="s">
        <v>8</v>
      </c>
      <c r="Q3" s="261"/>
      <c r="R3" s="261" t="s">
        <v>8</v>
      </c>
      <c r="S3" s="262"/>
      <c r="T3" s="263"/>
      <c r="U3" s="261"/>
      <c r="V3" s="261"/>
    </row>
    <row r="4" spans="1:22" ht="13" customHeight="1" thickTop="1" x14ac:dyDescent="0.3">
      <c r="A4" s="264" t="s">
        <v>6</v>
      </c>
      <c r="B4" s="265" t="str">
        <f>IF(B1&lt;1,"Undefined",IF(B1=1,"psiA",IF(B1=2,"barA",IF(B1=3,"kPaA",IF(B1=4,"barA",IF(B1=5,"kPaA","Undefined"))))))</f>
        <v>psiA</v>
      </c>
      <c r="C4" s="266" t="s">
        <v>7</v>
      </c>
      <c r="D4" s="357">
        <v>56.7</v>
      </c>
      <c r="E4" s="357">
        <v>55.4</v>
      </c>
      <c r="F4" s="357">
        <v>50.7</v>
      </c>
      <c r="G4" s="267">
        <v>46.7</v>
      </c>
      <c r="H4" s="253"/>
      <c r="I4" s="254" t="s">
        <v>44</v>
      </c>
      <c r="J4" s="255"/>
      <c r="K4" s="260">
        <v>1</v>
      </c>
      <c r="L4" s="348"/>
      <c r="M4" s="246"/>
      <c r="N4" s="246"/>
      <c r="P4" s="246" t="s">
        <v>11</v>
      </c>
      <c r="Q4" s="244">
        <v>4</v>
      </c>
      <c r="R4" s="246" t="s">
        <v>12</v>
      </c>
      <c r="S4" s="248">
        <f>0.96-(0.28*SQRT(P_V/P_C))</f>
        <v>0.95664710643445905</v>
      </c>
      <c r="T4" s="248">
        <f>0.96-(0.28*SQRT(E7/P_C))</f>
        <v>0.95664710643445905</v>
      </c>
      <c r="U4" s="248">
        <f>0.96-(0.28*SQRT(F7/P_C))</f>
        <v>0.95664710643445905</v>
      </c>
      <c r="V4" s="248">
        <f>0.96-(0.28*SQRT(G7/P_C))</f>
        <v>0.95664710643445905</v>
      </c>
    </row>
    <row r="5" spans="1:22" ht="13" customHeight="1" x14ac:dyDescent="0.3">
      <c r="A5" s="264" t="s">
        <v>9</v>
      </c>
      <c r="B5" s="265" t="str">
        <f>IF(B1&lt;1,"Undefined",IF(B1=1,"psi",IF(B1=2,"bar",IF(B1=3,"kPa",IF(B1=4,"bar",IF(B1=5,"kPa","Undefined"))))))</f>
        <v>psi</v>
      </c>
      <c r="C5" s="266" t="s">
        <v>10</v>
      </c>
      <c r="D5" s="358">
        <v>32</v>
      </c>
      <c r="E5" s="358">
        <v>30.4</v>
      </c>
      <c r="F5" s="358">
        <v>24.9</v>
      </c>
      <c r="G5" s="268">
        <v>20</v>
      </c>
      <c r="H5" s="253"/>
      <c r="I5" s="254" t="s">
        <v>48</v>
      </c>
      <c r="J5" s="255"/>
      <c r="K5" s="260">
        <v>2</v>
      </c>
      <c r="L5" s="246"/>
      <c r="M5" s="246"/>
      <c r="N5" s="246"/>
      <c r="O5" s="246"/>
      <c r="P5" s="2" t="s">
        <v>14</v>
      </c>
      <c r="R5" s="246"/>
      <c r="S5" s="248"/>
      <c r="T5" s="248"/>
      <c r="U5" s="248"/>
      <c r="V5" s="248"/>
    </row>
    <row r="6" spans="1:22" ht="13" customHeight="1" x14ac:dyDescent="0.4">
      <c r="A6" s="269" t="s">
        <v>130</v>
      </c>
      <c r="B6" s="265"/>
      <c r="C6" s="266" t="s">
        <v>13</v>
      </c>
      <c r="D6" s="358">
        <v>1</v>
      </c>
      <c r="E6" s="358">
        <v>1</v>
      </c>
      <c r="F6" s="358">
        <v>1</v>
      </c>
      <c r="G6" s="268">
        <v>1</v>
      </c>
      <c r="H6" s="253"/>
      <c r="I6" s="254" t="s">
        <v>51</v>
      </c>
      <c r="J6" s="255"/>
      <c r="K6" s="260">
        <v>3</v>
      </c>
      <c r="L6" s="246"/>
      <c r="M6" s="246"/>
      <c r="N6" s="246"/>
      <c r="O6" s="246"/>
      <c r="P6" s="246" t="s">
        <v>26</v>
      </c>
      <c r="Q6" s="244">
        <v>3</v>
      </c>
      <c r="R6" s="244" t="s">
        <v>134</v>
      </c>
      <c r="S6" s="355">
        <f>F_L^2*(P_1-(F_F*P_V))</f>
        <v>47.618415188992387</v>
      </c>
      <c r="T6" s="355">
        <f>E9^2*(E4-(T4*E7))</f>
        <v>43.533770320416899</v>
      </c>
      <c r="U6" s="355">
        <f>F9^2*(F4-(U4*F7))</f>
        <v>34.624074271853559</v>
      </c>
      <c r="V6" s="355">
        <f>G9^2*(G4-(V4*G7))</f>
        <v>28.14454891420483</v>
      </c>
    </row>
    <row r="7" spans="1:22" ht="13" customHeight="1" x14ac:dyDescent="0.3">
      <c r="A7" s="264" t="s">
        <v>15</v>
      </c>
      <c r="B7" s="265" t="str">
        <f>IF(B1&lt;1,"Undefined",IF(B1=1,"psiA",IF(B1=2,"barA",IF(B1=3,"kPaA",IF(B1=4,"barA",IF(B1=5,"kPaA","Undefined"))))))</f>
        <v>psiA</v>
      </c>
      <c r="C7" s="266" t="s">
        <v>16</v>
      </c>
      <c r="D7" s="358">
        <v>0.46</v>
      </c>
      <c r="E7" s="358">
        <v>0.46</v>
      </c>
      <c r="F7" s="359">
        <v>0.46</v>
      </c>
      <c r="G7" s="270">
        <v>0.46</v>
      </c>
      <c r="H7" s="253"/>
      <c r="I7" s="254" t="s">
        <v>53</v>
      </c>
      <c r="J7" s="255"/>
      <c r="K7" s="260">
        <v>4</v>
      </c>
      <c r="L7" s="246"/>
      <c r="M7" s="246"/>
      <c r="N7" s="246"/>
      <c r="O7" s="246"/>
      <c r="P7" s="246" t="s">
        <v>17</v>
      </c>
      <c r="Q7" s="244">
        <v>1</v>
      </c>
      <c r="R7" s="246" t="s">
        <v>18</v>
      </c>
      <c r="S7" s="355">
        <f>(Q/(N_1)*(SQRT(G/DELTA_P)))</f>
        <v>14.142135623730951</v>
      </c>
      <c r="T7" s="355">
        <f>(E3/(N_1)*(SQRT(E6/E5)))</f>
        <v>38.631610318358121</v>
      </c>
      <c r="U7" s="355">
        <f>(F3/(N_1)*(SQRT(F6/F5)))</f>
        <v>84.769709297943407</v>
      </c>
      <c r="V7" s="355">
        <f>(G3/(N_1)*(SQRT(G6/G5)))</f>
        <v>122.98373876248843</v>
      </c>
    </row>
    <row r="8" spans="1:22" ht="13" customHeight="1" x14ac:dyDescent="0.25">
      <c r="A8" s="264" t="s">
        <v>19</v>
      </c>
      <c r="B8" s="265" t="str">
        <f>IF(B1&lt;1,"Undefined",IF(B1=1,"psiA",IF(B1=2,"barA",IF(B1=3,"kPaA",IF(B1=4,"barA",IF(B1=5,"kPaA","Undefined"))))))</f>
        <v>psiA</v>
      </c>
      <c r="C8" s="266" t="s">
        <v>20</v>
      </c>
      <c r="D8" s="358">
        <v>3208</v>
      </c>
      <c r="E8" s="271" t="s">
        <v>21</v>
      </c>
      <c r="F8" s="271" t="s">
        <v>21</v>
      </c>
      <c r="G8" s="271" t="s">
        <v>21</v>
      </c>
      <c r="H8" s="253"/>
      <c r="I8" s="246" t="s">
        <v>303</v>
      </c>
      <c r="J8" s="246"/>
      <c r="K8" s="272">
        <v>5</v>
      </c>
      <c r="L8" s="246"/>
      <c r="M8" s="246"/>
      <c r="N8" s="246"/>
      <c r="O8" s="246"/>
      <c r="P8" s="246" t="s">
        <v>22</v>
      </c>
      <c r="Q8" s="244">
        <v>1</v>
      </c>
      <c r="R8" s="246" t="s">
        <v>23</v>
      </c>
      <c r="S8" s="355">
        <f>Q/(N_1)*SQRT(G/Delta_P_Ch)</f>
        <v>11.593178381888826</v>
      </c>
      <c r="T8" s="355">
        <f>(E3/(N_1)*SQRT(E6/T6))</f>
        <v>32.282448183877534</v>
      </c>
      <c r="U8" s="355">
        <f>(F3/(N_1)*SQRT(F6/U6))</f>
        <v>71.8871526294283</v>
      </c>
      <c r="V8" s="355">
        <f>(G3/(N_1)*SQRT(G6/V6))</f>
        <v>103.67297071700605</v>
      </c>
    </row>
    <row r="9" spans="1:22" ht="13" customHeight="1" x14ac:dyDescent="0.25">
      <c r="A9" s="264" t="s">
        <v>24</v>
      </c>
      <c r="B9" s="265"/>
      <c r="C9" s="266" t="s">
        <v>25</v>
      </c>
      <c r="D9" s="358">
        <v>0.92</v>
      </c>
      <c r="E9" s="358">
        <v>0.89</v>
      </c>
      <c r="F9" s="358">
        <v>0.83</v>
      </c>
      <c r="G9" s="358">
        <v>0.78</v>
      </c>
      <c r="H9" s="253"/>
      <c r="I9" s="246"/>
      <c r="J9" s="246"/>
      <c r="K9" s="246"/>
      <c r="L9" s="246"/>
      <c r="M9" s="246"/>
      <c r="N9" s="246"/>
      <c r="O9" s="246"/>
      <c r="P9" s="246" t="s">
        <v>29</v>
      </c>
      <c r="Q9" s="244">
        <v>2</v>
      </c>
      <c r="R9" s="244" t="s">
        <v>132</v>
      </c>
      <c r="S9" s="355">
        <f>IF(DELTA_P&lt;Delta_P_Ch,C_NonCh,C_Ch)</f>
        <v>14.142135623730951</v>
      </c>
      <c r="T9" s="355">
        <f>IF(E5&lt;T6,T7,T8)</f>
        <v>38.631610318358121</v>
      </c>
      <c r="U9" s="355">
        <f>IF(F5&lt;U6,U7,U8)</f>
        <v>84.769709297943407</v>
      </c>
      <c r="V9" s="355">
        <f>IF(G5&lt;V6,V7,V8)</f>
        <v>122.98373876248843</v>
      </c>
    </row>
    <row r="10" spans="1:22" ht="13" customHeight="1" x14ac:dyDescent="0.3">
      <c r="A10" s="264" t="s">
        <v>27</v>
      </c>
      <c r="B10" s="265" t="str">
        <f>IF(B1&lt;1,"Undefined",IF(B1=1,"inch",IF(B1&lt;=5,"mm",IF(B1&gt;5,"Undefined"))))</f>
        <v>inch</v>
      </c>
      <c r="C10" s="266" t="s">
        <v>28</v>
      </c>
      <c r="D10" s="268">
        <v>6</v>
      </c>
      <c r="E10" s="271" t="s">
        <v>21</v>
      </c>
      <c r="F10" s="271" t="s">
        <v>21</v>
      </c>
      <c r="G10" s="271" t="s">
        <v>21</v>
      </c>
      <c r="H10" s="253"/>
      <c r="I10" s="246"/>
      <c r="J10" s="246"/>
      <c r="K10" s="246"/>
      <c r="L10" s="246"/>
      <c r="M10" s="246"/>
      <c r="N10" s="246"/>
      <c r="P10" s="2" t="s">
        <v>32</v>
      </c>
      <c r="R10" s="246"/>
      <c r="S10" s="353"/>
      <c r="T10" s="248"/>
      <c r="U10" s="248"/>
      <c r="V10" s="248"/>
    </row>
    <row r="11" spans="1:22" ht="13" customHeight="1" x14ac:dyDescent="0.3">
      <c r="A11" s="264" t="s">
        <v>30</v>
      </c>
      <c r="B11" s="265" t="str">
        <f>IF(B1&lt;1,"Undefined",IF(B1=1,"inch",IF(B1&lt;=5,"mm",IF(B1&gt;5,"Undefined"))))</f>
        <v>inch</v>
      </c>
      <c r="C11" s="266" t="s">
        <v>31</v>
      </c>
      <c r="D11" s="268">
        <v>6</v>
      </c>
      <c r="E11" s="271" t="s">
        <v>21</v>
      </c>
      <c r="F11" s="271" t="s">
        <v>21</v>
      </c>
      <c r="G11" s="271" t="s">
        <v>21</v>
      </c>
      <c r="H11" s="253"/>
      <c r="I11" s="246"/>
      <c r="J11" s="246"/>
      <c r="K11" s="246"/>
      <c r="L11" s="246"/>
      <c r="M11" s="246"/>
      <c r="N11" s="246"/>
      <c r="P11" s="2" t="s">
        <v>35</v>
      </c>
      <c r="S11" s="354"/>
      <c r="T11" s="248"/>
      <c r="U11" s="248"/>
      <c r="V11" s="248"/>
    </row>
    <row r="12" spans="1:22" ht="13" customHeight="1" x14ac:dyDescent="0.3">
      <c r="A12" s="264" t="s">
        <v>33</v>
      </c>
      <c r="B12" s="265" t="str">
        <f>IF(B1&lt;1,"Undefined",IF(B1=1,"inch",IF(B1&lt;=5,"mm",IF(B1&gt;5,"Undefined"))))</f>
        <v>inch</v>
      </c>
      <c r="C12" s="266" t="s">
        <v>34</v>
      </c>
      <c r="D12" s="268">
        <v>3</v>
      </c>
      <c r="E12" s="271" t="s">
        <v>21</v>
      </c>
      <c r="F12" s="271" t="s">
        <v>21</v>
      </c>
      <c r="G12" s="271" t="s">
        <v>21</v>
      </c>
      <c r="H12" s="253"/>
      <c r="M12" s="273"/>
      <c r="N12" s="273"/>
      <c r="O12" s="246"/>
      <c r="T12" s="248"/>
      <c r="U12" s="248"/>
      <c r="V12" s="248"/>
    </row>
    <row r="13" spans="1:22" ht="13" customHeight="1" x14ac:dyDescent="0.3">
      <c r="A13" s="264" t="s">
        <v>36</v>
      </c>
      <c r="B13" s="265"/>
      <c r="C13" s="266" t="s">
        <v>37</v>
      </c>
      <c r="D13" s="268">
        <v>2</v>
      </c>
      <c r="E13" s="271" t="s">
        <v>21</v>
      </c>
      <c r="F13" s="271" t="s">
        <v>21</v>
      </c>
      <c r="G13" s="271" t="s">
        <v>21</v>
      </c>
      <c r="H13" s="253"/>
      <c r="L13" s="273"/>
      <c r="M13" s="273"/>
      <c r="N13" s="246"/>
      <c r="O13" s="246"/>
      <c r="P13" s="2" t="s">
        <v>43</v>
      </c>
      <c r="R13" s="246"/>
      <c r="S13" s="248"/>
      <c r="T13" s="248"/>
      <c r="U13" s="248"/>
      <c r="V13" s="248"/>
    </row>
    <row r="14" spans="1:22" ht="13" customHeight="1" x14ac:dyDescent="0.3">
      <c r="A14" s="274" t="s">
        <v>39</v>
      </c>
      <c r="B14" s="275" t="s">
        <v>40</v>
      </c>
      <c r="C14" s="276" t="s">
        <v>41</v>
      </c>
      <c r="D14" s="277">
        <v>-2</v>
      </c>
      <c r="E14" s="278" t="s">
        <v>21</v>
      </c>
      <c r="F14" s="278" t="s">
        <v>21</v>
      </c>
      <c r="G14" s="278" t="s">
        <v>21</v>
      </c>
      <c r="H14" s="253"/>
      <c r="L14" s="273"/>
      <c r="M14" s="273"/>
      <c r="N14" s="273"/>
      <c r="O14" s="246"/>
      <c r="P14" s="246" t="s">
        <v>45</v>
      </c>
      <c r="Q14" s="244">
        <v>18</v>
      </c>
      <c r="R14" s="246" t="s">
        <v>46</v>
      </c>
      <c r="S14" s="248">
        <f>0.5*((1-(d/D_1)^2))^2</f>
        <v>0.28125</v>
      </c>
      <c r="T14" s="248"/>
      <c r="U14" s="248"/>
      <c r="V14" s="248"/>
    </row>
    <row r="15" spans="1:22" ht="13" customHeight="1" x14ac:dyDescent="0.3">
      <c r="A15" s="279" t="s">
        <v>177</v>
      </c>
      <c r="B15" s="280" t="str">
        <f>IF(B1&lt;1,"Undefined",IF(B1=1,"Cv",IF(B1=2,"Cv",IF(B1=3,"Cv",IF(B1=4,"Kv",IF(B1=5,"Kv","Undefined"))))))</f>
        <v>Cv</v>
      </c>
      <c r="C15" s="281" t="s">
        <v>190</v>
      </c>
      <c r="D15" s="282">
        <f>IF(TURB1=0,"",S609)</f>
        <v>14.158716864768749</v>
      </c>
      <c r="E15" s="282">
        <f>IF(TURB2=0,"",T609)</f>
        <v>38.973489540193512</v>
      </c>
      <c r="F15" s="282">
        <f>IF(TURB3=0,"",U609)</f>
        <v>88.576348578178795</v>
      </c>
      <c r="G15" s="283">
        <f>IF(TURB4=0,"",V609)</f>
        <v>135.56710470351294</v>
      </c>
      <c r="H15" s="253"/>
      <c r="L15" s="273"/>
      <c r="M15" s="246"/>
      <c r="N15" s="273"/>
      <c r="O15" s="246"/>
      <c r="P15" s="246"/>
      <c r="Q15" s="244">
        <v>17</v>
      </c>
      <c r="R15" s="246" t="s">
        <v>49</v>
      </c>
      <c r="S15" s="248">
        <f>1-(d/D_1)^4</f>
        <v>0.9375</v>
      </c>
    </row>
    <row r="16" spans="1:22" ht="13" customHeight="1" x14ac:dyDescent="0.3">
      <c r="A16" s="256" t="s">
        <v>197</v>
      </c>
      <c r="B16" s="284" t="str">
        <f>IF(B1&lt;1,"Undefined",IF(B1=1,"gpm",IF(B1&lt;=5,"m^3/h",IF(B1&gt;5,"Undefined"))))</f>
        <v>gpm</v>
      </c>
      <c r="C16" s="258"/>
      <c r="D16" s="285">
        <f>IF(TURB1=0,"",(Calc_Flow_From_Final__Calc_C))</f>
        <v>80.000000000000014</v>
      </c>
      <c r="E16" s="285">
        <f>IF(TURB2=0,"",(T621))</f>
        <v>212.99999999999994</v>
      </c>
      <c r="F16" s="285">
        <f>IF(TURB3=0,"",(U621))</f>
        <v>423.00000000000006</v>
      </c>
      <c r="G16" s="285">
        <f>IF(TURB4=0,"",(V621))</f>
        <v>550.00000000000011</v>
      </c>
      <c r="H16" s="253"/>
      <c r="L16" s="273"/>
      <c r="M16" s="246"/>
      <c r="N16" s="273"/>
      <c r="O16" s="246"/>
      <c r="P16" s="246"/>
      <c r="Q16" s="244">
        <v>19</v>
      </c>
      <c r="R16" s="246" t="s">
        <v>52</v>
      </c>
      <c r="S16" s="248">
        <f>1*((1-(d/D_2)^2))^2</f>
        <v>0.5625</v>
      </c>
      <c r="T16" s="248"/>
      <c r="U16" s="248"/>
      <c r="V16" s="248"/>
    </row>
    <row r="17" spans="1:23" ht="13" customHeight="1" x14ac:dyDescent="0.3">
      <c r="A17" s="264" t="s">
        <v>47</v>
      </c>
      <c r="B17" s="286" t="str">
        <f>IF(B1&lt;1,"Undefined",IF(B1=1,"psi",IF(B1=2,"bar",IF(B1=3,"kPa",IF(B1=4,"bar",IF(B1=5,"kPa","Undefined"))))))</f>
        <v>psi</v>
      </c>
      <c r="C17" s="266"/>
      <c r="D17" s="287">
        <f>IF(TURB1=0,"",IF(DELTA_P&gt;=S608,TEXT(S608,"0.0")&amp;"*",S608))</f>
        <v>47.593618181101121</v>
      </c>
      <c r="E17" s="287">
        <f>IF(TURB2=0,"",IF(E5&gt;=T608,TEXT(T608,"0.0")&amp;"*",T608))</f>
        <v>43.424436007818777</v>
      </c>
      <c r="F17" s="287">
        <f>IF(TURB3=0,"",IF(F5&gt;=U608,TEXT(U608,"0.0")&amp;"*",U608))</f>
        <v>34.638413948646722</v>
      </c>
      <c r="G17" s="287">
        <f>IF(TURB4=0,"",IF(G5&gt;=V608,TEXT(V608,"0.0")&amp;"*",V608))</f>
        <v>28.76164165053056</v>
      </c>
      <c r="H17" s="253"/>
      <c r="L17" s="273"/>
      <c r="M17" s="246"/>
      <c r="N17" s="273"/>
      <c r="O17" s="246"/>
      <c r="P17" s="246"/>
      <c r="Q17" s="244">
        <v>17</v>
      </c>
      <c r="R17" s="246" t="s">
        <v>54</v>
      </c>
      <c r="S17" s="248">
        <f>1-(d/D_2)^4</f>
        <v>0.9375</v>
      </c>
      <c r="T17" s="248"/>
      <c r="U17" s="248"/>
      <c r="V17" s="248"/>
    </row>
    <row r="18" spans="1:23" ht="13" customHeight="1" x14ac:dyDescent="0.25">
      <c r="A18" s="264" t="s">
        <v>50</v>
      </c>
      <c r="B18" s="286" t="s">
        <v>40</v>
      </c>
      <c r="C18" s="288"/>
      <c r="D18" s="287">
        <f>IF(TURB1=0,"",IF(P_V&gt;=(P_1-DELTA_P),"Flashing",SPL_SELECTED))</f>
        <v>66.231385283247789</v>
      </c>
      <c r="E18" s="287">
        <f>IF(TURB2=0,"",IF(E$7&gt;=(E$4-E$5),"Flashing",T658))</f>
        <v>71.46452902261575</v>
      </c>
      <c r="F18" s="287">
        <f>IF(TURB3=0,"",IF(F$7&gt;=(F$4-F$5),"Flashing",U658))</f>
        <v>74.728183241438131</v>
      </c>
      <c r="G18" s="287">
        <f>IF(TURB4=0,"",IF(G$7&gt;=(G$4-G$5),"Flashing",V658))</f>
        <v>75.37171099211497</v>
      </c>
      <c r="H18" s="253"/>
      <c r="I18" s="246"/>
      <c r="J18" s="246"/>
      <c r="K18" s="246"/>
      <c r="L18" s="246"/>
      <c r="M18" s="246"/>
      <c r="N18" s="246"/>
      <c r="O18" s="246"/>
      <c r="P18" s="246" t="s">
        <v>55</v>
      </c>
      <c r="Q18" s="244">
        <v>16</v>
      </c>
      <c r="R18" s="246" t="s">
        <v>56</v>
      </c>
      <c r="S18" s="248">
        <f>ZETA_1+ZETA_2+ZETA_B1-ZETA_B2</f>
        <v>0.84375</v>
      </c>
      <c r="T18" s="248"/>
      <c r="U18" s="248"/>
      <c r="V18" s="248"/>
    </row>
    <row r="19" spans="1:23" ht="13" customHeight="1" x14ac:dyDescent="0.35">
      <c r="A19" s="264" t="s">
        <v>149</v>
      </c>
      <c r="B19" s="286" t="str">
        <f>IF(B1&lt;1,"Undefined",IF(B1=1,"ft/s",IF(B1&lt;=5,"m/s",IF(B1&gt;5,"Undefined"))))</f>
        <v>ft/s</v>
      </c>
      <c r="C19" s="288"/>
      <c r="D19" s="289">
        <f>IF(TURB1=0,"",IF(FLAG_3=1,0.4085*Q/d^2,353.7*Q/d^2))</f>
        <v>3.6311111111111112</v>
      </c>
      <c r="E19" s="290">
        <f>IF(TURB2=0,"",IF(FLAG_3=1,0.4085*E3/d^2,353.7*E3/d^2))</f>
        <v>9.6678333333333324</v>
      </c>
      <c r="F19" s="290">
        <f>IF(TURB3=0,"",IF(FLAG_3=1,0.4085*F3/d^2,353.7*F3/d^2))</f>
        <v>19.199499999999997</v>
      </c>
      <c r="G19" s="290">
        <f>IF(TURB4=0,"",IF(FLAG_3=1,0.4085*G3/d^2,353.7*G3/d^2))</f>
        <v>24.963888888888889</v>
      </c>
      <c r="H19" s="253"/>
      <c r="I19" s="246"/>
      <c r="J19" s="246"/>
      <c r="K19" s="246"/>
      <c r="L19" s="246"/>
      <c r="M19" s="246"/>
      <c r="N19" s="246"/>
      <c r="O19" s="246"/>
      <c r="P19" s="246" t="s">
        <v>57</v>
      </c>
      <c r="R19" s="246" t="s">
        <v>58</v>
      </c>
      <c r="S19" s="248">
        <f>ZETA_1+ZETA_B1</f>
        <v>1.21875</v>
      </c>
      <c r="T19" s="248"/>
      <c r="U19" s="248"/>
      <c r="V19" s="248"/>
    </row>
    <row r="20" spans="1:23" ht="13" customHeight="1" x14ac:dyDescent="0.25">
      <c r="A20" s="274" t="s">
        <v>152</v>
      </c>
      <c r="B20" s="276"/>
      <c r="C20" s="276"/>
      <c r="D20" s="291" t="str">
        <f>IF(TURB1=0,"",IF(VSC=0,"Globe",IF(VSC=1,"Rotary plug",IF(VSC=2,"Segment ball",IF(VSC=3,"Butterfly",IF(VSC=4,"Ball",IF(VSC=5,"Multi-stage globe*","")))))))</f>
        <v>Segment ball</v>
      </c>
      <c r="E20" s="291"/>
      <c r="F20" s="276"/>
      <c r="G20" s="276"/>
      <c r="H20" s="292"/>
      <c r="I20" s="246"/>
      <c r="J20" s="246"/>
      <c r="K20" s="246"/>
      <c r="L20" s="246"/>
      <c r="M20" s="246"/>
      <c r="N20" s="246"/>
      <c r="O20" s="246"/>
      <c r="P20" s="246"/>
      <c r="R20" s="246"/>
      <c r="S20" s="248"/>
      <c r="T20" s="248"/>
      <c r="U20" s="248"/>
      <c r="V20" s="248"/>
    </row>
    <row r="21" spans="1:23" ht="13" customHeight="1" x14ac:dyDescent="0.3">
      <c r="A21" s="293" t="s">
        <v>323</v>
      </c>
      <c r="B21" s="294"/>
      <c r="C21" s="294"/>
      <c r="D21" s="294"/>
      <c r="E21" s="294"/>
      <c r="F21" s="288"/>
      <c r="G21" s="295"/>
      <c r="H21" s="296"/>
      <c r="I21" s="246"/>
      <c r="J21" s="246"/>
      <c r="K21" s="246"/>
      <c r="L21" s="246"/>
      <c r="M21" s="246"/>
      <c r="N21" s="246"/>
      <c r="O21" s="246"/>
      <c r="P21" s="2" t="s">
        <v>59</v>
      </c>
      <c r="R21" s="247" t="s">
        <v>239</v>
      </c>
      <c r="S21" s="248"/>
      <c r="T21" s="248"/>
      <c r="U21" s="248"/>
      <c r="V21" s="248"/>
    </row>
    <row r="22" spans="1:23" ht="13" customHeight="1" x14ac:dyDescent="0.35">
      <c r="A22" s="269" t="s">
        <v>153</v>
      </c>
      <c r="B22" s="286" t="str">
        <f>IF(B1&lt;1,"Undefined",IF(B1=1,"cS",IF(B1&lt;=5,"m^2/s",IF(B1&gt;5,"Undefined"))))</f>
        <v>cS</v>
      </c>
      <c r="C22" s="297" t="s">
        <v>322</v>
      </c>
      <c r="D22" s="298">
        <v>20</v>
      </c>
      <c r="E22" s="298">
        <v>20</v>
      </c>
      <c r="F22" s="298">
        <v>20</v>
      </c>
      <c r="G22" s="298">
        <v>20</v>
      </c>
      <c r="H22" s="253"/>
      <c r="I22" s="246"/>
      <c r="J22" s="246"/>
      <c r="K22" s="246"/>
      <c r="L22" s="246"/>
      <c r="M22" s="246"/>
      <c r="N22" s="246"/>
      <c r="O22" s="246"/>
      <c r="P22" s="1" t="s">
        <v>373</v>
      </c>
      <c r="R22" s="246" t="s">
        <v>61</v>
      </c>
      <c r="S22" s="355">
        <f>Applicable_C_NonCh_or_Ch</f>
        <v>14.142135623730951</v>
      </c>
      <c r="T22" s="355">
        <f>T9</f>
        <v>38.631610318358121</v>
      </c>
      <c r="U22" s="355">
        <f>U9</f>
        <v>84.769709297943407</v>
      </c>
      <c r="V22" s="355">
        <f>V9</f>
        <v>122.98373876248843</v>
      </c>
      <c r="W22" s="6"/>
    </row>
    <row r="23" spans="1:23" ht="13" customHeight="1" x14ac:dyDescent="0.3">
      <c r="A23" s="269" t="s">
        <v>154</v>
      </c>
      <c r="B23" s="265"/>
      <c r="C23" s="266" t="s">
        <v>155</v>
      </c>
      <c r="D23" s="360">
        <v>0.6</v>
      </c>
      <c r="E23" s="360">
        <v>0.6</v>
      </c>
      <c r="F23" s="360">
        <v>0.65</v>
      </c>
      <c r="G23" s="360">
        <v>0.68</v>
      </c>
      <c r="H23" s="253"/>
      <c r="I23" s="299"/>
      <c r="J23" s="246"/>
      <c r="K23" s="246"/>
      <c r="L23" s="246"/>
      <c r="M23" s="246"/>
      <c r="N23" s="246"/>
      <c r="O23" s="246"/>
      <c r="P23" s="246" t="s">
        <v>62</v>
      </c>
      <c r="Q23" s="244">
        <v>15</v>
      </c>
      <c r="R23" s="246" t="s">
        <v>63</v>
      </c>
      <c r="S23" s="355">
        <f>1/(SQRT(1+(SIGMA_ZETA/N_2)*(C_i/d^2)^2))</f>
        <v>0.99883163881123205</v>
      </c>
      <c r="T23" s="355">
        <f>1/(SQRT(1+(SIGMA_ZETA/N_2)*(T22/d^2)^2))</f>
        <v>0.99137915193823922</v>
      </c>
      <c r="U23" s="355">
        <f>1/(SQRT(1+(SIGMA_ZETA/N_2)*(U22/d^2)^2))</f>
        <v>0.96042706699444413</v>
      </c>
      <c r="V23" s="355">
        <f>1/(SQRT(1+(SIGMA_ZETA/N_2)*(V22/d^2)^2))</f>
        <v>0.9217373602867478</v>
      </c>
      <c r="W23" s="6"/>
    </row>
    <row r="24" spans="1:23" ht="13" customHeight="1" x14ac:dyDescent="0.4">
      <c r="A24" s="300" t="s">
        <v>321</v>
      </c>
      <c r="B24" s="301"/>
      <c r="C24" s="302" t="s">
        <v>195</v>
      </c>
      <c r="D24" s="303" t="s">
        <v>196</v>
      </c>
      <c r="E24" s="278" t="s">
        <v>21</v>
      </c>
      <c r="F24" s="278" t="s">
        <v>21</v>
      </c>
      <c r="G24" s="278" t="s">
        <v>21</v>
      </c>
      <c r="H24" s="253"/>
      <c r="I24" s="363" t="str">
        <f>IF(VSC=5,"* Noise calc. is for a representative multi-stage valve. Multi-stage valves vary widely in design and performance.","")</f>
        <v/>
      </c>
      <c r="J24" s="364"/>
      <c r="K24" s="364"/>
      <c r="L24" s="364"/>
      <c r="M24" s="364"/>
      <c r="N24" s="246"/>
      <c r="O24" s="246"/>
      <c r="P24" s="246" t="s">
        <v>65</v>
      </c>
      <c r="R24" s="246"/>
      <c r="S24" s="355"/>
      <c r="T24" s="355"/>
      <c r="U24" s="355"/>
      <c r="V24" s="355"/>
      <c r="W24" s="6"/>
    </row>
    <row r="25" spans="1:23" ht="13" customHeight="1" x14ac:dyDescent="0.25">
      <c r="A25" s="269" t="s">
        <v>156</v>
      </c>
      <c r="B25" s="286"/>
      <c r="C25" s="288"/>
      <c r="D25" s="304">
        <f>IF(N_TURB1=0,"",S807)</f>
        <v>11517.562651579427</v>
      </c>
      <c r="E25" s="304">
        <f>IF(N_TURB2=0,"",T795)</f>
        <v>18929.820747268957</v>
      </c>
      <c r="F25" s="304">
        <f>IF(N_TURB3=0,"",U795)</f>
        <v>28828.448537679182</v>
      </c>
      <c r="G25" s="304">
        <f>IF(N_TURB4=0,"",V807)</f>
        <v>34037.670124390759</v>
      </c>
      <c r="H25" s="253"/>
      <c r="I25" s="364"/>
      <c r="J25" s="364"/>
      <c r="K25" s="364"/>
      <c r="L25" s="364"/>
      <c r="M25" s="364"/>
      <c r="N25" s="246"/>
      <c r="O25" s="246"/>
      <c r="P25" s="246" t="s">
        <v>67</v>
      </c>
      <c r="Q25" s="244">
        <v>21</v>
      </c>
      <c r="R25" s="246" t="s">
        <v>68</v>
      </c>
      <c r="S25" s="355">
        <f>F_L/SQRT(1+((F_L^2/N_2)*SIGMA_ZETA_1*(C_i/d^2)^2))</f>
        <v>0.91868637276211451</v>
      </c>
      <c r="T25" s="355">
        <f>E$9/SQRT(1+((E$9^2/N_2)*SIGMA_ZETA_1*(T22/d^2)^2))</f>
        <v>0.88123777135159276</v>
      </c>
      <c r="U25" s="355">
        <f>F$9/SQRT(1+((F$9^2/N_2)*SIGMA_ZETA_1*(U22/d^2)^2))</f>
        <v>0.79730671200729109</v>
      </c>
      <c r="V25" s="355">
        <f>G$9/SQRT(1+((G$9^2/N_2)*SIGMA_ZETA_1*(V22/d^2)^2))</f>
        <v>0.72559884903868455</v>
      </c>
      <c r="W25" s="6"/>
    </row>
    <row r="26" spans="1:23" ht="13" customHeight="1" x14ac:dyDescent="0.3">
      <c r="A26" s="279" t="s">
        <v>191</v>
      </c>
      <c r="B26" s="280" t="str">
        <f>IF(B1&lt;1,"Undefined",IF(B1=1,"Cv",IF(B1=2,"Cv",IF(B1=3,"Cv",IF(B1=4,"Kv",IF(B1=5,"Kv","Undefined"))))))</f>
        <v>Cv</v>
      </c>
      <c r="C26" s="305"/>
      <c r="D26" s="306" t="str">
        <f>IF(N_TURB1=0,"",(IF(D25&gt;=10000,"Turbulent",(S794))))</f>
        <v>Turbulent</v>
      </c>
      <c r="E26" s="306" t="str">
        <f>IF(N_TURB2=0,"",(IF(E25&gt;=10000,"Turbulent",(T794))))</f>
        <v>Turbulent</v>
      </c>
      <c r="F26" s="306" t="str">
        <f>IF(N_TURB3=0,"",(IF(F25&gt;=10000,"Turbulent",(U794))))</f>
        <v>Turbulent</v>
      </c>
      <c r="G26" s="306" t="str">
        <f>IF(N_TURB4=0,"",(IF(G25&gt;=10000,"Turbulent",(V794))))</f>
        <v>Turbulent</v>
      </c>
      <c r="H26" s="253"/>
      <c r="I26" s="364"/>
      <c r="J26" s="364"/>
      <c r="K26" s="364"/>
      <c r="L26" s="364"/>
      <c r="M26" s="364"/>
      <c r="N26" s="246"/>
      <c r="O26" s="246"/>
      <c r="P26" s="246" t="s">
        <v>69</v>
      </c>
      <c r="Q26" s="244">
        <v>1</v>
      </c>
      <c r="R26" s="246" t="s">
        <v>70</v>
      </c>
      <c r="S26" s="355">
        <f>(Q/(N_1*F_P)*(SQRT(G/DELTA_P)))</f>
        <v>14.158678073676496</v>
      </c>
      <c r="T26" s="355">
        <f>(E$3/(N_1*T23)*(SQRT(E$6/E$5)))</f>
        <v>38.967543590996137</v>
      </c>
      <c r="U26" s="355">
        <f>(F$3/(N_1*U23)*(SQRT(F$6/F$5)))</f>
        <v>88.262515927650114</v>
      </c>
      <c r="V26" s="355">
        <f>(G$3/(N_1*V23)*(SQRT(G$6/G$5)))</f>
        <v>133.42601055492511</v>
      </c>
      <c r="W26" s="6"/>
    </row>
    <row r="27" spans="1:23" ht="13" customHeight="1" x14ac:dyDescent="0.25">
      <c r="A27" s="307" t="s">
        <v>178</v>
      </c>
      <c r="B27" s="308" t="str">
        <f>IF(B1&lt;1,"Undefined",IF(B1=1,"Cv",IF(B1&lt;=5,"m^3/h",IF(B1&gt;5,"Undefined"))))</f>
        <v>Cv</v>
      </c>
      <c r="C27" s="309"/>
      <c r="D27" s="310" t="str">
        <f>IF(OR(N_TURB1=0,D25&gt;10000),"",S803)</f>
        <v/>
      </c>
      <c r="E27" s="310" t="str">
        <f>IF(OR(N_TURB1=0,E25&gt;10000),"",T803)</f>
        <v/>
      </c>
      <c r="F27" s="310" t="str">
        <f>IF(OR(N_TURB1=0,F25&gt;10000),"",U803)</f>
        <v/>
      </c>
      <c r="G27" s="310" t="str">
        <f>IF(OR(N_TURB1=0,G25&gt;10000),"",V803)</f>
        <v/>
      </c>
      <c r="H27" s="253"/>
      <c r="J27" s="246"/>
      <c r="K27" s="246"/>
      <c r="L27" s="246"/>
      <c r="M27" s="246"/>
      <c r="N27" s="246"/>
      <c r="O27" s="246"/>
      <c r="P27" s="246" t="s">
        <v>72</v>
      </c>
      <c r="Q27" s="244">
        <v>1</v>
      </c>
      <c r="R27" s="246" t="s">
        <v>73</v>
      </c>
      <c r="S27" s="355">
        <f>(Q/(N_1*F_P)*SQRT(G/(Delta_P_Ch_W_Reducers)))</f>
        <v>11.609755437288406</v>
      </c>
      <c r="T27" s="355">
        <f>(E$3/(N_1*T23)*SQRT(E$6/(T28)))</f>
        <v>32.603435551320544</v>
      </c>
      <c r="U27" s="355">
        <f>(F$3/(N_1*U23)*SQRT(F$6/(U28)))</f>
        <v>74.83486064253762</v>
      </c>
      <c r="V27" s="355">
        <f>(G$3/(N_1*V23)*SQRT(G$6/(V28)))</f>
        <v>111.44576271916536</v>
      </c>
      <c r="W27" s="6"/>
    </row>
    <row r="28" spans="1:23" ht="13" customHeight="1" x14ac:dyDescent="0.25">
      <c r="A28" s="311"/>
      <c r="B28" s="288"/>
      <c r="C28" s="288"/>
      <c r="D28" s="288"/>
      <c r="E28" s="288"/>
      <c r="F28" s="288"/>
      <c r="G28" s="312" t="s">
        <v>128</v>
      </c>
      <c r="H28" s="253"/>
      <c r="I28" s="246"/>
      <c r="J28" s="246"/>
      <c r="K28" s="246"/>
      <c r="L28" s="246"/>
      <c r="M28" s="246"/>
      <c r="N28" s="246"/>
      <c r="O28" s="246"/>
      <c r="P28" s="246" t="s">
        <v>75</v>
      </c>
      <c r="Q28" s="244">
        <v>3</v>
      </c>
      <c r="R28" s="244" t="s">
        <v>133</v>
      </c>
      <c r="S28" s="355">
        <f>(F_LP/F_P)^2*(P_1-(F_F*P_V))</f>
        <v>47.59367606088891</v>
      </c>
      <c r="T28" s="355">
        <f>(T25/T23)^2*(E$4-(T$4*E$7))</f>
        <v>43.426308357909463</v>
      </c>
      <c r="U28" s="355">
        <f t="shared" ref="U28:V28" si="0">(U25/U23)^2*(F$4-(U$4*F$7))</f>
        <v>34.637301053710708</v>
      </c>
      <c r="V28" s="355">
        <f t="shared" si="0"/>
        <v>28.667107539836518</v>
      </c>
      <c r="W28" s="6"/>
    </row>
    <row r="29" spans="1:23" ht="13" customHeight="1" thickBot="1" x14ac:dyDescent="0.3">
      <c r="A29" s="313"/>
      <c r="B29" s="314"/>
      <c r="C29" s="314"/>
      <c r="D29" s="314"/>
      <c r="E29" s="314"/>
      <c r="F29" s="314"/>
      <c r="G29" s="315" t="s">
        <v>129</v>
      </c>
      <c r="H29" s="253"/>
      <c r="I29" s="246"/>
      <c r="J29" s="246"/>
      <c r="K29" s="246"/>
      <c r="L29" s="246"/>
      <c r="M29" s="246"/>
      <c r="N29" s="246"/>
      <c r="O29" s="246"/>
      <c r="P29" s="246" t="s">
        <v>29</v>
      </c>
      <c r="R29" s="246"/>
      <c r="S29" s="355">
        <f>IF(DELTA_P&lt;Delta_P_Ch_W_Reducers,C_NonCh_W_Reducers,C_Ch_W_Reducers)</f>
        <v>14.158678073676496</v>
      </c>
      <c r="T29" s="355">
        <f>IF(E$5&lt;T28,T26,T27)</f>
        <v>38.967543590996137</v>
      </c>
      <c r="U29" s="355">
        <f>IF(F$5&lt;U28,U26,U27)</f>
        <v>88.262515927650114</v>
      </c>
      <c r="V29" s="355">
        <f>IF(G$5&lt;V28,V26,V27)</f>
        <v>133.42601055492511</v>
      </c>
      <c r="W29" s="6"/>
    </row>
    <row r="30" spans="1:23" ht="13" thickTop="1" x14ac:dyDescent="0.25">
      <c r="O30" s="246"/>
      <c r="P30" s="246" t="s">
        <v>78</v>
      </c>
      <c r="R30" s="246" t="s">
        <v>79</v>
      </c>
      <c r="S30" s="355">
        <f>C_i/S29</f>
        <v>0.99883163881123194</v>
      </c>
      <c r="T30" s="355">
        <f>T22/T29</f>
        <v>0.99137915193823922</v>
      </c>
      <c r="U30" s="355">
        <f t="shared" ref="U30:V30" si="1">U22/U29</f>
        <v>0.96042706699444413</v>
      </c>
      <c r="V30" s="355">
        <f t="shared" si="1"/>
        <v>0.9217373602867478</v>
      </c>
      <c r="W30" s="6"/>
    </row>
    <row r="31" spans="1:23" ht="15.5" x14ac:dyDescent="0.35">
      <c r="A31" s="316" t="s">
        <v>150</v>
      </c>
      <c r="O31" s="246"/>
      <c r="P31" s="246"/>
      <c r="R31" s="246"/>
      <c r="S31" s="355"/>
      <c r="T31" s="355"/>
      <c r="U31" s="355"/>
      <c r="V31" s="355"/>
      <c r="W31" s="6"/>
    </row>
    <row r="32" spans="1:23" ht="15.5" x14ac:dyDescent="0.35">
      <c r="A32" s="316" t="s">
        <v>151</v>
      </c>
      <c r="O32" s="246"/>
      <c r="P32" s="1" t="s">
        <v>373</v>
      </c>
      <c r="R32" s="246"/>
      <c r="S32" s="355">
        <f>S29</f>
        <v>14.158678073676496</v>
      </c>
      <c r="T32" s="355">
        <f>T29</f>
        <v>38.967543590996137</v>
      </c>
      <c r="U32" s="355">
        <f>U29</f>
        <v>88.262515927650114</v>
      </c>
      <c r="V32" s="355">
        <f>V29</f>
        <v>133.42601055492511</v>
      </c>
      <c r="W32" s="6"/>
    </row>
    <row r="33" spans="1:23" x14ac:dyDescent="0.25">
      <c r="O33" s="246"/>
      <c r="P33" s="246" t="s">
        <v>62</v>
      </c>
      <c r="Q33" s="244">
        <v>15</v>
      </c>
      <c r="R33" s="246"/>
      <c r="S33" s="355">
        <f>1/(SQRT(1+(SIGMA_ZETA/N_2)*(S32/d^2)^2))</f>
        <v>0.99882890868575802</v>
      </c>
      <c r="T33" s="355">
        <f>1/(SQRT(1+(SIGMA_ZETA/N_2)*(T32/d^2)^2))</f>
        <v>0.99123054453093939</v>
      </c>
      <c r="U33" s="355">
        <f>1/(SQRT(1+(SIGMA_ZETA/N_2)*(U32/d^2)^2))</f>
        <v>0.95730900654929729</v>
      </c>
      <c r="V33" s="355">
        <f>1/(SQRT(1+(SIGMA_ZETA/N_2)*(V32/d^2)^2))</f>
        <v>0.90970663660791895</v>
      </c>
      <c r="W33" s="6"/>
    </row>
    <row r="34" spans="1:23" x14ac:dyDescent="0.25">
      <c r="O34" s="246"/>
      <c r="P34" s="246" t="s">
        <v>65</v>
      </c>
      <c r="R34" s="246"/>
      <c r="S34" s="355"/>
      <c r="T34" s="355"/>
      <c r="U34" s="355"/>
      <c r="V34" s="355"/>
      <c r="W34" s="6"/>
    </row>
    <row r="35" spans="1:23" x14ac:dyDescent="0.25">
      <c r="O35" s="246"/>
      <c r="P35" s="246" t="s">
        <v>67</v>
      </c>
      <c r="Q35" s="244">
        <v>21</v>
      </c>
      <c r="R35" s="246"/>
      <c r="S35" s="355">
        <f>F_L/SQRT(1+((F_L^2/N_2)*SIGMA_ZETA_1*(S32/d^2)^2))</f>
        <v>0.91868330439014656</v>
      </c>
      <c r="T35" s="355">
        <f>E$9/SQRT(1+((E$9^2/N_2)*SIGMA_ZETA_1*(T32/d^2)^2))</f>
        <v>0.88108701088729213</v>
      </c>
      <c r="U35" s="355">
        <f>F$9/SQRT(1+((F$9^2/N_2)*SIGMA_ZETA_1*(U32/d^2)^2))</f>
        <v>0.79472992776291707</v>
      </c>
      <c r="V35" s="355">
        <f>G$9/SQRT(1+((G$9^2/N_2)*SIGMA_ZETA_1*(V32/d^2)^2))</f>
        <v>0.71710411462319346</v>
      </c>
      <c r="W35" s="6"/>
    </row>
    <row r="36" spans="1:23" x14ac:dyDescent="0.25">
      <c r="O36" s="246"/>
      <c r="P36" s="246" t="s">
        <v>69</v>
      </c>
      <c r="Q36" s="244">
        <v>1</v>
      </c>
      <c r="R36" s="246"/>
      <c r="S36" s="355">
        <f>(Q/(N_1*S33)*(SQRT(G/DELTA_P)))</f>
        <v>14.158716773965756</v>
      </c>
      <c r="T36" s="355">
        <f>(E$3/(N_1*T33)*(SQRT(E$6/E$5)))</f>
        <v>38.973385688633115</v>
      </c>
      <c r="U36" s="355">
        <f>(F$3/(N_1*U33)*(SQRT(F$6/F$5)))</f>
        <v>88.5499966238729</v>
      </c>
      <c r="V36" s="355">
        <f>(G$3/(N_1*V33)*(SQRT(G$6/G$5)))</f>
        <v>135.19054804421975</v>
      </c>
      <c r="W36" s="6"/>
    </row>
    <row r="37" spans="1:23" x14ac:dyDescent="0.25">
      <c r="O37" s="246"/>
      <c r="P37" s="246" t="s">
        <v>72</v>
      </c>
      <c r="Q37" s="244">
        <v>1</v>
      </c>
      <c r="R37" s="246"/>
      <c r="S37" s="355">
        <f>(Q/(N_1*S33)*SQRT(G/(S38)))</f>
        <v>11.609794213489049</v>
      </c>
      <c r="T37" s="355">
        <f>(E$3/(N_1*T33)*SQRT(E$6/T38))</f>
        <v>32.609014238806317</v>
      </c>
      <c r="U37" s="355">
        <f>(F$3/(N_1*U33)*SQRT(F$6/U38))</f>
        <v>75.07750066790625</v>
      </c>
      <c r="V37" s="355">
        <f>(G$3/(N_1*V33)*SQRT(G$6/V38))</f>
        <v>112.76593664750574</v>
      </c>
      <c r="W37" s="6"/>
    </row>
    <row r="38" spans="1:23" x14ac:dyDescent="0.25">
      <c r="O38" s="246"/>
      <c r="P38" s="246" t="s">
        <v>75</v>
      </c>
      <c r="Q38" s="244">
        <v>3</v>
      </c>
      <c r="R38" s="246"/>
      <c r="S38" s="355">
        <f>(S35/S33)^2*(P_1-(F_F*P_V))</f>
        <v>47.593618316586571</v>
      </c>
      <c r="T38" s="355">
        <f>(T35/T33)^2*(E$4-(T$4*E$7))</f>
        <v>43.424468701425234</v>
      </c>
      <c r="U38" s="355">
        <f>(U35/U33)^2*(F$4-(U$4*F$7))</f>
        <v>34.638320953002001</v>
      </c>
      <c r="V38" s="355">
        <f>(V35/V33)^2*(G$4-(V$4*G$7))</f>
        <v>28.745296311042377</v>
      </c>
      <c r="W38" s="6"/>
    </row>
    <row r="39" spans="1:23" x14ac:dyDescent="0.25">
      <c r="O39" s="246"/>
      <c r="P39" s="246" t="s">
        <v>29</v>
      </c>
      <c r="R39" s="246"/>
      <c r="S39" s="355">
        <f>IF(DELTA_P&lt;S38,S36,S37)</f>
        <v>14.158716773965756</v>
      </c>
      <c r="T39" s="355">
        <f>IF(E$5&lt;T38,T36,T37)</f>
        <v>38.973385688633115</v>
      </c>
      <c r="U39" s="355">
        <f>IF(F$5&lt;U38,U36,U37)</f>
        <v>88.5499966238729</v>
      </c>
      <c r="V39" s="355">
        <f>IF(G$5&lt;V38,V36,V37)</f>
        <v>135.19054804421975</v>
      </c>
      <c r="W39" s="6"/>
    </row>
    <row r="40" spans="1:23" x14ac:dyDescent="0.25">
      <c r="O40" s="246"/>
      <c r="P40" s="246" t="s">
        <v>81</v>
      </c>
      <c r="R40" s="246"/>
      <c r="S40" s="355">
        <f>S32/S39</f>
        <v>0.99999726668102218</v>
      </c>
      <c r="T40" s="355">
        <f>T32/T39</f>
        <v>0.9998501003304241</v>
      </c>
      <c r="U40" s="355">
        <f>U32/U39</f>
        <v>0.99675346462808012</v>
      </c>
      <c r="V40" s="355">
        <f>V32/V39</f>
        <v>0.98694777471633988</v>
      </c>
      <c r="W40" s="6"/>
    </row>
    <row r="41" spans="1:23" ht="14" x14ac:dyDescent="0.3">
      <c r="B41" s="317" t="s">
        <v>188</v>
      </c>
      <c r="E41" s="318"/>
      <c r="F41" s="318"/>
      <c r="O41" s="246"/>
      <c r="P41" s="246"/>
      <c r="R41" s="246"/>
      <c r="S41" s="355"/>
      <c r="T41" s="355"/>
      <c r="U41" s="355"/>
      <c r="V41" s="355"/>
      <c r="W41" s="6"/>
    </row>
    <row r="42" spans="1:23" ht="14" x14ac:dyDescent="0.3">
      <c r="B42" s="317" t="s">
        <v>187</v>
      </c>
      <c r="F42" s="318"/>
      <c r="O42" s="246"/>
      <c r="P42" s="1" t="s">
        <v>373</v>
      </c>
      <c r="R42" s="246"/>
      <c r="S42" s="355">
        <f>S39</f>
        <v>14.158716773965756</v>
      </c>
      <c r="T42" s="355">
        <f>T39</f>
        <v>38.973385688633115</v>
      </c>
      <c r="U42" s="355">
        <f>U39</f>
        <v>88.5499966238729</v>
      </c>
      <c r="V42" s="355">
        <f>V39</f>
        <v>135.19054804421975</v>
      </c>
      <c r="W42" s="6"/>
    </row>
    <row r="43" spans="1:23" ht="14" x14ac:dyDescent="0.3">
      <c r="B43" s="244" t="s">
        <v>179</v>
      </c>
      <c r="C43" s="244" t="s">
        <v>180</v>
      </c>
      <c r="D43" s="244" t="s">
        <v>182</v>
      </c>
      <c r="E43" s="244" t="s">
        <v>181</v>
      </c>
      <c r="F43" s="318"/>
      <c r="P43" s="246" t="s">
        <v>62</v>
      </c>
      <c r="Q43" s="244">
        <v>15</v>
      </c>
      <c r="R43" s="246"/>
      <c r="S43" s="355">
        <f>1/(SQRT(1+(SIGMA_ZETA/N_2)*(S42/d^2)^2))</f>
        <v>0.99882890229504107</v>
      </c>
      <c r="T43" s="355">
        <f>1/(SQRT(1+(SIGMA_ZETA/N_2)*(T42/d^2)^2))</f>
        <v>0.99122794936293446</v>
      </c>
      <c r="U43" s="355">
        <f>1/(SQRT(1+(SIGMA_ZETA/N_2)*(U42/d^2)^2))</f>
        <v>0.9570481454377312</v>
      </c>
      <c r="V43" s="355">
        <f>1/(SQRT(1+(SIGMA_ZETA/N_2)*(V42/d^2)^2))</f>
        <v>0.9076255781272381</v>
      </c>
      <c r="W43" s="6"/>
    </row>
    <row r="44" spans="1:23" ht="14" x14ac:dyDescent="0.3">
      <c r="B44" s="246">
        <f>(Q*P_1*DELTA_P*G*P_V*P_C*F_L*D_1*D_2*d*DeltaLp)</f>
        <v>-42565407355.699196</v>
      </c>
      <c r="C44" s="244">
        <f>E3*E4*E5*E6*E7*E9*P_C*D_1*D_2*d*DeltaLp</f>
        <v>-101765108709.42105</v>
      </c>
      <c r="D44" s="244">
        <f>F3*F4*F5*F6*F7*F9*P_C*D_1*D_2*d*DeltaLp</f>
        <v>-141277079531.29309</v>
      </c>
      <c r="E44" s="244">
        <f>G3*G4*G5*G6*G7*G9*P_C*D_1*D_2*d*DeltaLp</f>
        <v>-127717412359.67999</v>
      </c>
      <c r="F44" s="318"/>
      <c r="P44" s="246" t="s">
        <v>65</v>
      </c>
      <c r="R44" s="246"/>
      <c r="S44" s="355"/>
      <c r="T44" s="355"/>
      <c r="U44" s="355"/>
      <c r="V44" s="355"/>
      <c r="W44" s="6"/>
    </row>
    <row r="45" spans="1:23" ht="14" x14ac:dyDescent="0.3">
      <c r="A45" s="318"/>
      <c r="B45" s="244" t="s">
        <v>183</v>
      </c>
      <c r="C45" s="244" t="s">
        <v>184</v>
      </c>
      <c r="D45" s="244" t="s">
        <v>185</v>
      </c>
      <c r="E45" s="244" t="s">
        <v>186</v>
      </c>
      <c r="F45" s="318"/>
      <c r="G45" s="318"/>
      <c r="H45" s="318"/>
      <c r="I45" s="318"/>
      <c r="J45" s="318"/>
      <c r="K45" s="318"/>
      <c r="L45" s="318"/>
      <c r="P45" s="246" t="s">
        <v>67</v>
      </c>
      <c r="Q45" s="244">
        <v>21</v>
      </c>
      <c r="R45" s="246"/>
      <c r="S45" s="355">
        <f>F_L/SQRT(1+((F_L^2/N_2)*SIGMA_ZETA_1*(S42/d^2)^2))</f>
        <v>0.91868329720766406</v>
      </c>
      <c r="T45" s="355">
        <f>E$9/SQRT(1+((E$9^2/N_2)*SIGMA_ZETA_1*(T42/d^2)^2))</f>
        <v>0.88108437820502583</v>
      </c>
      <c r="U45" s="355">
        <f>F$9/SQRT(1+((F$9^2/N_2)*SIGMA_ZETA_1*(U42/d^2)^2))</f>
        <v>0.79451434538721555</v>
      </c>
      <c r="V45" s="355">
        <f>G$9/SQRT(1+((G$9^2/N_2)*SIGMA_ZETA_1*(V42/d^2)^2))</f>
        <v>0.71563119088361393</v>
      </c>
      <c r="W45" s="6"/>
    </row>
    <row r="46" spans="1:23" ht="14" x14ac:dyDescent="0.3">
      <c r="B46" s="244">
        <f>nu*F_D*TURB1</f>
        <v>-510784888268.39038</v>
      </c>
      <c r="C46" s="246">
        <f>E22*E23*TURB2</f>
        <v>-1221181304513.0527</v>
      </c>
      <c r="D46" s="246">
        <f>F22*F23*TURB3</f>
        <v>-1836602033906.8101</v>
      </c>
      <c r="E46" s="246">
        <f>G22*G23*TURB4</f>
        <v>-1736956808091.6482</v>
      </c>
      <c r="G46" s="318"/>
      <c r="H46" s="318"/>
      <c r="I46" s="318"/>
      <c r="J46" s="318"/>
      <c r="K46" s="318"/>
      <c r="L46" s="318"/>
      <c r="P46" s="246" t="s">
        <v>69</v>
      </c>
      <c r="Q46" s="244">
        <v>1</v>
      </c>
      <c r="R46" s="246"/>
      <c r="S46" s="355">
        <f>(Q/(N_1*S43)*(SQRT(G/DELTA_P)))</f>
        <v>14.158716864556196</v>
      </c>
      <c r="T46" s="355">
        <f>(E$3/(N_1*T43)*(SQRT(E$6/E$5)))</f>
        <v>38.973487726195359</v>
      </c>
      <c r="U46" s="355">
        <f>(F$3/(N_1*U43)*(SQRT(F$6/F$5)))</f>
        <v>88.574132557533702</v>
      </c>
      <c r="V46" s="355">
        <f>(G$3/(N_1*V43)*(SQRT(G$6/G$5)))</f>
        <v>135.50052105874829</v>
      </c>
      <c r="W46" s="6"/>
    </row>
    <row r="47" spans="1:23" ht="14" x14ac:dyDescent="0.3">
      <c r="B47" s="318"/>
      <c r="C47" s="318"/>
      <c r="D47" s="318"/>
      <c r="E47" s="318"/>
      <c r="F47" s="318"/>
      <c r="G47" s="318"/>
      <c r="H47" s="318"/>
      <c r="I47" s="318"/>
      <c r="J47" s="318"/>
      <c r="K47" s="318"/>
      <c r="L47" s="318"/>
      <c r="P47" s="246" t="s">
        <v>72</v>
      </c>
      <c r="Q47" s="244">
        <v>1</v>
      </c>
      <c r="R47" s="246"/>
      <c r="S47" s="355">
        <f>(Q/(N_1*S43)*SQRT(G/(S48)))</f>
        <v>11.609794304257155</v>
      </c>
      <c r="T47" s="355">
        <f>(E$3/(N_1*T43)*SQRT(E$6/T48))</f>
        <v>32.609111674620223</v>
      </c>
      <c r="U47" s="355">
        <f>(F$3/(N_1*U43)*SQRT(F$6/U48))</f>
        <v>75.097872088573098</v>
      </c>
      <c r="V47" s="355">
        <f>(G$3/(N_1*V43)*SQRT(G$6/V48))</f>
        <v>112.99803332973525</v>
      </c>
      <c r="W47" s="6"/>
    </row>
    <row r="48" spans="1:23" ht="14" x14ac:dyDescent="0.3">
      <c r="A48" s="246" t="s">
        <v>326</v>
      </c>
      <c r="E48" s="318"/>
      <c r="F48" s="318"/>
      <c r="G48" s="318"/>
      <c r="H48" s="318"/>
      <c r="I48" s="318"/>
      <c r="J48" s="318"/>
      <c r="K48" s="318"/>
      <c r="L48" s="318"/>
      <c r="P48" s="246" t="s">
        <v>75</v>
      </c>
      <c r="Q48" s="244">
        <v>3</v>
      </c>
      <c r="R48" s="246"/>
      <c r="S48" s="355">
        <f>(S45/S43)^2*(P_1-(F_F*P_V))</f>
        <v>47.593618181418258</v>
      </c>
      <c r="T48" s="355">
        <f>(T45/T43)^2*(E$4-(T$4*E$7))</f>
        <v>43.424436578882549</v>
      </c>
      <c r="U48" s="355">
        <f>(U45/U43)^2*(F$4-(U$4*F$7))</f>
        <v>34.638406131520782</v>
      </c>
      <c r="V48" s="355">
        <f>(V45/V43)^2*(G$4-(V$4*G$7))</f>
        <v>28.758759994219652</v>
      </c>
      <c r="W48" s="6"/>
    </row>
    <row r="49" spans="1:23" ht="14" x14ac:dyDescent="0.3">
      <c r="A49" s="244" t="s">
        <v>313</v>
      </c>
      <c r="G49" s="318"/>
      <c r="H49" s="318"/>
      <c r="I49" s="318"/>
      <c r="J49" s="318"/>
      <c r="K49" s="318"/>
      <c r="L49" s="318"/>
      <c r="P49" s="246" t="s">
        <v>29</v>
      </c>
      <c r="R49" s="246"/>
      <c r="S49" s="355">
        <f>IF(DELTA_P&lt;S48,S46,S47)</f>
        <v>14.158716864556196</v>
      </c>
      <c r="T49" s="355">
        <f>IF(E$5&lt;T48,T46,T47)</f>
        <v>38.973487726195359</v>
      </c>
      <c r="U49" s="355">
        <f>IF(F$5&lt;U48,U46,U47)</f>
        <v>88.574132557533702</v>
      </c>
      <c r="V49" s="355">
        <f>IF(G$5&lt;V48,V46,V47)</f>
        <v>135.50052105874829</v>
      </c>
      <c r="W49" s="6"/>
    </row>
    <row r="50" spans="1:23" ht="14" x14ac:dyDescent="0.3">
      <c r="G50" s="318"/>
      <c r="H50" s="318"/>
      <c r="I50" s="318"/>
      <c r="J50" s="318"/>
      <c r="K50" s="318"/>
      <c r="L50" s="318"/>
      <c r="P50" s="246" t="s">
        <v>81</v>
      </c>
      <c r="R50" s="246"/>
      <c r="S50" s="355">
        <f>S42/S49</f>
        <v>0.99999999360179026</v>
      </c>
      <c r="T50" s="355">
        <f>T42/T49</f>
        <v>0.99999738187244214</v>
      </c>
      <c r="U50" s="355">
        <f>U42/U49</f>
        <v>0.99972750584212466</v>
      </c>
      <c r="V50" s="355">
        <f>V42/V49</f>
        <v>0.99771238507345561</v>
      </c>
      <c r="W50" s="6"/>
    </row>
    <row r="51" spans="1:23" ht="14" x14ac:dyDescent="0.3">
      <c r="G51" s="318"/>
      <c r="H51" s="318"/>
      <c r="I51" s="318"/>
      <c r="J51" s="318"/>
      <c r="K51" s="318"/>
      <c r="L51" s="318"/>
      <c r="P51" s="246"/>
      <c r="R51" s="246"/>
      <c r="S51" s="355"/>
      <c r="T51" s="355"/>
      <c r="U51" s="355"/>
      <c r="V51" s="355"/>
      <c r="W51" s="6"/>
    </row>
    <row r="52" spans="1:23" ht="13" x14ac:dyDescent="0.3">
      <c r="A52" s="247" t="s">
        <v>64</v>
      </c>
      <c r="B52" s="246"/>
      <c r="C52" s="246"/>
      <c r="H52" s="246"/>
      <c r="I52" s="246"/>
      <c r="J52" s="246"/>
      <c r="K52" s="246"/>
      <c r="L52" s="246"/>
      <c r="P52" s="1" t="s">
        <v>373</v>
      </c>
      <c r="R52" s="246"/>
      <c r="S52" s="355">
        <f>S49</f>
        <v>14.158716864556196</v>
      </c>
      <c r="T52" s="355">
        <f>T49</f>
        <v>38.973487726195359</v>
      </c>
      <c r="U52" s="355">
        <f>U49</f>
        <v>88.574132557533702</v>
      </c>
      <c r="V52" s="355">
        <f>V49</f>
        <v>135.50052105874829</v>
      </c>
      <c r="W52" s="6"/>
    </row>
    <row r="53" spans="1:23" x14ac:dyDescent="0.25">
      <c r="A53" s="246" t="s">
        <v>66</v>
      </c>
      <c r="B53" s="319">
        <f>IF(B1&lt;1,"Undefined",IF(B1=1,1,IF(B1=2,0.865,IF(B1=3,0.0865,IF(B1=4,1,IF(B1=5,0.1,"Undefined"))))))</f>
        <v>1</v>
      </c>
      <c r="C53" s="246"/>
      <c r="D53" s="246"/>
      <c r="E53" s="246"/>
      <c r="F53" s="246"/>
      <c r="G53" s="246"/>
      <c r="H53" s="246"/>
      <c r="I53" s="246"/>
      <c r="J53" s="246"/>
      <c r="K53" s="246"/>
      <c r="L53" s="246"/>
      <c r="P53" s="246" t="s">
        <v>62</v>
      </c>
      <c r="Q53" s="244">
        <v>15</v>
      </c>
      <c r="R53" s="246"/>
      <c r="S53" s="355">
        <f>1/(SQRT(1+(SIGMA_ZETA/N_2)*(S52/d^2)^2))</f>
        <v>0.99882890228008148</v>
      </c>
      <c r="T53" s="355">
        <f>1/(SQRT(1+(SIGMA_ZETA/N_2)*(T52/d^2)^2))</f>
        <v>0.99122790403268313</v>
      </c>
      <c r="U53" s="355">
        <f>1/(SQRT(1+(SIGMA_ZETA/N_2)*(U52/d^2)^2))</f>
        <v>0.95702621551876677</v>
      </c>
      <c r="V53" s="355">
        <f>1/(SQRT(1+(SIGMA_ZETA/N_2)*(V52/d^2)^2))</f>
        <v>0.90725866491835139</v>
      </c>
      <c r="W53" s="6"/>
    </row>
    <row r="54" spans="1:23" x14ac:dyDescent="0.25">
      <c r="A54" s="246" t="s">
        <v>310</v>
      </c>
      <c r="B54" s="319">
        <f>IF(B1&lt;1,"Undefined",IF(B1=1,890,IF(B1=2,0.00214,IF(B1=3,0.00214,IF(B1=4,0.0016,IF(B1=5,0.0016,"Undefined"))))))</f>
        <v>890</v>
      </c>
      <c r="C54" s="320"/>
      <c r="D54" s="246"/>
      <c r="H54" s="246"/>
      <c r="I54" s="246"/>
      <c r="J54" s="246"/>
      <c r="K54" s="246"/>
      <c r="L54" s="246"/>
      <c r="P54" s="246" t="s">
        <v>65</v>
      </c>
      <c r="R54" s="246"/>
      <c r="S54" s="355"/>
      <c r="T54" s="355"/>
      <c r="U54" s="355"/>
      <c r="V54" s="355"/>
      <c r="W54" s="6"/>
    </row>
    <row r="55" spans="1:23" x14ac:dyDescent="0.25">
      <c r="A55" s="244" t="s">
        <v>157</v>
      </c>
      <c r="B55" s="319">
        <f>IF(B1&lt;1,"Undefined",IF(B1=1,17300,IF(B1=2,0.076,IF(B1=3,0.076,IF(B1=4,0.0707,IF(B1=5, 0.0707,"Undefined"))))))</f>
        <v>17300</v>
      </c>
      <c r="H55" s="246"/>
      <c r="I55" s="246"/>
      <c r="J55" s="246"/>
      <c r="K55" s="246"/>
      <c r="L55" s="246"/>
      <c r="P55" s="246" t="s">
        <v>67</v>
      </c>
      <c r="Q55" s="244">
        <v>21</v>
      </c>
      <c r="R55" s="246"/>
      <c r="S55" s="355">
        <f>F_L/SQRT(1+((F_L^2/N_2)*SIGMA_ZETA_1*(S52/d^2)^2))</f>
        <v>0.91868329719085118</v>
      </c>
      <c r="T55" s="355">
        <f>E$9/SQRT(1+((E$9^2/N_2)*SIGMA_ZETA_1*(T52/d^2)^2))</f>
        <v>0.88108433221953231</v>
      </c>
      <c r="U55" s="355">
        <f>F$9/SQRT(1+((F$9^2/N_2)*SIGMA_ZETA_1*(U52/d^2)^2))</f>
        <v>0.79449622189823432</v>
      </c>
      <c r="V55" s="355">
        <f>G$9/SQRT(1+((G$9^2/N_2)*SIGMA_ZETA_1*(V52/d^2)^2))</f>
        <v>0.71537139117579718</v>
      </c>
      <c r="W55" s="6"/>
    </row>
    <row r="56" spans="1:23" x14ac:dyDescent="0.25">
      <c r="A56" s="244" t="s">
        <v>176</v>
      </c>
      <c r="B56" s="319">
        <f>IF(B1&lt;1,"Undefined",IF(B1=1,645,IF(B1=2,1,IF(B1=3,1,IF(B1=4,0.865,IF(B1=5, 0.865,"Undefined"))))))</f>
        <v>645</v>
      </c>
      <c r="D56" s="246"/>
      <c r="H56" s="246"/>
      <c r="I56" s="246"/>
      <c r="J56" s="246"/>
      <c r="K56" s="246"/>
      <c r="L56" s="246"/>
      <c r="P56" s="246" t="s">
        <v>69</v>
      </c>
      <c r="Q56" s="244">
        <v>1</v>
      </c>
      <c r="R56" s="246"/>
      <c r="S56" s="355">
        <f>(Q/(N_1*S53)*(SQRT(G/DELTA_P)))</f>
        <v>14.158716864768254</v>
      </c>
      <c r="T56" s="355">
        <f>(E$3/(N_1*T53)*(SQRT(E$6/E$5)))</f>
        <v>38.973489508507967</v>
      </c>
      <c r="U56" s="355">
        <f>(F$3/(N_1*U53)*(SQRT(F$6/F$5)))</f>
        <v>88.576162202613261</v>
      </c>
      <c r="V56" s="355">
        <f>(G$3/(N_1*V53)*(SQRT(G$6/G$5)))</f>
        <v>135.55532012863864</v>
      </c>
      <c r="W56" s="6"/>
    </row>
    <row r="57" spans="1:23" x14ac:dyDescent="0.25">
      <c r="A57" s="244" t="s">
        <v>164</v>
      </c>
      <c r="B57" s="319">
        <f>IF(B1&lt;1,"Undefined",IF(B1=1,17,IF(B1=2,127,IF(B1=3,127,IF(B1=4,140,IF(B1=5, 140,"Undefined"))))))</f>
        <v>17</v>
      </c>
      <c r="D57" s="246"/>
      <c r="H57" s="246"/>
      <c r="I57" s="246"/>
      <c r="J57" s="246"/>
      <c r="K57" s="246"/>
      <c r="L57" s="246"/>
      <c r="P57" s="246" t="s">
        <v>72</v>
      </c>
      <c r="Q57" s="244">
        <v>1</v>
      </c>
      <c r="R57" s="246"/>
      <c r="S57" s="355">
        <f>(Q/(N_1*S53)*SQRT(G/(S58)))</f>
        <v>11.609794304469627</v>
      </c>
      <c r="T57" s="355">
        <f>(E$3/(N_1*T53)*SQRT(E$6/T58))</f>
        <v>32.609113376552763</v>
      </c>
      <c r="U57" s="355">
        <f>(F$3/(N_1*U53)*SQRT(F$6/U58))</f>
        <v>75.099585168408836</v>
      </c>
      <c r="V57" s="355">
        <f>(G$3/(N_1*V53)*SQRT(G$6/V58))</f>
        <v>113.03907055376327</v>
      </c>
      <c r="W57" s="6"/>
    </row>
    <row r="58" spans="1:23" x14ac:dyDescent="0.25">
      <c r="A58" s="246" t="s">
        <v>311</v>
      </c>
      <c r="B58" s="319">
        <f>IF(B1&lt;1,"Undefined",IF(B1=1,12.1,IF(B1=2,39,IF(B1=3,3,IF(B1=4,39,IF(B1=5,3,"Undefined"))))))</f>
        <v>12.1</v>
      </c>
      <c r="C58" s="246" t="s">
        <v>71</v>
      </c>
      <c r="D58" s="246"/>
      <c r="E58" s="246"/>
      <c r="F58" s="320"/>
      <c r="G58" s="246"/>
      <c r="H58" s="246"/>
      <c r="I58" s="246"/>
      <c r="J58" s="246"/>
      <c r="K58" s="246"/>
      <c r="L58" s="246"/>
      <c r="M58" s="246"/>
      <c r="N58" s="246"/>
      <c r="P58" s="246" t="s">
        <v>75</v>
      </c>
      <c r="Q58" s="244">
        <v>3</v>
      </c>
      <c r="R58" s="246"/>
      <c r="S58" s="355">
        <f>(S55/S53)^2*(P_1-(F_F*P_V))</f>
        <v>47.59361818110186</v>
      </c>
      <c r="T58" s="355">
        <f>(T55/T53)^2*(E$4-(T$4*E$7))</f>
        <v>43.424436017793674</v>
      </c>
      <c r="U58" s="355">
        <f>(U55/U53)^2*(F$4-(U$4*F$7))</f>
        <v>34.638413291219869</v>
      </c>
      <c r="V58" s="355">
        <f>(V55/V53)^2*(G$4-(V$4*G$7))</f>
        <v>28.761131896181507</v>
      </c>
      <c r="W58" s="6"/>
    </row>
    <row r="59" spans="1:23" x14ac:dyDescent="0.25">
      <c r="A59" s="246"/>
      <c r="B59" s="321"/>
      <c r="C59" s="246" t="s">
        <v>74</v>
      </c>
      <c r="D59" s="246"/>
      <c r="E59" s="246"/>
      <c r="F59" s="246"/>
      <c r="G59" s="246"/>
      <c r="H59" s="246"/>
      <c r="I59" s="246"/>
      <c r="J59" s="246"/>
      <c r="K59" s="246"/>
      <c r="L59" s="246"/>
      <c r="M59" s="246"/>
      <c r="N59" s="246"/>
      <c r="P59" s="246" t="s">
        <v>29</v>
      </c>
      <c r="R59" s="246"/>
      <c r="S59" s="355">
        <f>IF(DELTA_P&lt;S58,S56,S57)</f>
        <v>14.158716864768254</v>
      </c>
      <c r="T59" s="355">
        <f>IF(E$5&lt;T58,T56,T57)</f>
        <v>38.973489508507967</v>
      </c>
      <c r="U59" s="355">
        <f>IF(F$5&lt;U58,U56,U57)</f>
        <v>88.576162202613261</v>
      </c>
      <c r="V59" s="355">
        <f>IF(G$5&lt;V58,V56,V57)</f>
        <v>135.55532012863864</v>
      </c>
      <c r="W59" s="6"/>
    </row>
    <row r="60" spans="1:23" x14ac:dyDescent="0.25">
      <c r="A60" s="246"/>
      <c r="B60" s="321"/>
      <c r="C60" s="246" t="s">
        <v>76</v>
      </c>
      <c r="D60" s="246"/>
      <c r="E60" s="246"/>
      <c r="F60" s="246"/>
      <c r="G60" s="246"/>
      <c r="H60" s="246"/>
      <c r="I60" s="246"/>
      <c r="J60" s="246"/>
      <c r="K60" s="246"/>
      <c r="L60" s="246"/>
      <c r="M60" s="246"/>
      <c r="N60" s="246"/>
      <c r="P60" s="246" t="s">
        <v>81</v>
      </c>
      <c r="R60" s="246"/>
      <c r="S60" s="355">
        <f>S52/S59</f>
        <v>0.99999999998502276</v>
      </c>
      <c r="T60" s="355">
        <f>T52/T59</f>
        <v>0.99999995426859045</v>
      </c>
      <c r="U60" s="355">
        <f>U52/U59</f>
        <v>0.99997708587695511</v>
      </c>
      <c r="V60" s="355">
        <f>V52/V59</f>
        <v>0.9995957438642884</v>
      </c>
      <c r="W60" s="6"/>
    </row>
    <row r="61" spans="1:23" x14ac:dyDescent="0.25">
      <c r="A61" s="246" t="s">
        <v>318</v>
      </c>
      <c r="B61" s="319">
        <f>IF(B1&lt;1,"Undefined",IF(B1&lt;=3,1,IF(B1&lt;=5,2,IF(B1&gt;5,"Undefined"))))</f>
        <v>1</v>
      </c>
      <c r="C61" s="246" t="s">
        <v>77</v>
      </c>
      <c r="D61" s="246"/>
      <c r="E61" s="246"/>
      <c r="F61" s="246"/>
      <c r="G61" s="320"/>
      <c r="H61" s="246"/>
      <c r="I61" s="246"/>
      <c r="J61" s="246"/>
      <c r="K61" s="246"/>
      <c r="L61" s="246"/>
      <c r="M61" s="246"/>
      <c r="N61" s="246"/>
      <c r="P61" s="246"/>
      <c r="R61" s="246"/>
      <c r="S61" s="355"/>
      <c r="T61" s="355"/>
      <c r="U61" s="355"/>
      <c r="V61" s="355"/>
      <c r="W61" s="6"/>
    </row>
    <row r="62" spans="1:23" x14ac:dyDescent="0.25">
      <c r="A62" s="246" t="s">
        <v>316</v>
      </c>
      <c r="B62" s="319">
        <f>IF(B1&lt;1,"Undefined",IF(B1=1,1,IF(B1&lt;=5,2,IF(B1&gt;5,"Undefined"))))</f>
        <v>1</v>
      </c>
      <c r="C62" s="246" t="s">
        <v>125</v>
      </c>
      <c r="D62" s="246"/>
      <c r="E62" s="246"/>
      <c r="F62" s="246"/>
      <c r="G62" s="320"/>
      <c r="H62" s="246"/>
      <c r="I62" s="246"/>
      <c r="J62" s="246"/>
      <c r="K62" s="246"/>
      <c r="L62" s="246"/>
      <c r="M62" s="246"/>
      <c r="N62" s="246"/>
      <c r="P62" s="1" t="s">
        <v>373</v>
      </c>
      <c r="R62" s="246"/>
      <c r="S62" s="355">
        <f>S59</f>
        <v>14.158716864768254</v>
      </c>
      <c r="T62" s="355">
        <f>T59</f>
        <v>38.973489508507967</v>
      </c>
      <c r="U62" s="355">
        <f>U59</f>
        <v>88.576162202613261</v>
      </c>
      <c r="V62" s="355">
        <f>V59</f>
        <v>135.55532012863864</v>
      </c>
      <c r="W62" s="6"/>
    </row>
    <row r="63" spans="1:23" x14ac:dyDescent="0.25">
      <c r="B63" s="319"/>
      <c r="C63" s="244" t="s">
        <v>126</v>
      </c>
      <c r="D63" s="246"/>
      <c r="E63" s="246"/>
      <c r="F63" s="246"/>
      <c r="G63" s="246"/>
      <c r="H63" s="246"/>
      <c r="I63" s="246"/>
      <c r="J63" s="246"/>
      <c r="K63" s="246"/>
      <c r="L63" s="246"/>
      <c r="M63" s="246"/>
      <c r="N63" s="246"/>
      <c r="P63" s="246" t="s">
        <v>62</v>
      </c>
      <c r="Q63" s="244">
        <v>15</v>
      </c>
      <c r="R63" s="246"/>
      <c r="S63" s="355">
        <f>1/(SQRT(1+(SIGMA_ZETA/N_2)*(S62/d^2)^2))</f>
        <v>0.9988289022800465</v>
      </c>
      <c r="T63" s="355">
        <f>1/(SQRT(1+(SIGMA_ZETA/N_2)*(T62/d^2)^2))</f>
        <v>0.99122790324088861</v>
      </c>
      <c r="U63" s="355">
        <f>1/(SQRT(1+(SIGMA_ZETA/N_2)*(U62/d^2)^2))</f>
        <v>0.95702437117873829</v>
      </c>
      <c r="V63" s="355">
        <f>1/(SQRT(1+(SIGMA_ZETA/N_2)*(V62/d^2)^2))</f>
        <v>0.90719375852315698</v>
      </c>
      <c r="W63" s="6"/>
    </row>
    <row r="64" spans="1:23" ht="14" x14ac:dyDescent="0.3">
      <c r="A64" s="322" t="s">
        <v>314</v>
      </c>
      <c r="B64" s="246"/>
      <c r="C64" s="246"/>
      <c r="D64" s="246"/>
      <c r="E64" s="246"/>
      <c r="F64" s="246"/>
      <c r="G64" s="246"/>
      <c r="H64" s="246"/>
      <c r="I64" s="246"/>
      <c r="J64" s="246"/>
      <c r="K64" s="246"/>
      <c r="L64" s="246"/>
      <c r="M64" s="246"/>
      <c r="N64" s="246"/>
      <c r="P64" s="246" t="s">
        <v>65</v>
      </c>
      <c r="R64" s="246"/>
      <c r="S64" s="355"/>
      <c r="T64" s="355"/>
      <c r="U64" s="355"/>
      <c r="V64" s="355"/>
      <c r="W64" s="6"/>
    </row>
    <row r="65" spans="1:23" ht="14" x14ac:dyDescent="0.3">
      <c r="A65" s="246" t="s">
        <v>80</v>
      </c>
      <c r="B65" s="246"/>
      <c r="C65" s="246"/>
      <c r="D65" s="246"/>
      <c r="E65" s="246"/>
      <c r="F65" s="246"/>
      <c r="G65" s="318"/>
      <c r="H65" s="318"/>
      <c r="I65" s="318"/>
      <c r="J65" s="318"/>
      <c r="K65" s="318"/>
      <c r="L65" s="318"/>
      <c r="M65" s="246"/>
      <c r="N65" s="246"/>
      <c r="P65" s="246" t="s">
        <v>67</v>
      </c>
      <c r="Q65" s="244">
        <v>21</v>
      </c>
      <c r="R65" s="246"/>
      <c r="S65" s="355">
        <f>F_L/SQRT(1+((F_L^2/N_2)*SIGMA_ZETA_1*(S62/d^2)^2))</f>
        <v>0.91868329719081188</v>
      </c>
      <c r="T65" s="355">
        <f>E$9/SQRT(1+((E$9^2/N_2)*SIGMA_ZETA_1*(T62/d^2)^2))</f>
        <v>0.88108433141629261</v>
      </c>
      <c r="U65" s="355">
        <f>F$9/SQRT(1+((F$9^2/N_2)*SIGMA_ZETA_1*(U62/d^2)^2))</f>
        <v>0.79449469768458547</v>
      </c>
      <c r="V65" s="355">
        <f>G$9/SQRT(1+((G$9^2/N_2)*SIGMA_ZETA_1*(V62/d^2)^2))</f>
        <v>0.71532542965252133</v>
      </c>
      <c r="W65" s="6"/>
    </row>
    <row r="66" spans="1:23" ht="14" x14ac:dyDescent="0.3">
      <c r="A66" s="246" t="s">
        <v>189</v>
      </c>
      <c r="B66" s="246"/>
      <c r="C66" s="246"/>
      <c r="D66" s="246"/>
      <c r="E66" s="246"/>
      <c r="F66" s="318"/>
      <c r="G66" s="318"/>
      <c r="H66" s="318"/>
      <c r="I66" s="318"/>
      <c r="J66" s="318"/>
      <c r="K66" s="318"/>
      <c r="L66" s="318"/>
      <c r="M66" s="246"/>
      <c r="N66" s="246"/>
      <c r="P66" s="246" t="s">
        <v>69</v>
      </c>
      <c r="Q66" s="244">
        <v>1</v>
      </c>
      <c r="R66" s="246"/>
      <c r="S66" s="355">
        <f>(Q/(N_1*S63)*(SQRT(G/DELTA_P)))</f>
        <v>14.158716864768749</v>
      </c>
      <c r="T66" s="355">
        <f>(E$3/(N_1*T63)*(SQRT(E$6/E$5)))</f>
        <v>38.973489539640056</v>
      </c>
      <c r="U66" s="355">
        <f>(F$3/(N_1*U63)*(SQRT(F$6/F$5)))</f>
        <v>88.576332903137128</v>
      </c>
      <c r="V66" s="355">
        <f>(G$3/(N_1*V63)*(SQRT(G$6/G$5)))</f>
        <v>135.56501861597533</v>
      </c>
      <c r="W66" s="6"/>
    </row>
    <row r="67" spans="1:23" x14ac:dyDescent="0.25">
      <c r="A67" s="246" t="s">
        <v>312</v>
      </c>
      <c r="M67" s="246"/>
      <c r="N67" s="246"/>
      <c r="P67" s="246" t="s">
        <v>72</v>
      </c>
      <c r="Q67" s="244">
        <v>1</v>
      </c>
      <c r="R67" s="246"/>
      <c r="S67" s="355">
        <f>(Q/(N_1*S63)*SQRT(G/(S68)))</f>
        <v>11.609794304470123</v>
      </c>
      <c r="T67" s="355">
        <f>(E$3/(N_1*T63)*SQRT(E$6/T68))</f>
        <v>32.609113406280827</v>
      </c>
      <c r="U67" s="355">
        <f>(F$3/(N_1*U63)*SQRT(F$6/U68))</f>
        <v>75.099729244653858</v>
      </c>
      <c r="V67" s="355">
        <f>(G$3/(N_1*V63)*SQRT(G$6/V68))</f>
        <v>113.04633360867082</v>
      </c>
      <c r="W67" s="6"/>
    </row>
    <row r="68" spans="1:23" x14ac:dyDescent="0.25">
      <c r="M68" s="246"/>
      <c r="N68" s="246"/>
      <c r="P68" s="246" t="s">
        <v>75</v>
      </c>
      <c r="Q68" s="244">
        <v>3</v>
      </c>
      <c r="R68" s="246"/>
      <c r="S68" s="355">
        <f>(S65/S63)^2*(P_1-(F_F*P_V))</f>
        <v>47.593618181101121</v>
      </c>
      <c r="T68" s="355">
        <f>(T65/T63)^2*(E$4-(T$4*E$7))</f>
        <v>43.424436007993009</v>
      </c>
      <c r="U68" s="355">
        <f>(U65/U63)^2*(F$4-(U$4*F$7))</f>
        <v>34.638413893354254</v>
      </c>
      <c r="V68" s="355">
        <f>(V65/V63)^2*(G$4-(V$4*G$7))</f>
        <v>28.761551422957464</v>
      </c>
      <c r="W68" s="6"/>
    </row>
    <row r="69" spans="1:23" x14ac:dyDescent="0.25">
      <c r="A69" s="244" t="s">
        <v>315</v>
      </c>
      <c r="M69" s="246"/>
      <c r="N69" s="246"/>
      <c r="P69" s="246" t="s">
        <v>29</v>
      </c>
      <c r="R69" s="246"/>
      <c r="S69" s="355">
        <f>IF(DELTA_P&lt;S68,S66,S67)</f>
        <v>14.158716864768749</v>
      </c>
      <c r="T69" s="355">
        <f>IF(E$5&lt;T68,T66,T67)</f>
        <v>38.973489539640056</v>
      </c>
      <c r="U69" s="355">
        <f>IF(F$5&lt;U68,U66,U67)</f>
        <v>88.576332903137128</v>
      </c>
      <c r="V69" s="355">
        <f>IF(G$5&lt;V68,V66,V67)</f>
        <v>135.56501861597533</v>
      </c>
      <c r="W69" s="6"/>
    </row>
    <row r="70" spans="1:23" x14ac:dyDescent="0.25">
      <c r="A70" s="244" t="s">
        <v>319</v>
      </c>
      <c r="M70" s="246"/>
      <c r="N70" s="246"/>
      <c r="P70" s="246" t="s">
        <v>81</v>
      </c>
      <c r="R70" s="246"/>
      <c r="S70" s="355">
        <f>S62/S69</f>
        <v>0.99999999999996503</v>
      </c>
      <c r="T70" s="355">
        <f>T62/T69</f>
        <v>0.99999999920119831</v>
      </c>
      <c r="U70" s="355">
        <f>U62/U69</f>
        <v>0.99999807284273046</v>
      </c>
      <c r="V70" s="355">
        <f>V62/V69</f>
        <v>0.99992845877619674</v>
      </c>
      <c r="W70" s="6"/>
    </row>
    <row r="71" spans="1:23" x14ac:dyDescent="0.25">
      <c r="A71" s="244" t="s">
        <v>317</v>
      </c>
      <c r="P71" s="246"/>
      <c r="R71" s="246"/>
      <c r="S71" s="355"/>
      <c r="T71" s="355"/>
      <c r="U71" s="355"/>
      <c r="V71" s="355"/>
      <c r="W71" s="6"/>
    </row>
    <row r="72" spans="1:23" x14ac:dyDescent="0.25">
      <c r="P72" s="246" t="s">
        <v>60</v>
      </c>
      <c r="R72" s="246"/>
      <c r="S72" s="355">
        <f>S69</f>
        <v>14.158716864768749</v>
      </c>
      <c r="T72" s="355">
        <f>T69</f>
        <v>38.973489539640056</v>
      </c>
      <c r="U72" s="355">
        <f>U69</f>
        <v>88.576332903137128</v>
      </c>
      <c r="V72" s="355">
        <f>V69</f>
        <v>135.56501861597533</v>
      </c>
      <c r="W72" s="6"/>
    </row>
    <row r="73" spans="1:23" ht="14" x14ac:dyDescent="0.3">
      <c r="A73" s="318"/>
      <c r="B73" s="318"/>
      <c r="C73" s="318"/>
      <c r="D73" s="318"/>
      <c r="E73" s="318"/>
      <c r="F73" s="318"/>
      <c r="G73" s="318"/>
      <c r="H73" s="318"/>
      <c r="I73" s="318"/>
      <c r="J73" s="318"/>
      <c r="K73" s="318"/>
      <c r="L73" s="318"/>
      <c r="P73" s="246" t="s">
        <v>62</v>
      </c>
      <c r="Q73" s="244">
        <v>15</v>
      </c>
      <c r="R73" s="246"/>
      <c r="S73" s="355">
        <f>1/(SQRT(1+(SIGMA_ZETA/N_2)*(S72/d^2)^2))</f>
        <v>0.9988289022800465</v>
      </c>
      <c r="T73" s="355">
        <f>1/(SQRT(1+(SIGMA_ZETA/N_2)*(T72/d^2)^2))</f>
        <v>0.99122790322705823</v>
      </c>
      <c r="U73" s="355">
        <f>1/(SQRT(1+(SIGMA_ZETA/N_2)*(U72/d^2)^2))</f>
        <v>0.95702421606160182</v>
      </c>
      <c r="V73" s="355">
        <f>1/(SQRT(1+(SIGMA_ZETA/N_2)*(V72/d^2)^2))</f>
        <v>0.9071822699319293</v>
      </c>
      <c r="W73" s="6"/>
    </row>
    <row r="74" spans="1:23" ht="14" x14ac:dyDescent="0.3">
      <c r="A74" s="318"/>
      <c r="B74" s="318"/>
      <c r="C74" s="318"/>
      <c r="D74" s="318"/>
      <c r="E74" s="318"/>
      <c r="F74" s="318"/>
      <c r="G74" s="318"/>
      <c r="H74" s="318"/>
      <c r="I74" s="318"/>
      <c r="J74" s="318"/>
      <c r="K74" s="318"/>
      <c r="L74" s="318"/>
      <c r="P74" s="246" t="s">
        <v>65</v>
      </c>
      <c r="R74" s="246"/>
      <c r="S74" s="355"/>
      <c r="T74" s="355"/>
      <c r="U74" s="355"/>
      <c r="V74" s="355"/>
      <c r="W74" s="6"/>
    </row>
    <row r="75" spans="1:23" ht="14" x14ac:dyDescent="0.3">
      <c r="A75" s="318"/>
      <c r="B75" s="318"/>
      <c r="C75" s="318"/>
      <c r="D75" s="318"/>
      <c r="E75" s="318"/>
      <c r="F75" s="318"/>
      <c r="G75" s="318"/>
      <c r="H75" s="318"/>
      <c r="I75" s="318"/>
      <c r="J75" s="318"/>
      <c r="K75" s="318"/>
      <c r="L75" s="318"/>
      <c r="P75" s="246" t="s">
        <v>67</v>
      </c>
      <c r="Q75" s="244">
        <v>21</v>
      </c>
      <c r="R75" s="246"/>
      <c r="S75" s="355">
        <f>F_L/SQRT(1+((F_L^2/N_2)*SIGMA_ZETA_1*(S72/d^2)^2))</f>
        <v>0.91868329719081188</v>
      </c>
      <c r="T75" s="355">
        <f>E$9/SQRT(1+((E$9^2/N_2)*SIGMA_ZETA_1*(T72/d^2)^2))</f>
        <v>0.88108433140226228</v>
      </c>
      <c r="U75" s="355">
        <f>F$9/SQRT(1+((F$9^2/N_2)*SIGMA_ZETA_1*(U72/d^2)^2))</f>
        <v>0.79449456949148867</v>
      </c>
      <c r="V75" s="355">
        <f>G$9/SQRT(1+((G$9^2/N_2)*SIGMA_ZETA_1*(V72/d^2)^2))</f>
        <v>0.71531729424536206</v>
      </c>
      <c r="W75" s="6"/>
    </row>
    <row r="76" spans="1:23" ht="14" x14ac:dyDescent="0.3">
      <c r="A76" s="318"/>
      <c r="B76" s="318"/>
      <c r="C76" s="318"/>
      <c r="D76" s="318"/>
      <c r="E76" s="318"/>
      <c r="F76" s="318"/>
      <c r="G76" s="318"/>
      <c r="H76" s="318"/>
      <c r="I76" s="318"/>
      <c r="J76" s="318"/>
      <c r="K76" s="318"/>
      <c r="L76" s="318"/>
      <c r="P76" s="246" t="s">
        <v>69</v>
      </c>
      <c r="Q76" s="244">
        <v>1</v>
      </c>
      <c r="R76" s="246"/>
      <c r="S76" s="355">
        <f>(Q/(N_1*S73)*(SQRT(G/DELTA_P)))</f>
        <v>14.158716864768749</v>
      </c>
      <c r="T76" s="355">
        <f>(E$3/(N_1*T73)*(SQRT(E$6/E$5)))</f>
        <v>38.973489540183841</v>
      </c>
      <c r="U76" s="355">
        <f>(F$3/(N_1*U73)*(SQRT(F$6/F$5)))</f>
        <v>88.576347259834577</v>
      </c>
      <c r="V76" s="355">
        <f>(G$3/(N_1*V73)*(SQRT(G$6/G$5)))</f>
        <v>135.56673541659555</v>
      </c>
      <c r="W76" s="6"/>
    </row>
    <row r="77" spans="1:23" ht="14" x14ac:dyDescent="0.3">
      <c r="A77" s="318"/>
      <c r="B77" s="318"/>
      <c r="C77" s="318"/>
      <c r="D77" s="318"/>
      <c r="E77" s="318"/>
      <c r="F77" s="318"/>
      <c r="G77" s="318"/>
      <c r="H77" s="318"/>
      <c r="I77" s="318"/>
      <c r="J77" s="318"/>
      <c r="K77" s="318"/>
      <c r="L77" s="318"/>
      <c r="P77" s="246" t="s">
        <v>72</v>
      </c>
      <c r="Q77" s="244">
        <v>1</v>
      </c>
      <c r="R77" s="246"/>
      <c r="S77" s="355">
        <f>(Q/(N_1*S73)*SQRT(G/(S78)))</f>
        <v>11.609794304470123</v>
      </c>
      <c r="T77" s="355">
        <f>(E$3/(N_1*T73)*SQRT(E$6/T78))</f>
        <v>32.609113406800098</v>
      </c>
      <c r="U77" s="355">
        <f>(F$3/(N_1*U73)*SQRT(F$6/U78))</f>
        <v>75.099741362127332</v>
      </c>
      <c r="V77" s="355">
        <f>(G$3/(N_1*V73)*SQRT(G$6/V78))</f>
        <v>113.0476193009911</v>
      </c>
      <c r="W77" s="6"/>
    </row>
    <row r="78" spans="1:23" ht="14" x14ac:dyDescent="0.3">
      <c r="A78" s="318"/>
      <c r="B78" s="318"/>
      <c r="C78" s="318"/>
      <c r="D78" s="318"/>
      <c r="E78" s="318"/>
      <c r="F78" s="318"/>
      <c r="G78" s="318"/>
      <c r="H78" s="318"/>
      <c r="I78" s="318"/>
      <c r="J78" s="318"/>
      <c r="K78" s="318"/>
      <c r="L78" s="318"/>
      <c r="P78" s="246" t="s">
        <v>75</v>
      </c>
      <c r="Q78" s="244">
        <v>3</v>
      </c>
      <c r="R78" s="246"/>
      <c r="S78" s="355">
        <f>(S75/S73)^2*(P_1-(F_F*P_V))</f>
        <v>47.593618181101121</v>
      </c>
      <c r="T78" s="355">
        <f>(T75/T73)^2*(E$4-(T$4*E$7))</f>
        <v>43.424436007821811</v>
      </c>
      <c r="U78" s="355">
        <f>(U75/U73)^2*(F$4-(U$4*F$7))</f>
        <v>34.638413943996376</v>
      </c>
      <c r="V78" s="355">
        <f>(V75/V73)^2*(G$4-(V$4*G$7))</f>
        <v>28.761625678374635</v>
      </c>
      <c r="W78" s="6"/>
    </row>
    <row r="79" spans="1:23" ht="14" x14ac:dyDescent="0.3">
      <c r="A79" s="318"/>
      <c r="B79" s="318"/>
      <c r="C79" s="318"/>
      <c r="D79" s="318"/>
      <c r="E79" s="318"/>
      <c r="F79" s="318"/>
      <c r="G79" s="318"/>
      <c r="H79" s="318"/>
      <c r="I79" s="318"/>
      <c r="J79" s="318"/>
      <c r="K79" s="318"/>
      <c r="L79" s="318"/>
      <c r="P79" s="246" t="s">
        <v>29</v>
      </c>
      <c r="R79" s="246"/>
      <c r="S79" s="355">
        <f>IF(DELTA_P&lt;S78,S76,S77)</f>
        <v>14.158716864768749</v>
      </c>
      <c r="T79" s="355">
        <f>IF(E$5&lt;T78,T76,T77)</f>
        <v>38.973489540183841</v>
      </c>
      <c r="U79" s="355">
        <f>IF(F$5&lt;U78,U76,U77)</f>
        <v>88.576347259834577</v>
      </c>
      <c r="V79" s="355">
        <f>IF(G$5&lt;V78,V76,V77)</f>
        <v>135.56673541659555</v>
      </c>
      <c r="W79" s="6"/>
    </row>
    <row r="80" spans="1:23" ht="14" x14ac:dyDescent="0.3">
      <c r="A80" s="318"/>
      <c r="B80" s="318"/>
      <c r="C80" s="318"/>
      <c r="D80" s="318"/>
      <c r="E80" s="318"/>
      <c r="F80" s="318"/>
      <c r="G80" s="318"/>
      <c r="H80" s="318"/>
      <c r="I80" s="318"/>
      <c r="J80" s="318"/>
      <c r="K80" s="318"/>
      <c r="L80" s="318"/>
      <c r="P80" s="246" t="s">
        <v>81</v>
      </c>
      <c r="R80" s="246"/>
      <c r="S80" s="355">
        <f>S72/S79</f>
        <v>1</v>
      </c>
      <c r="T80" s="355">
        <f>T72/T79</f>
        <v>0.99999999998604727</v>
      </c>
      <c r="U80" s="355">
        <f>U72/U79</f>
        <v>0.99999983791725566</v>
      </c>
      <c r="V80" s="355">
        <f>V72/V79</f>
        <v>0.99998733612183743</v>
      </c>
      <c r="W80" s="6"/>
    </row>
    <row r="81" spans="1:23" ht="14" x14ac:dyDescent="0.3">
      <c r="A81" s="318"/>
      <c r="B81" s="318"/>
      <c r="C81" s="318"/>
      <c r="D81" s="318"/>
      <c r="E81" s="318"/>
      <c r="F81" s="318"/>
      <c r="G81" s="318"/>
      <c r="H81" s="318"/>
      <c r="I81" s="318"/>
      <c r="J81" s="318"/>
      <c r="K81" s="318"/>
      <c r="L81" s="318"/>
      <c r="P81" s="246"/>
      <c r="R81" s="246"/>
      <c r="S81" s="355"/>
      <c r="T81" s="355"/>
      <c r="U81" s="355"/>
      <c r="V81" s="355"/>
      <c r="W81" s="6"/>
    </row>
    <row r="82" spans="1:23" ht="14" x14ac:dyDescent="0.3">
      <c r="A82" s="318"/>
      <c r="B82" s="318"/>
      <c r="C82" s="318"/>
      <c r="D82" s="318"/>
      <c r="E82" s="318"/>
      <c r="F82" s="318"/>
      <c r="G82" s="318"/>
      <c r="H82" s="318"/>
      <c r="I82" s="318"/>
      <c r="J82" s="318"/>
      <c r="K82" s="318"/>
      <c r="L82" s="318"/>
      <c r="P82" s="246" t="s">
        <v>60</v>
      </c>
      <c r="R82" s="246"/>
      <c r="S82" s="355">
        <f>S79</f>
        <v>14.158716864768749</v>
      </c>
      <c r="T82" s="355">
        <f>T79</f>
        <v>38.973489540183841</v>
      </c>
      <c r="U82" s="355">
        <f>U79</f>
        <v>88.576347259834577</v>
      </c>
      <c r="V82" s="355">
        <f>V79</f>
        <v>135.56673541659555</v>
      </c>
      <c r="W82" s="6"/>
    </row>
    <row r="83" spans="1:23" ht="14" x14ac:dyDescent="0.3">
      <c r="A83" s="318"/>
      <c r="B83" s="318"/>
      <c r="C83" s="318"/>
      <c r="D83" s="318"/>
      <c r="E83" s="318"/>
      <c r="F83" s="318"/>
      <c r="G83" s="318"/>
      <c r="H83" s="318"/>
      <c r="I83" s="318"/>
      <c r="J83" s="318"/>
      <c r="K83" s="318"/>
      <c r="L83" s="318"/>
      <c r="P83" s="246" t="s">
        <v>62</v>
      </c>
      <c r="Q83" s="244">
        <v>15</v>
      </c>
      <c r="R83" s="246"/>
      <c r="S83" s="355">
        <f>1/(SQRT(1+(SIGMA_ZETA/N_2)*(S82/d^2)^2))</f>
        <v>0.9988289022800465</v>
      </c>
      <c r="T83" s="355">
        <f>1/(SQRT(1+(SIGMA_ZETA/N_2)*(T82/d^2)^2))</f>
        <v>0.99122790322681664</v>
      </c>
      <c r="U83" s="355">
        <f>1/(SQRT(1+(SIGMA_ZETA/N_2)*(U82/d^2)^2))</f>
        <v>0.95702420301552837</v>
      </c>
      <c r="V83" s="355">
        <f>1/(SQRT(1+(SIGMA_ZETA/N_2)*(V82/d^2)^2))</f>
        <v>0.90718023621169042</v>
      </c>
      <c r="W83" s="6"/>
    </row>
    <row r="84" spans="1:23" ht="14" x14ac:dyDescent="0.3">
      <c r="A84" s="318"/>
      <c r="B84" s="318"/>
      <c r="C84" s="318"/>
      <c r="D84" s="318"/>
      <c r="E84" s="318"/>
      <c r="F84" s="318"/>
      <c r="G84" s="318"/>
      <c r="H84" s="318"/>
      <c r="I84" s="318"/>
      <c r="J84" s="318"/>
      <c r="K84" s="318"/>
      <c r="L84" s="318"/>
      <c r="P84" s="246" t="s">
        <v>65</v>
      </c>
      <c r="R84" s="246"/>
      <c r="S84" s="355"/>
      <c r="T84" s="355"/>
      <c r="U84" s="355"/>
      <c r="V84" s="355"/>
      <c r="W84" s="6"/>
    </row>
    <row r="85" spans="1:23" ht="14" x14ac:dyDescent="0.3">
      <c r="A85" s="318"/>
      <c r="B85" s="318"/>
      <c r="C85" s="318"/>
      <c r="D85" s="318"/>
      <c r="E85" s="318"/>
      <c r="F85" s="318"/>
      <c r="G85" s="318"/>
      <c r="H85" s="318"/>
      <c r="I85" s="318"/>
      <c r="J85" s="318"/>
      <c r="K85" s="318"/>
      <c r="L85" s="318"/>
      <c r="P85" s="246" t="s">
        <v>67</v>
      </c>
      <c r="Q85" s="244">
        <v>21</v>
      </c>
      <c r="R85" s="246"/>
      <c r="S85" s="355">
        <f>F_L/SQRT(1+((F_L^2/N_2)*SIGMA_ZETA_1*(S82/d^2)^2))</f>
        <v>0.91868329719081188</v>
      </c>
      <c r="T85" s="355">
        <f>E$9/SQRT(1+((E$9^2/N_2)*SIGMA_ZETA_1*(T82/d^2)^2))</f>
        <v>0.88108433140201725</v>
      </c>
      <c r="U85" s="355">
        <f>F$9/SQRT(1+((F$9^2/N_2)*SIGMA_ZETA_1*(U82/d^2)^2))</f>
        <v>0.79449455870985231</v>
      </c>
      <c r="V85" s="355">
        <f>G$9/SQRT(1+((G$9^2/N_2)*SIGMA_ZETA_1*(V82/d^2)^2))</f>
        <v>0.71531585410535081</v>
      </c>
      <c r="W85" s="6"/>
    </row>
    <row r="86" spans="1:23" ht="14" x14ac:dyDescent="0.3">
      <c r="A86" s="318"/>
      <c r="B86" s="318"/>
      <c r="C86" s="318"/>
      <c r="D86" s="318"/>
      <c r="E86" s="318"/>
      <c r="F86" s="318"/>
      <c r="G86" s="318"/>
      <c r="H86" s="318"/>
      <c r="I86" s="318"/>
      <c r="J86" s="318"/>
      <c r="K86" s="318"/>
      <c r="L86" s="318"/>
      <c r="P86" s="246" t="s">
        <v>69</v>
      </c>
      <c r="Q86" s="244">
        <v>1</v>
      </c>
      <c r="R86" s="246"/>
      <c r="S86" s="355">
        <f>(Q/(N_1*S83)*(SQRT(G/DELTA_P)))</f>
        <v>14.158716864768749</v>
      </c>
      <c r="T86" s="355">
        <f>(E$3/(N_1*T83)*(SQRT(E$6/E$5)))</f>
        <v>38.973489540193341</v>
      </c>
      <c r="U86" s="355">
        <f>(F$3/(N_1*U83)*(SQRT(F$6/F$5)))</f>
        <v>88.576348467299894</v>
      </c>
      <c r="V86" s="355">
        <f>(G$3/(N_1*V83)*(SQRT(G$6/G$5)))</f>
        <v>135.56703933063878</v>
      </c>
      <c r="W86" s="6"/>
    </row>
    <row r="87" spans="1:23" ht="14" x14ac:dyDescent="0.3">
      <c r="A87" s="318"/>
      <c r="B87" s="318"/>
      <c r="C87" s="318"/>
      <c r="D87" s="318"/>
      <c r="E87" s="318"/>
      <c r="F87" s="318"/>
      <c r="G87" s="318"/>
      <c r="H87" s="318"/>
      <c r="I87" s="318"/>
      <c r="J87" s="318"/>
      <c r="K87" s="318"/>
      <c r="L87" s="318"/>
      <c r="P87" s="246" t="s">
        <v>72</v>
      </c>
      <c r="Q87" s="244">
        <v>1</v>
      </c>
      <c r="R87" s="246"/>
      <c r="S87" s="355">
        <f>(Q/(N_1*S83)*SQRT(G/(S88)))</f>
        <v>11.609794304470123</v>
      </c>
      <c r="T87" s="355">
        <f>(E$3/(N_1*T83)*SQRT(E$6/T88))</f>
        <v>32.609113406809158</v>
      </c>
      <c r="U87" s="355">
        <f>(F$3/(N_1*U83)*SQRT(F$6/U88))</f>
        <v>75.099742381263439</v>
      </c>
      <c r="V87" s="355">
        <f>(G$3/(N_1*V83)*SQRT(G$6/V88))</f>
        <v>113.04784689890997</v>
      </c>
      <c r="W87" s="6"/>
    </row>
    <row r="88" spans="1:23" ht="14" x14ac:dyDescent="0.3">
      <c r="A88" s="318"/>
      <c r="B88" s="318"/>
      <c r="C88" s="318"/>
      <c r="D88" s="318"/>
      <c r="E88" s="318"/>
      <c r="F88" s="318"/>
      <c r="G88" s="318"/>
      <c r="H88" s="318"/>
      <c r="I88" s="318"/>
      <c r="J88" s="318"/>
      <c r="K88" s="318"/>
      <c r="L88" s="318"/>
      <c r="P88" s="246" t="s">
        <v>75</v>
      </c>
      <c r="Q88" s="244">
        <v>3</v>
      </c>
      <c r="R88" s="246"/>
      <c r="S88" s="355">
        <f>(S85/S83)^2*(P_1-(F_F*P_V))</f>
        <v>47.593618181101121</v>
      </c>
      <c r="T88" s="355">
        <f>(T85/T83)^2*(E$4-(T$4*E$7))</f>
        <v>43.424436007818827</v>
      </c>
      <c r="U88" s="355">
        <f>(U85/U83)^2*(F$4-(U$4*F$7))</f>
        <v>34.638413948255611</v>
      </c>
      <c r="V88" s="355">
        <f>(V85/V83)^2*(G$4-(V$4*G$7))</f>
        <v>28.76163882307403</v>
      </c>
      <c r="W88" s="6"/>
    </row>
    <row r="89" spans="1:23" ht="14" x14ac:dyDescent="0.3">
      <c r="A89" s="318"/>
      <c r="B89" s="318"/>
      <c r="C89" s="318"/>
      <c r="D89" s="318"/>
      <c r="E89" s="318"/>
      <c r="F89" s="318"/>
      <c r="G89" s="318"/>
      <c r="H89" s="318"/>
      <c r="I89" s="318"/>
      <c r="J89" s="318"/>
      <c r="K89" s="318"/>
      <c r="L89" s="318"/>
      <c r="P89" s="246" t="s">
        <v>29</v>
      </c>
      <c r="R89" s="246"/>
      <c r="S89" s="355">
        <f>IF(DELTA_P&lt;S88,S86,S87)</f>
        <v>14.158716864768749</v>
      </c>
      <c r="T89" s="355">
        <f>IF(E$5&lt;T88,T86,T87)</f>
        <v>38.973489540193341</v>
      </c>
      <c r="U89" s="355">
        <f>IF(F$5&lt;U88,U86,U87)</f>
        <v>88.576348467299894</v>
      </c>
      <c r="V89" s="355">
        <f>IF(G$5&lt;V88,V86,V87)</f>
        <v>135.56703933063878</v>
      </c>
      <c r="W89" s="6"/>
    </row>
    <row r="90" spans="1:23" ht="14" x14ac:dyDescent="0.3">
      <c r="A90" s="318"/>
      <c r="B90" s="318"/>
      <c r="C90" s="318"/>
      <c r="D90" s="318"/>
      <c r="E90" s="318"/>
      <c r="F90" s="318"/>
      <c r="G90" s="318"/>
      <c r="H90" s="318"/>
      <c r="I90" s="318"/>
      <c r="J90" s="318"/>
      <c r="K90" s="318"/>
      <c r="L90" s="318"/>
      <c r="P90" s="246" t="s">
        <v>81</v>
      </c>
      <c r="R90" s="246"/>
      <c r="S90" s="355">
        <f>S82/S89</f>
        <v>1</v>
      </c>
      <c r="T90" s="355">
        <f>T82/T89</f>
        <v>0.9999999999997562</v>
      </c>
      <c r="U90" s="355">
        <f>U82/U89</f>
        <v>0.99999998636808429</v>
      </c>
      <c r="V90" s="355">
        <f>V82/V89</f>
        <v>0.99999775820107362</v>
      </c>
      <c r="W90" s="6"/>
    </row>
    <row r="91" spans="1:23" ht="14" x14ac:dyDescent="0.3">
      <c r="A91" s="318"/>
      <c r="B91" s="318"/>
      <c r="C91" s="318"/>
      <c r="D91" s="318"/>
      <c r="E91" s="318"/>
      <c r="F91" s="318"/>
      <c r="G91" s="318"/>
      <c r="H91" s="318"/>
      <c r="I91" s="318"/>
      <c r="J91" s="318"/>
      <c r="K91" s="318"/>
      <c r="L91" s="318"/>
      <c r="P91" s="246"/>
      <c r="R91" s="246"/>
      <c r="S91" s="355"/>
      <c r="T91" s="355"/>
      <c r="U91" s="355"/>
      <c r="V91" s="355"/>
      <c r="W91" s="6"/>
    </row>
    <row r="92" spans="1:23" ht="14" x14ac:dyDescent="0.3">
      <c r="A92" s="318"/>
      <c r="B92" s="318"/>
      <c r="C92" s="318"/>
      <c r="D92" s="318"/>
      <c r="E92" s="318"/>
      <c r="F92" s="318"/>
      <c r="G92" s="318"/>
      <c r="H92" s="318"/>
      <c r="I92" s="318"/>
      <c r="J92" s="318"/>
      <c r="K92" s="318"/>
      <c r="L92" s="318"/>
      <c r="P92" s="246" t="s">
        <v>60</v>
      </c>
      <c r="R92" s="246"/>
      <c r="S92" s="355">
        <f>S89</f>
        <v>14.158716864768749</v>
      </c>
      <c r="T92" s="355">
        <f>T89</f>
        <v>38.973489540193341</v>
      </c>
      <c r="U92" s="355">
        <f>U89</f>
        <v>88.576348467299894</v>
      </c>
      <c r="V92" s="355">
        <f>V89</f>
        <v>135.56703933063878</v>
      </c>
      <c r="W92" s="6"/>
    </row>
    <row r="93" spans="1:23" ht="14" x14ac:dyDescent="0.3">
      <c r="A93" s="318"/>
      <c r="B93" s="318"/>
      <c r="C93" s="318"/>
      <c r="D93" s="318"/>
      <c r="E93" s="318"/>
      <c r="F93" s="318"/>
      <c r="G93" s="318"/>
      <c r="H93" s="318"/>
      <c r="I93" s="318"/>
      <c r="J93" s="318"/>
      <c r="K93" s="318"/>
      <c r="L93" s="318"/>
      <c r="P93" s="246" t="s">
        <v>62</v>
      </c>
      <c r="Q93" s="244">
        <v>15</v>
      </c>
      <c r="R93" s="246"/>
      <c r="S93" s="355">
        <f>1/(SQRT(1+(SIGMA_ZETA/N_2)*(S92/d^2)^2))</f>
        <v>0.9988289022800465</v>
      </c>
      <c r="T93" s="355">
        <f>1/(SQRT(1+(SIGMA_ZETA/N_2)*(T92/d^2)^2))</f>
        <v>0.99122790322681231</v>
      </c>
      <c r="U93" s="355">
        <f>1/(SQRT(1+(SIGMA_ZETA/N_2)*(U92/d^2)^2))</f>
        <v>0.95702420191829263</v>
      </c>
      <c r="V93" s="355">
        <f>1/(SQRT(1+(SIGMA_ZETA/N_2)*(V92/d^2)^2))</f>
        <v>0.90717987619417084</v>
      </c>
      <c r="W93" s="6"/>
    </row>
    <row r="94" spans="1:23" ht="14" x14ac:dyDescent="0.3">
      <c r="A94" s="318"/>
      <c r="B94" s="318"/>
      <c r="C94" s="318"/>
      <c r="D94" s="318"/>
      <c r="E94" s="318"/>
      <c r="F94" s="318"/>
      <c r="G94" s="318"/>
      <c r="H94" s="318"/>
      <c r="I94" s="318"/>
      <c r="J94" s="318"/>
      <c r="K94" s="318"/>
      <c r="L94" s="318"/>
      <c r="P94" s="246" t="s">
        <v>65</v>
      </c>
      <c r="R94" s="246"/>
      <c r="S94" s="355"/>
      <c r="T94" s="355"/>
      <c r="U94" s="355"/>
      <c r="V94" s="355"/>
      <c r="W94" s="6"/>
    </row>
    <row r="95" spans="1:23" ht="14" x14ac:dyDescent="0.3">
      <c r="A95" s="318"/>
      <c r="B95" s="318"/>
      <c r="C95" s="318"/>
      <c r="D95" s="318"/>
      <c r="E95" s="318"/>
      <c r="F95" s="318"/>
      <c r="G95" s="318"/>
      <c r="H95" s="318"/>
      <c r="I95" s="318"/>
      <c r="J95" s="318"/>
      <c r="K95" s="318"/>
      <c r="L95" s="318"/>
      <c r="P95" s="246" t="s">
        <v>67</v>
      </c>
      <c r="Q95" s="244">
        <v>21</v>
      </c>
      <c r="R95" s="246"/>
      <c r="S95" s="355">
        <f>F_L/SQRT(1+((F_L^2/N_2)*SIGMA_ZETA_1*(S92/d^2)^2))</f>
        <v>0.91868329719081188</v>
      </c>
      <c r="T95" s="355">
        <f>E$9/SQRT(1+((E$9^2/N_2)*SIGMA_ZETA_1*(T92/d^2)^2))</f>
        <v>0.88108433140201292</v>
      </c>
      <c r="U95" s="355">
        <f>F$9/SQRT(1+((F$9^2/N_2)*SIGMA_ZETA_1*(U92/d^2)^2))</f>
        <v>0.79449455780306633</v>
      </c>
      <c r="V95" s="355">
        <f>G$9/SQRT(1+((G$9^2/N_2)*SIGMA_ZETA_1*(V92/d^2)^2))</f>
        <v>0.71531559916574128</v>
      </c>
      <c r="W95" s="6"/>
    </row>
    <row r="96" spans="1:23" ht="14" x14ac:dyDescent="0.3">
      <c r="A96" s="318"/>
      <c r="B96" s="318"/>
      <c r="C96" s="318"/>
      <c r="D96" s="318"/>
      <c r="E96" s="318"/>
      <c r="F96" s="318"/>
      <c r="G96" s="318"/>
      <c r="H96" s="318"/>
      <c r="I96" s="318"/>
      <c r="J96" s="318"/>
      <c r="K96" s="318"/>
      <c r="L96" s="318"/>
      <c r="P96" s="246" t="s">
        <v>69</v>
      </c>
      <c r="Q96" s="244">
        <v>1</v>
      </c>
      <c r="R96" s="246"/>
      <c r="S96" s="355">
        <f>(Q/(N_1*S93)*(SQRT(G/DELTA_P)))</f>
        <v>14.158716864768749</v>
      </c>
      <c r="T96" s="355">
        <f>(E$3/(N_1*T93)*(SQRT(E$6/E$5)))</f>
        <v>38.973489540193512</v>
      </c>
      <c r="U96" s="355">
        <f>(F$3/(N_1*U93)*(SQRT(F$6/F$5)))</f>
        <v>88.576348568853376</v>
      </c>
      <c r="V96" s="355">
        <f>(G$3/(N_1*V93)*(SQRT(G$6/G$5)))</f>
        <v>135.56709313089442</v>
      </c>
      <c r="W96" s="6"/>
    </row>
    <row r="97" spans="1:23" ht="14" x14ac:dyDescent="0.3">
      <c r="A97" s="318"/>
      <c r="B97" s="318"/>
      <c r="C97" s="318"/>
      <c r="D97" s="318"/>
      <c r="E97" s="318"/>
      <c r="F97" s="318"/>
      <c r="G97" s="318"/>
      <c r="H97" s="318"/>
      <c r="I97" s="318"/>
      <c r="J97" s="318"/>
      <c r="K97" s="318"/>
      <c r="L97" s="318"/>
      <c r="P97" s="246" t="s">
        <v>72</v>
      </c>
      <c r="Q97" s="244">
        <v>1</v>
      </c>
      <c r="R97" s="246"/>
      <c r="S97" s="355">
        <f>(Q/(N_1*S93)*SQRT(G/(S98)))</f>
        <v>11.609794304470123</v>
      </c>
      <c r="T97" s="355">
        <f>(E$3/(N_1*T93)*SQRT(E$6/T98))</f>
        <v>32.609113406809328</v>
      </c>
      <c r="U97" s="355">
        <f>(F$3/(N_1*U93)*SQRT(F$6/U98))</f>
        <v>75.09974246697756</v>
      </c>
      <c r="V97" s="355">
        <f>(G$3/(N_1*V93)*SQRT(G$6/V98))</f>
        <v>113.04788718934121</v>
      </c>
      <c r="W97" s="6"/>
    </row>
    <row r="98" spans="1:23" ht="14" x14ac:dyDescent="0.3">
      <c r="A98" s="318"/>
      <c r="B98" s="318"/>
      <c r="C98" s="318"/>
      <c r="D98" s="318"/>
      <c r="E98" s="318"/>
      <c r="F98" s="318"/>
      <c r="G98" s="318"/>
      <c r="H98" s="318"/>
      <c r="I98" s="318"/>
      <c r="J98" s="318"/>
      <c r="K98" s="318"/>
      <c r="L98" s="318"/>
      <c r="P98" s="246" t="s">
        <v>75</v>
      </c>
      <c r="Q98" s="244">
        <v>3</v>
      </c>
      <c r="R98" s="246"/>
      <c r="S98" s="355">
        <f>(S95/S93)^2*(P_1-(F_F*P_V))</f>
        <v>47.593618181101121</v>
      </c>
      <c r="T98" s="355">
        <f>(T95/T93)^2*(E$4-(T$4*E$7))</f>
        <v>43.424436007818777</v>
      </c>
      <c r="U98" s="355">
        <f>(U95/U93)^2*(F$4-(U$4*F$7))</f>
        <v>34.638413948613831</v>
      </c>
      <c r="V98" s="355">
        <f>(V95/V93)^2*(G$4-(V$4*G$7))</f>
        <v>28.761641150000951</v>
      </c>
      <c r="W98" s="6"/>
    </row>
    <row r="99" spans="1:23" ht="14" x14ac:dyDescent="0.3">
      <c r="A99" s="318"/>
      <c r="B99" s="318"/>
      <c r="C99" s="318"/>
      <c r="D99" s="318"/>
      <c r="E99" s="318"/>
      <c r="F99" s="318"/>
      <c r="G99" s="318"/>
      <c r="H99" s="318"/>
      <c r="I99" s="318"/>
      <c r="J99" s="318"/>
      <c r="K99" s="318"/>
      <c r="L99" s="318"/>
      <c r="P99" s="246" t="s">
        <v>29</v>
      </c>
      <c r="R99" s="246"/>
      <c r="S99" s="355">
        <f>IF(DELTA_P&lt;S98,S96,S97)</f>
        <v>14.158716864768749</v>
      </c>
      <c r="T99" s="355">
        <f>IF(E$5&lt;T98,T96,T97)</f>
        <v>38.973489540193512</v>
      </c>
      <c r="U99" s="355">
        <f>IF(F$5&lt;U98,U96,U97)</f>
        <v>88.576348568853376</v>
      </c>
      <c r="V99" s="355">
        <f>IF(G$5&lt;V98,V96,V97)</f>
        <v>135.56709313089442</v>
      </c>
      <c r="W99" s="6"/>
    </row>
    <row r="100" spans="1:23" ht="14" x14ac:dyDescent="0.3">
      <c r="A100" s="318"/>
      <c r="B100" s="318"/>
      <c r="C100" s="318"/>
      <c r="D100" s="318"/>
      <c r="E100" s="318"/>
      <c r="F100" s="318"/>
      <c r="G100" s="318"/>
      <c r="H100" s="318"/>
      <c r="I100" s="318"/>
      <c r="J100" s="318"/>
      <c r="K100" s="318"/>
      <c r="L100" s="318"/>
      <c r="P100" s="246" t="s">
        <v>81</v>
      </c>
      <c r="R100" s="246"/>
      <c r="S100" s="355">
        <f>S92/S99</f>
        <v>1</v>
      </c>
      <c r="T100" s="355">
        <f>T92/T99</f>
        <v>0.99999999999999567</v>
      </c>
      <c r="U100" s="355">
        <f>U92/U99</f>
        <v>0.99999999885349211</v>
      </c>
      <c r="V100" s="355">
        <f>V92/V99</f>
        <v>0.99999960314664571</v>
      </c>
      <c r="W100" s="6"/>
    </row>
    <row r="101" spans="1:23" ht="14" x14ac:dyDescent="0.3">
      <c r="A101" s="318"/>
      <c r="B101" s="318"/>
      <c r="C101" s="318"/>
      <c r="D101" s="318"/>
      <c r="E101" s="318"/>
      <c r="F101" s="318"/>
      <c r="G101" s="318"/>
      <c r="H101" s="318"/>
      <c r="I101" s="318"/>
      <c r="J101" s="318"/>
      <c r="K101" s="318"/>
      <c r="L101" s="318"/>
      <c r="P101" s="246"/>
      <c r="R101" s="246"/>
      <c r="S101" s="355"/>
      <c r="T101" s="355"/>
      <c r="U101" s="355"/>
      <c r="V101" s="355"/>
      <c r="W101" s="6"/>
    </row>
    <row r="102" spans="1:23" ht="14" x14ac:dyDescent="0.3">
      <c r="A102" s="318"/>
      <c r="B102" s="318"/>
      <c r="C102" s="318"/>
      <c r="D102" s="318"/>
      <c r="E102" s="318"/>
      <c r="F102" s="318"/>
      <c r="G102" s="318"/>
      <c r="H102" s="318"/>
      <c r="I102" s="318"/>
      <c r="J102" s="318"/>
      <c r="K102" s="318"/>
      <c r="L102" s="318"/>
      <c r="P102" s="246" t="s">
        <v>60</v>
      </c>
      <c r="R102" s="246"/>
      <c r="S102" s="355">
        <f>S99</f>
        <v>14.158716864768749</v>
      </c>
      <c r="T102" s="355">
        <f>T99</f>
        <v>38.973489540193512</v>
      </c>
      <c r="U102" s="355">
        <f>U99</f>
        <v>88.576348568853376</v>
      </c>
      <c r="V102" s="355">
        <f>V99</f>
        <v>135.56709313089442</v>
      </c>
      <c r="W102" s="6"/>
    </row>
    <row r="103" spans="1:23" ht="14" x14ac:dyDescent="0.3">
      <c r="A103" s="318"/>
      <c r="B103" s="318"/>
      <c r="C103" s="318"/>
      <c r="D103" s="318"/>
      <c r="E103" s="318"/>
      <c r="F103" s="318"/>
      <c r="G103" s="318"/>
      <c r="H103" s="318"/>
      <c r="I103" s="318"/>
      <c r="J103" s="318"/>
      <c r="K103" s="318"/>
      <c r="L103" s="318"/>
      <c r="P103" s="246" t="s">
        <v>62</v>
      </c>
      <c r="Q103" s="244">
        <v>15</v>
      </c>
      <c r="R103" s="246"/>
      <c r="S103" s="355">
        <f>1/(SQRT(1+(SIGMA_ZETA/N_2)*(S102/d^2)^2))</f>
        <v>0.9988289022800465</v>
      </c>
      <c r="T103" s="355">
        <f>1/(SQRT(1+(SIGMA_ZETA/N_2)*(T102/d^2)^2))</f>
        <v>0.99122790322681231</v>
      </c>
      <c r="U103" s="355">
        <f>1/(SQRT(1+(SIGMA_ZETA/N_2)*(U102/d^2)^2))</f>
        <v>0.95702420182601</v>
      </c>
      <c r="V103" s="355">
        <f>1/(SQRT(1+(SIGMA_ZETA/N_2)*(V102/d^2)^2))</f>
        <v>0.9071798124621816</v>
      </c>
      <c r="W103" s="6"/>
    </row>
    <row r="104" spans="1:23" ht="14" x14ac:dyDescent="0.3">
      <c r="A104" s="318"/>
      <c r="B104" s="318"/>
      <c r="C104" s="318"/>
      <c r="D104" s="318"/>
      <c r="E104" s="318"/>
      <c r="F104" s="318"/>
      <c r="G104" s="318"/>
      <c r="H104" s="318"/>
      <c r="I104" s="318"/>
      <c r="J104" s="318"/>
      <c r="K104" s="318"/>
      <c r="L104" s="318"/>
      <c r="P104" s="246" t="s">
        <v>65</v>
      </c>
      <c r="R104" s="246"/>
      <c r="S104" s="355"/>
      <c r="T104" s="355"/>
      <c r="U104" s="355"/>
      <c r="V104" s="355"/>
      <c r="W104" s="6"/>
    </row>
    <row r="105" spans="1:23" ht="14" x14ac:dyDescent="0.3">
      <c r="A105" s="318"/>
      <c r="B105" s="318"/>
      <c r="C105" s="318"/>
      <c r="D105" s="318"/>
      <c r="E105" s="318"/>
      <c r="F105" s="318"/>
      <c r="G105" s="318"/>
      <c r="H105" s="318"/>
      <c r="I105" s="318"/>
      <c r="J105" s="318"/>
      <c r="K105" s="318"/>
      <c r="L105" s="318"/>
      <c r="P105" s="246" t="s">
        <v>67</v>
      </c>
      <c r="Q105" s="244">
        <v>21</v>
      </c>
      <c r="R105" s="246"/>
      <c r="S105" s="355">
        <f>F_L/SQRT(1+((F_L^2/N_2)*SIGMA_ZETA_1*(S102/d^2)^2))</f>
        <v>0.91868329719081188</v>
      </c>
      <c r="T105" s="355">
        <f>E$9/SQRT(1+((E$9^2/N_2)*SIGMA_ZETA_1*(T102/d^2)^2))</f>
        <v>0.88108433140201292</v>
      </c>
      <c r="U105" s="355">
        <f>F$9/SQRT(1+((F$9^2/N_2)*SIGMA_ZETA_1*(U102/d^2)^2))</f>
        <v>0.79449455772680144</v>
      </c>
      <c r="V105" s="355">
        <f>G$9/SQRT(1+((G$9^2/N_2)*SIGMA_ZETA_1*(V102/d^2)^2))</f>
        <v>0.71531555403513292</v>
      </c>
      <c r="W105" s="6"/>
    </row>
    <row r="106" spans="1:23" ht="14" x14ac:dyDescent="0.3">
      <c r="A106" s="318"/>
      <c r="B106" s="318"/>
      <c r="C106" s="318"/>
      <c r="D106" s="318"/>
      <c r="E106" s="318"/>
      <c r="F106" s="318"/>
      <c r="G106" s="318"/>
      <c r="H106" s="318"/>
      <c r="I106" s="318"/>
      <c r="J106" s="318"/>
      <c r="K106" s="318"/>
      <c r="L106" s="318"/>
      <c r="P106" s="246" t="s">
        <v>69</v>
      </c>
      <c r="Q106" s="244">
        <v>1</v>
      </c>
      <c r="R106" s="246"/>
      <c r="S106" s="355">
        <f>(Q/(N_1*S103)*(SQRT(G/DELTA_P)))</f>
        <v>14.158716864768749</v>
      </c>
      <c r="T106" s="355">
        <f>(E$3/(N_1*T103)*(SQRT(E$6/E$5)))</f>
        <v>38.973489540193512</v>
      </c>
      <c r="U106" s="355">
        <f>(F$3/(N_1*U103)*(SQRT(F$6/F$5)))</f>
        <v>88.576348577394498</v>
      </c>
      <c r="V106" s="355">
        <f>(G$3/(N_1*V103)*(SQRT(G$6/G$5)))</f>
        <v>135.56710265487237</v>
      </c>
      <c r="W106" s="6"/>
    </row>
    <row r="107" spans="1:23" ht="14" x14ac:dyDescent="0.3">
      <c r="A107" s="318"/>
      <c r="B107" s="318"/>
      <c r="C107" s="318"/>
      <c r="D107" s="318"/>
      <c r="E107" s="318"/>
      <c r="F107" s="318"/>
      <c r="G107" s="318"/>
      <c r="H107" s="318"/>
      <c r="I107" s="318"/>
      <c r="J107" s="318"/>
      <c r="K107" s="318"/>
      <c r="L107" s="318"/>
      <c r="P107" s="246" t="s">
        <v>72</v>
      </c>
      <c r="Q107" s="244">
        <v>1</v>
      </c>
      <c r="R107" s="246"/>
      <c r="S107" s="355">
        <f>(Q/(N_1*S103)*SQRT(G/(S108)))</f>
        <v>11.609794304470123</v>
      </c>
      <c r="T107" s="355">
        <f>(E$3/(N_1*T103)*SQRT(E$6/T108))</f>
        <v>32.609113406809328</v>
      </c>
      <c r="U107" s="355">
        <f>(F$3/(N_1*U103)*SQRT(F$6/U108))</f>
        <v>75.099742474186513</v>
      </c>
      <c r="V107" s="355">
        <f>(G$3/(N_1*V103)*SQRT(G$6/V108))</f>
        <v>113.04789432174577</v>
      </c>
      <c r="W107" s="6"/>
    </row>
    <row r="108" spans="1:23" ht="14" x14ac:dyDescent="0.3">
      <c r="A108" s="318"/>
      <c r="B108" s="318"/>
      <c r="C108" s="318"/>
      <c r="D108" s="318"/>
      <c r="E108" s="318"/>
      <c r="F108" s="318"/>
      <c r="G108" s="318"/>
      <c r="H108" s="318"/>
      <c r="I108" s="318"/>
      <c r="J108" s="318"/>
      <c r="K108" s="318"/>
      <c r="L108" s="318"/>
      <c r="P108" s="246" t="s">
        <v>75</v>
      </c>
      <c r="Q108" s="244">
        <v>3</v>
      </c>
      <c r="R108" s="246"/>
      <c r="S108" s="355">
        <f>(S105/S103)^2*(P_1-(F_F*P_V))</f>
        <v>47.593618181101121</v>
      </c>
      <c r="T108" s="355">
        <f>(T105/T103)^2*(E$4-(T$4*E$7))</f>
        <v>43.424436007818777</v>
      </c>
      <c r="U108" s="355">
        <f>(U105/U103)^2*(F$4-(U$4*F$7))</f>
        <v>34.638413948643958</v>
      </c>
      <c r="V108" s="355">
        <f>(V105/V103)^2*(G$4-(V$4*G$7))</f>
        <v>28.761641561924399</v>
      </c>
      <c r="W108" s="6"/>
    </row>
    <row r="109" spans="1:23" ht="14" x14ac:dyDescent="0.3">
      <c r="A109" s="318"/>
      <c r="B109" s="318"/>
      <c r="C109" s="318"/>
      <c r="D109" s="318"/>
      <c r="E109" s="318"/>
      <c r="F109" s="318"/>
      <c r="G109" s="318"/>
      <c r="H109" s="318"/>
      <c r="I109" s="318"/>
      <c r="J109" s="318"/>
      <c r="K109" s="318"/>
      <c r="L109" s="318"/>
      <c r="P109" s="246" t="s">
        <v>29</v>
      </c>
      <c r="R109" s="246"/>
      <c r="S109" s="355">
        <f>IF(DELTA_P&lt;S108,S106,S107)</f>
        <v>14.158716864768749</v>
      </c>
      <c r="T109" s="355">
        <f>IF(E$5&lt;T108,T106,T107)</f>
        <v>38.973489540193512</v>
      </c>
      <c r="U109" s="355">
        <f>IF(F$5&lt;U108,U106,U107)</f>
        <v>88.576348577394498</v>
      </c>
      <c r="V109" s="355">
        <f>IF(G$5&lt;V108,V106,V107)</f>
        <v>135.56710265487237</v>
      </c>
      <c r="W109" s="6"/>
    </row>
    <row r="110" spans="1:23" ht="14" x14ac:dyDescent="0.3">
      <c r="A110" s="318"/>
      <c r="B110" s="318"/>
      <c r="C110" s="318"/>
      <c r="D110" s="318"/>
      <c r="E110" s="318"/>
      <c r="F110" s="318"/>
      <c r="G110" s="318"/>
      <c r="H110" s="318"/>
      <c r="I110" s="318"/>
      <c r="J110" s="318"/>
      <c r="K110" s="318"/>
      <c r="L110" s="318"/>
      <c r="P110" s="246" t="s">
        <v>81</v>
      </c>
      <c r="R110" s="246"/>
      <c r="S110" s="355">
        <f>S102/S109</f>
        <v>1</v>
      </c>
      <c r="T110" s="355">
        <f>T102/T109</f>
        <v>1</v>
      </c>
      <c r="U110" s="355">
        <f>U102/U109</f>
        <v>0.99999999990357336</v>
      </c>
      <c r="V110" s="355">
        <f>V102/V109</f>
        <v>0.9999999297471307</v>
      </c>
      <c r="W110" s="6"/>
    </row>
    <row r="111" spans="1:23" ht="14" x14ac:dyDescent="0.3">
      <c r="A111" s="318"/>
      <c r="B111" s="318"/>
      <c r="C111" s="318"/>
      <c r="D111" s="318"/>
      <c r="E111" s="318"/>
      <c r="F111" s="318"/>
      <c r="G111" s="318"/>
      <c r="H111" s="318"/>
      <c r="I111" s="318"/>
      <c r="J111" s="318"/>
      <c r="K111" s="318"/>
      <c r="L111" s="318"/>
      <c r="P111" s="246"/>
      <c r="R111" s="246"/>
      <c r="S111" s="355"/>
      <c r="T111" s="355"/>
      <c r="U111" s="355"/>
      <c r="V111" s="355"/>
      <c r="W111" s="6"/>
    </row>
    <row r="112" spans="1:23" ht="14" x14ac:dyDescent="0.3">
      <c r="A112" s="318"/>
      <c r="B112" s="318"/>
      <c r="C112" s="318"/>
      <c r="D112" s="318"/>
      <c r="E112" s="318"/>
      <c r="F112" s="318"/>
      <c r="G112" s="318"/>
      <c r="H112" s="318"/>
      <c r="I112" s="318"/>
      <c r="J112" s="318"/>
      <c r="K112" s="318"/>
      <c r="L112" s="318"/>
      <c r="P112" s="246" t="s">
        <v>60</v>
      </c>
      <c r="R112" s="246"/>
      <c r="S112" s="355">
        <f>S109</f>
        <v>14.158716864768749</v>
      </c>
      <c r="T112" s="355">
        <f>T109</f>
        <v>38.973489540193512</v>
      </c>
      <c r="U112" s="355">
        <f>U109</f>
        <v>88.576348577394498</v>
      </c>
      <c r="V112" s="355">
        <f>V109</f>
        <v>135.56710265487237</v>
      </c>
      <c r="W112" s="6"/>
    </row>
    <row r="113" spans="1:23" ht="14" x14ac:dyDescent="0.3">
      <c r="A113" s="318"/>
      <c r="B113" s="318"/>
      <c r="C113" s="318"/>
      <c r="D113" s="318"/>
      <c r="E113" s="318"/>
      <c r="F113" s="318"/>
      <c r="G113" s="318"/>
      <c r="H113" s="318"/>
      <c r="I113" s="318"/>
      <c r="J113" s="318"/>
      <c r="K113" s="318"/>
      <c r="L113" s="318"/>
      <c r="P113" s="246" t="s">
        <v>62</v>
      </c>
      <c r="Q113" s="244">
        <v>15</v>
      </c>
      <c r="R113" s="246"/>
      <c r="S113" s="355">
        <f>1/(SQRT(1+(SIGMA_ZETA/N_2)*(S112/d^2)^2))</f>
        <v>0.9988289022800465</v>
      </c>
      <c r="T113" s="355">
        <f>1/(SQRT(1+(SIGMA_ZETA/N_2)*(T112/d^2)^2))</f>
        <v>0.99122790322681231</v>
      </c>
      <c r="U113" s="355">
        <f>1/(SQRT(1+(SIGMA_ZETA/N_2)*(U112/d^2)^2))</f>
        <v>0.95702420181824854</v>
      </c>
      <c r="V113" s="355">
        <f>1/(SQRT(1+(SIGMA_ZETA/N_2)*(V112/d^2)^2))</f>
        <v>0.90717980118003949</v>
      </c>
      <c r="W113" s="6"/>
    </row>
    <row r="114" spans="1:23" ht="14" x14ac:dyDescent="0.3">
      <c r="A114" s="318"/>
      <c r="B114" s="318"/>
      <c r="C114" s="318"/>
      <c r="D114" s="318"/>
      <c r="E114" s="318"/>
      <c r="F114" s="318"/>
      <c r="G114" s="318"/>
      <c r="H114" s="318"/>
      <c r="I114" s="318"/>
      <c r="J114" s="318"/>
      <c r="K114" s="318"/>
      <c r="L114" s="318"/>
      <c r="P114" s="246" t="s">
        <v>65</v>
      </c>
      <c r="R114" s="246"/>
      <c r="S114" s="355"/>
      <c r="T114" s="355"/>
      <c r="U114" s="355"/>
      <c r="V114" s="355"/>
      <c r="W114" s="6"/>
    </row>
    <row r="115" spans="1:23" ht="14" x14ac:dyDescent="0.3">
      <c r="A115" s="318"/>
      <c r="B115" s="318"/>
      <c r="C115" s="318"/>
      <c r="D115" s="318"/>
      <c r="E115" s="318"/>
      <c r="F115" s="318"/>
      <c r="G115" s="318"/>
      <c r="H115" s="318"/>
      <c r="I115" s="318"/>
      <c r="J115" s="318"/>
      <c r="K115" s="318"/>
      <c r="L115" s="318"/>
      <c r="P115" s="246" t="s">
        <v>67</v>
      </c>
      <c r="Q115" s="244">
        <v>21</v>
      </c>
      <c r="R115" s="246"/>
      <c r="S115" s="355">
        <f>F_L/SQRT(1+((F_L^2/N_2)*SIGMA_ZETA_1*(S112/d^2)^2))</f>
        <v>0.91868329719081188</v>
      </c>
      <c r="T115" s="355">
        <f>E$9/SQRT(1+((E$9^2/N_2)*SIGMA_ZETA_1*(T112/d^2)^2))</f>
        <v>0.88108433140201292</v>
      </c>
      <c r="U115" s="355">
        <f>F$9/SQRT(1+((F$9^2/N_2)*SIGMA_ZETA_1*(U112/d^2)^2))</f>
        <v>0.79449455772038724</v>
      </c>
      <c r="V115" s="355">
        <f>G$9/SQRT(1+((G$9^2/N_2)*SIGMA_ZETA_1*(V112/d^2)^2))</f>
        <v>0.71531554604589642</v>
      </c>
      <c r="W115" s="6"/>
    </row>
    <row r="116" spans="1:23" ht="14" x14ac:dyDescent="0.3">
      <c r="A116" s="318"/>
      <c r="B116" s="318"/>
      <c r="C116" s="318"/>
      <c r="D116" s="318"/>
      <c r="E116" s="318"/>
      <c r="F116" s="318"/>
      <c r="G116" s="318"/>
      <c r="H116" s="318"/>
      <c r="I116" s="318"/>
      <c r="J116" s="318"/>
      <c r="K116" s="318"/>
      <c r="L116" s="318"/>
      <c r="P116" s="246" t="s">
        <v>69</v>
      </c>
      <c r="Q116" s="244">
        <v>1</v>
      </c>
      <c r="R116" s="246"/>
      <c r="S116" s="355">
        <f>(Q/(N_1*S113)*(SQRT(G/DELTA_P)))</f>
        <v>14.158716864768749</v>
      </c>
      <c r="T116" s="355">
        <f>(E$3/(N_1*T113)*(SQRT(E$6/E$5)))</f>
        <v>38.973489540193512</v>
      </c>
      <c r="U116" s="355">
        <f>(F$3/(N_1*U113)*(SQRT(F$6/F$5)))</f>
        <v>88.576348578112842</v>
      </c>
      <c r="V116" s="355">
        <f>(G$3/(N_1*V113)*(SQRT(G$6/G$5)))</f>
        <v>135.56710434085272</v>
      </c>
      <c r="W116" s="6"/>
    </row>
    <row r="117" spans="1:23" ht="14" x14ac:dyDescent="0.3">
      <c r="A117" s="318"/>
      <c r="B117" s="318"/>
      <c r="C117" s="318"/>
      <c r="D117" s="318"/>
      <c r="E117" s="318"/>
      <c r="F117" s="318"/>
      <c r="G117" s="318"/>
      <c r="H117" s="318"/>
      <c r="I117" s="318"/>
      <c r="J117" s="318"/>
      <c r="K117" s="318"/>
      <c r="L117" s="318"/>
      <c r="P117" s="246" t="s">
        <v>72</v>
      </c>
      <c r="Q117" s="244">
        <v>1</v>
      </c>
      <c r="R117" s="246"/>
      <c r="S117" s="355">
        <f>(Q/(N_1*S113)*SQRT(G/(S118)))</f>
        <v>11.609794304470123</v>
      </c>
      <c r="T117" s="355">
        <f>(E$3/(N_1*T113)*SQRT(E$6/T118))</f>
        <v>32.609113406809328</v>
      </c>
      <c r="U117" s="355">
        <f>(F$3/(N_1*U113)*SQRT(F$6/U118))</f>
        <v>75.099742474792805</v>
      </c>
      <c r="V117" s="355">
        <f>(G$3/(N_1*V113)*SQRT(G$6/V118))</f>
        <v>113.04789558435829</v>
      </c>
      <c r="W117" s="6"/>
    </row>
    <row r="118" spans="1:23" ht="14" x14ac:dyDescent="0.3">
      <c r="A118" s="318"/>
      <c r="B118" s="318"/>
      <c r="C118" s="318"/>
      <c r="D118" s="318"/>
      <c r="E118" s="318"/>
      <c r="F118" s="318"/>
      <c r="G118" s="318"/>
      <c r="H118" s="318"/>
      <c r="I118" s="318"/>
      <c r="J118" s="318"/>
      <c r="K118" s="318"/>
      <c r="L118" s="318"/>
      <c r="P118" s="246" t="s">
        <v>75</v>
      </c>
      <c r="Q118" s="244">
        <v>3</v>
      </c>
      <c r="R118" s="246"/>
      <c r="S118" s="355">
        <f>(S115/S113)^2*(P_1-(F_F*P_V))</f>
        <v>47.593618181101121</v>
      </c>
      <c r="T118" s="355">
        <f>(T115/T113)^2*(E$4-(T$4*E$7))</f>
        <v>43.424436007818777</v>
      </c>
      <c r="U118" s="355">
        <f>(U115/U113)^2*(F$4-(U$4*F$7))</f>
        <v>34.638413948646509</v>
      </c>
      <c r="V118" s="355">
        <f>(V115/V113)^2*(G$4-(V$4*G$7))</f>
        <v>28.761641634845073</v>
      </c>
      <c r="W118" s="6"/>
    </row>
    <row r="119" spans="1:23" ht="14" x14ac:dyDescent="0.3">
      <c r="A119" s="318"/>
      <c r="B119" s="318"/>
      <c r="C119" s="318"/>
      <c r="D119" s="318"/>
      <c r="E119" s="318"/>
      <c r="F119" s="318"/>
      <c r="G119" s="318"/>
      <c r="H119" s="318"/>
      <c r="I119" s="318"/>
      <c r="J119" s="318"/>
      <c r="K119" s="318"/>
      <c r="L119" s="318"/>
      <c r="P119" s="246" t="s">
        <v>29</v>
      </c>
      <c r="R119" s="246"/>
      <c r="S119" s="355">
        <f>IF(DELTA_P&lt;S118,S116,S117)</f>
        <v>14.158716864768749</v>
      </c>
      <c r="T119" s="355">
        <f>IF(E$5&lt;T118,T116,T117)</f>
        <v>38.973489540193512</v>
      </c>
      <c r="U119" s="355">
        <f>IF(F$5&lt;U118,U116,U117)</f>
        <v>88.576348578112842</v>
      </c>
      <c r="V119" s="355">
        <f>IF(G$5&lt;V118,V116,V117)</f>
        <v>135.56710434085272</v>
      </c>
      <c r="W119" s="6"/>
    </row>
    <row r="120" spans="1:23" ht="14" x14ac:dyDescent="0.3">
      <c r="A120" s="318"/>
      <c r="B120" s="318"/>
      <c r="C120" s="318"/>
      <c r="D120" s="318"/>
      <c r="E120" s="318"/>
      <c r="F120" s="318"/>
      <c r="G120" s="318"/>
      <c r="H120" s="318"/>
      <c r="I120" s="318"/>
      <c r="J120" s="318"/>
      <c r="K120" s="318"/>
      <c r="L120" s="318"/>
      <c r="P120" s="246" t="s">
        <v>81</v>
      </c>
      <c r="R120" s="246"/>
      <c r="S120" s="355">
        <f>S112/S119</f>
        <v>1</v>
      </c>
      <c r="T120" s="355">
        <f>T112/T119</f>
        <v>1</v>
      </c>
      <c r="U120" s="355">
        <f>U112/U119</f>
        <v>0.99999999999189015</v>
      </c>
      <c r="V120" s="355">
        <f>V112/V119</f>
        <v>0.99999998756349961</v>
      </c>
      <c r="W120" s="6"/>
    </row>
    <row r="121" spans="1:23" ht="14" x14ac:dyDescent="0.3">
      <c r="A121" s="318"/>
      <c r="B121" s="318"/>
      <c r="C121" s="318"/>
      <c r="D121" s="318"/>
      <c r="E121" s="318"/>
      <c r="F121" s="318"/>
      <c r="G121" s="318"/>
      <c r="H121" s="318"/>
      <c r="I121" s="318"/>
      <c r="J121" s="318"/>
      <c r="K121" s="318"/>
      <c r="L121" s="318"/>
      <c r="P121" s="246"/>
      <c r="R121" s="246"/>
      <c r="S121" s="355"/>
      <c r="T121" s="355"/>
      <c r="U121" s="355"/>
      <c r="V121" s="355"/>
      <c r="W121" s="6"/>
    </row>
    <row r="122" spans="1:23" ht="14" x14ac:dyDescent="0.3">
      <c r="A122" s="318"/>
      <c r="B122" s="318"/>
      <c r="C122" s="318"/>
      <c r="D122" s="318"/>
      <c r="E122" s="318"/>
      <c r="F122" s="318"/>
      <c r="G122" s="318"/>
      <c r="H122" s="318"/>
      <c r="I122" s="318"/>
      <c r="J122" s="318"/>
      <c r="K122" s="318"/>
      <c r="L122" s="318"/>
      <c r="P122" s="246" t="s">
        <v>60</v>
      </c>
      <c r="R122" s="246"/>
      <c r="S122" s="355">
        <f>S119</f>
        <v>14.158716864768749</v>
      </c>
      <c r="T122" s="355">
        <f>T119</f>
        <v>38.973489540193512</v>
      </c>
      <c r="U122" s="355">
        <f>U119</f>
        <v>88.576348578112842</v>
      </c>
      <c r="V122" s="355">
        <f>V119</f>
        <v>135.56710434085272</v>
      </c>
      <c r="W122" s="6"/>
    </row>
    <row r="123" spans="1:23" ht="14" x14ac:dyDescent="0.3">
      <c r="A123" s="318"/>
      <c r="B123" s="318"/>
      <c r="C123" s="318"/>
      <c r="D123" s="318"/>
      <c r="E123" s="318"/>
      <c r="F123" s="318"/>
      <c r="G123" s="318"/>
      <c r="H123" s="318"/>
      <c r="I123" s="318"/>
      <c r="J123" s="318"/>
      <c r="K123" s="318"/>
      <c r="L123" s="318"/>
      <c r="P123" s="246" t="s">
        <v>62</v>
      </c>
      <c r="Q123" s="244">
        <v>15</v>
      </c>
      <c r="R123" s="246"/>
      <c r="S123" s="355">
        <f>1/(SQRT(1+(SIGMA_ZETA/N_2)*(S122/d^2)^2))</f>
        <v>0.9988289022800465</v>
      </c>
      <c r="T123" s="355">
        <f>1/(SQRT(1+(SIGMA_ZETA/N_2)*(T122/d^2)^2))</f>
        <v>0.99122790322681231</v>
      </c>
      <c r="U123" s="355">
        <f>1/(SQRT(1+(SIGMA_ZETA/N_2)*(U122/d^2)^2))</f>
        <v>0.95702420181759573</v>
      </c>
      <c r="V123" s="355">
        <f>1/(SQRT(1+(SIGMA_ZETA/N_2)*(V122/d^2)^2))</f>
        <v>0.90717979918282032</v>
      </c>
      <c r="W123" s="6"/>
    </row>
    <row r="124" spans="1:23" ht="14" x14ac:dyDescent="0.3">
      <c r="A124" s="318"/>
      <c r="B124" s="318"/>
      <c r="C124" s="318"/>
      <c r="D124" s="318"/>
      <c r="E124" s="318"/>
      <c r="F124" s="318"/>
      <c r="G124" s="318"/>
      <c r="H124" s="318"/>
      <c r="I124" s="318"/>
      <c r="J124" s="318"/>
      <c r="K124" s="318"/>
      <c r="L124" s="318"/>
      <c r="P124" s="246" t="s">
        <v>65</v>
      </c>
      <c r="R124" s="246"/>
      <c r="S124" s="355"/>
      <c r="T124" s="355"/>
      <c r="U124" s="355"/>
      <c r="V124" s="355"/>
      <c r="W124" s="6"/>
    </row>
    <row r="125" spans="1:23" ht="14" x14ac:dyDescent="0.3">
      <c r="A125" s="318"/>
      <c r="B125" s="318"/>
      <c r="C125" s="318"/>
      <c r="D125" s="318"/>
      <c r="E125" s="318"/>
      <c r="F125" s="318"/>
      <c r="G125" s="318"/>
      <c r="H125" s="318"/>
      <c r="I125" s="318"/>
      <c r="J125" s="318"/>
      <c r="K125" s="318"/>
      <c r="L125" s="318"/>
      <c r="P125" s="246" t="s">
        <v>67</v>
      </c>
      <c r="Q125" s="244">
        <v>21</v>
      </c>
      <c r="R125" s="246"/>
      <c r="S125" s="355">
        <f>F_L/SQRT(1+((F_L^2/N_2)*SIGMA_ZETA_1*(S122/d^2)^2))</f>
        <v>0.91868329719081188</v>
      </c>
      <c r="T125" s="355">
        <f>E$9/SQRT(1+((E$9^2/N_2)*SIGMA_ZETA_1*(T122/d^2)^2))</f>
        <v>0.88108433140201292</v>
      </c>
      <c r="U125" s="355">
        <f>F$9/SQRT(1+((F$9^2/N_2)*SIGMA_ZETA_1*(U122/d^2)^2))</f>
        <v>0.79449455771984767</v>
      </c>
      <c r="V125" s="355">
        <f>G$9/SQRT(1+((G$9^2/N_2)*SIGMA_ZETA_1*(V122/d^2)^2))</f>
        <v>0.71531554463160341</v>
      </c>
      <c r="W125" s="6"/>
    </row>
    <row r="126" spans="1:23" ht="14" x14ac:dyDescent="0.3">
      <c r="A126" s="318"/>
      <c r="B126" s="318"/>
      <c r="C126" s="318"/>
      <c r="D126" s="318"/>
      <c r="E126" s="318"/>
      <c r="F126" s="318"/>
      <c r="G126" s="318"/>
      <c r="H126" s="318"/>
      <c r="I126" s="318"/>
      <c r="J126" s="318"/>
      <c r="K126" s="318"/>
      <c r="L126" s="318"/>
      <c r="P126" s="246" t="s">
        <v>69</v>
      </c>
      <c r="Q126" s="244">
        <v>1</v>
      </c>
      <c r="R126" s="246"/>
      <c r="S126" s="355">
        <f>(Q/(N_1*S123)*(SQRT(G/DELTA_P)))</f>
        <v>14.158716864768749</v>
      </c>
      <c r="T126" s="355">
        <f>(E$3/(N_1*T123)*(SQRT(E$6/E$5)))</f>
        <v>38.973489540193512</v>
      </c>
      <c r="U126" s="355">
        <f>(F$3/(N_1*U123)*(SQRT(F$6/F$5)))</f>
        <v>88.576348578173267</v>
      </c>
      <c r="V126" s="355">
        <f>(G$3/(N_1*V123)*(SQRT(G$6/G$5)))</f>
        <v>135.56710463931307</v>
      </c>
      <c r="W126" s="6"/>
    </row>
    <row r="127" spans="1:23" ht="14" x14ac:dyDescent="0.3">
      <c r="A127" s="318"/>
      <c r="B127" s="318"/>
      <c r="C127" s="318"/>
      <c r="D127" s="318"/>
      <c r="E127" s="318"/>
      <c r="F127" s="318"/>
      <c r="G127" s="318"/>
      <c r="H127" s="318"/>
      <c r="I127" s="318"/>
      <c r="J127" s="318"/>
      <c r="K127" s="318"/>
      <c r="L127" s="318"/>
      <c r="P127" s="246" t="s">
        <v>72</v>
      </c>
      <c r="Q127" s="244">
        <v>1</v>
      </c>
      <c r="R127" s="246"/>
      <c r="S127" s="355">
        <f>(Q/(N_1*S123)*SQRT(G/(S128)))</f>
        <v>11.609794304470123</v>
      </c>
      <c r="T127" s="355">
        <f>(E$3/(N_1*T123)*SQRT(E$6/T128))</f>
        <v>32.609113406809328</v>
      </c>
      <c r="U127" s="355">
        <f>(F$3/(N_1*U123)*SQRT(F$6/U128))</f>
        <v>75.099742474843808</v>
      </c>
      <c r="V127" s="355">
        <f>(G$3/(N_1*V123)*SQRT(G$6/V128))</f>
        <v>113.04789580787201</v>
      </c>
      <c r="W127" s="6"/>
    </row>
    <row r="128" spans="1:23" ht="14" x14ac:dyDescent="0.3">
      <c r="A128" s="318"/>
      <c r="B128" s="318"/>
      <c r="C128" s="318"/>
      <c r="D128" s="318"/>
      <c r="E128" s="318"/>
      <c r="F128" s="318"/>
      <c r="G128" s="318"/>
      <c r="H128" s="318"/>
      <c r="I128" s="318"/>
      <c r="J128" s="318"/>
      <c r="K128" s="318"/>
      <c r="L128" s="318"/>
      <c r="P128" s="246" t="s">
        <v>75</v>
      </c>
      <c r="Q128" s="244">
        <v>3</v>
      </c>
      <c r="R128" s="246"/>
      <c r="S128" s="355">
        <f>(S125/S123)^2*(P_1-(F_F*P_V))</f>
        <v>47.593618181101121</v>
      </c>
      <c r="T128" s="355">
        <f>(T125/T123)^2*(E$4-(T$4*E$7))</f>
        <v>43.424436007818777</v>
      </c>
      <c r="U128" s="355">
        <f>(U125/U123)^2*(F$4-(U$4*F$7))</f>
        <v>34.638413948646715</v>
      </c>
      <c r="V128" s="355">
        <f>(V125/V123)^2*(G$4-(V$4*G$7))</f>
        <v>28.761641647753848</v>
      </c>
      <c r="W128" s="6"/>
    </row>
    <row r="129" spans="1:23" ht="14" x14ac:dyDescent="0.3">
      <c r="A129" s="318"/>
      <c r="B129" s="318"/>
      <c r="C129" s="318"/>
      <c r="D129" s="318"/>
      <c r="E129" s="318"/>
      <c r="F129" s="318"/>
      <c r="G129" s="318"/>
      <c r="H129" s="318"/>
      <c r="I129" s="318"/>
      <c r="J129" s="318"/>
      <c r="K129" s="318"/>
      <c r="L129" s="318"/>
      <c r="P129" s="246" t="s">
        <v>29</v>
      </c>
      <c r="R129" s="246"/>
      <c r="S129" s="355">
        <f>IF(DELTA_P&lt;S128,S126,S127)</f>
        <v>14.158716864768749</v>
      </c>
      <c r="T129" s="355">
        <f>IF(E$5&lt;T128,T126,T127)</f>
        <v>38.973489540193512</v>
      </c>
      <c r="U129" s="355">
        <f>IF(F$5&lt;U128,U126,U127)</f>
        <v>88.576348578173267</v>
      </c>
      <c r="V129" s="355">
        <f>IF(G$5&lt;V128,V126,V127)</f>
        <v>135.56710463931307</v>
      </c>
      <c r="W129" s="6"/>
    </row>
    <row r="130" spans="1:23" ht="14" x14ac:dyDescent="0.3">
      <c r="A130" s="318"/>
      <c r="B130" s="318"/>
      <c r="C130" s="318"/>
      <c r="D130" s="318"/>
      <c r="E130" s="318"/>
      <c r="F130" s="318"/>
      <c r="G130" s="318"/>
      <c r="H130" s="318"/>
      <c r="I130" s="318"/>
      <c r="J130" s="318"/>
      <c r="K130" s="318"/>
      <c r="L130" s="318"/>
      <c r="P130" s="246" t="s">
        <v>81</v>
      </c>
      <c r="R130" s="246"/>
      <c r="S130" s="355">
        <f>S122/S129</f>
        <v>1</v>
      </c>
      <c r="T130" s="355">
        <f>T122/T129</f>
        <v>1</v>
      </c>
      <c r="U130" s="355">
        <f>U122/U129</f>
        <v>0.99999999999931788</v>
      </c>
      <c r="V130" s="355">
        <f>V122/V129</f>
        <v>0.99999999779843085</v>
      </c>
      <c r="W130" s="6"/>
    </row>
    <row r="131" spans="1:23" ht="14" x14ac:dyDescent="0.3">
      <c r="A131" s="318"/>
      <c r="B131" s="318"/>
      <c r="C131" s="318"/>
      <c r="D131" s="318"/>
      <c r="E131" s="318"/>
      <c r="F131" s="318"/>
      <c r="G131" s="318"/>
      <c r="H131" s="318"/>
      <c r="I131" s="318"/>
      <c r="J131" s="318"/>
      <c r="K131" s="318"/>
      <c r="L131" s="318"/>
      <c r="P131" s="246"/>
      <c r="R131" s="246"/>
      <c r="S131" s="355"/>
      <c r="T131" s="355"/>
      <c r="U131" s="355"/>
      <c r="V131" s="355"/>
      <c r="W131" s="6"/>
    </row>
    <row r="132" spans="1:23" ht="14" x14ac:dyDescent="0.3">
      <c r="A132" s="318"/>
      <c r="B132" s="318"/>
      <c r="C132" s="318"/>
      <c r="D132" s="318"/>
      <c r="E132" s="318"/>
      <c r="F132" s="318"/>
      <c r="G132" s="318"/>
      <c r="H132" s="318"/>
      <c r="I132" s="318"/>
      <c r="J132" s="318"/>
      <c r="K132" s="318"/>
      <c r="L132" s="318"/>
      <c r="P132" s="246" t="s">
        <v>60</v>
      </c>
      <c r="R132" s="246"/>
      <c r="S132" s="355">
        <f>S129</f>
        <v>14.158716864768749</v>
      </c>
      <c r="T132" s="355">
        <f>T129</f>
        <v>38.973489540193512</v>
      </c>
      <c r="U132" s="355">
        <f>U129</f>
        <v>88.576348578173267</v>
      </c>
      <c r="V132" s="355">
        <f>V129</f>
        <v>135.56710463931307</v>
      </c>
      <c r="W132" s="6"/>
    </row>
    <row r="133" spans="1:23" ht="14" x14ac:dyDescent="0.3">
      <c r="A133" s="318"/>
      <c r="B133" s="318"/>
      <c r="C133" s="318"/>
      <c r="D133" s="318"/>
      <c r="E133" s="318"/>
      <c r="F133" s="318"/>
      <c r="G133" s="318"/>
      <c r="H133" s="318"/>
      <c r="I133" s="318"/>
      <c r="J133" s="318"/>
      <c r="K133" s="318"/>
      <c r="L133" s="318"/>
      <c r="P133" s="246" t="s">
        <v>62</v>
      </c>
      <c r="Q133" s="244">
        <v>15</v>
      </c>
      <c r="R133" s="246"/>
      <c r="S133" s="355">
        <f>1/(SQRT(1+(SIGMA_ZETA/N_2)*(S132/d^2)^2))</f>
        <v>0.9988289022800465</v>
      </c>
      <c r="T133" s="355">
        <f>1/(SQRT(1+(SIGMA_ZETA/N_2)*(T132/d^2)^2))</f>
        <v>0.99122790322681231</v>
      </c>
      <c r="U133" s="355">
        <f>1/(SQRT(1+(SIGMA_ZETA/N_2)*(U132/d^2)^2))</f>
        <v>0.95702420181754089</v>
      </c>
      <c r="V133" s="355">
        <f>1/(SQRT(1+(SIGMA_ZETA/N_2)*(V132/d^2)^2))</f>
        <v>0.90717979882926314</v>
      </c>
      <c r="W133" s="6"/>
    </row>
    <row r="134" spans="1:23" ht="14" x14ac:dyDescent="0.3">
      <c r="A134" s="318"/>
      <c r="B134" s="318"/>
      <c r="C134" s="318"/>
      <c r="D134" s="318"/>
      <c r="E134" s="318"/>
      <c r="F134" s="318"/>
      <c r="G134" s="318"/>
      <c r="H134" s="318"/>
      <c r="I134" s="318"/>
      <c r="J134" s="318"/>
      <c r="K134" s="318"/>
      <c r="L134" s="318"/>
      <c r="P134" s="246" t="s">
        <v>65</v>
      </c>
      <c r="R134" s="246"/>
      <c r="S134" s="355"/>
      <c r="T134" s="355"/>
      <c r="U134" s="355"/>
      <c r="V134" s="355"/>
      <c r="W134" s="6"/>
    </row>
    <row r="135" spans="1:23" ht="14" x14ac:dyDescent="0.3">
      <c r="A135" s="318"/>
      <c r="B135" s="318"/>
      <c r="C135" s="318"/>
      <c r="D135" s="318"/>
      <c r="E135" s="318"/>
      <c r="F135" s="318"/>
      <c r="G135" s="318"/>
      <c r="H135" s="318"/>
      <c r="I135" s="318"/>
      <c r="J135" s="318"/>
      <c r="K135" s="318"/>
      <c r="L135" s="318"/>
      <c r="P135" s="246" t="s">
        <v>67</v>
      </c>
      <c r="Q135" s="244">
        <v>21</v>
      </c>
      <c r="R135" s="246"/>
      <c r="S135" s="355">
        <f>F_L/SQRT(1+((F_L^2/N_2)*SIGMA_ZETA_1*(S132/d^2)^2))</f>
        <v>0.91868329719081188</v>
      </c>
      <c r="T135" s="355">
        <f>E$9/SQRT(1+((E$9^2/N_2)*SIGMA_ZETA_1*(T132/d^2)^2))</f>
        <v>0.88108433140201292</v>
      </c>
      <c r="U135" s="355">
        <f>F$9/SQRT(1+((F$9^2/N_2)*SIGMA_ZETA_1*(U132/d^2)^2))</f>
        <v>0.79449455771980226</v>
      </c>
      <c r="V135" s="355">
        <f>G$9/SQRT(1+((G$9^2/N_2)*SIGMA_ZETA_1*(V132/d^2)^2))</f>
        <v>0.71531554438123834</v>
      </c>
      <c r="W135" s="6"/>
    </row>
    <row r="136" spans="1:23" ht="14" x14ac:dyDescent="0.3">
      <c r="A136" s="318"/>
      <c r="B136" s="318"/>
      <c r="C136" s="318"/>
      <c r="D136" s="318"/>
      <c r="E136" s="318"/>
      <c r="F136" s="318"/>
      <c r="G136" s="318"/>
      <c r="H136" s="318"/>
      <c r="I136" s="318"/>
      <c r="J136" s="318"/>
      <c r="K136" s="318"/>
      <c r="L136" s="318"/>
      <c r="P136" s="246" t="s">
        <v>69</v>
      </c>
      <c r="Q136" s="244">
        <v>1</v>
      </c>
      <c r="R136" s="246"/>
      <c r="S136" s="355">
        <f>(Q/(N_1*S133)*(SQRT(G/DELTA_P)))</f>
        <v>14.158716864768749</v>
      </c>
      <c r="T136" s="355">
        <f>(E$3/(N_1*T133)*(SQRT(E$6/E$5)))</f>
        <v>38.973489540193512</v>
      </c>
      <c r="U136" s="355">
        <f>(F$3/(N_1*U133)*(SQRT(F$6/F$5)))</f>
        <v>88.57634857817834</v>
      </c>
      <c r="V136" s="355">
        <f>(G$3/(N_1*V133)*(SQRT(G$6/G$5)))</f>
        <v>135.56710469214795</v>
      </c>
      <c r="W136" s="6"/>
    </row>
    <row r="137" spans="1:23" ht="14" x14ac:dyDescent="0.3">
      <c r="A137" s="318"/>
      <c r="B137" s="318"/>
      <c r="C137" s="318"/>
      <c r="D137" s="318"/>
      <c r="E137" s="318"/>
      <c r="F137" s="318"/>
      <c r="G137" s="318"/>
      <c r="H137" s="318"/>
      <c r="I137" s="318"/>
      <c r="J137" s="318"/>
      <c r="K137" s="318"/>
      <c r="L137" s="318"/>
      <c r="P137" s="246" t="s">
        <v>72</v>
      </c>
      <c r="Q137" s="244">
        <v>1</v>
      </c>
      <c r="R137" s="246"/>
      <c r="S137" s="355">
        <f>(Q/(N_1*S133)*SQRT(G/(S138)))</f>
        <v>11.609794304470123</v>
      </c>
      <c r="T137" s="355">
        <f>(E$3/(N_1*T133)*SQRT(E$6/T138))</f>
        <v>32.609113406809328</v>
      </c>
      <c r="U137" s="355">
        <f>(F$3/(N_1*U133)*SQRT(F$6/U138))</f>
        <v>75.0997424748481</v>
      </c>
      <c r="V137" s="355">
        <f>(G$3/(N_1*V133)*SQRT(G$6/V138))</f>
        <v>113.04789584743951</v>
      </c>
      <c r="W137" s="6"/>
    </row>
    <row r="138" spans="1:23" ht="14" x14ac:dyDescent="0.3">
      <c r="A138" s="318"/>
      <c r="B138" s="318"/>
      <c r="C138" s="318"/>
      <c r="D138" s="318"/>
      <c r="E138" s="318"/>
      <c r="F138" s="318"/>
      <c r="G138" s="318"/>
      <c r="H138" s="318"/>
      <c r="I138" s="318"/>
      <c r="J138" s="318"/>
      <c r="K138" s="318"/>
      <c r="L138" s="318"/>
      <c r="P138" s="246" t="s">
        <v>75</v>
      </c>
      <c r="Q138" s="244">
        <v>3</v>
      </c>
      <c r="R138" s="246"/>
      <c r="S138" s="355">
        <f>(S135/S133)^2*(P_1-(F_F*P_V))</f>
        <v>47.593618181101121</v>
      </c>
      <c r="T138" s="355">
        <f>(T135/T133)^2*(E$4-(T$4*E$7))</f>
        <v>43.424436007818777</v>
      </c>
      <c r="U138" s="355">
        <f>(U135/U133)^2*(F$4-(U$4*F$7))</f>
        <v>34.638413948646722</v>
      </c>
      <c r="V138" s="355">
        <f>(V135/V133)^2*(G$4-(V$4*G$7))</f>
        <v>28.761641650039003</v>
      </c>
      <c r="W138" s="6"/>
    </row>
    <row r="139" spans="1:23" ht="14" x14ac:dyDescent="0.3">
      <c r="A139" s="318"/>
      <c r="B139" s="318"/>
      <c r="C139" s="318"/>
      <c r="D139" s="318"/>
      <c r="E139" s="318"/>
      <c r="F139" s="318"/>
      <c r="G139" s="318"/>
      <c r="H139" s="318"/>
      <c r="I139" s="318"/>
      <c r="J139" s="318"/>
      <c r="K139" s="318"/>
      <c r="L139" s="318"/>
      <c r="P139" s="246" t="s">
        <v>29</v>
      </c>
      <c r="R139" s="246"/>
      <c r="S139" s="355">
        <f>IF(DELTA_P&lt;S138,S136,S137)</f>
        <v>14.158716864768749</v>
      </c>
      <c r="T139" s="355">
        <f>IF(E$5&lt;T138,T136,T137)</f>
        <v>38.973489540193512</v>
      </c>
      <c r="U139" s="355">
        <f>IF(F$5&lt;U138,U136,U137)</f>
        <v>88.57634857817834</v>
      </c>
      <c r="V139" s="355">
        <f>IF(G$5&lt;V138,V136,V137)</f>
        <v>135.56710469214795</v>
      </c>
      <c r="W139" s="6"/>
    </row>
    <row r="140" spans="1:23" ht="14" x14ac:dyDescent="0.3">
      <c r="A140" s="318"/>
      <c r="B140" s="318"/>
      <c r="C140" s="318"/>
      <c r="D140" s="318"/>
      <c r="E140" s="318"/>
      <c r="F140" s="318"/>
      <c r="G140" s="318"/>
      <c r="H140" s="318"/>
      <c r="I140" s="318"/>
      <c r="J140" s="318"/>
      <c r="K140" s="318"/>
      <c r="L140" s="318"/>
      <c r="P140" s="246" t="s">
        <v>82</v>
      </c>
      <c r="R140" s="246"/>
      <c r="S140" s="355">
        <f>S132/S139</f>
        <v>1</v>
      </c>
      <c r="T140" s="355">
        <f>T132/T139</f>
        <v>1</v>
      </c>
      <c r="U140" s="355">
        <f>U132/U139</f>
        <v>0.99999999999994271</v>
      </c>
      <c r="V140" s="355">
        <f>V132/V139</f>
        <v>0.99999999961026775</v>
      </c>
      <c r="W140" s="6"/>
    </row>
    <row r="141" spans="1:23" ht="14" x14ac:dyDescent="0.3">
      <c r="A141" s="318"/>
      <c r="B141" s="318"/>
      <c r="C141" s="318"/>
      <c r="D141" s="318"/>
      <c r="E141" s="318"/>
      <c r="F141" s="318"/>
      <c r="G141" s="318"/>
      <c r="H141" s="318"/>
      <c r="I141" s="318"/>
      <c r="J141" s="318"/>
      <c r="K141" s="318"/>
      <c r="L141" s="318"/>
      <c r="P141" s="246"/>
      <c r="R141" s="246"/>
      <c r="S141" s="355"/>
      <c r="T141" s="355"/>
      <c r="U141" s="355"/>
      <c r="V141" s="355"/>
      <c r="W141" s="6"/>
    </row>
    <row r="142" spans="1:23" ht="14" x14ac:dyDescent="0.3">
      <c r="A142" s="318"/>
      <c r="B142" s="318"/>
      <c r="C142" s="318"/>
      <c r="D142" s="318"/>
      <c r="E142" s="318"/>
      <c r="F142" s="318"/>
      <c r="G142" s="318"/>
      <c r="H142" s="318"/>
      <c r="I142" s="318"/>
      <c r="J142" s="318"/>
      <c r="K142" s="318"/>
      <c r="L142" s="318"/>
      <c r="P142" s="246" t="s">
        <v>60</v>
      </c>
      <c r="R142" s="246"/>
      <c r="S142" s="355">
        <f>S139</f>
        <v>14.158716864768749</v>
      </c>
      <c r="T142" s="355">
        <f>T139</f>
        <v>38.973489540193512</v>
      </c>
      <c r="U142" s="355">
        <f>U139</f>
        <v>88.57634857817834</v>
      </c>
      <c r="V142" s="355">
        <f>V139</f>
        <v>135.56710469214795</v>
      </c>
      <c r="W142" s="6"/>
    </row>
    <row r="143" spans="1:23" ht="14" x14ac:dyDescent="0.3">
      <c r="A143" s="318"/>
      <c r="B143" s="318"/>
      <c r="C143" s="318"/>
      <c r="D143" s="318"/>
      <c r="E143" s="318"/>
      <c r="F143" s="318"/>
      <c r="G143" s="318"/>
      <c r="H143" s="318"/>
      <c r="I143" s="318"/>
      <c r="J143" s="318"/>
      <c r="K143" s="318"/>
      <c r="L143" s="318"/>
      <c r="P143" s="246" t="s">
        <v>62</v>
      </c>
      <c r="Q143" s="244">
        <v>15</v>
      </c>
      <c r="R143" s="246"/>
      <c r="S143" s="355">
        <f>1/(SQRT(1+(SIGMA_ZETA/N_2)*(S142/d^2)^2))</f>
        <v>0.9988289022800465</v>
      </c>
      <c r="T143" s="355">
        <f>1/(SQRT(1+(SIGMA_ZETA/N_2)*(T142/d^2)^2))</f>
        <v>0.99122790322681231</v>
      </c>
      <c r="U143" s="355">
        <f>1/(SQRT(1+(SIGMA_ZETA/N_2)*(U142/d^2)^2))</f>
        <v>0.95702420181753634</v>
      </c>
      <c r="V143" s="355">
        <f>1/(SQRT(1+(SIGMA_ZETA/N_2)*(V142/d^2)^2))</f>
        <v>0.90717979876667476</v>
      </c>
      <c r="W143" s="6"/>
    </row>
    <row r="144" spans="1:23" ht="14" x14ac:dyDescent="0.3">
      <c r="A144" s="318"/>
      <c r="B144" s="318"/>
      <c r="C144" s="318"/>
      <c r="D144" s="318"/>
      <c r="E144" s="318"/>
      <c r="F144" s="318"/>
      <c r="G144" s="318"/>
      <c r="H144" s="318"/>
      <c r="I144" s="318"/>
      <c r="J144" s="318"/>
      <c r="K144" s="318"/>
      <c r="L144" s="318"/>
      <c r="P144" s="246" t="s">
        <v>65</v>
      </c>
      <c r="R144" s="246"/>
      <c r="S144" s="355"/>
      <c r="T144" s="355"/>
      <c r="U144" s="355"/>
      <c r="V144" s="355"/>
      <c r="W144" s="6"/>
    </row>
    <row r="145" spans="1:23" ht="14" x14ac:dyDescent="0.3">
      <c r="A145" s="318"/>
      <c r="B145" s="318"/>
      <c r="C145" s="318"/>
      <c r="D145" s="318"/>
      <c r="E145" s="318"/>
      <c r="F145" s="318"/>
      <c r="G145" s="318"/>
      <c r="H145" s="318"/>
      <c r="I145" s="318"/>
      <c r="J145" s="318"/>
      <c r="K145" s="318"/>
      <c r="L145" s="318"/>
      <c r="P145" s="246" t="s">
        <v>67</v>
      </c>
      <c r="Q145" s="244">
        <v>21</v>
      </c>
      <c r="R145" s="246"/>
      <c r="S145" s="355">
        <f>F_L/SQRT(1+((F_L^2/N_2)*SIGMA_ZETA_1*(S142/d^2)^2))</f>
        <v>0.91868329719081188</v>
      </c>
      <c r="T145" s="355">
        <f>E$9/SQRT(1+((E$9^2/N_2)*SIGMA_ZETA_1*(T142/d^2)^2))</f>
        <v>0.88108433140201292</v>
      </c>
      <c r="U145" s="355">
        <f>F$9/SQRT(1+((F$9^2/N_2)*SIGMA_ZETA_1*(U142/d^2)^2))</f>
        <v>0.79449455771979849</v>
      </c>
      <c r="V145" s="355">
        <f>G$9/SQRT(1+((G$9^2/N_2)*SIGMA_ZETA_1*(V142/d^2)^2))</f>
        <v>0.71531554433691757</v>
      </c>
      <c r="W145" s="6"/>
    </row>
    <row r="146" spans="1:23" ht="14" x14ac:dyDescent="0.3">
      <c r="A146" s="318"/>
      <c r="B146" s="318"/>
      <c r="C146" s="318"/>
      <c r="D146" s="318"/>
      <c r="E146" s="318"/>
      <c r="F146" s="318"/>
      <c r="G146" s="318"/>
      <c r="H146" s="318"/>
      <c r="I146" s="318"/>
      <c r="J146" s="318"/>
      <c r="K146" s="318"/>
      <c r="L146" s="318"/>
      <c r="P146" s="246" t="s">
        <v>69</v>
      </c>
      <c r="Q146" s="244">
        <v>1</v>
      </c>
      <c r="R146" s="246"/>
      <c r="S146" s="355">
        <f>(Q/(N_1*S143)*(SQRT(G/DELTA_P)))</f>
        <v>14.158716864768749</v>
      </c>
      <c r="T146" s="355">
        <f>(E$3/(N_1*T143)*(SQRT(E$6/E$5)))</f>
        <v>38.973489540193512</v>
      </c>
      <c r="U146" s="355">
        <f>(F$3/(N_1*U143)*(SQRT(F$6/F$5)))</f>
        <v>88.576348578178767</v>
      </c>
      <c r="V146" s="355">
        <f>(G$3/(N_1*V143)*(SQRT(G$6/G$5)))</f>
        <v>135.56710470150102</v>
      </c>
      <c r="W146" s="6"/>
    </row>
    <row r="147" spans="1:23" ht="14" x14ac:dyDescent="0.3">
      <c r="A147" s="318"/>
      <c r="B147" s="318"/>
      <c r="C147" s="318"/>
      <c r="D147" s="318"/>
      <c r="E147" s="318"/>
      <c r="F147" s="318"/>
      <c r="G147" s="318"/>
      <c r="H147" s="318"/>
      <c r="I147" s="318"/>
      <c r="J147" s="318"/>
      <c r="K147" s="318"/>
      <c r="L147" s="318"/>
      <c r="P147" s="246" t="s">
        <v>72</v>
      </c>
      <c r="Q147" s="244">
        <v>1</v>
      </c>
      <c r="R147" s="246"/>
      <c r="S147" s="355">
        <f>(Q/(N_1*S143)*SQRT(G/(S148)))</f>
        <v>11.609794304470123</v>
      </c>
      <c r="T147" s="355">
        <f>(E$3/(N_1*T143)*SQRT(E$6/T148))</f>
        <v>32.609113406809328</v>
      </c>
      <c r="U147" s="355">
        <f>(F$3/(N_1*U143)*SQRT(F$6/U148))</f>
        <v>75.099742474848455</v>
      </c>
      <c r="V147" s="355">
        <f>(G$3/(N_1*V143)*SQRT(G$6/V148))</f>
        <v>113.04789585444392</v>
      </c>
      <c r="W147" s="6"/>
    </row>
    <row r="148" spans="1:23" ht="14" x14ac:dyDescent="0.3">
      <c r="A148" s="318"/>
      <c r="B148" s="318"/>
      <c r="C148" s="318"/>
      <c r="D148" s="318"/>
      <c r="E148" s="318"/>
      <c r="F148" s="318"/>
      <c r="G148" s="318"/>
      <c r="H148" s="318"/>
      <c r="I148" s="318"/>
      <c r="J148" s="318"/>
      <c r="K148" s="318"/>
      <c r="L148" s="318"/>
      <c r="P148" s="246" t="s">
        <v>75</v>
      </c>
      <c r="Q148" s="244">
        <v>3</v>
      </c>
      <c r="R148" s="246"/>
      <c r="S148" s="355">
        <f>(S145/S143)^2*(P_1-(F_F*P_V))</f>
        <v>47.593618181101121</v>
      </c>
      <c r="T148" s="355">
        <f>(T145/T143)^2*(E$4-(T$4*E$7))</f>
        <v>43.424436007818777</v>
      </c>
      <c r="U148" s="355">
        <f>(U145/U143)^2*(F$4-(U$4*F$7))</f>
        <v>34.638413948646722</v>
      </c>
      <c r="V148" s="355">
        <f>(V145/V143)^2*(G$4-(V$4*G$7))</f>
        <v>28.76164165044354</v>
      </c>
      <c r="W148" s="6"/>
    </row>
    <row r="149" spans="1:23" ht="14" x14ac:dyDescent="0.3">
      <c r="A149" s="318"/>
      <c r="B149" s="318"/>
      <c r="C149" s="318"/>
      <c r="D149" s="318"/>
      <c r="E149" s="318"/>
      <c r="F149" s="318"/>
      <c r="G149" s="318"/>
      <c r="H149" s="318"/>
      <c r="I149" s="318"/>
      <c r="J149" s="318"/>
      <c r="K149" s="318"/>
      <c r="L149" s="318"/>
      <c r="P149" s="246" t="s">
        <v>29</v>
      </c>
      <c r="R149" s="246"/>
      <c r="S149" s="355">
        <f>IF(DELTA_P&lt;S148,S146,S147)</f>
        <v>14.158716864768749</v>
      </c>
      <c r="T149" s="355">
        <f>IF(E$5&lt;T148,T146,T147)</f>
        <v>38.973489540193512</v>
      </c>
      <c r="U149" s="355">
        <f>IF(F$5&lt;U148,U146,U147)</f>
        <v>88.576348578178767</v>
      </c>
      <c r="V149" s="355">
        <f>IF(G$5&lt;V148,V146,V147)</f>
        <v>135.56710470150102</v>
      </c>
      <c r="W149" s="6"/>
    </row>
    <row r="150" spans="1:23" ht="14" x14ac:dyDescent="0.3">
      <c r="A150" s="318"/>
      <c r="B150" s="318"/>
      <c r="C150" s="318"/>
      <c r="D150" s="318"/>
      <c r="E150" s="318"/>
      <c r="F150" s="318"/>
      <c r="G150" s="318"/>
      <c r="H150" s="318"/>
      <c r="I150" s="318"/>
      <c r="J150" s="318"/>
      <c r="K150" s="318"/>
      <c r="L150" s="318"/>
      <c r="P150" s="246" t="s">
        <v>81</v>
      </c>
      <c r="R150" s="246"/>
      <c r="S150" s="355">
        <f>S142/S149</f>
        <v>1</v>
      </c>
      <c r="T150" s="355">
        <f>T142/T149</f>
        <v>1</v>
      </c>
      <c r="U150" s="355">
        <f>U142/U149</f>
        <v>0.99999999999999523</v>
      </c>
      <c r="V150" s="355">
        <f>V142/V149</f>
        <v>0.99999999993100774</v>
      </c>
      <c r="W150" s="6"/>
    </row>
    <row r="151" spans="1:23" ht="14" x14ac:dyDescent="0.3">
      <c r="A151" s="318"/>
      <c r="B151" s="318"/>
      <c r="C151" s="318"/>
      <c r="D151" s="318"/>
      <c r="E151" s="318"/>
      <c r="F151" s="318"/>
      <c r="G151" s="318"/>
      <c r="H151" s="318"/>
      <c r="I151" s="318"/>
      <c r="J151" s="318"/>
      <c r="K151" s="318"/>
      <c r="L151" s="318"/>
      <c r="P151" s="246"/>
      <c r="R151" s="246"/>
      <c r="S151" s="355"/>
      <c r="T151" s="355"/>
      <c r="U151" s="355"/>
      <c r="V151" s="355"/>
      <c r="W151" s="6"/>
    </row>
    <row r="152" spans="1:23" ht="14" x14ac:dyDescent="0.3">
      <c r="A152" s="318"/>
      <c r="B152" s="318"/>
      <c r="C152" s="318"/>
      <c r="D152" s="318"/>
      <c r="E152" s="318"/>
      <c r="F152" s="318"/>
      <c r="G152" s="318"/>
      <c r="H152" s="318"/>
      <c r="I152" s="318"/>
      <c r="J152" s="318"/>
      <c r="K152" s="318"/>
      <c r="L152" s="318"/>
      <c r="P152" s="246" t="s">
        <v>60</v>
      </c>
      <c r="R152" s="246"/>
      <c r="S152" s="355">
        <f>S149</f>
        <v>14.158716864768749</v>
      </c>
      <c r="T152" s="355">
        <f>T149</f>
        <v>38.973489540193512</v>
      </c>
      <c r="U152" s="355">
        <f>U149</f>
        <v>88.576348578178767</v>
      </c>
      <c r="V152" s="355">
        <f>V149</f>
        <v>135.56710470150102</v>
      </c>
      <c r="W152" s="6"/>
    </row>
    <row r="153" spans="1:23" ht="14" x14ac:dyDescent="0.3">
      <c r="A153" s="318"/>
      <c r="B153" s="318"/>
      <c r="C153" s="318"/>
      <c r="D153" s="318"/>
      <c r="E153" s="318"/>
      <c r="F153" s="318"/>
      <c r="G153" s="318"/>
      <c r="H153" s="318"/>
      <c r="I153" s="318"/>
      <c r="J153" s="318"/>
      <c r="K153" s="318"/>
      <c r="L153" s="318"/>
      <c r="P153" s="246" t="s">
        <v>62</v>
      </c>
      <c r="Q153" s="244">
        <v>15</v>
      </c>
      <c r="R153" s="246"/>
      <c r="S153" s="355">
        <f>1/(SQRT(1+(SIGMA_ZETA/N_2)*(S152/d^2)^2))</f>
        <v>0.9988289022800465</v>
      </c>
      <c r="T153" s="355">
        <f>1/(SQRT(1+(SIGMA_ZETA/N_2)*(T152/d^2)^2))</f>
        <v>0.99122790322681231</v>
      </c>
      <c r="U153" s="355">
        <f>1/(SQRT(1+(SIGMA_ZETA/N_2)*(U152/d^2)^2))</f>
        <v>0.957024201817536</v>
      </c>
      <c r="V153" s="355">
        <f>1/(SQRT(1+(SIGMA_ZETA/N_2)*(V152/d^2)^2))</f>
        <v>0.90717979875559507</v>
      </c>
      <c r="W153" s="6"/>
    </row>
    <row r="154" spans="1:23" ht="14" x14ac:dyDescent="0.3">
      <c r="A154" s="318"/>
      <c r="B154" s="318"/>
      <c r="C154" s="318"/>
      <c r="D154" s="318"/>
      <c r="E154" s="318"/>
      <c r="F154" s="318"/>
      <c r="G154" s="318"/>
      <c r="H154" s="318"/>
      <c r="I154" s="318"/>
      <c r="J154" s="318"/>
      <c r="K154" s="318"/>
      <c r="L154" s="318"/>
      <c r="P154" s="246" t="s">
        <v>65</v>
      </c>
      <c r="R154" s="246"/>
      <c r="S154" s="355"/>
      <c r="T154" s="355"/>
      <c r="U154" s="355"/>
      <c r="V154" s="355"/>
      <c r="W154" s="6"/>
    </row>
    <row r="155" spans="1:23" ht="14" x14ac:dyDescent="0.3">
      <c r="A155" s="318"/>
      <c r="B155" s="318"/>
      <c r="C155" s="318"/>
      <c r="D155" s="318"/>
      <c r="E155" s="318"/>
      <c r="F155" s="318"/>
      <c r="G155" s="318"/>
      <c r="H155" s="318"/>
      <c r="I155" s="318"/>
      <c r="J155" s="318"/>
      <c r="K155" s="318"/>
      <c r="L155" s="318"/>
      <c r="P155" s="246" t="s">
        <v>67</v>
      </c>
      <c r="Q155" s="244">
        <v>21</v>
      </c>
      <c r="R155" s="246"/>
      <c r="S155" s="355">
        <f>F_L/SQRT(1+((F_L^2/N_2)*SIGMA_ZETA_1*(S152/d^2)^2))</f>
        <v>0.91868329719081188</v>
      </c>
      <c r="T155" s="355">
        <f>E$9/SQRT(1+((E$9^2/N_2)*SIGMA_ZETA_1*(T152/d^2)^2))</f>
        <v>0.88108433140201292</v>
      </c>
      <c r="U155" s="355">
        <f>F$9/SQRT(1+((F$9^2/N_2)*SIGMA_ZETA_1*(U152/d^2)^2))</f>
        <v>0.79449455771979816</v>
      </c>
      <c r="V155" s="355">
        <f>G$9/SQRT(1+((G$9^2/N_2)*SIGMA_ZETA_1*(V152/d^2)^2))</f>
        <v>0.71531554432907163</v>
      </c>
      <c r="W155" s="6"/>
    </row>
    <row r="156" spans="1:23" ht="14" x14ac:dyDescent="0.3">
      <c r="A156" s="318"/>
      <c r="B156" s="318"/>
      <c r="C156" s="318"/>
      <c r="D156" s="318"/>
      <c r="E156" s="318"/>
      <c r="F156" s="318"/>
      <c r="G156" s="318"/>
      <c r="H156" s="318"/>
      <c r="I156" s="318"/>
      <c r="J156" s="318"/>
      <c r="K156" s="318"/>
      <c r="L156" s="318"/>
      <c r="P156" s="246" t="s">
        <v>69</v>
      </c>
      <c r="Q156" s="244">
        <v>1</v>
      </c>
      <c r="R156" s="246"/>
      <c r="S156" s="355">
        <f>(Q/(N_1*S153)*(SQRT(G/DELTA_P)))</f>
        <v>14.158716864768749</v>
      </c>
      <c r="T156" s="355">
        <f>(E$3/(N_1*T153)*(SQRT(E$6/E$5)))</f>
        <v>38.973489540193512</v>
      </c>
      <c r="U156" s="355">
        <f>(F$3/(N_1*U153)*(SQRT(F$6/F$5)))</f>
        <v>88.576348578178795</v>
      </c>
      <c r="V156" s="355">
        <f>(G$3/(N_1*V153)*(SQRT(G$6/G$5)))</f>
        <v>135.56710470315676</v>
      </c>
      <c r="W156" s="6"/>
    </row>
    <row r="157" spans="1:23" ht="14" x14ac:dyDescent="0.3">
      <c r="A157" s="318"/>
      <c r="B157" s="318"/>
      <c r="C157" s="318"/>
      <c r="D157" s="318"/>
      <c r="E157" s="318"/>
      <c r="F157" s="318"/>
      <c r="G157" s="318"/>
      <c r="H157" s="318"/>
      <c r="I157" s="318"/>
      <c r="J157" s="318"/>
      <c r="K157" s="318"/>
      <c r="L157" s="318"/>
      <c r="P157" s="246" t="s">
        <v>72</v>
      </c>
      <c r="Q157" s="244">
        <v>1</v>
      </c>
      <c r="R157" s="246"/>
      <c r="S157" s="355">
        <f>(Q/(N_1*S153)*SQRT(G/(S158)))</f>
        <v>11.609794304470123</v>
      </c>
      <c r="T157" s="355">
        <f>(E$3/(N_1*T153)*SQRT(E$6/T158))</f>
        <v>32.609113406809328</v>
      </c>
      <c r="U157" s="355">
        <f>(F$3/(N_1*U153)*SQRT(F$6/U158))</f>
        <v>75.099742474848483</v>
      </c>
      <c r="V157" s="355">
        <f>(G$3/(N_1*V153)*SQRT(G$6/V158))</f>
        <v>113.04789585568389</v>
      </c>
      <c r="W157" s="6"/>
    </row>
    <row r="158" spans="1:23" ht="14" x14ac:dyDescent="0.3">
      <c r="A158" s="318"/>
      <c r="B158" s="318"/>
      <c r="C158" s="318"/>
      <c r="D158" s="318"/>
      <c r="E158" s="318"/>
      <c r="F158" s="318"/>
      <c r="G158" s="318"/>
      <c r="H158" s="318"/>
      <c r="I158" s="318"/>
      <c r="J158" s="318"/>
      <c r="K158" s="318"/>
      <c r="L158" s="318"/>
      <c r="P158" s="246" t="s">
        <v>75</v>
      </c>
      <c r="Q158" s="244">
        <v>3</v>
      </c>
      <c r="R158" s="246"/>
      <c r="S158" s="355">
        <f>(S155/S153)^2*(P_1-(F_F*P_V))</f>
        <v>47.593618181101121</v>
      </c>
      <c r="T158" s="355">
        <f>(T155/T153)^2*(E$4-(T$4*E$7))</f>
        <v>43.424436007818777</v>
      </c>
      <c r="U158" s="355">
        <f>(U155/U153)^2*(F$4-(U$4*F$7))</f>
        <v>34.638413948646722</v>
      </c>
      <c r="V158" s="355">
        <f>(V155/V153)^2*(G$4-(V$4*G$7))</f>
        <v>28.761641650515145</v>
      </c>
      <c r="W158" s="6"/>
    </row>
    <row r="159" spans="1:23" ht="14" x14ac:dyDescent="0.3">
      <c r="A159" s="318"/>
      <c r="B159" s="318"/>
      <c r="C159" s="318"/>
      <c r="D159" s="318"/>
      <c r="E159" s="318"/>
      <c r="F159" s="318"/>
      <c r="G159" s="318"/>
      <c r="H159" s="318"/>
      <c r="I159" s="318"/>
      <c r="J159" s="318"/>
      <c r="K159" s="318"/>
      <c r="L159" s="318"/>
      <c r="P159" s="246" t="s">
        <v>29</v>
      </c>
      <c r="R159" s="246"/>
      <c r="S159" s="355">
        <f>IF(DELTA_P&lt;S158,S156,S157)</f>
        <v>14.158716864768749</v>
      </c>
      <c r="T159" s="355">
        <f>IF(E$5&lt;T158,T156,T157)</f>
        <v>38.973489540193512</v>
      </c>
      <c r="U159" s="355">
        <f>IF(F$5&lt;U158,U156,U157)</f>
        <v>88.576348578178795</v>
      </c>
      <c r="V159" s="355">
        <f>IF(G$5&lt;V158,V156,V157)</f>
        <v>135.56710470315676</v>
      </c>
      <c r="W159" s="6"/>
    </row>
    <row r="160" spans="1:23" ht="14" x14ac:dyDescent="0.3">
      <c r="A160" s="318"/>
      <c r="B160" s="318"/>
      <c r="C160" s="318"/>
      <c r="D160" s="318"/>
      <c r="E160" s="318"/>
      <c r="F160" s="318"/>
      <c r="G160" s="318"/>
      <c r="H160" s="318"/>
      <c r="I160" s="318"/>
      <c r="J160" s="318"/>
      <c r="K160" s="318"/>
      <c r="L160" s="318"/>
      <c r="P160" s="246" t="s">
        <v>81</v>
      </c>
      <c r="R160" s="246"/>
      <c r="S160" s="355">
        <f>S152/S159</f>
        <v>1</v>
      </c>
      <c r="T160" s="355">
        <f>T152/T159</f>
        <v>1</v>
      </c>
      <c r="U160" s="355">
        <f>U152/U159</f>
        <v>0.99999999999999967</v>
      </c>
      <c r="V160" s="355">
        <f>V152/V159</f>
        <v>0.99999999998778655</v>
      </c>
      <c r="W160" s="6"/>
    </row>
    <row r="161" spans="1:23" ht="14" x14ac:dyDescent="0.3">
      <c r="A161" s="318"/>
      <c r="B161" s="318"/>
      <c r="C161" s="318"/>
      <c r="D161" s="318"/>
      <c r="E161" s="318"/>
      <c r="F161" s="318"/>
      <c r="G161" s="318"/>
      <c r="H161" s="318"/>
      <c r="I161" s="318"/>
      <c r="J161" s="318"/>
      <c r="K161" s="318"/>
      <c r="L161" s="318"/>
      <c r="P161" s="246"/>
      <c r="R161" s="246"/>
      <c r="S161" s="355"/>
      <c r="T161" s="355"/>
      <c r="U161" s="355"/>
      <c r="V161" s="355"/>
      <c r="W161" s="6"/>
    </row>
    <row r="162" spans="1:23" ht="14" x14ac:dyDescent="0.3">
      <c r="A162" s="318"/>
      <c r="B162" s="318"/>
      <c r="C162" s="318"/>
      <c r="D162" s="318"/>
      <c r="E162" s="318"/>
      <c r="F162" s="318"/>
      <c r="G162" s="318"/>
      <c r="H162" s="318"/>
      <c r="I162" s="318"/>
      <c r="J162" s="318"/>
      <c r="K162" s="318"/>
      <c r="L162" s="318"/>
      <c r="P162" s="246" t="s">
        <v>60</v>
      </c>
      <c r="R162" s="246"/>
      <c r="S162" s="355">
        <f>S159</f>
        <v>14.158716864768749</v>
      </c>
      <c r="T162" s="355">
        <f>T159</f>
        <v>38.973489540193512</v>
      </c>
      <c r="U162" s="355">
        <f>U159</f>
        <v>88.576348578178795</v>
      </c>
      <c r="V162" s="355">
        <f>V159</f>
        <v>135.56710470315676</v>
      </c>
      <c r="W162" s="6"/>
    </row>
    <row r="163" spans="1:23" ht="14" x14ac:dyDescent="0.3">
      <c r="A163" s="318"/>
      <c r="B163" s="318"/>
      <c r="C163" s="318"/>
      <c r="D163" s="318"/>
      <c r="E163" s="318"/>
      <c r="F163" s="318"/>
      <c r="G163" s="318"/>
      <c r="H163" s="318"/>
      <c r="I163" s="318"/>
      <c r="J163" s="318"/>
      <c r="K163" s="318"/>
      <c r="L163" s="318"/>
      <c r="P163" s="246" t="s">
        <v>62</v>
      </c>
      <c r="Q163" s="244">
        <v>15</v>
      </c>
      <c r="R163" s="246"/>
      <c r="S163" s="355">
        <f>1/(SQRT(1+(SIGMA_ZETA/N_2)*(S162/d^2)^2))</f>
        <v>0.9988289022800465</v>
      </c>
      <c r="T163" s="355">
        <f>1/(SQRT(1+(SIGMA_ZETA/N_2)*(T162/d^2)^2))</f>
        <v>0.99122790322681231</v>
      </c>
      <c r="U163" s="355">
        <f>1/(SQRT(1+(SIGMA_ZETA/N_2)*(U162/d^2)^2))</f>
        <v>0.957024201817536</v>
      </c>
      <c r="V163" s="355">
        <f>1/(SQRT(1+(SIGMA_ZETA/N_2)*(V162/d^2)^2))</f>
        <v>0.90717979875363353</v>
      </c>
      <c r="W163" s="6"/>
    </row>
    <row r="164" spans="1:23" ht="14" x14ac:dyDescent="0.3">
      <c r="A164" s="318"/>
      <c r="B164" s="318"/>
      <c r="C164" s="318"/>
      <c r="D164" s="318"/>
      <c r="E164" s="318"/>
      <c r="F164" s="318"/>
      <c r="G164" s="318"/>
      <c r="H164" s="318"/>
      <c r="I164" s="318"/>
      <c r="J164" s="318"/>
      <c r="K164" s="318"/>
      <c r="L164" s="318"/>
      <c r="P164" s="246" t="s">
        <v>65</v>
      </c>
      <c r="R164" s="246"/>
      <c r="S164" s="355"/>
      <c r="T164" s="355"/>
      <c r="U164" s="355"/>
      <c r="V164" s="355"/>
      <c r="W164" s="6"/>
    </row>
    <row r="165" spans="1:23" ht="14" x14ac:dyDescent="0.3">
      <c r="A165" s="318"/>
      <c r="B165" s="318"/>
      <c r="C165" s="318"/>
      <c r="D165" s="318"/>
      <c r="E165" s="318"/>
      <c r="F165" s="318"/>
      <c r="G165" s="318"/>
      <c r="H165" s="318"/>
      <c r="I165" s="318"/>
      <c r="J165" s="318"/>
      <c r="K165" s="318"/>
      <c r="L165" s="318"/>
      <c r="P165" s="246" t="s">
        <v>67</v>
      </c>
      <c r="Q165" s="244">
        <v>21</v>
      </c>
      <c r="R165" s="246"/>
      <c r="S165" s="355">
        <f>F_L/SQRT(1+((F_L^2/N_2)*SIGMA_ZETA_1*(S162/d^2)^2))</f>
        <v>0.91868329719081188</v>
      </c>
      <c r="T165" s="355">
        <f>E$9/SQRT(1+((E$9^2/N_2)*SIGMA_ZETA_1*(T162/d^2)^2))</f>
        <v>0.88108433140201292</v>
      </c>
      <c r="U165" s="355">
        <f>F$9/SQRT(1+((F$9^2/N_2)*SIGMA_ZETA_1*(U162/d^2)^2))</f>
        <v>0.79449455771979816</v>
      </c>
      <c r="V165" s="355">
        <f>G$9/SQRT(1+((G$9^2/N_2)*SIGMA_ZETA_1*(V162/d^2)^2))</f>
        <v>0.71531554432768274</v>
      </c>
      <c r="W165" s="6"/>
    </row>
    <row r="166" spans="1:23" ht="14" x14ac:dyDescent="0.3">
      <c r="A166" s="318"/>
      <c r="B166" s="318"/>
      <c r="C166" s="318"/>
      <c r="D166" s="318"/>
      <c r="E166" s="318"/>
      <c r="F166" s="318"/>
      <c r="G166" s="318"/>
      <c r="H166" s="318"/>
      <c r="I166" s="318"/>
      <c r="J166" s="318"/>
      <c r="K166" s="318"/>
      <c r="L166" s="318"/>
      <c r="P166" s="246" t="s">
        <v>69</v>
      </c>
      <c r="Q166" s="244">
        <v>1</v>
      </c>
      <c r="R166" s="246"/>
      <c r="S166" s="355">
        <f>(Q/(N_1*S163)*(SQRT(G/DELTA_P)))</f>
        <v>14.158716864768749</v>
      </c>
      <c r="T166" s="355">
        <f>(E$3/(N_1*T163)*(SQRT(E$6/E$5)))</f>
        <v>38.973489540193512</v>
      </c>
      <c r="U166" s="355">
        <f>(F$3/(N_1*U163)*(SQRT(F$6/F$5)))</f>
        <v>88.576348578178795</v>
      </c>
      <c r="V166" s="355">
        <f>(G$3/(N_1*V163)*(SQRT(G$6/G$5)))</f>
        <v>135.56710470344987</v>
      </c>
      <c r="W166" s="6"/>
    </row>
    <row r="167" spans="1:23" ht="14" x14ac:dyDescent="0.3">
      <c r="A167" s="318"/>
      <c r="B167" s="318"/>
      <c r="C167" s="318"/>
      <c r="D167" s="318"/>
      <c r="E167" s="318"/>
      <c r="F167" s="318"/>
      <c r="G167" s="318"/>
      <c r="H167" s="318"/>
      <c r="I167" s="318"/>
      <c r="J167" s="318"/>
      <c r="K167" s="318"/>
      <c r="L167" s="318"/>
      <c r="P167" s="246" t="s">
        <v>72</v>
      </c>
      <c r="Q167" s="244">
        <v>1</v>
      </c>
      <c r="R167" s="246"/>
      <c r="S167" s="355">
        <f>(Q/(N_1*S163)*SQRT(G/(S168)))</f>
        <v>11.609794304470123</v>
      </c>
      <c r="T167" s="355">
        <f>(E$3/(N_1*T163)*SQRT(E$6/T168))</f>
        <v>32.609113406809328</v>
      </c>
      <c r="U167" s="355">
        <f>(F$3/(N_1*U163)*SQRT(F$6/U168))</f>
        <v>75.099742474848483</v>
      </c>
      <c r="V167" s="355">
        <f>(G$3/(N_1*V163)*SQRT(G$6/V168))</f>
        <v>113.04789585590341</v>
      </c>
      <c r="W167" s="6"/>
    </row>
    <row r="168" spans="1:23" ht="14" x14ac:dyDescent="0.3">
      <c r="A168" s="318"/>
      <c r="B168" s="318"/>
      <c r="C168" s="318"/>
      <c r="D168" s="318"/>
      <c r="E168" s="318"/>
      <c r="F168" s="318"/>
      <c r="G168" s="318"/>
      <c r="H168" s="318"/>
      <c r="I168" s="318"/>
      <c r="J168" s="318"/>
      <c r="K168" s="318"/>
      <c r="L168" s="318"/>
      <c r="P168" s="246" t="s">
        <v>75</v>
      </c>
      <c r="Q168" s="244">
        <v>3</v>
      </c>
      <c r="R168" s="246"/>
      <c r="S168" s="355">
        <f>(S165/S163)^2*(P_1-(F_F*P_V))</f>
        <v>47.593618181101121</v>
      </c>
      <c r="T168" s="355">
        <f>(T165/T163)^2*(E$4-(T$4*E$7))</f>
        <v>43.424436007818777</v>
      </c>
      <c r="U168" s="355">
        <f>(U165/U163)^2*(F$4-(U$4*F$7))</f>
        <v>34.638413948646722</v>
      </c>
      <c r="V168" s="355">
        <f>(V165/V163)^2*(G$4-(V$4*G$7))</f>
        <v>28.761641650527835</v>
      </c>
      <c r="W168" s="6"/>
    </row>
    <row r="169" spans="1:23" ht="14" x14ac:dyDescent="0.3">
      <c r="A169" s="318"/>
      <c r="B169" s="318"/>
      <c r="C169" s="318"/>
      <c r="D169" s="318"/>
      <c r="E169" s="318"/>
      <c r="F169" s="318"/>
      <c r="G169" s="318"/>
      <c r="H169" s="318"/>
      <c r="I169" s="318"/>
      <c r="J169" s="318"/>
      <c r="K169" s="318"/>
      <c r="L169" s="318"/>
      <c r="P169" s="246" t="s">
        <v>29</v>
      </c>
      <c r="R169" s="246"/>
      <c r="S169" s="355">
        <f>IF(DELTA_P&lt;S168,S166,S167)</f>
        <v>14.158716864768749</v>
      </c>
      <c r="T169" s="355">
        <f>IF(E$5&lt;T168,T166,T167)</f>
        <v>38.973489540193512</v>
      </c>
      <c r="U169" s="355">
        <f>IF(F$5&lt;U168,U166,U167)</f>
        <v>88.576348578178795</v>
      </c>
      <c r="V169" s="355">
        <f>IF(G$5&lt;V168,V166,V167)</f>
        <v>135.56710470344987</v>
      </c>
      <c r="W169" s="6"/>
    </row>
    <row r="170" spans="1:23" ht="14" x14ac:dyDescent="0.3">
      <c r="A170" s="318"/>
      <c r="B170" s="318"/>
      <c r="C170" s="318"/>
      <c r="D170" s="318"/>
      <c r="E170" s="318"/>
      <c r="F170" s="318"/>
      <c r="G170" s="318"/>
      <c r="H170" s="318"/>
      <c r="I170" s="318"/>
      <c r="J170" s="318"/>
      <c r="K170" s="318"/>
      <c r="L170" s="318"/>
      <c r="P170" s="246" t="s">
        <v>81</v>
      </c>
      <c r="R170" s="246"/>
      <c r="S170" s="355">
        <f>S162/S169</f>
        <v>1</v>
      </c>
      <c r="T170" s="355">
        <f>T162/T169</f>
        <v>1</v>
      </c>
      <c r="U170" s="355">
        <f>U162/U169</f>
        <v>1</v>
      </c>
      <c r="V170" s="355">
        <f>V162/V169</f>
        <v>0.99999999999783784</v>
      </c>
      <c r="W170" s="6"/>
    </row>
    <row r="171" spans="1:23" ht="14" x14ac:dyDescent="0.3">
      <c r="A171" s="318"/>
      <c r="B171" s="318"/>
      <c r="C171" s="318"/>
      <c r="D171" s="318"/>
      <c r="E171" s="318"/>
      <c r="F171" s="318"/>
      <c r="G171" s="318"/>
      <c r="H171" s="318"/>
      <c r="I171" s="318"/>
      <c r="J171" s="318"/>
      <c r="K171" s="318"/>
      <c r="L171" s="318"/>
      <c r="P171" s="246"/>
      <c r="R171" s="246"/>
      <c r="S171" s="355"/>
      <c r="T171" s="355"/>
      <c r="U171" s="355"/>
      <c r="V171" s="355"/>
      <c r="W171" s="6"/>
    </row>
    <row r="172" spans="1:23" ht="14" x14ac:dyDescent="0.3">
      <c r="A172" s="318"/>
      <c r="B172" s="318"/>
      <c r="C172" s="318"/>
      <c r="D172" s="318"/>
      <c r="E172" s="318"/>
      <c r="F172" s="318"/>
      <c r="G172" s="318"/>
      <c r="H172" s="318"/>
      <c r="I172" s="318"/>
      <c r="J172" s="318"/>
      <c r="K172" s="318"/>
      <c r="L172" s="318"/>
      <c r="P172" s="246" t="s">
        <v>60</v>
      </c>
      <c r="R172" s="246"/>
      <c r="S172" s="355">
        <f>S169</f>
        <v>14.158716864768749</v>
      </c>
      <c r="T172" s="355">
        <f>T169</f>
        <v>38.973489540193512</v>
      </c>
      <c r="U172" s="355">
        <f>U169</f>
        <v>88.576348578178795</v>
      </c>
      <c r="V172" s="355">
        <f>V169</f>
        <v>135.56710470344987</v>
      </c>
      <c r="W172" s="6"/>
    </row>
    <row r="173" spans="1:23" ht="14" x14ac:dyDescent="0.3">
      <c r="A173" s="318"/>
      <c r="B173" s="318"/>
      <c r="C173" s="318"/>
      <c r="D173" s="318"/>
      <c r="E173" s="318"/>
      <c r="F173" s="318"/>
      <c r="G173" s="318"/>
      <c r="H173" s="318"/>
      <c r="I173" s="318"/>
      <c r="J173" s="318"/>
      <c r="K173" s="318"/>
      <c r="L173" s="318"/>
      <c r="P173" s="246" t="s">
        <v>62</v>
      </c>
      <c r="Q173" s="244">
        <v>15</v>
      </c>
      <c r="R173" s="246"/>
      <c r="S173" s="355">
        <f>1/(SQRT(1+(SIGMA_ZETA/N_2)*(S172/d^2)^2))</f>
        <v>0.9988289022800465</v>
      </c>
      <c r="T173" s="355">
        <f>1/(SQRT(1+(SIGMA_ZETA/N_2)*(T172/d^2)^2))</f>
        <v>0.99122790322681231</v>
      </c>
      <c r="U173" s="355">
        <f>1/(SQRT(1+(SIGMA_ZETA/N_2)*(U172/d^2)^2))</f>
        <v>0.957024201817536</v>
      </c>
      <c r="V173" s="355">
        <f>1/(SQRT(1+(SIGMA_ZETA/N_2)*(V172/d^2)^2))</f>
        <v>0.90717979875328636</v>
      </c>
      <c r="W173" s="6"/>
    </row>
    <row r="174" spans="1:23" ht="14" x14ac:dyDescent="0.3">
      <c r="A174" s="318"/>
      <c r="B174" s="318"/>
      <c r="C174" s="318"/>
      <c r="D174" s="318"/>
      <c r="E174" s="318"/>
      <c r="F174" s="318"/>
      <c r="G174" s="318"/>
      <c r="H174" s="318"/>
      <c r="I174" s="318"/>
      <c r="J174" s="318"/>
      <c r="K174" s="318"/>
      <c r="L174" s="318"/>
      <c r="P174" s="246" t="s">
        <v>65</v>
      </c>
      <c r="R174" s="246"/>
      <c r="S174" s="355"/>
      <c r="T174" s="355"/>
      <c r="U174" s="355"/>
      <c r="V174" s="355"/>
      <c r="W174" s="6"/>
    </row>
    <row r="175" spans="1:23" ht="14" x14ac:dyDescent="0.3">
      <c r="A175" s="318"/>
      <c r="B175" s="318"/>
      <c r="C175" s="318"/>
      <c r="D175" s="318"/>
      <c r="E175" s="318"/>
      <c r="F175" s="318"/>
      <c r="G175" s="318"/>
      <c r="H175" s="318"/>
      <c r="I175" s="318"/>
      <c r="J175" s="318"/>
      <c r="K175" s="318"/>
      <c r="L175" s="318"/>
      <c r="P175" s="246" t="s">
        <v>67</v>
      </c>
      <c r="Q175" s="244">
        <v>21</v>
      </c>
      <c r="R175" s="246"/>
      <c r="S175" s="355">
        <f>F_L/SQRT(1+((F_L^2/N_2)*SIGMA_ZETA_1*(S172/d^2)^2))</f>
        <v>0.91868329719081188</v>
      </c>
      <c r="T175" s="355">
        <f>E$9/SQRT(1+((E$9^2/N_2)*SIGMA_ZETA_1*(T172/d^2)^2))</f>
        <v>0.88108433140201292</v>
      </c>
      <c r="U175" s="355">
        <f>F$9/SQRT(1+((F$9^2/N_2)*SIGMA_ZETA_1*(U172/d^2)^2))</f>
        <v>0.79449455771979816</v>
      </c>
      <c r="V175" s="355">
        <f>G$9/SQRT(1+((G$9^2/N_2)*SIGMA_ZETA_1*(V172/d^2)^2))</f>
        <v>0.71531554432743683</v>
      </c>
      <c r="W175" s="6"/>
    </row>
    <row r="176" spans="1:23" ht="14" x14ac:dyDescent="0.3">
      <c r="A176" s="318"/>
      <c r="B176" s="318"/>
      <c r="C176" s="318"/>
      <c r="D176" s="318"/>
      <c r="E176" s="318"/>
      <c r="F176" s="318"/>
      <c r="G176" s="318"/>
      <c r="H176" s="318"/>
      <c r="I176" s="318"/>
      <c r="J176" s="318"/>
      <c r="K176" s="318"/>
      <c r="L176" s="318"/>
      <c r="P176" s="246" t="s">
        <v>69</v>
      </c>
      <c r="Q176" s="244">
        <v>1</v>
      </c>
      <c r="R176" s="246"/>
      <c r="S176" s="355">
        <f>(Q/(N_1*S173)*(SQRT(G/DELTA_P)))</f>
        <v>14.158716864768749</v>
      </c>
      <c r="T176" s="355">
        <f>(E$3/(N_1*T173)*(SQRT(E$6/E$5)))</f>
        <v>38.973489540193512</v>
      </c>
      <c r="U176" s="355">
        <f>(F$3/(N_1*U173)*(SQRT(F$6/F$5)))</f>
        <v>88.576348578178795</v>
      </c>
      <c r="V176" s="355">
        <f>(G$3/(N_1*V173)*(SQRT(G$6/G$5)))</f>
        <v>135.56710470350177</v>
      </c>
      <c r="W176" s="6"/>
    </row>
    <row r="177" spans="1:23" ht="14" x14ac:dyDescent="0.3">
      <c r="A177" s="318"/>
      <c r="B177" s="318"/>
      <c r="C177" s="318"/>
      <c r="D177" s="318"/>
      <c r="E177" s="318"/>
      <c r="F177" s="318"/>
      <c r="G177" s="318"/>
      <c r="H177" s="318"/>
      <c r="I177" s="318"/>
      <c r="J177" s="318"/>
      <c r="K177" s="318"/>
      <c r="L177" s="318"/>
      <c r="P177" s="246" t="s">
        <v>72</v>
      </c>
      <c r="Q177" s="244">
        <v>1</v>
      </c>
      <c r="R177" s="246"/>
      <c r="S177" s="355">
        <f>(Q/(N_1*S173)*SQRT(G/(S178)))</f>
        <v>11.609794304470123</v>
      </c>
      <c r="T177" s="355">
        <f>(E$3/(N_1*T173)*SQRT(E$6/T178))</f>
        <v>32.609113406809328</v>
      </c>
      <c r="U177" s="355">
        <f>(F$3/(N_1*U173)*SQRT(F$6/U178))</f>
        <v>75.099742474848483</v>
      </c>
      <c r="V177" s="355">
        <f>(G$3/(N_1*V173)*SQRT(G$6/V178))</f>
        <v>113.04789585594226</v>
      </c>
      <c r="W177" s="6"/>
    </row>
    <row r="178" spans="1:23" ht="14" x14ac:dyDescent="0.3">
      <c r="A178" s="318"/>
      <c r="B178" s="318"/>
      <c r="C178" s="318"/>
      <c r="D178" s="318"/>
      <c r="E178" s="318"/>
      <c r="F178" s="318"/>
      <c r="G178" s="318"/>
      <c r="H178" s="318"/>
      <c r="I178" s="318"/>
      <c r="J178" s="318"/>
      <c r="K178" s="318"/>
      <c r="L178" s="318"/>
      <c r="P178" s="246" t="s">
        <v>75</v>
      </c>
      <c r="Q178" s="244">
        <v>3</v>
      </c>
      <c r="R178" s="246"/>
      <c r="S178" s="355">
        <f>(S175/S173)^2*(P_1-(F_F*P_V))</f>
        <v>47.593618181101121</v>
      </c>
      <c r="T178" s="355">
        <f>(T175/T173)^2*(E$4-(T$4*E$7))</f>
        <v>43.424436007818777</v>
      </c>
      <c r="U178" s="355">
        <f>(U175/U173)^2*(F$4-(U$4*F$7))</f>
        <v>34.638413948646722</v>
      </c>
      <c r="V178" s="355">
        <f>(V175/V173)^2*(G$4-(V$4*G$7))</f>
        <v>28.76164165053007</v>
      </c>
      <c r="W178" s="6"/>
    </row>
    <row r="179" spans="1:23" ht="14" x14ac:dyDescent="0.3">
      <c r="A179" s="318"/>
      <c r="B179" s="318"/>
      <c r="C179" s="318"/>
      <c r="D179" s="318"/>
      <c r="E179" s="318"/>
      <c r="F179" s="318"/>
      <c r="G179" s="318"/>
      <c r="H179" s="318"/>
      <c r="I179" s="318"/>
      <c r="J179" s="318"/>
      <c r="K179" s="318"/>
      <c r="L179" s="318"/>
      <c r="P179" s="246" t="s">
        <v>29</v>
      </c>
      <c r="R179" s="246"/>
      <c r="S179" s="355">
        <f>IF(DELTA_P&lt;S178,S176,S177)</f>
        <v>14.158716864768749</v>
      </c>
      <c r="T179" s="355">
        <f>IF(E$5&lt;T178,T176,T177)</f>
        <v>38.973489540193512</v>
      </c>
      <c r="U179" s="355">
        <f>IF(F$5&lt;U178,U176,U177)</f>
        <v>88.576348578178795</v>
      </c>
      <c r="V179" s="355">
        <f>IF(G$5&lt;V178,V176,V177)</f>
        <v>135.56710470350177</v>
      </c>
      <c r="W179" s="6"/>
    </row>
    <row r="180" spans="1:23" ht="14" x14ac:dyDescent="0.3">
      <c r="A180" s="318"/>
      <c r="B180" s="318"/>
      <c r="C180" s="318"/>
      <c r="D180" s="318"/>
      <c r="E180" s="318"/>
      <c r="F180" s="318"/>
      <c r="G180" s="318"/>
      <c r="H180" s="318"/>
      <c r="I180" s="318"/>
      <c r="J180" s="318"/>
      <c r="K180" s="318"/>
      <c r="L180" s="318"/>
      <c r="P180" s="246" t="s">
        <v>81</v>
      </c>
      <c r="R180" s="246"/>
      <c r="S180" s="355">
        <f>S172/S179</f>
        <v>1</v>
      </c>
      <c r="T180" s="355">
        <f>T172/T179</f>
        <v>1</v>
      </c>
      <c r="U180" s="355">
        <f>U172/U179</f>
        <v>1</v>
      </c>
      <c r="V180" s="355">
        <f>V172/V179</f>
        <v>0.9999999999996172</v>
      </c>
      <c r="W180" s="6"/>
    </row>
    <row r="181" spans="1:23" ht="14" x14ac:dyDescent="0.3">
      <c r="A181" s="318"/>
      <c r="B181" s="318"/>
      <c r="C181" s="318"/>
      <c r="D181" s="318"/>
      <c r="E181" s="318"/>
      <c r="F181" s="318"/>
      <c r="G181" s="318"/>
      <c r="H181" s="318"/>
      <c r="I181" s="318"/>
      <c r="J181" s="318"/>
      <c r="K181" s="318"/>
      <c r="L181" s="318"/>
      <c r="P181" s="246"/>
      <c r="R181" s="246"/>
      <c r="S181" s="355"/>
      <c r="T181" s="355"/>
      <c r="U181" s="355"/>
      <c r="V181" s="355"/>
      <c r="W181" s="6"/>
    </row>
    <row r="182" spans="1:23" ht="14" x14ac:dyDescent="0.3">
      <c r="A182" s="318"/>
      <c r="B182" s="318"/>
      <c r="C182" s="318"/>
      <c r="D182" s="318"/>
      <c r="E182" s="318"/>
      <c r="F182" s="318"/>
      <c r="G182" s="318"/>
      <c r="H182" s="318"/>
      <c r="I182" s="318"/>
      <c r="J182" s="318"/>
      <c r="K182" s="318"/>
      <c r="L182" s="318"/>
      <c r="P182" s="246" t="s">
        <v>60</v>
      </c>
      <c r="R182" s="246"/>
      <c r="S182" s="355">
        <f>S179</f>
        <v>14.158716864768749</v>
      </c>
      <c r="T182" s="355">
        <f>T179</f>
        <v>38.973489540193512</v>
      </c>
      <c r="U182" s="355">
        <f>U179</f>
        <v>88.576348578178795</v>
      </c>
      <c r="V182" s="355">
        <f>V179</f>
        <v>135.56710470350177</v>
      </c>
      <c r="W182" s="6"/>
    </row>
    <row r="183" spans="1:23" ht="14" x14ac:dyDescent="0.3">
      <c r="A183" s="318"/>
      <c r="B183" s="318"/>
      <c r="C183" s="318"/>
      <c r="D183" s="318"/>
      <c r="E183" s="318"/>
      <c r="F183" s="318"/>
      <c r="G183" s="318"/>
      <c r="H183" s="318"/>
      <c r="I183" s="318"/>
      <c r="J183" s="318"/>
      <c r="K183" s="318"/>
      <c r="L183" s="318"/>
      <c r="P183" s="246" t="s">
        <v>62</v>
      </c>
      <c r="Q183" s="244">
        <v>15</v>
      </c>
      <c r="R183" s="246"/>
      <c r="S183" s="355">
        <f>1/(SQRT(1+(SIGMA_ZETA/N_2)*(S182/d^2)^2))</f>
        <v>0.9988289022800465</v>
      </c>
      <c r="T183" s="355">
        <f>1/(SQRT(1+(SIGMA_ZETA/N_2)*(T182/d^2)^2))</f>
        <v>0.99122790322681231</v>
      </c>
      <c r="U183" s="355">
        <f>1/(SQRT(1+(SIGMA_ZETA/N_2)*(U182/d^2)^2))</f>
        <v>0.957024201817536</v>
      </c>
      <c r="V183" s="355">
        <f>1/(SQRT(1+(SIGMA_ZETA/N_2)*(V182/d^2)^2))</f>
        <v>0.90717979875322496</v>
      </c>
      <c r="W183" s="6"/>
    </row>
    <row r="184" spans="1:23" ht="14" x14ac:dyDescent="0.3">
      <c r="A184" s="318"/>
      <c r="B184" s="318"/>
      <c r="C184" s="318"/>
      <c r="D184" s="318"/>
      <c r="E184" s="318"/>
      <c r="F184" s="318"/>
      <c r="G184" s="318"/>
      <c r="H184" s="318"/>
      <c r="I184" s="318"/>
      <c r="J184" s="318"/>
      <c r="K184" s="318"/>
      <c r="L184" s="318"/>
      <c r="P184" s="246" t="s">
        <v>65</v>
      </c>
      <c r="R184" s="246"/>
      <c r="S184" s="355"/>
      <c r="T184" s="355"/>
      <c r="U184" s="355"/>
      <c r="V184" s="355"/>
      <c r="W184" s="6"/>
    </row>
    <row r="185" spans="1:23" ht="14" x14ac:dyDescent="0.3">
      <c r="A185" s="318"/>
      <c r="B185" s="318"/>
      <c r="C185" s="318"/>
      <c r="D185" s="318"/>
      <c r="E185" s="318"/>
      <c r="F185" s="318"/>
      <c r="G185" s="318"/>
      <c r="H185" s="318"/>
      <c r="I185" s="318"/>
      <c r="J185" s="318"/>
      <c r="K185" s="318"/>
      <c r="L185" s="318"/>
      <c r="P185" s="246" t="s">
        <v>67</v>
      </c>
      <c r="Q185" s="244">
        <v>21</v>
      </c>
      <c r="R185" s="246"/>
      <c r="S185" s="355">
        <f>F_L/SQRT(1+((F_L^2/N_2)*SIGMA_ZETA_1*(S182/d^2)^2))</f>
        <v>0.91868329719081188</v>
      </c>
      <c r="T185" s="355">
        <f>E$9/SQRT(1+((E$9^2/N_2)*SIGMA_ZETA_1*(T182/d^2)^2))</f>
        <v>0.88108433140201292</v>
      </c>
      <c r="U185" s="355">
        <f>F$9/SQRT(1+((F$9^2/N_2)*SIGMA_ZETA_1*(U182/d^2)^2))</f>
        <v>0.79449455771979816</v>
      </c>
      <c r="V185" s="355">
        <f>G$9/SQRT(1+((G$9^2/N_2)*SIGMA_ZETA_1*(V182/d^2)^2))</f>
        <v>0.7153155443273933</v>
      </c>
      <c r="W185" s="6"/>
    </row>
    <row r="186" spans="1:23" ht="14" x14ac:dyDescent="0.3">
      <c r="A186" s="318"/>
      <c r="B186" s="318"/>
      <c r="C186" s="318"/>
      <c r="D186" s="318"/>
      <c r="E186" s="318"/>
      <c r="F186" s="318"/>
      <c r="G186" s="318"/>
      <c r="H186" s="318"/>
      <c r="I186" s="318"/>
      <c r="J186" s="318"/>
      <c r="K186" s="318"/>
      <c r="L186" s="318"/>
      <c r="P186" s="246" t="s">
        <v>69</v>
      </c>
      <c r="Q186" s="244">
        <v>1</v>
      </c>
      <c r="R186" s="246"/>
      <c r="S186" s="355">
        <f>(Q/(N_1*S183)*(SQRT(G/DELTA_P)))</f>
        <v>14.158716864768749</v>
      </c>
      <c r="T186" s="355">
        <f>(E$3/(N_1*T183)*(SQRT(E$6/E$5)))</f>
        <v>38.973489540193512</v>
      </c>
      <c r="U186" s="355">
        <f>(F$3/(N_1*U183)*(SQRT(F$6/F$5)))</f>
        <v>88.576348578178795</v>
      </c>
      <c r="V186" s="355">
        <f>(G$3/(N_1*V183)*(SQRT(G$6/G$5)))</f>
        <v>135.56710470351095</v>
      </c>
      <c r="W186" s="6"/>
    </row>
    <row r="187" spans="1:23" ht="14" x14ac:dyDescent="0.3">
      <c r="A187" s="318"/>
      <c r="B187" s="318"/>
      <c r="C187" s="318"/>
      <c r="D187" s="318"/>
      <c r="E187" s="318"/>
      <c r="F187" s="318"/>
      <c r="G187" s="318"/>
      <c r="H187" s="318"/>
      <c r="I187" s="318"/>
      <c r="J187" s="318"/>
      <c r="K187" s="318"/>
      <c r="L187" s="318"/>
      <c r="P187" s="246" t="s">
        <v>72</v>
      </c>
      <c r="Q187" s="244">
        <v>1</v>
      </c>
      <c r="R187" s="246"/>
      <c r="S187" s="355">
        <f>(Q/(N_1*S183)*SQRT(G/(S188)))</f>
        <v>11.609794304470123</v>
      </c>
      <c r="T187" s="355">
        <f>(E$3/(N_1*T183)*SQRT(E$6/T188))</f>
        <v>32.609113406809328</v>
      </c>
      <c r="U187" s="355">
        <f>(F$3/(N_1*U183)*SQRT(F$6/U188))</f>
        <v>75.099742474848483</v>
      </c>
      <c r="V187" s="355">
        <f>(G$3/(N_1*V183)*SQRT(G$6/V188))</f>
        <v>113.04789585594915</v>
      </c>
      <c r="W187" s="6"/>
    </row>
    <row r="188" spans="1:23" ht="14" x14ac:dyDescent="0.3">
      <c r="A188" s="318"/>
      <c r="B188" s="318"/>
      <c r="C188" s="318"/>
      <c r="D188" s="318"/>
      <c r="E188" s="318"/>
      <c r="F188" s="318"/>
      <c r="G188" s="318"/>
      <c r="H188" s="318"/>
      <c r="I188" s="318"/>
      <c r="J188" s="318"/>
      <c r="K188" s="318"/>
      <c r="L188" s="318"/>
      <c r="P188" s="246" t="s">
        <v>75</v>
      </c>
      <c r="Q188" s="244">
        <v>3</v>
      </c>
      <c r="R188" s="246"/>
      <c r="S188" s="355">
        <f>(S185/S183)^2*(P_1-(F_F*P_V))</f>
        <v>47.593618181101121</v>
      </c>
      <c r="T188" s="355">
        <f>(T185/T183)^2*(E$4-(T$4*E$7))</f>
        <v>43.424436007818777</v>
      </c>
      <c r="U188" s="355">
        <f>(U185/U183)^2*(F$4-(U$4*F$7))</f>
        <v>34.638413948646722</v>
      </c>
      <c r="V188" s="355">
        <f>(V185/V183)^2*(G$4-(V$4*G$7))</f>
        <v>28.761641650530461</v>
      </c>
      <c r="W188" s="6"/>
    </row>
    <row r="189" spans="1:23" ht="14" x14ac:dyDescent="0.3">
      <c r="A189" s="318"/>
      <c r="B189" s="318"/>
      <c r="C189" s="318"/>
      <c r="D189" s="318"/>
      <c r="E189" s="318"/>
      <c r="F189" s="318"/>
      <c r="G189" s="318"/>
      <c r="H189" s="318"/>
      <c r="I189" s="318"/>
      <c r="J189" s="318"/>
      <c r="K189" s="318"/>
      <c r="L189" s="318"/>
      <c r="P189" s="246" t="s">
        <v>29</v>
      </c>
      <c r="R189" s="246"/>
      <c r="S189" s="355">
        <f>IF(DELTA_P&lt;S188,S186,S187)</f>
        <v>14.158716864768749</v>
      </c>
      <c r="T189" s="355">
        <f>IF(E$5&lt;T188,T186,T187)</f>
        <v>38.973489540193512</v>
      </c>
      <c r="U189" s="355">
        <f>IF(F$5&lt;U188,U186,U187)</f>
        <v>88.576348578178795</v>
      </c>
      <c r="V189" s="355">
        <f>IF(G$5&lt;V188,V186,V187)</f>
        <v>135.56710470351095</v>
      </c>
      <c r="W189" s="6"/>
    </row>
    <row r="190" spans="1:23" ht="14" x14ac:dyDescent="0.3">
      <c r="A190" s="318"/>
      <c r="B190" s="318"/>
      <c r="C190" s="318"/>
      <c r="D190" s="318"/>
      <c r="E190" s="318"/>
      <c r="F190" s="318"/>
      <c r="G190" s="318"/>
      <c r="H190" s="318"/>
      <c r="I190" s="318"/>
      <c r="J190" s="318"/>
      <c r="K190" s="318"/>
      <c r="L190" s="318"/>
      <c r="P190" s="246" t="s">
        <v>81</v>
      </c>
      <c r="R190" s="246"/>
      <c r="S190" s="355">
        <f>S182/S189</f>
        <v>1</v>
      </c>
      <c r="T190" s="355">
        <f>T182/T189</f>
        <v>1</v>
      </c>
      <c r="U190" s="355">
        <f>U182/U189</f>
        <v>1</v>
      </c>
      <c r="V190" s="355">
        <f>V182/V189</f>
        <v>0.99999999999993228</v>
      </c>
      <c r="W190" s="6"/>
    </row>
    <row r="191" spans="1:23" ht="14" x14ac:dyDescent="0.3">
      <c r="A191" s="318"/>
      <c r="B191" s="318"/>
      <c r="C191" s="318"/>
      <c r="D191" s="318"/>
      <c r="E191" s="318"/>
      <c r="F191" s="318"/>
      <c r="G191" s="318"/>
      <c r="H191" s="318"/>
      <c r="I191" s="318"/>
      <c r="J191" s="318"/>
      <c r="K191" s="318"/>
      <c r="L191" s="318"/>
      <c r="P191" s="246"/>
      <c r="R191" s="246"/>
      <c r="S191" s="355"/>
      <c r="T191" s="355"/>
      <c r="U191" s="355"/>
      <c r="V191" s="355"/>
      <c r="W191" s="6"/>
    </row>
    <row r="192" spans="1:23" ht="14" x14ac:dyDescent="0.3">
      <c r="A192" s="318"/>
      <c r="B192" s="318"/>
      <c r="C192" s="318"/>
      <c r="D192" s="318"/>
      <c r="E192" s="318"/>
      <c r="F192" s="318"/>
      <c r="G192" s="318"/>
      <c r="H192" s="318"/>
      <c r="I192" s="318"/>
      <c r="J192" s="318"/>
      <c r="K192" s="318"/>
      <c r="L192" s="318"/>
      <c r="P192" s="246" t="s">
        <v>60</v>
      </c>
      <c r="R192" s="246"/>
      <c r="S192" s="355">
        <f>S189</f>
        <v>14.158716864768749</v>
      </c>
      <c r="T192" s="355">
        <f>T189</f>
        <v>38.973489540193512</v>
      </c>
      <c r="U192" s="355">
        <f>U189</f>
        <v>88.576348578178795</v>
      </c>
      <c r="V192" s="355">
        <f>V189</f>
        <v>135.56710470351095</v>
      </c>
      <c r="W192" s="6"/>
    </row>
    <row r="193" spans="1:23" ht="14" x14ac:dyDescent="0.3">
      <c r="A193" s="318"/>
      <c r="B193" s="318"/>
      <c r="C193" s="318"/>
      <c r="D193" s="318"/>
      <c r="E193" s="318"/>
      <c r="F193" s="318"/>
      <c r="G193" s="318"/>
      <c r="H193" s="318"/>
      <c r="I193" s="318"/>
      <c r="J193" s="318"/>
      <c r="K193" s="318"/>
      <c r="L193" s="318"/>
      <c r="P193" s="246" t="s">
        <v>62</v>
      </c>
      <c r="Q193" s="244">
        <v>15</v>
      </c>
      <c r="R193" s="246"/>
      <c r="S193" s="355">
        <f>1/(SQRT(1+(SIGMA_ZETA/N_2)*(S192/d^2)^2))</f>
        <v>0.9988289022800465</v>
      </c>
      <c r="T193" s="355">
        <f>1/(SQRT(1+(SIGMA_ZETA/N_2)*(T192/d^2)^2))</f>
        <v>0.99122790322681231</v>
      </c>
      <c r="U193" s="355">
        <f>1/(SQRT(1+(SIGMA_ZETA/N_2)*(U192/d^2)^2))</f>
        <v>0.957024201817536</v>
      </c>
      <c r="V193" s="355">
        <f>1/(SQRT(1+(SIGMA_ZETA/N_2)*(V192/d^2)^2))</f>
        <v>0.90717979875321397</v>
      </c>
      <c r="W193" s="6"/>
    </row>
    <row r="194" spans="1:23" ht="14" x14ac:dyDescent="0.3">
      <c r="A194" s="318"/>
      <c r="B194" s="318"/>
      <c r="C194" s="318"/>
      <c r="D194" s="318"/>
      <c r="E194" s="318"/>
      <c r="F194" s="318"/>
      <c r="G194" s="318"/>
      <c r="H194" s="318"/>
      <c r="I194" s="318"/>
      <c r="J194" s="318"/>
      <c r="K194" s="318"/>
      <c r="L194" s="318"/>
      <c r="P194" s="246" t="s">
        <v>65</v>
      </c>
      <c r="R194" s="246"/>
      <c r="S194" s="355"/>
      <c r="T194" s="355"/>
      <c r="U194" s="355"/>
      <c r="V194" s="355"/>
      <c r="W194" s="6"/>
    </row>
    <row r="195" spans="1:23" ht="14" x14ac:dyDescent="0.3">
      <c r="A195" s="318"/>
      <c r="B195" s="318"/>
      <c r="C195" s="318"/>
      <c r="D195" s="318"/>
      <c r="E195" s="318"/>
      <c r="F195" s="318"/>
      <c r="G195" s="318"/>
      <c r="H195" s="318"/>
      <c r="I195" s="318"/>
      <c r="J195" s="318"/>
      <c r="K195" s="318"/>
      <c r="L195" s="318"/>
      <c r="P195" s="246" t="s">
        <v>67</v>
      </c>
      <c r="Q195" s="244">
        <v>21</v>
      </c>
      <c r="R195" s="246"/>
      <c r="S195" s="355">
        <f>F_L/SQRT(1+((F_L^2/N_2)*SIGMA_ZETA_1*(S192/d^2)^2))</f>
        <v>0.91868329719081188</v>
      </c>
      <c r="T195" s="355">
        <f>E$9/SQRT(1+((E$9^2/N_2)*SIGMA_ZETA_1*(T192/d^2)^2))</f>
        <v>0.88108433140201292</v>
      </c>
      <c r="U195" s="355">
        <f>F$9/SQRT(1+((F$9^2/N_2)*SIGMA_ZETA_1*(U192/d^2)^2))</f>
        <v>0.79449455771979816</v>
      </c>
      <c r="V195" s="355">
        <f>G$9/SQRT(1+((G$9^2/N_2)*SIGMA_ZETA_1*(V192/d^2)^2))</f>
        <v>0.71531554432738553</v>
      </c>
      <c r="W195" s="6"/>
    </row>
    <row r="196" spans="1:23" ht="14" x14ac:dyDescent="0.3">
      <c r="A196" s="318"/>
      <c r="B196" s="318"/>
      <c r="C196" s="318"/>
      <c r="D196" s="318"/>
      <c r="E196" s="318"/>
      <c r="F196" s="318"/>
      <c r="G196" s="318"/>
      <c r="H196" s="318"/>
      <c r="I196" s="318"/>
      <c r="J196" s="318"/>
      <c r="K196" s="318"/>
      <c r="L196" s="318"/>
      <c r="P196" s="246" t="s">
        <v>69</v>
      </c>
      <c r="Q196" s="244">
        <v>1</v>
      </c>
      <c r="R196" s="246"/>
      <c r="S196" s="355">
        <f>(Q/(N_1*S193)*(SQRT(G/DELTA_P)))</f>
        <v>14.158716864768749</v>
      </c>
      <c r="T196" s="355">
        <f>(E$3/(N_1*T193)*(SQRT(E$6/E$5)))</f>
        <v>38.973489540193512</v>
      </c>
      <c r="U196" s="355">
        <f>(F$3/(N_1*U193)*(SQRT(F$6/F$5)))</f>
        <v>88.576348578178795</v>
      </c>
      <c r="V196" s="355">
        <f>(G$3/(N_1*V193)*(SQRT(G$6/G$5)))</f>
        <v>135.56710470351257</v>
      </c>
      <c r="W196" s="6"/>
    </row>
    <row r="197" spans="1:23" ht="14" x14ac:dyDescent="0.3">
      <c r="A197" s="318"/>
      <c r="B197" s="318"/>
      <c r="C197" s="318"/>
      <c r="D197" s="318"/>
      <c r="E197" s="318"/>
      <c r="F197" s="318"/>
      <c r="G197" s="318"/>
      <c r="H197" s="318"/>
      <c r="I197" s="318"/>
      <c r="J197" s="318"/>
      <c r="K197" s="318"/>
      <c r="L197" s="318"/>
      <c r="P197" s="246" t="s">
        <v>72</v>
      </c>
      <c r="Q197" s="244">
        <v>1</v>
      </c>
      <c r="R197" s="246"/>
      <c r="S197" s="355">
        <f>(Q/(N_1*S193)*SQRT(G/(S198)))</f>
        <v>11.609794304470123</v>
      </c>
      <c r="T197" s="355">
        <f>(E$3/(N_1*T193)*SQRT(E$6/T198))</f>
        <v>32.609113406809328</v>
      </c>
      <c r="U197" s="355">
        <f>(F$3/(N_1*U193)*SQRT(F$6/U198))</f>
        <v>75.099742474848483</v>
      </c>
      <c r="V197" s="355">
        <f>(G$3/(N_1*V193)*SQRT(G$6/V198))</f>
        <v>113.04789585595036</v>
      </c>
      <c r="W197" s="6"/>
    </row>
    <row r="198" spans="1:23" ht="14" x14ac:dyDescent="0.3">
      <c r="A198" s="318"/>
      <c r="B198" s="318"/>
      <c r="C198" s="318"/>
      <c r="D198" s="318"/>
      <c r="E198" s="318"/>
      <c r="F198" s="318"/>
      <c r="G198" s="318"/>
      <c r="H198" s="318"/>
      <c r="I198" s="318"/>
      <c r="J198" s="318"/>
      <c r="K198" s="318"/>
      <c r="L198" s="318"/>
      <c r="P198" s="246" t="s">
        <v>75</v>
      </c>
      <c r="Q198" s="244">
        <v>3</v>
      </c>
      <c r="R198" s="246"/>
      <c r="S198" s="355">
        <f>(S195/S193)^2*(P_1-(F_F*P_V))</f>
        <v>47.593618181101121</v>
      </c>
      <c r="T198" s="355">
        <f>(T195/T193)^2*(E$4-(T$4*E$7))</f>
        <v>43.424436007818777</v>
      </c>
      <c r="U198" s="355">
        <f>(U195/U193)^2*(F$4-(U$4*F$7))</f>
        <v>34.638413948646722</v>
      </c>
      <c r="V198" s="355">
        <f>(V195/V193)^2*(G$4-(V$4*G$7))</f>
        <v>28.761641650530532</v>
      </c>
      <c r="W198" s="6"/>
    </row>
    <row r="199" spans="1:23" ht="14" x14ac:dyDescent="0.3">
      <c r="A199" s="318"/>
      <c r="B199" s="318"/>
      <c r="C199" s="318"/>
      <c r="D199" s="318"/>
      <c r="E199" s="318"/>
      <c r="F199" s="318"/>
      <c r="G199" s="318"/>
      <c r="H199" s="318"/>
      <c r="I199" s="318"/>
      <c r="J199" s="318"/>
      <c r="K199" s="318"/>
      <c r="L199" s="318"/>
      <c r="P199" s="246" t="s">
        <v>29</v>
      </c>
      <c r="R199" s="246"/>
      <c r="S199" s="355">
        <f>IF(DELTA_P&lt;S198,S196,S197)</f>
        <v>14.158716864768749</v>
      </c>
      <c r="T199" s="355">
        <f>IF(E$5&lt;T198,T196,T197)</f>
        <v>38.973489540193512</v>
      </c>
      <c r="U199" s="355">
        <f>IF(F$5&lt;U198,U196,U197)</f>
        <v>88.576348578178795</v>
      </c>
      <c r="V199" s="355">
        <f>IF(G$5&lt;V198,V196,V197)</f>
        <v>135.56710470351257</v>
      </c>
      <c r="W199" s="6"/>
    </row>
    <row r="200" spans="1:23" ht="14" x14ac:dyDescent="0.3">
      <c r="A200" s="318"/>
      <c r="B200" s="318"/>
      <c r="C200" s="318"/>
      <c r="D200" s="318"/>
      <c r="E200" s="318"/>
      <c r="F200" s="318"/>
      <c r="G200" s="318"/>
      <c r="H200" s="318"/>
      <c r="I200" s="318"/>
      <c r="J200" s="318"/>
      <c r="K200" s="318"/>
      <c r="L200" s="318"/>
      <c r="P200" s="246" t="s">
        <v>81</v>
      </c>
      <c r="R200" s="246"/>
      <c r="S200" s="355">
        <f>S192/S199</f>
        <v>1</v>
      </c>
      <c r="T200" s="355">
        <f>T192/T199</f>
        <v>1</v>
      </c>
      <c r="U200" s="355">
        <f>U192/U199</f>
        <v>1</v>
      </c>
      <c r="V200" s="355">
        <f>V192/V199</f>
        <v>0.99999999999998801</v>
      </c>
      <c r="W200" s="6"/>
    </row>
    <row r="201" spans="1:23" ht="14" x14ac:dyDescent="0.3">
      <c r="A201" s="318"/>
      <c r="B201" s="318"/>
      <c r="C201" s="318"/>
      <c r="D201" s="318"/>
      <c r="E201" s="318"/>
      <c r="F201" s="318"/>
      <c r="G201" s="318"/>
      <c r="H201" s="318"/>
      <c r="I201" s="318"/>
      <c r="J201" s="318"/>
      <c r="K201" s="318"/>
      <c r="L201" s="318"/>
      <c r="P201" s="246"/>
      <c r="R201" s="246"/>
      <c r="S201" s="355"/>
      <c r="T201" s="355"/>
      <c r="U201" s="355"/>
      <c r="V201" s="355"/>
      <c r="W201" s="6"/>
    </row>
    <row r="202" spans="1:23" ht="14" x14ac:dyDescent="0.3">
      <c r="A202" s="318"/>
      <c r="B202" s="318"/>
      <c r="C202" s="318"/>
      <c r="D202" s="318"/>
      <c r="E202" s="318"/>
      <c r="F202" s="318"/>
      <c r="G202" s="318"/>
      <c r="H202" s="318"/>
      <c r="I202" s="318"/>
      <c r="J202" s="318"/>
      <c r="K202" s="318"/>
      <c r="L202" s="318"/>
      <c r="P202" s="246" t="s">
        <v>60</v>
      </c>
      <c r="R202" s="246"/>
      <c r="S202" s="355">
        <f>S199</f>
        <v>14.158716864768749</v>
      </c>
      <c r="T202" s="355">
        <f>T199</f>
        <v>38.973489540193512</v>
      </c>
      <c r="U202" s="355">
        <f>U199</f>
        <v>88.576348578178795</v>
      </c>
      <c r="V202" s="355">
        <f>V199</f>
        <v>135.56710470351257</v>
      </c>
      <c r="W202" s="6"/>
    </row>
    <row r="203" spans="1:23" ht="14" x14ac:dyDescent="0.3">
      <c r="A203" s="318"/>
      <c r="B203" s="318"/>
      <c r="C203" s="318"/>
      <c r="D203" s="318"/>
      <c r="E203" s="318"/>
      <c r="F203" s="318"/>
      <c r="G203" s="318"/>
      <c r="H203" s="318"/>
      <c r="I203" s="318"/>
      <c r="J203" s="318"/>
      <c r="K203" s="318"/>
      <c r="L203" s="318"/>
      <c r="P203" s="246" t="s">
        <v>62</v>
      </c>
      <c r="Q203" s="244">
        <v>15</v>
      </c>
      <c r="R203" s="246"/>
      <c r="S203" s="355">
        <f>1/(SQRT(1+(SIGMA_ZETA/N_2)*(S202/d^2)^2))</f>
        <v>0.9988289022800465</v>
      </c>
      <c r="T203" s="355">
        <f>1/(SQRT(1+(SIGMA_ZETA/N_2)*(T202/d^2)^2))</f>
        <v>0.99122790322681231</v>
      </c>
      <c r="U203" s="355">
        <f>1/(SQRT(1+(SIGMA_ZETA/N_2)*(U202/d^2)^2))</f>
        <v>0.957024201817536</v>
      </c>
      <c r="V203" s="355">
        <f>1/(SQRT(1+(SIGMA_ZETA/N_2)*(V202/d^2)^2))</f>
        <v>0.90717979875321209</v>
      </c>
      <c r="W203" s="6"/>
    </row>
    <row r="204" spans="1:23" ht="14" x14ac:dyDescent="0.3">
      <c r="A204" s="318"/>
      <c r="B204" s="318"/>
      <c r="C204" s="318"/>
      <c r="D204" s="318"/>
      <c r="E204" s="318"/>
      <c r="F204" s="318"/>
      <c r="G204" s="318"/>
      <c r="H204" s="318"/>
      <c r="I204" s="318"/>
      <c r="J204" s="318"/>
      <c r="K204" s="318"/>
      <c r="L204" s="318"/>
      <c r="P204" s="246" t="s">
        <v>65</v>
      </c>
      <c r="R204" s="246"/>
      <c r="S204" s="355"/>
      <c r="T204" s="355"/>
      <c r="U204" s="355"/>
      <c r="V204" s="355"/>
      <c r="W204" s="6"/>
    </row>
    <row r="205" spans="1:23" ht="14" x14ac:dyDescent="0.3">
      <c r="A205" s="318"/>
      <c r="B205" s="318"/>
      <c r="C205" s="318"/>
      <c r="D205" s="318"/>
      <c r="E205" s="318"/>
      <c r="F205" s="318"/>
      <c r="G205" s="318"/>
      <c r="H205" s="318"/>
      <c r="I205" s="318"/>
      <c r="J205" s="318"/>
      <c r="K205" s="318"/>
      <c r="L205" s="318"/>
      <c r="P205" s="246" t="s">
        <v>67</v>
      </c>
      <c r="Q205" s="244">
        <v>21</v>
      </c>
      <c r="R205" s="246"/>
      <c r="S205" s="355">
        <f>F_L/SQRT(1+((F_L^2/N_2)*SIGMA_ZETA_1*(S202/d^2)^2))</f>
        <v>0.91868329719081188</v>
      </c>
      <c r="T205" s="355">
        <f>E$9/SQRT(1+((E$9^2/N_2)*SIGMA_ZETA_1*(T202/d^2)^2))</f>
        <v>0.88108433140201292</v>
      </c>
      <c r="U205" s="355">
        <f>F$9/SQRT(1+((F$9^2/N_2)*SIGMA_ZETA_1*(U202/d^2)^2))</f>
        <v>0.79449455771979816</v>
      </c>
      <c r="V205" s="355">
        <f>G$9/SQRT(1+((G$9^2/N_2)*SIGMA_ZETA_1*(V202/d^2)^2))</f>
        <v>0.71531554432738431</v>
      </c>
      <c r="W205" s="6"/>
    </row>
    <row r="206" spans="1:23" ht="14" x14ac:dyDescent="0.3">
      <c r="A206" s="318"/>
      <c r="B206" s="318"/>
      <c r="C206" s="318"/>
      <c r="D206" s="318"/>
      <c r="E206" s="318"/>
      <c r="F206" s="318"/>
      <c r="G206" s="318"/>
      <c r="H206" s="318"/>
      <c r="I206" s="318"/>
      <c r="J206" s="318"/>
      <c r="K206" s="318"/>
      <c r="L206" s="318"/>
      <c r="P206" s="246" t="s">
        <v>69</v>
      </c>
      <c r="Q206" s="244">
        <v>1</v>
      </c>
      <c r="R206" s="246"/>
      <c r="S206" s="355">
        <f>(Q/(N_1*S203)*(SQRT(G/DELTA_P)))</f>
        <v>14.158716864768749</v>
      </c>
      <c r="T206" s="355">
        <f>(E$3/(N_1*T203)*(SQRT(E$6/E$5)))</f>
        <v>38.973489540193512</v>
      </c>
      <c r="U206" s="355">
        <f>(F$3/(N_1*U203)*(SQRT(F$6/F$5)))</f>
        <v>88.576348578178795</v>
      </c>
      <c r="V206" s="355">
        <f>(G$3/(N_1*V203)*(SQRT(G$6/G$5)))</f>
        <v>135.56710470351288</v>
      </c>
      <c r="W206" s="6"/>
    </row>
    <row r="207" spans="1:23" ht="14" x14ac:dyDescent="0.3">
      <c r="A207" s="318"/>
      <c r="B207" s="318"/>
      <c r="C207" s="318"/>
      <c r="D207" s="318"/>
      <c r="E207" s="318"/>
      <c r="F207" s="318"/>
      <c r="G207" s="318"/>
      <c r="H207" s="318"/>
      <c r="I207" s="318"/>
      <c r="J207" s="318"/>
      <c r="K207" s="318"/>
      <c r="L207" s="318"/>
      <c r="P207" s="246" t="s">
        <v>72</v>
      </c>
      <c r="Q207" s="244">
        <v>1</v>
      </c>
      <c r="R207" s="246"/>
      <c r="S207" s="355">
        <f>(Q/(N_1*S203)*SQRT(G/(S208)))</f>
        <v>11.609794304470123</v>
      </c>
      <c r="T207" s="355">
        <f>(E$3/(N_1*T203)*SQRT(E$6/T208))</f>
        <v>32.609113406809328</v>
      </c>
      <c r="U207" s="355">
        <f>(F$3/(N_1*U203)*SQRT(F$6/U208))</f>
        <v>75.099742474848483</v>
      </c>
      <c r="V207" s="355">
        <f>(G$3/(N_1*V203)*SQRT(G$6/V208))</f>
        <v>113.04789585595057</v>
      </c>
      <c r="W207" s="6"/>
    </row>
    <row r="208" spans="1:23" ht="14" x14ac:dyDescent="0.3">
      <c r="A208" s="318"/>
      <c r="B208" s="318"/>
      <c r="C208" s="318"/>
      <c r="D208" s="318"/>
      <c r="E208" s="318"/>
      <c r="F208" s="318"/>
      <c r="G208" s="318"/>
      <c r="H208" s="318"/>
      <c r="I208" s="318"/>
      <c r="J208" s="318"/>
      <c r="K208" s="318"/>
      <c r="L208" s="318"/>
      <c r="P208" s="246" t="s">
        <v>75</v>
      </c>
      <c r="Q208" s="244">
        <v>3</v>
      </c>
      <c r="R208" s="246"/>
      <c r="S208" s="355">
        <f>(S205/S203)^2*(P_1-(F_F*P_V))</f>
        <v>47.593618181101121</v>
      </c>
      <c r="T208" s="355">
        <f>(T205/T203)^2*(E$4-(T$4*E$7))</f>
        <v>43.424436007818777</v>
      </c>
      <c r="U208" s="355">
        <f>(U205/U203)^2*(F$4-(U$4*F$7))</f>
        <v>34.638413948646722</v>
      </c>
      <c r="V208" s="355">
        <f>(V205/V203)^2*(G$4-(V$4*G$7))</f>
        <v>28.76164165053056</v>
      </c>
      <c r="W208" s="6"/>
    </row>
    <row r="209" spans="1:23" ht="14" x14ac:dyDescent="0.3">
      <c r="A209" s="318"/>
      <c r="B209" s="318"/>
      <c r="C209" s="318"/>
      <c r="D209" s="318"/>
      <c r="E209" s="318"/>
      <c r="F209" s="318"/>
      <c r="G209" s="318"/>
      <c r="H209" s="318"/>
      <c r="I209" s="318"/>
      <c r="J209" s="318"/>
      <c r="K209" s="318"/>
      <c r="L209" s="318"/>
      <c r="P209" s="246" t="s">
        <v>29</v>
      </c>
      <c r="R209" s="246"/>
      <c r="S209" s="355">
        <f>IF(DELTA_P&lt;S208,S206,S207)</f>
        <v>14.158716864768749</v>
      </c>
      <c r="T209" s="355">
        <f>IF(E$5&lt;T208,T206,T207)</f>
        <v>38.973489540193512</v>
      </c>
      <c r="U209" s="355">
        <f>IF(F$5&lt;U208,U206,U207)</f>
        <v>88.576348578178795</v>
      </c>
      <c r="V209" s="355">
        <f>IF(G$5&lt;V208,V206,V207)</f>
        <v>135.56710470351288</v>
      </c>
      <c r="W209" s="6"/>
    </row>
    <row r="210" spans="1:23" ht="14" x14ac:dyDescent="0.3">
      <c r="A210" s="318"/>
      <c r="B210" s="318"/>
      <c r="C210" s="318"/>
      <c r="D210" s="318"/>
      <c r="E210" s="318"/>
      <c r="F210" s="318"/>
      <c r="G210" s="318"/>
      <c r="H210" s="318"/>
      <c r="I210" s="318"/>
      <c r="J210" s="318"/>
      <c r="K210" s="318"/>
      <c r="L210" s="318"/>
      <c r="P210" s="246" t="s">
        <v>81</v>
      </c>
      <c r="R210" s="246"/>
      <c r="S210" s="355">
        <f>S202/S209</f>
        <v>1</v>
      </c>
      <c r="T210" s="355">
        <f>T202/T209</f>
        <v>1</v>
      </c>
      <c r="U210" s="355">
        <f>U202/U209</f>
        <v>1</v>
      </c>
      <c r="V210" s="355">
        <f>V202/V209</f>
        <v>0.99999999999999767</v>
      </c>
      <c r="W210" s="6"/>
    </row>
    <row r="211" spans="1:23" ht="14" x14ac:dyDescent="0.3">
      <c r="A211" s="318"/>
      <c r="B211" s="318"/>
      <c r="C211" s="318"/>
      <c r="D211" s="318"/>
      <c r="E211" s="318"/>
      <c r="F211" s="318"/>
      <c r="G211" s="318"/>
      <c r="H211" s="318"/>
      <c r="I211" s="318"/>
      <c r="J211" s="318"/>
      <c r="K211" s="318"/>
      <c r="L211" s="318"/>
      <c r="P211" s="246"/>
      <c r="R211" s="246"/>
      <c r="S211" s="355"/>
      <c r="T211" s="355"/>
      <c r="U211" s="355"/>
      <c r="V211" s="355"/>
      <c r="W211" s="6"/>
    </row>
    <row r="212" spans="1:23" ht="14" x14ac:dyDescent="0.3">
      <c r="A212" s="318"/>
      <c r="B212" s="318"/>
      <c r="C212" s="318"/>
      <c r="D212" s="318"/>
      <c r="E212" s="318"/>
      <c r="F212" s="318"/>
      <c r="G212" s="318"/>
      <c r="H212" s="318"/>
      <c r="I212" s="318"/>
      <c r="J212" s="318"/>
      <c r="K212" s="318"/>
      <c r="L212" s="318"/>
      <c r="P212" s="246" t="s">
        <v>60</v>
      </c>
      <c r="R212" s="246"/>
      <c r="S212" s="355">
        <f>S209</f>
        <v>14.158716864768749</v>
      </c>
      <c r="T212" s="355">
        <f>T209</f>
        <v>38.973489540193512</v>
      </c>
      <c r="U212" s="355">
        <f>U209</f>
        <v>88.576348578178795</v>
      </c>
      <c r="V212" s="355">
        <f>V209</f>
        <v>135.56710470351288</v>
      </c>
      <c r="W212" s="6"/>
    </row>
    <row r="213" spans="1:23" ht="14" x14ac:dyDescent="0.3">
      <c r="A213" s="318"/>
      <c r="B213" s="318"/>
      <c r="C213" s="318"/>
      <c r="D213" s="318"/>
      <c r="E213" s="318"/>
      <c r="F213" s="318"/>
      <c r="G213" s="318"/>
      <c r="H213" s="318"/>
      <c r="I213" s="318"/>
      <c r="J213" s="318"/>
      <c r="K213" s="318"/>
      <c r="L213" s="318"/>
      <c r="P213" s="246" t="s">
        <v>62</v>
      </c>
      <c r="Q213" s="244">
        <v>15</v>
      </c>
      <c r="R213" s="246"/>
      <c r="S213" s="355">
        <f>1/(SQRT(1+(SIGMA_ZETA/N_2)*(S212/d^2)^2))</f>
        <v>0.9988289022800465</v>
      </c>
      <c r="T213" s="355">
        <f>1/(SQRT(1+(SIGMA_ZETA/N_2)*(T212/d^2)^2))</f>
        <v>0.99122790322681231</v>
      </c>
      <c r="U213" s="355">
        <f>1/(SQRT(1+(SIGMA_ZETA/N_2)*(U212/d^2)^2))</f>
        <v>0.957024201817536</v>
      </c>
      <c r="V213" s="355">
        <f>1/(SQRT(1+(SIGMA_ZETA/N_2)*(V212/d^2)^2))</f>
        <v>0.90717979875321175</v>
      </c>
      <c r="W213" s="6"/>
    </row>
    <row r="214" spans="1:23" ht="14" x14ac:dyDescent="0.3">
      <c r="A214" s="318"/>
      <c r="B214" s="318"/>
      <c r="C214" s="318"/>
      <c r="D214" s="318"/>
      <c r="E214" s="318"/>
      <c r="F214" s="318"/>
      <c r="G214" s="318"/>
      <c r="H214" s="318"/>
      <c r="I214" s="318"/>
      <c r="J214" s="318"/>
      <c r="K214" s="318"/>
      <c r="L214" s="318"/>
      <c r="P214" s="246" t="s">
        <v>65</v>
      </c>
      <c r="R214" s="246"/>
      <c r="S214" s="355"/>
      <c r="T214" s="355"/>
      <c r="U214" s="355"/>
      <c r="V214" s="355"/>
      <c r="W214" s="6"/>
    </row>
    <row r="215" spans="1:23" ht="14" x14ac:dyDescent="0.3">
      <c r="A215" s="318"/>
      <c r="B215" s="318"/>
      <c r="C215" s="318"/>
      <c r="D215" s="318"/>
      <c r="E215" s="318"/>
      <c r="F215" s="318"/>
      <c r="G215" s="318"/>
      <c r="H215" s="318"/>
      <c r="I215" s="318"/>
      <c r="J215" s="318"/>
      <c r="K215" s="318"/>
      <c r="L215" s="318"/>
      <c r="P215" s="246" t="s">
        <v>67</v>
      </c>
      <c r="Q215" s="244">
        <v>21</v>
      </c>
      <c r="R215" s="246"/>
      <c r="S215" s="355">
        <f>F_L/SQRT(1+((F_L^2/N_2)*SIGMA_ZETA_1*(S212/d^2)^2))</f>
        <v>0.91868329719081188</v>
      </c>
      <c r="T215" s="355">
        <f>E$9/SQRT(1+((E$9^2/N_2)*SIGMA_ZETA_1*(T212/d^2)^2))</f>
        <v>0.88108433140201292</v>
      </c>
      <c r="U215" s="355">
        <f>F$9/SQRT(1+((F$9^2/N_2)*SIGMA_ZETA_1*(U212/d^2)^2))</f>
        <v>0.79449455771979816</v>
      </c>
      <c r="V215" s="355">
        <f>G$9/SQRT(1+((G$9^2/N_2)*SIGMA_ZETA_1*(V212/d^2)^2))</f>
        <v>0.71531554432738398</v>
      </c>
      <c r="W215" s="6"/>
    </row>
    <row r="216" spans="1:23" ht="14" x14ac:dyDescent="0.3">
      <c r="A216" s="318"/>
      <c r="B216" s="318"/>
      <c r="C216" s="318"/>
      <c r="D216" s="318"/>
      <c r="E216" s="318"/>
      <c r="F216" s="318"/>
      <c r="G216" s="318"/>
      <c r="H216" s="318"/>
      <c r="I216" s="318"/>
      <c r="J216" s="318"/>
      <c r="K216" s="318"/>
      <c r="L216" s="318"/>
      <c r="P216" s="246" t="s">
        <v>69</v>
      </c>
      <c r="Q216" s="244">
        <v>1</v>
      </c>
      <c r="R216" s="246"/>
      <c r="S216" s="355">
        <f>(Q/(N_1*S213)*(SQRT(G/DELTA_P)))</f>
        <v>14.158716864768749</v>
      </c>
      <c r="T216" s="355">
        <f>(E$3/(N_1*T213)*(SQRT(E$6/E$5)))</f>
        <v>38.973489540193512</v>
      </c>
      <c r="U216" s="355">
        <f>(F$3/(N_1*U213)*(SQRT(F$6/F$5)))</f>
        <v>88.576348578178795</v>
      </c>
      <c r="V216" s="355">
        <f>(G$3/(N_1*V213)*(SQRT(G$6/G$5)))</f>
        <v>135.56710470351291</v>
      </c>
      <c r="W216" s="6"/>
    </row>
    <row r="217" spans="1:23" ht="14" x14ac:dyDescent="0.3">
      <c r="A217" s="318"/>
      <c r="B217" s="318"/>
      <c r="C217" s="318"/>
      <c r="D217" s="318"/>
      <c r="E217" s="318"/>
      <c r="F217" s="318"/>
      <c r="G217" s="318"/>
      <c r="H217" s="318"/>
      <c r="I217" s="318"/>
      <c r="J217" s="318"/>
      <c r="K217" s="318"/>
      <c r="L217" s="318"/>
      <c r="P217" s="246" t="s">
        <v>72</v>
      </c>
      <c r="Q217" s="244">
        <v>1</v>
      </c>
      <c r="R217" s="246"/>
      <c r="S217" s="355">
        <f>(Q/(N_1*S213)*SQRT(G/(S218)))</f>
        <v>11.609794304470123</v>
      </c>
      <c r="T217" s="355">
        <f>(E$3/(N_1*T213)*SQRT(E$6/T218))</f>
        <v>32.609113406809328</v>
      </c>
      <c r="U217" s="355">
        <f>(F$3/(N_1*U213)*SQRT(F$6/U218))</f>
        <v>75.099742474848483</v>
      </c>
      <c r="V217" s="355">
        <f>(G$3/(N_1*V213)*SQRT(G$6/V218))</f>
        <v>113.0478958559506</v>
      </c>
      <c r="W217" s="6"/>
    </row>
    <row r="218" spans="1:23" ht="14" x14ac:dyDescent="0.3">
      <c r="A218" s="318"/>
      <c r="B218" s="318"/>
      <c r="C218" s="318"/>
      <c r="D218" s="318"/>
      <c r="E218" s="318"/>
      <c r="F218" s="318"/>
      <c r="G218" s="318"/>
      <c r="H218" s="318"/>
      <c r="I218" s="318"/>
      <c r="J218" s="318"/>
      <c r="K218" s="318"/>
      <c r="L218" s="318"/>
      <c r="P218" s="246" t="s">
        <v>75</v>
      </c>
      <c r="Q218" s="244">
        <v>3</v>
      </c>
      <c r="R218" s="246"/>
      <c r="S218" s="355">
        <f>(S215/S213)^2*(P_1-(F_F*P_V))</f>
        <v>47.593618181101121</v>
      </c>
      <c r="T218" s="355">
        <f>(T215/T213)^2*(E$4-(T$4*E$7))</f>
        <v>43.424436007818777</v>
      </c>
      <c r="U218" s="355">
        <f>(U215/U213)^2*(F$4-(U$4*F$7))</f>
        <v>34.638413948646722</v>
      </c>
      <c r="V218" s="355">
        <f>(V215/V213)^2*(G$4-(V$4*G$7))</f>
        <v>28.761641650530549</v>
      </c>
      <c r="W218" s="6"/>
    </row>
    <row r="219" spans="1:23" ht="14" x14ac:dyDescent="0.3">
      <c r="A219" s="318"/>
      <c r="B219" s="318"/>
      <c r="C219" s="318"/>
      <c r="D219" s="318"/>
      <c r="E219" s="318"/>
      <c r="F219" s="318"/>
      <c r="G219" s="318"/>
      <c r="H219" s="318"/>
      <c r="I219" s="318"/>
      <c r="J219" s="318"/>
      <c r="K219" s="318"/>
      <c r="L219" s="318"/>
      <c r="P219" s="246" t="s">
        <v>29</v>
      </c>
      <c r="R219" s="246"/>
      <c r="S219" s="355">
        <f>IF(DELTA_P&lt;S218,S216,S217)</f>
        <v>14.158716864768749</v>
      </c>
      <c r="T219" s="355">
        <f>IF(E$5&lt;T218,T216,T217)</f>
        <v>38.973489540193512</v>
      </c>
      <c r="U219" s="355">
        <f>IF(F$5&lt;U218,U216,U217)</f>
        <v>88.576348578178795</v>
      </c>
      <c r="V219" s="355">
        <f>IF(G$5&lt;V218,V216,V217)</f>
        <v>135.56710470351291</v>
      </c>
      <c r="W219" s="6"/>
    </row>
    <row r="220" spans="1:23" ht="14" x14ac:dyDescent="0.3">
      <c r="A220" s="318"/>
      <c r="B220" s="318"/>
      <c r="C220" s="318"/>
      <c r="D220" s="318"/>
      <c r="E220" s="318"/>
      <c r="F220" s="318"/>
      <c r="G220" s="318"/>
      <c r="H220" s="318"/>
      <c r="I220" s="318"/>
      <c r="J220" s="318"/>
      <c r="K220" s="318"/>
      <c r="L220" s="318"/>
      <c r="P220" s="246" t="s">
        <v>81</v>
      </c>
      <c r="R220" s="246"/>
      <c r="S220" s="355">
        <f>S212/S219</f>
        <v>1</v>
      </c>
      <c r="T220" s="355">
        <f>T212/T219</f>
        <v>1</v>
      </c>
      <c r="U220" s="355">
        <f>U212/U219</f>
        <v>1</v>
      </c>
      <c r="V220" s="355">
        <f>V212/V219</f>
        <v>0.99999999999999978</v>
      </c>
      <c r="W220" s="6"/>
    </row>
    <row r="221" spans="1:23" ht="14" x14ac:dyDescent="0.3">
      <c r="A221" s="318"/>
      <c r="B221" s="318"/>
      <c r="C221" s="318"/>
      <c r="D221" s="318"/>
      <c r="E221" s="318"/>
      <c r="F221" s="318"/>
      <c r="G221" s="318"/>
      <c r="H221" s="318"/>
      <c r="I221" s="318"/>
      <c r="J221" s="318"/>
      <c r="K221" s="318"/>
      <c r="L221" s="318"/>
      <c r="P221" s="246"/>
      <c r="R221" s="246"/>
      <c r="S221" s="355"/>
      <c r="T221" s="355"/>
      <c r="U221" s="355"/>
      <c r="V221" s="355"/>
      <c r="W221" s="6"/>
    </row>
    <row r="222" spans="1:23" ht="14" x14ac:dyDescent="0.3">
      <c r="A222" s="318"/>
      <c r="B222" s="318"/>
      <c r="C222" s="318"/>
      <c r="D222" s="318"/>
      <c r="E222" s="318"/>
      <c r="F222" s="318"/>
      <c r="G222" s="318"/>
      <c r="H222" s="318"/>
      <c r="I222" s="318"/>
      <c r="J222" s="318"/>
      <c r="K222" s="318"/>
      <c r="L222" s="318"/>
      <c r="P222" s="246" t="s">
        <v>60</v>
      </c>
      <c r="R222" s="246"/>
      <c r="S222" s="355">
        <f>S219</f>
        <v>14.158716864768749</v>
      </c>
      <c r="T222" s="355">
        <f>T219</f>
        <v>38.973489540193512</v>
      </c>
      <c r="U222" s="355">
        <f>U219</f>
        <v>88.576348578178795</v>
      </c>
      <c r="V222" s="355">
        <f>V219</f>
        <v>135.56710470351291</v>
      </c>
      <c r="W222" s="6"/>
    </row>
    <row r="223" spans="1:23" ht="14" x14ac:dyDescent="0.3">
      <c r="A223" s="318"/>
      <c r="B223" s="318"/>
      <c r="C223" s="318"/>
      <c r="D223" s="318"/>
      <c r="E223" s="318"/>
      <c r="F223" s="318"/>
      <c r="G223" s="318"/>
      <c r="H223" s="318"/>
      <c r="I223" s="318"/>
      <c r="J223" s="318"/>
      <c r="K223" s="318"/>
      <c r="L223" s="318"/>
      <c r="P223" s="246" t="s">
        <v>62</v>
      </c>
      <c r="R223" s="246"/>
      <c r="S223" s="355">
        <f>1/(SQRT(1+(SIGMA_ZETA/N_2)*(S222/d^2)^2))</f>
        <v>0.9988289022800465</v>
      </c>
      <c r="T223" s="355">
        <f>1/(SQRT(1+(SIGMA_ZETA/N_2)*(T222/d^2)^2))</f>
        <v>0.99122790322681231</v>
      </c>
      <c r="U223" s="355">
        <f>1/(SQRT(1+(SIGMA_ZETA/N_2)*(U222/d^2)^2))</f>
        <v>0.957024201817536</v>
      </c>
      <c r="V223" s="355">
        <f>1/(SQRT(1+(SIGMA_ZETA/N_2)*(V222/d^2)^2))</f>
        <v>0.90717979875321164</v>
      </c>
      <c r="W223" s="6"/>
    </row>
    <row r="224" spans="1:23" ht="14" x14ac:dyDescent="0.3">
      <c r="A224" s="318"/>
      <c r="B224" s="318"/>
      <c r="C224" s="318"/>
      <c r="D224" s="318"/>
      <c r="E224" s="318"/>
      <c r="F224" s="318"/>
      <c r="G224" s="318"/>
      <c r="H224" s="318"/>
      <c r="I224" s="318"/>
      <c r="J224" s="318"/>
      <c r="K224" s="318"/>
      <c r="L224" s="318"/>
      <c r="P224" s="246" t="s">
        <v>65</v>
      </c>
      <c r="Q224" s="244">
        <v>15</v>
      </c>
      <c r="R224" s="246"/>
      <c r="S224" s="355"/>
      <c r="T224" s="355"/>
      <c r="U224" s="355"/>
      <c r="V224" s="355"/>
      <c r="W224" s="6"/>
    </row>
    <row r="225" spans="1:23" ht="14" x14ac:dyDescent="0.3">
      <c r="A225" s="318"/>
      <c r="B225" s="318"/>
      <c r="C225" s="318"/>
      <c r="D225" s="318"/>
      <c r="E225" s="318"/>
      <c r="F225" s="318"/>
      <c r="G225" s="318"/>
      <c r="H225" s="318"/>
      <c r="I225" s="318"/>
      <c r="J225" s="318"/>
      <c r="K225" s="318"/>
      <c r="L225" s="318"/>
      <c r="P225" s="246" t="s">
        <v>67</v>
      </c>
      <c r="R225" s="246"/>
      <c r="S225" s="355">
        <f>F_L/SQRT(1+((F_L^2/N_2)*SIGMA_ZETA_1*(S222/d^2)^2))</f>
        <v>0.91868329719081188</v>
      </c>
      <c r="T225" s="355">
        <f>E$9/SQRT(1+((E$9^2/N_2)*SIGMA_ZETA_1*(T222/d^2)^2))</f>
        <v>0.88108433140201292</v>
      </c>
      <c r="U225" s="355">
        <f>F$9/SQRT(1+((F$9^2/N_2)*SIGMA_ZETA_1*(U222/d^2)^2))</f>
        <v>0.79449455771979816</v>
      </c>
      <c r="V225" s="355">
        <f>G$9/SQRT(1+((G$9^2/N_2)*SIGMA_ZETA_1*(V222/d^2)^2))</f>
        <v>0.71531554432738398</v>
      </c>
      <c r="W225" s="6"/>
    </row>
    <row r="226" spans="1:23" ht="14" x14ac:dyDescent="0.3">
      <c r="A226" s="318"/>
      <c r="B226" s="318"/>
      <c r="C226" s="318"/>
      <c r="D226" s="318"/>
      <c r="E226" s="318"/>
      <c r="F226" s="318"/>
      <c r="G226" s="318"/>
      <c r="H226" s="318"/>
      <c r="I226" s="318"/>
      <c r="J226" s="318"/>
      <c r="K226" s="318"/>
      <c r="L226" s="318"/>
      <c r="P226" s="246" t="s">
        <v>69</v>
      </c>
      <c r="Q226" s="244">
        <v>21</v>
      </c>
      <c r="R226" s="246"/>
      <c r="S226" s="355">
        <f>(Q/(N_1*S223)*(SQRT(G/DELTA_P)))</f>
        <v>14.158716864768749</v>
      </c>
      <c r="T226" s="355">
        <f>(E$3/(N_1*T223)*(SQRT(E$6/E$5)))</f>
        <v>38.973489540193512</v>
      </c>
      <c r="U226" s="355">
        <f>(F$3/(N_1*U223)*(SQRT(F$6/F$5)))</f>
        <v>88.576348578178795</v>
      </c>
      <c r="V226" s="355">
        <f>(G$3/(N_1*V223)*(SQRT(G$6/G$5)))</f>
        <v>135.56710470351294</v>
      </c>
      <c r="W226" s="6"/>
    </row>
    <row r="227" spans="1:23" ht="14" x14ac:dyDescent="0.3">
      <c r="A227" s="318"/>
      <c r="B227" s="318"/>
      <c r="C227" s="318"/>
      <c r="D227" s="318"/>
      <c r="E227" s="318"/>
      <c r="F227" s="318"/>
      <c r="G227" s="318"/>
      <c r="H227" s="318"/>
      <c r="I227" s="318"/>
      <c r="J227" s="318"/>
      <c r="K227" s="318"/>
      <c r="L227" s="318"/>
      <c r="P227" s="246" t="s">
        <v>72</v>
      </c>
      <c r="Q227" s="244">
        <v>1</v>
      </c>
      <c r="R227" s="246"/>
      <c r="S227" s="355">
        <f>(Q/(N_1*S223)*SQRT(G/(S228)))</f>
        <v>11.609794304470123</v>
      </c>
      <c r="T227" s="355">
        <f>(E$3/(N_1*T223)*SQRT(E$6/T228))</f>
        <v>32.609113406809328</v>
      </c>
      <c r="U227" s="355">
        <f>(F$3/(N_1*U223)*SQRT(F$6/U228))</f>
        <v>75.099742474848483</v>
      </c>
      <c r="V227" s="355">
        <f>(G$3/(N_1*V223)*SQRT(G$6/V228))</f>
        <v>113.04789585595061</v>
      </c>
      <c r="W227" s="6"/>
    </row>
    <row r="228" spans="1:23" ht="14" x14ac:dyDescent="0.3">
      <c r="A228" s="318"/>
      <c r="B228" s="318"/>
      <c r="C228" s="318"/>
      <c r="D228" s="318"/>
      <c r="E228" s="318"/>
      <c r="F228" s="318"/>
      <c r="G228" s="318"/>
      <c r="H228" s="318"/>
      <c r="I228" s="318"/>
      <c r="J228" s="318"/>
      <c r="K228" s="318"/>
      <c r="L228" s="318"/>
      <c r="P228" s="246" t="s">
        <v>75</v>
      </c>
      <c r="Q228" s="244">
        <v>1</v>
      </c>
      <c r="R228" s="246"/>
      <c r="S228" s="355">
        <f>(S225/S223)^2*(P_1-(F_F*P_V))</f>
        <v>47.593618181101121</v>
      </c>
      <c r="T228" s="355">
        <f>(T225/T223)^2*(E$4-(T$4*E$7))</f>
        <v>43.424436007818777</v>
      </c>
      <c r="U228" s="355">
        <f>(U225/U223)^2*(F$4-(U$4*F$7))</f>
        <v>34.638413948646722</v>
      </c>
      <c r="V228" s="355">
        <f>(V225/V223)^2*(G$4-(V$4*G$7))</f>
        <v>28.76164165053056</v>
      </c>
      <c r="W228" s="6"/>
    </row>
    <row r="229" spans="1:23" ht="14" x14ac:dyDescent="0.3">
      <c r="A229" s="318"/>
      <c r="B229" s="318"/>
      <c r="C229" s="318"/>
      <c r="D229" s="318"/>
      <c r="E229" s="318"/>
      <c r="F229" s="318"/>
      <c r="G229" s="318"/>
      <c r="H229" s="318"/>
      <c r="I229" s="318"/>
      <c r="J229" s="318"/>
      <c r="K229" s="318"/>
      <c r="L229" s="318"/>
      <c r="P229" s="246" t="s">
        <v>29</v>
      </c>
      <c r="Q229" s="244">
        <v>3</v>
      </c>
      <c r="R229" s="246"/>
      <c r="S229" s="355">
        <f>IF(DELTA_P&lt;S228,S226,S227)</f>
        <v>14.158716864768749</v>
      </c>
      <c r="T229" s="355">
        <f>IF(E$5&lt;T228,T226,T227)</f>
        <v>38.973489540193512</v>
      </c>
      <c r="U229" s="355">
        <f>IF(F$5&lt;U228,U226,U227)</f>
        <v>88.576348578178795</v>
      </c>
      <c r="V229" s="355">
        <f>IF(G$5&lt;V228,V226,V227)</f>
        <v>135.56710470351294</v>
      </c>
      <c r="W229" s="6"/>
    </row>
    <row r="230" spans="1:23" ht="14" x14ac:dyDescent="0.3">
      <c r="A230" s="318"/>
      <c r="B230" s="318"/>
      <c r="C230" s="318"/>
      <c r="D230" s="318"/>
      <c r="E230" s="318"/>
      <c r="F230" s="318"/>
      <c r="G230" s="318"/>
      <c r="H230" s="318"/>
      <c r="I230" s="318"/>
      <c r="J230" s="318"/>
      <c r="K230" s="318"/>
      <c r="L230" s="318"/>
      <c r="P230" s="246" t="s">
        <v>81</v>
      </c>
      <c r="R230" s="246"/>
      <c r="S230" s="355">
        <f>S222/S229</f>
        <v>1</v>
      </c>
      <c r="T230" s="355">
        <f>T222/T229</f>
        <v>1</v>
      </c>
      <c r="U230" s="355">
        <f>U222/U229</f>
        <v>1</v>
      </c>
      <c r="V230" s="355">
        <f>V222/V229</f>
        <v>0.99999999999999978</v>
      </c>
      <c r="W230" s="6"/>
    </row>
    <row r="231" spans="1:23" ht="14" x14ac:dyDescent="0.3">
      <c r="A231" s="318"/>
      <c r="B231" s="318"/>
      <c r="C231" s="318"/>
      <c r="D231" s="318"/>
      <c r="E231" s="318"/>
      <c r="F231" s="318"/>
      <c r="G231" s="318"/>
      <c r="H231" s="318"/>
      <c r="I231" s="318"/>
      <c r="J231" s="318"/>
      <c r="K231" s="318"/>
      <c r="L231" s="318"/>
      <c r="P231" s="246"/>
      <c r="R231" s="246"/>
      <c r="S231" s="355"/>
      <c r="T231" s="355"/>
      <c r="U231" s="355"/>
      <c r="V231" s="355"/>
      <c r="W231" s="6"/>
    </row>
    <row r="232" spans="1:23" ht="14" x14ac:dyDescent="0.3">
      <c r="A232" s="318"/>
      <c r="B232" s="318"/>
      <c r="C232" s="318"/>
      <c r="D232" s="318"/>
      <c r="E232" s="318"/>
      <c r="F232" s="318"/>
      <c r="G232" s="318"/>
      <c r="H232" s="318"/>
      <c r="I232" s="318"/>
      <c r="J232" s="318"/>
      <c r="K232" s="318"/>
      <c r="L232" s="318"/>
      <c r="P232" s="246" t="s">
        <v>60</v>
      </c>
      <c r="R232" s="246"/>
      <c r="S232" s="355">
        <f>S229</f>
        <v>14.158716864768749</v>
      </c>
      <c r="T232" s="355">
        <f>T229</f>
        <v>38.973489540193512</v>
      </c>
      <c r="U232" s="355">
        <f>U229</f>
        <v>88.576348578178795</v>
      </c>
      <c r="V232" s="355">
        <f>V229</f>
        <v>135.56710470351294</v>
      </c>
      <c r="W232" s="6"/>
    </row>
    <row r="233" spans="1:23" ht="14" x14ac:dyDescent="0.3">
      <c r="A233" s="318"/>
      <c r="B233" s="318"/>
      <c r="C233" s="318"/>
      <c r="D233" s="318"/>
      <c r="E233" s="318"/>
      <c r="F233" s="318"/>
      <c r="G233" s="318"/>
      <c r="H233" s="318"/>
      <c r="I233" s="318"/>
      <c r="J233" s="318"/>
      <c r="K233" s="318"/>
      <c r="L233" s="318"/>
      <c r="P233" s="246" t="s">
        <v>62</v>
      </c>
      <c r="Q233" s="244">
        <v>15</v>
      </c>
      <c r="R233" s="246"/>
      <c r="S233" s="355">
        <f>1/(SQRT(1+(SIGMA_ZETA/N_2)*(S232/d^2)^2))</f>
        <v>0.9988289022800465</v>
      </c>
      <c r="T233" s="355">
        <f>1/(SQRT(1+(SIGMA_ZETA/N_2)*(T232/d^2)^2))</f>
        <v>0.99122790322681231</v>
      </c>
      <c r="U233" s="355">
        <f>1/(SQRT(1+(SIGMA_ZETA/N_2)*(U232/d^2)^2))</f>
        <v>0.957024201817536</v>
      </c>
      <c r="V233" s="355">
        <f>1/(SQRT(1+(SIGMA_ZETA/N_2)*(V232/d^2)^2))</f>
        <v>0.90717979875321164</v>
      </c>
      <c r="W233" s="6"/>
    </row>
    <row r="234" spans="1:23" ht="14" x14ac:dyDescent="0.3">
      <c r="A234" s="318"/>
      <c r="B234" s="318"/>
      <c r="C234" s="318"/>
      <c r="D234" s="318"/>
      <c r="E234" s="318"/>
      <c r="F234" s="318"/>
      <c r="G234" s="318"/>
      <c r="H234" s="318"/>
      <c r="I234" s="318"/>
      <c r="J234" s="318"/>
      <c r="K234" s="318"/>
      <c r="L234" s="318"/>
      <c r="P234" s="246" t="s">
        <v>65</v>
      </c>
      <c r="R234" s="246"/>
      <c r="S234" s="355"/>
      <c r="T234" s="355"/>
      <c r="U234" s="355"/>
      <c r="V234" s="355"/>
      <c r="W234" s="6"/>
    </row>
    <row r="235" spans="1:23" ht="14" x14ac:dyDescent="0.3">
      <c r="A235" s="318"/>
      <c r="B235" s="318"/>
      <c r="C235" s="318"/>
      <c r="D235" s="318"/>
      <c r="E235" s="318"/>
      <c r="F235" s="318"/>
      <c r="G235" s="318"/>
      <c r="H235" s="318"/>
      <c r="I235" s="318"/>
      <c r="J235" s="318"/>
      <c r="K235" s="318"/>
      <c r="L235" s="318"/>
      <c r="P235" s="246" t="s">
        <v>67</v>
      </c>
      <c r="Q235" s="244">
        <v>21</v>
      </c>
      <c r="R235" s="246"/>
      <c r="S235" s="355">
        <f>F_L/SQRT(1+((F_L^2/N_2)*SIGMA_ZETA_1*(S232/d^2)^2))</f>
        <v>0.91868329719081188</v>
      </c>
      <c r="T235" s="355">
        <f>E$9/SQRT(1+((E$9^2/N_2)*SIGMA_ZETA_1*(T232/d^2)^2))</f>
        <v>0.88108433140201292</v>
      </c>
      <c r="U235" s="355">
        <f>F$9/SQRT(1+((F$9^2/N_2)*SIGMA_ZETA_1*(U232/d^2)^2))</f>
        <v>0.79449455771979816</v>
      </c>
      <c r="V235" s="355">
        <f>G$9/SQRT(1+((G$9^2/N_2)*SIGMA_ZETA_1*(V232/d^2)^2))</f>
        <v>0.71531554432738398</v>
      </c>
      <c r="W235" s="6"/>
    </row>
    <row r="236" spans="1:23" ht="14" x14ac:dyDescent="0.3">
      <c r="A236" s="318"/>
      <c r="B236" s="318"/>
      <c r="C236" s="318"/>
      <c r="D236" s="318"/>
      <c r="E236" s="318"/>
      <c r="F236" s="318"/>
      <c r="G236" s="318"/>
      <c r="H236" s="318"/>
      <c r="I236" s="318"/>
      <c r="J236" s="318"/>
      <c r="K236" s="318"/>
      <c r="L236" s="318"/>
      <c r="P236" s="246" t="s">
        <v>69</v>
      </c>
      <c r="Q236" s="244">
        <v>1</v>
      </c>
      <c r="R236" s="246"/>
      <c r="S236" s="355">
        <f>(Q/(N_1*S233)*(SQRT(G/DELTA_P)))</f>
        <v>14.158716864768749</v>
      </c>
      <c r="T236" s="355">
        <f>(E$3/(N_1*T233)*(SQRT(E$6/E$5)))</f>
        <v>38.973489540193512</v>
      </c>
      <c r="U236" s="355">
        <f>(F$3/(N_1*U233)*(SQRT(F$6/F$5)))</f>
        <v>88.576348578178795</v>
      </c>
      <c r="V236" s="355">
        <f>(G$3/(N_1*V233)*(SQRT(G$6/G$5)))</f>
        <v>135.56710470351294</v>
      </c>
      <c r="W236" s="6"/>
    </row>
    <row r="237" spans="1:23" ht="14" x14ac:dyDescent="0.3">
      <c r="A237" s="318"/>
      <c r="B237" s="318"/>
      <c r="C237" s="318"/>
      <c r="D237" s="318"/>
      <c r="E237" s="318"/>
      <c r="F237" s="318"/>
      <c r="G237" s="318"/>
      <c r="H237" s="318"/>
      <c r="I237" s="318"/>
      <c r="J237" s="318"/>
      <c r="K237" s="318"/>
      <c r="L237" s="318"/>
      <c r="P237" s="246" t="s">
        <v>72</v>
      </c>
      <c r="Q237" s="244">
        <v>1</v>
      </c>
      <c r="R237" s="246"/>
      <c r="S237" s="355">
        <f>(Q/(N_1*S233)*SQRT(G/(S238)))</f>
        <v>11.609794304470123</v>
      </c>
      <c r="T237" s="355">
        <f>(E$3/(N_1*T233)*SQRT(E$6/T238))</f>
        <v>32.609113406809328</v>
      </c>
      <c r="U237" s="355">
        <f>(F$3/(N_1*U233)*SQRT(F$6/U238))</f>
        <v>75.099742474848483</v>
      </c>
      <c r="V237" s="355">
        <f>(G$3/(N_1*V233)*SQRT(G$6/V238))</f>
        <v>113.04789585595061</v>
      </c>
      <c r="W237" s="6"/>
    </row>
    <row r="238" spans="1:23" ht="14" x14ac:dyDescent="0.3">
      <c r="A238" s="318"/>
      <c r="B238" s="318"/>
      <c r="C238" s="318"/>
      <c r="D238" s="318"/>
      <c r="E238" s="318"/>
      <c r="F238" s="318"/>
      <c r="G238" s="318"/>
      <c r="H238" s="318"/>
      <c r="I238" s="318"/>
      <c r="J238" s="318"/>
      <c r="K238" s="318"/>
      <c r="L238" s="318"/>
      <c r="P238" s="246" t="s">
        <v>75</v>
      </c>
      <c r="Q238" s="244">
        <v>3</v>
      </c>
      <c r="R238" s="246"/>
      <c r="S238" s="355">
        <f>(S235/S233)^2*(P_1-(F_F*P_V))</f>
        <v>47.593618181101121</v>
      </c>
      <c r="T238" s="355">
        <f>(T235/T233)^2*(E$4-(T$4*E$7))</f>
        <v>43.424436007818777</v>
      </c>
      <c r="U238" s="355">
        <f>(U235/U233)^2*(F$4-(U$4*F$7))</f>
        <v>34.638413948646722</v>
      </c>
      <c r="V238" s="355">
        <f>(V235/V233)^2*(G$4-(V$4*G$7))</f>
        <v>28.76164165053056</v>
      </c>
      <c r="W238" s="6"/>
    </row>
    <row r="239" spans="1:23" ht="14" x14ac:dyDescent="0.3">
      <c r="A239" s="318"/>
      <c r="B239" s="318"/>
      <c r="C239" s="318"/>
      <c r="D239" s="318"/>
      <c r="E239" s="318"/>
      <c r="F239" s="318"/>
      <c r="G239" s="318"/>
      <c r="H239" s="318"/>
      <c r="I239" s="318"/>
      <c r="J239" s="318"/>
      <c r="K239" s="318"/>
      <c r="L239" s="318"/>
      <c r="P239" s="246" t="s">
        <v>29</v>
      </c>
      <c r="R239" s="246"/>
      <c r="S239" s="355">
        <f>IF(DELTA_P&lt;S238,S236,S237)</f>
        <v>14.158716864768749</v>
      </c>
      <c r="T239" s="355">
        <f>IF(E$5&lt;T238,T236,T237)</f>
        <v>38.973489540193512</v>
      </c>
      <c r="U239" s="355">
        <f>IF(F$5&lt;U238,U236,U237)</f>
        <v>88.576348578178795</v>
      </c>
      <c r="V239" s="355">
        <f>IF(G$5&lt;V238,V236,V237)</f>
        <v>135.56710470351294</v>
      </c>
      <c r="W239" s="6"/>
    </row>
    <row r="240" spans="1:23" ht="14" x14ac:dyDescent="0.3">
      <c r="A240" s="318"/>
      <c r="B240" s="318"/>
      <c r="C240" s="318"/>
      <c r="D240" s="318"/>
      <c r="E240" s="318"/>
      <c r="F240" s="318"/>
      <c r="G240" s="318"/>
      <c r="H240" s="318"/>
      <c r="I240" s="318"/>
      <c r="J240" s="318"/>
      <c r="K240" s="318"/>
      <c r="L240" s="318"/>
      <c r="P240" s="246" t="s">
        <v>81</v>
      </c>
      <c r="R240" s="246"/>
      <c r="S240" s="355">
        <f>S232/S239</f>
        <v>1</v>
      </c>
      <c r="T240" s="355">
        <f>T232/T239</f>
        <v>1</v>
      </c>
      <c r="U240" s="355">
        <f>U232/U239</f>
        <v>1</v>
      </c>
      <c r="V240" s="355">
        <f>V232/V239</f>
        <v>1</v>
      </c>
      <c r="W240" s="6"/>
    </row>
    <row r="241" spans="1:23" ht="14" x14ac:dyDescent="0.3">
      <c r="A241" s="318"/>
      <c r="B241" s="318"/>
      <c r="C241" s="318"/>
      <c r="D241" s="318"/>
      <c r="E241" s="318"/>
      <c r="F241" s="318"/>
      <c r="G241" s="318"/>
      <c r="H241" s="318"/>
      <c r="I241" s="318"/>
      <c r="J241" s="318"/>
      <c r="K241" s="318"/>
      <c r="L241" s="318"/>
      <c r="P241" s="246"/>
      <c r="R241" s="246"/>
      <c r="S241" s="355"/>
      <c r="T241" s="355"/>
      <c r="U241" s="355"/>
      <c r="V241" s="355"/>
      <c r="W241" s="6"/>
    </row>
    <row r="242" spans="1:23" ht="14" x14ac:dyDescent="0.3">
      <c r="A242" s="318"/>
      <c r="B242" s="318"/>
      <c r="C242" s="318"/>
      <c r="D242" s="318"/>
      <c r="E242" s="318"/>
      <c r="F242" s="318"/>
      <c r="G242" s="318"/>
      <c r="H242" s="318"/>
      <c r="I242" s="318"/>
      <c r="J242" s="318"/>
      <c r="K242" s="318"/>
      <c r="L242" s="318"/>
      <c r="P242" s="246" t="s">
        <v>60</v>
      </c>
      <c r="R242" s="246"/>
      <c r="S242" s="355">
        <f>S239</f>
        <v>14.158716864768749</v>
      </c>
      <c r="T242" s="355">
        <f>T239</f>
        <v>38.973489540193512</v>
      </c>
      <c r="U242" s="355">
        <f>U239</f>
        <v>88.576348578178795</v>
      </c>
      <c r="V242" s="355">
        <f>V239</f>
        <v>135.56710470351294</v>
      </c>
      <c r="W242" s="6"/>
    </row>
    <row r="243" spans="1:23" ht="14" x14ac:dyDescent="0.3">
      <c r="A243" s="318"/>
      <c r="B243" s="318"/>
      <c r="C243" s="318"/>
      <c r="D243" s="318"/>
      <c r="E243" s="318"/>
      <c r="F243" s="318"/>
      <c r="G243" s="318"/>
      <c r="H243" s="318"/>
      <c r="I243" s="318"/>
      <c r="J243" s="318"/>
      <c r="K243" s="318"/>
      <c r="L243" s="318"/>
      <c r="P243" s="246" t="s">
        <v>62</v>
      </c>
      <c r="Q243" s="244">
        <v>15</v>
      </c>
      <c r="R243" s="246"/>
      <c r="S243" s="355">
        <f>1/(SQRT(1+(SIGMA_ZETA/N_2)*(S242/d^2)^2))</f>
        <v>0.9988289022800465</v>
      </c>
      <c r="T243" s="355">
        <f>1/(SQRT(1+(SIGMA_ZETA/N_2)*(T242/d^2)^2))</f>
        <v>0.99122790322681231</v>
      </c>
      <c r="U243" s="355">
        <f>1/(SQRT(1+(SIGMA_ZETA/N_2)*(U242/d^2)^2))</f>
        <v>0.957024201817536</v>
      </c>
      <c r="V243" s="355">
        <f>1/(SQRT(1+(SIGMA_ZETA/N_2)*(V242/d^2)^2))</f>
        <v>0.90717979875321164</v>
      </c>
      <c r="W243" s="6"/>
    </row>
    <row r="244" spans="1:23" ht="14" x14ac:dyDescent="0.3">
      <c r="A244" s="318"/>
      <c r="B244" s="318"/>
      <c r="C244" s="318"/>
      <c r="D244" s="318"/>
      <c r="E244" s="318"/>
      <c r="F244" s="318"/>
      <c r="G244" s="318"/>
      <c r="H244" s="318"/>
      <c r="I244" s="318"/>
      <c r="J244" s="318"/>
      <c r="K244" s="318"/>
      <c r="L244" s="318"/>
      <c r="P244" s="246" t="s">
        <v>65</v>
      </c>
      <c r="R244" s="246"/>
      <c r="S244" s="355"/>
      <c r="T244" s="355"/>
      <c r="U244" s="355"/>
      <c r="V244" s="355"/>
      <c r="W244" s="6"/>
    </row>
    <row r="245" spans="1:23" ht="14" x14ac:dyDescent="0.3">
      <c r="A245" s="318"/>
      <c r="B245" s="318"/>
      <c r="C245" s="318"/>
      <c r="D245" s="318"/>
      <c r="E245" s="318"/>
      <c r="F245" s="318"/>
      <c r="G245" s="318"/>
      <c r="H245" s="318"/>
      <c r="I245" s="318"/>
      <c r="J245" s="318"/>
      <c r="K245" s="318"/>
      <c r="L245" s="318"/>
      <c r="P245" s="246" t="s">
        <v>67</v>
      </c>
      <c r="Q245" s="244">
        <v>21</v>
      </c>
      <c r="R245" s="246"/>
      <c r="S245" s="355">
        <f>F_L/SQRT(1+((F_L^2/N_2)*SIGMA_ZETA_1*(S242/d^2)^2))</f>
        <v>0.91868329719081188</v>
      </c>
      <c r="T245" s="355">
        <f>E$9/SQRT(1+((E$9^2/N_2)*SIGMA_ZETA_1*(T242/d^2)^2))</f>
        <v>0.88108433140201292</v>
      </c>
      <c r="U245" s="355">
        <f>F$9/SQRT(1+((F$9^2/N_2)*SIGMA_ZETA_1*(U242/d^2)^2))</f>
        <v>0.79449455771979816</v>
      </c>
      <c r="V245" s="355">
        <f>G$9/SQRT(1+((G$9^2/N_2)*SIGMA_ZETA_1*(V242/d^2)^2))</f>
        <v>0.71531554432738398</v>
      </c>
      <c r="W245" s="6"/>
    </row>
    <row r="246" spans="1:23" ht="14" x14ac:dyDescent="0.3">
      <c r="A246" s="318"/>
      <c r="B246" s="318"/>
      <c r="C246" s="318"/>
      <c r="D246" s="318"/>
      <c r="E246" s="318"/>
      <c r="F246" s="318"/>
      <c r="G246" s="318"/>
      <c r="H246" s="318"/>
      <c r="I246" s="318"/>
      <c r="J246" s="318"/>
      <c r="K246" s="318"/>
      <c r="L246" s="318"/>
      <c r="P246" s="246" t="s">
        <v>69</v>
      </c>
      <c r="Q246" s="244">
        <v>1</v>
      </c>
      <c r="R246" s="246"/>
      <c r="S246" s="355">
        <f>(Q/(N_1*S243)*(SQRT(G/DELTA_P)))</f>
        <v>14.158716864768749</v>
      </c>
      <c r="T246" s="355">
        <f>(E$3/(N_1*T243)*(SQRT(E$6/E$5)))</f>
        <v>38.973489540193512</v>
      </c>
      <c r="U246" s="355">
        <f>(F$3/(N_1*U243)*(SQRT(F$6/F$5)))</f>
        <v>88.576348578178795</v>
      </c>
      <c r="V246" s="355">
        <f>(G$3/(N_1*V243)*(SQRT(G$6/G$5)))</f>
        <v>135.56710470351294</v>
      </c>
      <c r="W246" s="6"/>
    </row>
    <row r="247" spans="1:23" ht="14" x14ac:dyDescent="0.3">
      <c r="A247" s="318"/>
      <c r="B247" s="318"/>
      <c r="C247" s="318"/>
      <c r="D247" s="318"/>
      <c r="E247" s="318"/>
      <c r="F247" s="318"/>
      <c r="G247" s="318"/>
      <c r="H247" s="318"/>
      <c r="I247" s="318"/>
      <c r="J247" s="318"/>
      <c r="K247" s="318"/>
      <c r="L247" s="318"/>
      <c r="P247" s="246" t="s">
        <v>72</v>
      </c>
      <c r="Q247" s="244">
        <v>1</v>
      </c>
      <c r="R247" s="246"/>
      <c r="S247" s="355">
        <f>(Q/(N_1*S243)*SQRT(G/(S248)))</f>
        <v>11.609794304470123</v>
      </c>
      <c r="T247" s="355">
        <f>(E$3/(N_1*T243)*SQRT(E$6/T248))</f>
        <v>32.609113406809328</v>
      </c>
      <c r="U247" s="355">
        <f>(F$3/(N_1*U243)*SQRT(F$6/U248))</f>
        <v>75.099742474848483</v>
      </c>
      <c r="V247" s="355">
        <f>(G$3/(N_1*V243)*SQRT(G$6/V248))</f>
        <v>113.04789585595061</v>
      </c>
      <c r="W247" s="6"/>
    </row>
    <row r="248" spans="1:23" ht="14" x14ac:dyDescent="0.3">
      <c r="A248" s="318"/>
      <c r="B248" s="318"/>
      <c r="C248" s="318"/>
      <c r="D248" s="318"/>
      <c r="E248" s="318"/>
      <c r="F248" s="318"/>
      <c r="G248" s="318"/>
      <c r="H248" s="318"/>
      <c r="I248" s="318"/>
      <c r="J248" s="318"/>
      <c r="K248" s="318"/>
      <c r="L248" s="318"/>
      <c r="P248" s="246" t="s">
        <v>75</v>
      </c>
      <c r="Q248" s="244">
        <v>3</v>
      </c>
      <c r="R248" s="246"/>
      <c r="S248" s="355">
        <f>(S245/S243)^2*(P_1-(F_F*P_V))</f>
        <v>47.593618181101121</v>
      </c>
      <c r="T248" s="355">
        <f>(T245/T243)^2*(E$4-(T$4*E$7))</f>
        <v>43.424436007818777</v>
      </c>
      <c r="U248" s="355">
        <f>(U245/U243)^2*(F$4-(U$4*F$7))</f>
        <v>34.638413948646722</v>
      </c>
      <c r="V248" s="355">
        <f>(V245/V243)^2*(G$4-(V$4*G$7))</f>
        <v>28.76164165053056</v>
      </c>
      <c r="W248" s="6"/>
    </row>
    <row r="249" spans="1:23" ht="14" x14ac:dyDescent="0.3">
      <c r="A249" s="318"/>
      <c r="B249" s="318"/>
      <c r="C249" s="318"/>
      <c r="D249" s="318"/>
      <c r="E249" s="318"/>
      <c r="F249" s="318"/>
      <c r="G249" s="318"/>
      <c r="H249" s="318"/>
      <c r="I249" s="318"/>
      <c r="J249" s="318"/>
      <c r="K249" s="318"/>
      <c r="L249" s="318"/>
      <c r="P249" s="246" t="s">
        <v>29</v>
      </c>
      <c r="R249" s="246"/>
      <c r="S249" s="355">
        <f>IF(DELTA_P&lt;S248,S246,S247)</f>
        <v>14.158716864768749</v>
      </c>
      <c r="T249" s="355">
        <f>IF(E$5&lt;T248,T246,T247)</f>
        <v>38.973489540193512</v>
      </c>
      <c r="U249" s="355">
        <f>IF(F$5&lt;U248,U246,U247)</f>
        <v>88.576348578178795</v>
      </c>
      <c r="V249" s="355">
        <f>IF(G$5&lt;V248,V246,V247)</f>
        <v>135.56710470351294</v>
      </c>
      <c r="W249" s="6"/>
    </row>
    <row r="250" spans="1:23" ht="14" x14ac:dyDescent="0.3">
      <c r="A250" s="318"/>
      <c r="B250" s="318"/>
      <c r="C250" s="318"/>
      <c r="D250" s="318"/>
      <c r="E250" s="318"/>
      <c r="F250" s="318"/>
      <c r="G250" s="318"/>
      <c r="H250" s="318"/>
      <c r="I250" s="318"/>
      <c r="J250" s="318"/>
      <c r="K250" s="318"/>
      <c r="L250" s="318"/>
      <c r="P250" s="246" t="s">
        <v>81</v>
      </c>
      <c r="R250" s="246"/>
      <c r="S250" s="355">
        <f>S242/S249</f>
        <v>1</v>
      </c>
      <c r="T250" s="355">
        <f>T242/T249</f>
        <v>1</v>
      </c>
      <c r="U250" s="355">
        <f>U242/U249</f>
        <v>1</v>
      </c>
      <c r="V250" s="355">
        <f>V242/V249</f>
        <v>1</v>
      </c>
      <c r="W250" s="6"/>
    </row>
    <row r="251" spans="1:23" ht="14" x14ac:dyDescent="0.3">
      <c r="A251" s="318"/>
      <c r="B251" s="318"/>
      <c r="C251" s="318"/>
      <c r="D251" s="318"/>
      <c r="E251" s="318"/>
      <c r="F251" s="318"/>
      <c r="G251" s="318"/>
      <c r="H251" s="318"/>
      <c r="I251" s="318"/>
      <c r="J251" s="318"/>
      <c r="K251" s="318"/>
      <c r="L251" s="318"/>
      <c r="P251" s="246"/>
      <c r="R251" s="246"/>
      <c r="S251" s="355"/>
      <c r="T251" s="355"/>
      <c r="U251" s="355"/>
      <c r="V251" s="355"/>
      <c r="W251" s="6"/>
    </row>
    <row r="252" spans="1:23" ht="14" x14ac:dyDescent="0.3">
      <c r="A252" s="318"/>
      <c r="B252" s="318"/>
      <c r="C252" s="318"/>
      <c r="D252" s="318"/>
      <c r="E252" s="318"/>
      <c r="F252" s="318"/>
      <c r="G252" s="318"/>
      <c r="H252" s="318"/>
      <c r="I252" s="318"/>
      <c r="J252" s="318"/>
      <c r="K252" s="318"/>
      <c r="L252" s="318"/>
      <c r="P252" s="246" t="s">
        <v>60</v>
      </c>
      <c r="R252" s="246"/>
      <c r="S252" s="355">
        <f>S249</f>
        <v>14.158716864768749</v>
      </c>
      <c r="T252" s="355">
        <f>T249</f>
        <v>38.973489540193512</v>
      </c>
      <c r="U252" s="355">
        <f>U249</f>
        <v>88.576348578178795</v>
      </c>
      <c r="V252" s="355">
        <f>V249</f>
        <v>135.56710470351294</v>
      </c>
      <c r="W252" s="6"/>
    </row>
    <row r="253" spans="1:23" ht="14" x14ac:dyDescent="0.3">
      <c r="A253" s="318"/>
      <c r="B253" s="318"/>
      <c r="C253" s="318"/>
      <c r="D253" s="318"/>
      <c r="E253" s="318"/>
      <c r="F253" s="318"/>
      <c r="G253" s="318"/>
      <c r="H253" s="318"/>
      <c r="I253" s="318"/>
      <c r="J253" s="318"/>
      <c r="K253" s="318"/>
      <c r="L253" s="318"/>
      <c r="P253" s="246" t="s">
        <v>62</v>
      </c>
      <c r="Q253" s="244">
        <v>15</v>
      </c>
      <c r="R253" s="246"/>
      <c r="S253" s="355">
        <f>1/(SQRT(1+(SIGMA_ZETA/N_2)*(S252/d^2)^2))</f>
        <v>0.9988289022800465</v>
      </c>
      <c r="T253" s="355">
        <f>1/(SQRT(1+(SIGMA_ZETA/N_2)*(T252/d^2)^2))</f>
        <v>0.99122790322681231</v>
      </c>
      <c r="U253" s="355">
        <f>1/(SQRT(1+(SIGMA_ZETA/N_2)*(U252/d^2)^2))</f>
        <v>0.957024201817536</v>
      </c>
      <c r="V253" s="355">
        <f>1/(SQRT(1+(SIGMA_ZETA/N_2)*(V252/d^2)^2))</f>
        <v>0.90717979875321164</v>
      </c>
      <c r="W253" s="6"/>
    </row>
    <row r="254" spans="1:23" ht="14" x14ac:dyDescent="0.3">
      <c r="A254" s="318"/>
      <c r="B254" s="318"/>
      <c r="C254" s="318"/>
      <c r="D254" s="318"/>
      <c r="E254" s="318"/>
      <c r="F254" s="318"/>
      <c r="G254" s="318"/>
      <c r="H254" s="318"/>
      <c r="I254" s="318"/>
      <c r="J254" s="318"/>
      <c r="K254" s="318"/>
      <c r="L254" s="318"/>
      <c r="P254" s="246" t="s">
        <v>65</v>
      </c>
      <c r="R254" s="246"/>
      <c r="S254" s="355"/>
      <c r="T254" s="355"/>
      <c r="U254" s="355"/>
      <c r="V254" s="355"/>
      <c r="W254" s="6"/>
    </row>
    <row r="255" spans="1:23" ht="14" x14ac:dyDescent="0.3">
      <c r="A255" s="318"/>
      <c r="B255" s="318"/>
      <c r="C255" s="318"/>
      <c r="D255" s="318"/>
      <c r="E255" s="318"/>
      <c r="F255" s="318"/>
      <c r="G255" s="318"/>
      <c r="H255" s="318"/>
      <c r="I255" s="318"/>
      <c r="J255" s="318"/>
      <c r="K255" s="318"/>
      <c r="L255" s="318"/>
      <c r="P255" s="246" t="s">
        <v>67</v>
      </c>
      <c r="Q255" s="244">
        <v>21</v>
      </c>
      <c r="R255" s="246"/>
      <c r="S255" s="355">
        <f>F_L/SQRT(1+((F_L^2/N_2)*SIGMA_ZETA_1*(S252/d^2)^2))</f>
        <v>0.91868329719081188</v>
      </c>
      <c r="T255" s="355">
        <f>E$9/SQRT(1+((E$9^2/N_2)*SIGMA_ZETA_1*(T252/d^2)^2))</f>
        <v>0.88108433140201292</v>
      </c>
      <c r="U255" s="355">
        <f>F$9/SQRT(1+((F$9^2/N_2)*SIGMA_ZETA_1*(U252/d^2)^2))</f>
        <v>0.79449455771979816</v>
      </c>
      <c r="V255" s="355">
        <f>G$9/SQRT(1+((G$9^2/N_2)*SIGMA_ZETA_1*(V252/d^2)^2))</f>
        <v>0.71531554432738398</v>
      </c>
      <c r="W255" s="6"/>
    </row>
    <row r="256" spans="1:23" ht="14" x14ac:dyDescent="0.3">
      <c r="A256" s="318"/>
      <c r="B256" s="318"/>
      <c r="C256" s="318"/>
      <c r="D256" s="318"/>
      <c r="E256" s="318"/>
      <c r="F256" s="318"/>
      <c r="G256" s="318"/>
      <c r="H256" s="318"/>
      <c r="I256" s="318"/>
      <c r="J256" s="318"/>
      <c r="K256" s="318"/>
      <c r="L256" s="318"/>
      <c r="P256" s="246" t="s">
        <v>69</v>
      </c>
      <c r="Q256" s="244">
        <v>1</v>
      </c>
      <c r="R256" s="246"/>
      <c r="S256" s="355">
        <f>(Q/(N_1*S253)*(SQRT(G/DELTA_P)))</f>
        <v>14.158716864768749</v>
      </c>
      <c r="T256" s="355">
        <f>(E$3/(N_1*T253)*(SQRT(E$6/E$5)))</f>
        <v>38.973489540193512</v>
      </c>
      <c r="U256" s="355">
        <f>(F$3/(N_1*U253)*(SQRT(F$6/F$5)))</f>
        <v>88.576348578178795</v>
      </c>
      <c r="V256" s="355">
        <f>(G$3/(N_1*V253)*(SQRT(G$6/G$5)))</f>
        <v>135.56710470351294</v>
      </c>
      <c r="W256" s="6"/>
    </row>
    <row r="257" spans="1:23" ht="14" x14ac:dyDescent="0.3">
      <c r="A257" s="318"/>
      <c r="B257" s="318"/>
      <c r="C257" s="318"/>
      <c r="D257" s="318"/>
      <c r="E257" s="318"/>
      <c r="F257" s="318"/>
      <c r="G257" s="318"/>
      <c r="H257" s="318"/>
      <c r="I257" s="318"/>
      <c r="J257" s="318"/>
      <c r="K257" s="318"/>
      <c r="L257" s="318"/>
      <c r="P257" s="246" t="s">
        <v>72</v>
      </c>
      <c r="Q257" s="244">
        <v>1</v>
      </c>
      <c r="R257" s="246"/>
      <c r="S257" s="355">
        <f>(Q/(N_1*S253)*SQRT(G/(S258)))</f>
        <v>11.609794304470123</v>
      </c>
      <c r="T257" s="355">
        <f>(E$3/(N_1*T253)*SQRT(E$6/T258))</f>
        <v>32.609113406809328</v>
      </c>
      <c r="U257" s="355">
        <f>(F$3/(N_1*U253)*SQRT(F$6/U258))</f>
        <v>75.099742474848483</v>
      </c>
      <c r="V257" s="355">
        <f>(G$3/(N_1*V253)*SQRT(G$6/V258))</f>
        <v>113.04789585595061</v>
      </c>
      <c r="W257" s="6"/>
    </row>
    <row r="258" spans="1:23" ht="14" x14ac:dyDescent="0.3">
      <c r="A258" s="318"/>
      <c r="B258" s="318"/>
      <c r="C258" s="318"/>
      <c r="D258" s="318"/>
      <c r="E258" s="318"/>
      <c r="F258" s="318"/>
      <c r="G258" s="318"/>
      <c r="H258" s="318"/>
      <c r="I258" s="318"/>
      <c r="J258" s="318"/>
      <c r="K258" s="318"/>
      <c r="L258" s="318"/>
      <c r="P258" s="246" t="s">
        <v>75</v>
      </c>
      <c r="Q258" s="244">
        <v>3</v>
      </c>
      <c r="R258" s="246"/>
      <c r="S258" s="355">
        <f>(S255/S253)^2*(P_1-(F_F*P_V))</f>
        <v>47.593618181101121</v>
      </c>
      <c r="T258" s="355">
        <f>(T255/T253)^2*(E$4-(T$4*E$7))</f>
        <v>43.424436007818777</v>
      </c>
      <c r="U258" s="355">
        <f>(U255/U253)^2*(F$4-(U$4*F$7))</f>
        <v>34.638413948646722</v>
      </c>
      <c r="V258" s="355">
        <f>(V255/V253)^2*(G$4-(V$4*G$7))</f>
        <v>28.76164165053056</v>
      </c>
      <c r="W258" s="6"/>
    </row>
    <row r="259" spans="1:23" ht="14" x14ac:dyDescent="0.3">
      <c r="A259" s="318"/>
      <c r="B259" s="318"/>
      <c r="C259" s="318"/>
      <c r="D259" s="318"/>
      <c r="E259" s="318"/>
      <c r="F259" s="318"/>
      <c r="G259" s="318"/>
      <c r="H259" s="318"/>
      <c r="I259" s="318"/>
      <c r="J259" s="318"/>
      <c r="K259" s="318"/>
      <c r="L259" s="318"/>
      <c r="P259" s="246" t="s">
        <v>29</v>
      </c>
      <c r="R259" s="246"/>
      <c r="S259" s="355">
        <f>IF(DELTA_P&lt;S258,S256,S257)</f>
        <v>14.158716864768749</v>
      </c>
      <c r="T259" s="355">
        <f>IF(E$5&lt;T258,T256,T257)</f>
        <v>38.973489540193512</v>
      </c>
      <c r="U259" s="355">
        <f>IF(F$5&lt;U258,U256,U257)</f>
        <v>88.576348578178795</v>
      </c>
      <c r="V259" s="355">
        <f>IF(G$5&lt;V258,V256,V257)</f>
        <v>135.56710470351294</v>
      </c>
      <c r="W259" s="6"/>
    </row>
    <row r="260" spans="1:23" ht="14" x14ac:dyDescent="0.3">
      <c r="A260" s="318"/>
      <c r="B260" s="318"/>
      <c r="C260" s="318"/>
      <c r="D260" s="318"/>
      <c r="E260" s="318"/>
      <c r="F260" s="318"/>
      <c r="G260" s="318"/>
      <c r="H260" s="318"/>
      <c r="I260" s="318"/>
      <c r="J260" s="318"/>
      <c r="K260" s="318"/>
      <c r="L260" s="318"/>
      <c r="P260" s="246" t="s">
        <v>81</v>
      </c>
      <c r="R260" s="246"/>
      <c r="S260" s="355">
        <f>S252/S259</f>
        <v>1</v>
      </c>
      <c r="T260" s="355">
        <f>T252/T259</f>
        <v>1</v>
      </c>
      <c r="U260" s="355">
        <f>U252/U259</f>
        <v>1</v>
      </c>
      <c r="V260" s="355">
        <f>V252/V259</f>
        <v>1</v>
      </c>
      <c r="W260" s="6"/>
    </row>
    <row r="261" spans="1:23" ht="14" x14ac:dyDescent="0.3">
      <c r="A261" s="318"/>
      <c r="B261" s="318"/>
      <c r="C261" s="318"/>
      <c r="D261" s="318"/>
      <c r="E261" s="318"/>
      <c r="F261" s="318"/>
      <c r="G261" s="318"/>
      <c r="H261" s="318"/>
      <c r="I261" s="318"/>
      <c r="J261" s="318"/>
      <c r="K261" s="318"/>
      <c r="L261" s="318"/>
      <c r="P261" s="246"/>
      <c r="R261" s="246"/>
      <c r="S261" s="355"/>
      <c r="T261" s="355"/>
      <c r="U261" s="355"/>
      <c r="V261" s="355"/>
      <c r="W261" s="6"/>
    </row>
    <row r="262" spans="1:23" ht="14" x14ac:dyDescent="0.3">
      <c r="A262" s="318"/>
      <c r="B262" s="318"/>
      <c r="C262" s="318"/>
      <c r="D262" s="318"/>
      <c r="E262" s="318"/>
      <c r="F262" s="318"/>
      <c r="G262" s="318"/>
      <c r="H262" s="318"/>
      <c r="I262" s="318"/>
      <c r="J262" s="318"/>
      <c r="K262" s="318"/>
      <c r="L262" s="318"/>
      <c r="P262" s="246" t="s">
        <v>60</v>
      </c>
      <c r="R262" s="246"/>
      <c r="S262" s="355">
        <f>S259</f>
        <v>14.158716864768749</v>
      </c>
      <c r="T262" s="355">
        <f>T259</f>
        <v>38.973489540193512</v>
      </c>
      <c r="U262" s="355">
        <f>U259</f>
        <v>88.576348578178795</v>
      </c>
      <c r="V262" s="355">
        <f>V259</f>
        <v>135.56710470351294</v>
      </c>
      <c r="W262" s="6"/>
    </row>
    <row r="263" spans="1:23" ht="14" x14ac:dyDescent="0.3">
      <c r="A263" s="318"/>
      <c r="B263" s="318"/>
      <c r="C263" s="318"/>
      <c r="D263" s="318"/>
      <c r="E263" s="318"/>
      <c r="F263" s="318"/>
      <c r="G263" s="318"/>
      <c r="H263" s="318"/>
      <c r="I263" s="318"/>
      <c r="J263" s="318"/>
      <c r="K263" s="318"/>
      <c r="L263" s="318"/>
      <c r="P263" s="246" t="s">
        <v>62</v>
      </c>
      <c r="Q263" s="244">
        <v>15</v>
      </c>
      <c r="R263" s="246"/>
      <c r="S263" s="355">
        <f>1/(SQRT(1+(SIGMA_ZETA/N_2)*(S262/d^2)^2))</f>
        <v>0.9988289022800465</v>
      </c>
      <c r="T263" s="355">
        <f>1/(SQRT(1+(SIGMA_ZETA/N_2)*(T262/d^2)^2))</f>
        <v>0.99122790322681231</v>
      </c>
      <c r="U263" s="355">
        <f>1/(SQRT(1+(SIGMA_ZETA/N_2)*(U262/d^2)^2))</f>
        <v>0.957024201817536</v>
      </c>
      <c r="V263" s="355">
        <f>1/(SQRT(1+(SIGMA_ZETA/N_2)*(V262/d^2)^2))</f>
        <v>0.90717979875321164</v>
      </c>
      <c r="W263" s="6"/>
    </row>
    <row r="264" spans="1:23" ht="14" x14ac:dyDescent="0.3">
      <c r="A264" s="318"/>
      <c r="B264" s="318"/>
      <c r="C264" s="318"/>
      <c r="D264" s="318"/>
      <c r="E264" s="318"/>
      <c r="F264" s="318"/>
      <c r="G264" s="318"/>
      <c r="H264" s="318"/>
      <c r="I264" s="318"/>
      <c r="J264" s="318"/>
      <c r="K264" s="318"/>
      <c r="L264" s="318"/>
      <c r="P264" s="246" t="s">
        <v>65</v>
      </c>
      <c r="R264" s="246"/>
      <c r="S264" s="355"/>
      <c r="T264" s="355"/>
      <c r="U264" s="355"/>
      <c r="V264" s="355"/>
      <c r="W264" s="6"/>
    </row>
    <row r="265" spans="1:23" ht="14" x14ac:dyDescent="0.3">
      <c r="A265" s="318"/>
      <c r="B265" s="318"/>
      <c r="C265" s="318"/>
      <c r="D265" s="318"/>
      <c r="E265" s="318"/>
      <c r="F265" s="318"/>
      <c r="G265" s="318"/>
      <c r="H265" s="318"/>
      <c r="I265" s="318"/>
      <c r="J265" s="318"/>
      <c r="K265" s="318"/>
      <c r="L265" s="318"/>
      <c r="P265" s="246" t="s">
        <v>67</v>
      </c>
      <c r="Q265" s="244">
        <v>21</v>
      </c>
      <c r="R265" s="246"/>
      <c r="S265" s="355">
        <f>F_L/SQRT(1+((F_L^2/N_2)*SIGMA_ZETA_1*(S262/d^2)^2))</f>
        <v>0.91868329719081188</v>
      </c>
      <c r="T265" s="355">
        <f>E$9/SQRT(1+((E$9^2/N_2)*SIGMA_ZETA_1*(T262/d^2)^2))</f>
        <v>0.88108433140201292</v>
      </c>
      <c r="U265" s="355">
        <f>F$9/SQRT(1+((F$9^2/N_2)*SIGMA_ZETA_1*(U262/d^2)^2))</f>
        <v>0.79449455771979816</v>
      </c>
      <c r="V265" s="355">
        <f>G$9/SQRT(1+((G$9^2/N_2)*SIGMA_ZETA_1*(V262/d^2)^2))</f>
        <v>0.71531554432738398</v>
      </c>
      <c r="W265" s="6"/>
    </row>
    <row r="266" spans="1:23" ht="14" x14ac:dyDescent="0.3">
      <c r="A266" s="318"/>
      <c r="B266" s="318"/>
      <c r="C266" s="318"/>
      <c r="D266" s="318"/>
      <c r="E266" s="318"/>
      <c r="F266" s="318"/>
      <c r="G266" s="318"/>
      <c r="H266" s="318"/>
      <c r="I266" s="318"/>
      <c r="J266" s="318"/>
      <c r="K266" s="318"/>
      <c r="L266" s="318"/>
      <c r="P266" s="246" t="s">
        <v>69</v>
      </c>
      <c r="Q266" s="244">
        <v>1</v>
      </c>
      <c r="R266" s="246"/>
      <c r="S266" s="355">
        <f>(Q/(N_1*S263)*(SQRT(G/DELTA_P)))</f>
        <v>14.158716864768749</v>
      </c>
      <c r="T266" s="355">
        <f>(E$3/(N_1*T263)*(SQRT(E$6/E$5)))</f>
        <v>38.973489540193512</v>
      </c>
      <c r="U266" s="355">
        <f>(F$3/(N_1*U263)*(SQRT(F$6/F$5)))</f>
        <v>88.576348578178795</v>
      </c>
      <c r="V266" s="355">
        <f>(G$3/(N_1*V263)*(SQRT(G$6/G$5)))</f>
        <v>135.56710470351294</v>
      </c>
      <c r="W266" s="6"/>
    </row>
    <row r="267" spans="1:23" ht="14" x14ac:dyDescent="0.3">
      <c r="A267" s="318"/>
      <c r="B267" s="318"/>
      <c r="C267" s="318"/>
      <c r="D267" s="318"/>
      <c r="E267" s="318"/>
      <c r="F267" s="318"/>
      <c r="G267" s="318"/>
      <c r="H267" s="318"/>
      <c r="I267" s="318"/>
      <c r="J267" s="318"/>
      <c r="K267" s="318"/>
      <c r="L267" s="318"/>
      <c r="P267" s="246" t="s">
        <v>72</v>
      </c>
      <c r="Q267" s="244">
        <v>1</v>
      </c>
      <c r="R267" s="246"/>
      <c r="S267" s="355">
        <f>(Q/(N_1*S263)*SQRT(G/(S268)))</f>
        <v>11.609794304470123</v>
      </c>
      <c r="T267" s="355">
        <f>(E$3/(N_1*T263)*SQRT(E$6/T268))</f>
        <v>32.609113406809328</v>
      </c>
      <c r="U267" s="355">
        <f>(F$3/(N_1*U263)*SQRT(F$6/U268))</f>
        <v>75.099742474848483</v>
      </c>
      <c r="V267" s="355">
        <f>(G$3/(N_1*V263)*SQRT(G$6/V268))</f>
        <v>113.04789585595061</v>
      </c>
      <c r="W267" s="6"/>
    </row>
    <row r="268" spans="1:23" ht="14" x14ac:dyDescent="0.3">
      <c r="A268" s="318"/>
      <c r="B268" s="318"/>
      <c r="C268" s="318"/>
      <c r="D268" s="318"/>
      <c r="E268" s="318"/>
      <c r="F268" s="318"/>
      <c r="G268" s="318"/>
      <c r="H268" s="318"/>
      <c r="I268" s="318"/>
      <c r="J268" s="318"/>
      <c r="K268" s="318"/>
      <c r="L268" s="318"/>
      <c r="P268" s="246" t="s">
        <v>75</v>
      </c>
      <c r="Q268" s="244">
        <v>3</v>
      </c>
      <c r="R268" s="246"/>
      <c r="S268" s="355">
        <f>(S265/S263)^2*(P_1-(F_F*P_V))</f>
        <v>47.593618181101121</v>
      </c>
      <c r="T268" s="355">
        <f>(T265/T263)^2*(E$4-(T$4*E$7))</f>
        <v>43.424436007818777</v>
      </c>
      <c r="U268" s="355">
        <f>(U265/U263)^2*(F$4-(U$4*F$7))</f>
        <v>34.638413948646722</v>
      </c>
      <c r="V268" s="355">
        <f>(V265/V263)^2*(G$4-(V$4*G$7))</f>
        <v>28.76164165053056</v>
      </c>
      <c r="W268" s="6"/>
    </row>
    <row r="269" spans="1:23" ht="14" x14ac:dyDescent="0.3">
      <c r="A269" s="318"/>
      <c r="B269" s="318"/>
      <c r="C269" s="318"/>
      <c r="D269" s="318"/>
      <c r="E269" s="318"/>
      <c r="F269" s="318"/>
      <c r="G269" s="318"/>
      <c r="H269" s="318"/>
      <c r="I269" s="318"/>
      <c r="J269" s="318"/>
      <c r="K269" s="318"/>
      <c r="L269" s="318"/>
      <c r="P269" s="246" t="s">
        <v>29</v>
      </c>
      <c r="R269" s="246"/>
      <c r="S269" s="355">
        <f>IF(DELTA_P&lt;S268,S266,S267)</f>
        <v>14.158716864768749</v>
      </c>
      <c r="T269" s="355">
        <f>IF(E$5&lt;T268,T266,T267)</f>
        <v>38.973489540193512</v>
      </c>
      <c r="U269" s="355">
        <f>IF(F$5&lt;U268,U266,U267)</f>
        <v>88.576348578178795</v>
      </c>
      <c r="V269" s="355">
        <f>IF(G$5&lt;V268,V266,V267)</f>
        <v>135.56710470351294</v>
      </c>
      <c r="W269" s="6"/>
    </row>
    <row r="270" spans="1:23" ht="14" x14ac:dyDescent="0.3">
      <c r="A270" s="318"/>
      <c r="B270" s="318"/>
      <c r="C270" s="318"/>
      <c r="D270" s="318"/>
      <c r="E270" s="318"/>
      <c r="F270" s="318"/>
      <c r="G270" s="318"/>
      <c r="H270" s="318"/>
      <c r="I270" s="318"/>
      <c r="J270" s="318"/>
      <c r="K270" s="318"/>
      <c r="L270" s="318"/>
      <c r="P270" s="246" t="s">
        <v>81</v>
      </c>
      <c r="R270" s="246"/>
      <c r="S270" s="355">
        <f>S262/S269</f>
        <v>1</v>
      </c>
      <c r="T270" s="355">
        <f>T262/T269</f>
        <v>1</v>
      </c>
      <c r="U270" s="355">
        <f>U262/U269</f>
        <v>1</v>
      </c>
      <c r="V270" s="355">
        <f>V262/V269</f>
        <v>1</v>
      </c>
      <c r="W270" s="6"/>
    </row>
    <row r="271" spans="1:23" ht="14" x14ac:dyDescent="0.3">
      <c r="A271" s="318"/>
      <c r="B271" s="318"/>
      <c r="C271" s="318"/>
      <c r="D271" s="318"/>
      <c r="E271" s="318"/>
      <c r="F271" s="318"/>
      <c r="G271" s="318"/>
      <c r="H271" s="318"/>
      <c r="I271" s="318"/>
      <c r="J271" s="318"/>
      <c r="K271" s="318"/>
      <c r="L271" s="318"/>
      <c r="P271" s="246"/>
      <c r="R271" s="246"/>
      <c r="S271" s="355"/>
      <c r="T271" s="355"/>
      <c r="U271" s="355"/>
      <c r="V271" s="355"/>
      <c r="W271" s="6"/>
    </row>
    <row r="272" spans="1:23" ht="14" x14ac:dyDescent="0.3">
      <c r="A272" s="318"/>
      <c r="B272" s="318"/>
      <c r="C272" s="318"/>
      <c r="D272" s="318"/>
      <c r="E272" s="318"/>
      <c r="F272" s="318"/>
      <c r="G272" s="318"/>
      <c r="H272" s="318"/>
      <c r="I272" s="318"/>
      <c r="J272" s="318"/>
      <c r="K272" s="318"/>
      <c r="L272" s="318"/>
      <c r="P272" s="246" t="s">
        <v>60</v>
      </c>
      <c r="R272" s="246"/>
      <c r="S272" s="355">
        <f>S269</f>
        <v>14.158716864768749</v>
      </c>
      <c r="T272" s="355">
        <f>T269</f>
        <v>38.973489540193512</v>
      </c>
      <c r="U272" s="355">
        <f>U269</f>
        <v>88.576348578178795</v>
      </c>
      <c r="V272" s="355">
        <f>V269</f>
        <v>135.56710470351294</v>
      </c>
      <c r="W272" s="6"/>
    </row>
    <row r="273" spans="1:23" ht="14" x14ac:dyDescent="0.3">
      <c r="A273" s="318"/>
      <c r="B273" s="318"/>
      <c r="C273" s="318"/>
      <c r="D273" s="318"/>
      <c r="E273" s="318"/>
      <c r="F273" s="318"/>
      <c r="G273" s="318"/>
      <c r="H273" s="318"/>
      <c r="I273" s="318"/>
      <c r="J273" s="318"/>
      <c r="K273" s="318"/>
      <c r="L273" s="318"/>
      <c r="P273" s="246" t="s">
        <v>62</v>
      </c>
      <c r="Q273" s="244">
        <v>15</v>
      </c>
      <c r="R273" s="246"/>
      <c r="S273" s="355">
        <f>1/(SQRT(1+(SIGMA_ZETA/N_2)*(S272/d^2)^2))</f>
        <v>0.9988289022800465</v>
      </c>
      <c r="T273" s="355">
        <f>1/(SQRT(1+(SIGMA_ZETA/N_2)*(T272/d^2)^2))</f>
        <v>0.99122790322681231</v>
      </c>
      <c r="U273" s="355">
        <f>1/(SQRT(1+(SIGMA_ZETA/N_2)*(U272/d^2)^2))</f>
        <v>0.957024201817536</v>
      </c>
      <c r="V273" s="355">
        <f>1/(SQRT(1+(SIGMA_ZETA/N_2)*(V272/d^2)^2))</f>
        <v>0.90717979875321164</v>
      </c>
      <c r="W273" s="6"/>
    </row>
    <row r="274" spans="1:23" ht="14" x14ac:dyDescent="0.3">
      <c r="A274" s="318"/>
      <c r="B274" s="318"/>
      <c r="C274" s="318"/>
      <c r="D274" s="318"/>
      <c r="E274" s="318"/>
      <c r="F274" s="318"/>
      <c r="G274" s="318"/>
      <c r="H274" s="318"/>
      <c r="I274" s="318"/>
      <c r="J274" s="318"/>
      <c r="K274" s="318"/>
      <c r="L274" s="318"/>
      <c r="P274" s="246" t="s">
        <v>65</v>
      </c>
      <c r="R274" s="246"/>
      <c r="S274" s="355"/>
      <c r="T274" s="355"/>
      <c r="U274" s="355"/>
      <c r="V274" s="355"/>
      <c r="W274" s="6"/>
    </row>
    <row r="275" spans="1:23" ht="14" x14ac:dyDescent="0.3">
      <c r="A275" s="318"/>
      <c r="B275" s="318"/>
      <c r="C275" s="318"/>
      <c r="D275" s="318"/>
      <c r="E275" s="318"/>
      <c r="F275" s="318"/>
      <c r="G275" s="318"/>
      <c r="H275" s="318"/>
      <c r="I275" s="318"/>
      <c r="J275" s="318"/>
      <c r="K275" s="318"/>
      <c r="L275" s="318"/>
      <c r="P275" s="246" t="s">
        <v>67</v>
      </c>
      <c r="Q275" s="244">
        <v>21</v>
      </c>
      <c r="R275" s="246"/>
      <c r="S275" s="355">
        <f>F_L/SQRT(1+((F_L^2/N_2)*SIGMA_ZETA_1*(S272/d^2)^2))</f>
        <v>0.91868329719081188</v>
      </c>
      <c r="T275" s="355">
        <f>E$9/SQRT(1+((E$9^2/N_2)*SIGMA_ZETA_1*(T272/d^2)^2))</f>
        <v>0.88108433140201292</v>
      </c>
      <c r="U275" s="355">
        <f>F$9/SQRT(1+((F$9^2/N_2)*SIGMA_ZETA_1*(U272/d^2)^2))</f>
        <v>0.79449455771979816</v>
      </c>
      <c r="V275" s="355">
        <f>G$9/SQRT(1+((G$9^2/N_2)*SIGMA_ZETA_1*(V272/d^2)^2))</f>
        <v>0.71531554432738398</v>
      </c>
      <c r="W275" s="6"/>
    </row>
    <row r="276" spans="1:23" ht="14" x14ac:dyDescent="0.3">
      <c r="A276" s="318"/>
      <c r="B276" s="318"/>
      <c r="C276" s="318"/>
      <c r="D276" s="318"/>
      <c r="E276" s="318"/>
      <c r="F276" s="318"/>
      <c r="G276" s="318"/>
      <c r="H276" s="318"/>
      <c r="I276" s="318"/>
      <c r="J276" s="318"/>
      <c r="K276" s="318"/>
      <c r="L276" s="318"/>
      <c r="P276" s="246" t="s">
        <v>69</v>
      </c>
      <c r="Q276" s="244">
        <v>1</v>
      </c>
      <c r="R276" s="246"/>
      <c r="S276" s="355">
        <f>(Q/(N_1*S273)*(SQRT(G/DELTA_P)))</f>
        <v>14.158716864768749</v>
      </c>
      <c r="T276" s="355">
        <f>(E$3/(N_1*T273)*(SQRT(E$6/E$5)))</f>
        <v>38.973489540193512</v>
      </c>
      <c r="U276" s="355">
        <f>(F$3/(N_1*U273)*(SQRT(F$6/F$5)))</f>
        <v>88.576348578178795</v>
      </c>
      <c r="V276" s="355">
        <f>(G$3/(N_1*V273)*(SQRT(G$6/G$5)))</f>
        <v>135.56710470351294</v>
      </c>
      <c r="W276" s="6"/>
    </row>
    <row r="277" spans="1:23" ht="14" x14ac:dyDescent="0.3">
      <c r="A277" s="318"/>
      <c r="B277" s="318"/>
      <c r="C277" s="318"/>
      <c r="D277" s="318"/>
      <c r="E277" s="318"/>
      <c r="F277" s="318"/>
      <c r="G277" s="318"/>
      <c r="H277" s="318"/>
      <c r="I277" s="318"/>
      <c r="J277" s="318"/>
      <c r="K277" s="318"/>
      <c r="L277" s="318"/>
      <c r="P277" s="246" t="s">
        <v>72</v>
      </c>
      <c r="Q277" s="244">
        <v>1</v>
      </c>
      <c r="R277" s="246"/>
      <c r="S277" s="355">
        <f>(Q/(N_1*S273)*SQRT(G/(S278)))</f>
        <v>11.609794304470123</v>
      </c>
      <c r="T277" s="355">
        <f>(E$3/(N_1*T273)*SQRT(E$6/T278))</f>
        <v>32.609113406809328</v>
      </c>
      <c r="U277" s="355">
        <f>(F$3/(N_1*U273)*SQRT(F$6/U278))</f>
        <v>75.099742474848483</v>
      </c>
      <c r="V277" s="355">
        <f>(G$3/(N_1*V273)*SQRT(G$6/V278))</f>
        <v>113.04789585595061</v>
      </c>
      <c r="W277" s="6"/>
    </row>
    <row r="278" spans="1:23" ht="14" x14ac:dyDescent="0.3">
      <c r="A278" s="318"/>
      <c r="B278" s="318"/>
      <c r="C278" s="318"/>
      <c r="D278" s="318"/>
      <c r="E278" s="318"/>
      <c r="F278" s="318"/>
      <c r="G278" s="318"/>
      <c r="H278" s="318"/>
      <c r="I278" s="318"/>
      <c r="J278" s="318"/>
      <c r="K278" s="318"/>
      <c r="L278" s="318"/>
      <c r="P278" s="246" t="s">
        <v>75</v>
      </c>
      <c r="Q278" s="244">
        <v>3</v>
      </c>
      <c r="R278" s="246"/>
      <c r="S278" s="355">
        <f>(S275/S273)^2*(P_1-(F_F*P_V))</f>
        <v>47.593618181101121</v>
      </c>
      <c r="T278" s="355">
        <f>(T275/T273)^2*(E$4-(T$4*E$7))</f>
        <v>43.424436007818777</v>
      </c>
      <c r="U278" s="355">
        <f>(U275/U273)^2*(F$4-(U$4*F$7))</f>
        <v>34.638413948646722</v>
      </c>
      <c r="V278" s="355">
        <f>(V275/V273)^2*(G$4-(V$4*G$7))</f>
        <v>28.76164165053056</v>
      </c>
      <c r="W278" s="6"/>
    </row>
    <row r="279" spans="1:23" ht="14" x14ac:dyDescent="0.3">
      <c r="A279" s="318"/>
      <c r="B279" s="318"/>
      <c r="C279" s="318"/>
      <c r="D279" s="318"/>
      <c r="E279" s="318"/>
      <c r="F279" s="318"/>
      <c r="G279" s="318"/>
      <c r="H279" s="318"/>
      <c r="I279" s="318"/>
      <c r="J279" s="318"/>
      <c r="K279" s="318"/>
      <c r="L279" s="318"/>
      <c r="P279" s="246" t="s">
        <v>29</v>
      </c>
      <c r="R279" s="246"/>
      <c r="S279" s="355">
        <f>IF(DELTA_P&lt;S278,S276,S277)</f>
        <v>14.158716864768749</v>
      </c>
      <c r="T279" s="355">
        <f>IF(E$5&lt;T278,T276,T277)</f>
        <v>38.973489540193512</v>
      </c>
      <c r="U279" s="355">
        <f>IF(F$5&lt;U278,U276,U277)</f>
        <v>88.576348578178795</v>
      </c>
      <c r="V279" s="355">
        <f>IF(G$5&lt;V278,V276,V277)</f>
        <v>135.56710470351294</v>
      </c>
      <c r="W279" s="6"/>
    </row>
    <row r="280" spans="1:23" ht="14" x14ac:dyDescent="0.3">
      <c r="A280" s="318"/>
      <c r="B280" s="318"/>
      <c r="C280" s="318"/>
      <c r="D280" s="318"/>
      <c r="E280" s="318"/>
      <c r="F280" s="318"/>
      <c r="G280" s="318"/>
      <c r="H280" s="318"/>
      <c r="I280" s="318"/>
      <c r="J280" s="318"/>
      <c r="K280" s="318"/>
      <c r="L280" s="318"/>
      <c r="P280" s="246" t="s">
        <v>81</v>
      </c>
      <c r="R280" s="246"/>
      <c r="S280" s="355">
        <f>S272/S279</f>
        <v>1</v>
      </c>
      <c r="T280" s="355">
        <f>T272/T279</f>
        <v>1</v>
      </c>
      <c r="U280" s="355">
        <f>U272/U279</f>
        <v>1</v>
      </c>
      <c r="V280" s="355">
        <f>V272/V279</f>
        <v>1</v>
      </c>
      <c r="W280" s="6"/>
    </row>
    <row r="281" spans="1:23" ht="14" x14ac:dyDescent="0.3">
      <c r="A281" s="318"/>
      <c r="B281" s="318"/>
      <c r="C281" s="318"/>
      <c r="D281" s="318"/>
      <c r="E281" s="318"/>
      <c r="F281" s="318"/>
      <c r="G281" s="318"/>
      <c r="H281" s="318"/>
      <c r="I281" s="318"/>
      <c r="J281" s="318"/>
      <c r="K281" s="318"/>
      <c r="L281" s="318"/>
      <c r="P281" s="246"/>
      <c r="R281" s="246"/>
      <c r="S281" s="355"/>
      <c r="T281" s="355"/>
      <c r="U281" s="355"/>
      <c r="V281" s="355"/>
      <c r="W281" s="6"/>
    </row>
    <row r="282" spans="1:23" ht="14" x14ac:dyDescent="0.3">
      <c r="A282" s="318"/>
      <c r="B282" s="318"/>
      <c r="C282" s="318"/>
      <c r="D282" s="318"/>
      <c r="E282" s="318"/>
      <c r="F282" s="318"/>
      <c r="G282" s="318"/>
      <c r="H282" s="318"/>
      <c r="I282" s="318"/>
      <c r="J282" s="318"/>
      <c r="K282" s="318"/>
      <c r="L282" s="318"/>
      <c r="P282" s="246" t="s">
        <v>60</v>
      </c>
      <c r="R282" s="246"/>
      <c r="S282" s="355">
        <f>S279</f>
        <v>14.158716864768749</v>
      </c>
      <c r="T282" s="355">
        <f>T279</f>
        <v>38.973489540193512</v>
      </c>
      <c r="U282" s="355">
        <f>U279</f>
        <v>88.576348578178795</v>
      </c>
      <c r="V282" s="355">
        <f>V279</f>
        <v>135.56710470351294</v>
      </c>
      <c r="W282" s="6"/>
    </row>
    <row r="283" spans="1:23" ht="14" x14ac:dyDescent="0.3">
      <c r="A283" s="318"/>
      <c r="B283" s="318"/>
      <c r="C283" s="318"/>
      <c r="D283" s="318"/>
      <c r="E283" s="318"/>
      <c r="F283" s="318"/>
      <c r="G283" s="318"/>
      <c r="H283" s="318"/>
      <c r="I283" s="318"/>
      <c r="J283" s="318"/>
      <c r="K283" s="318"/>
      <c r="L283" s="318"/>
      <c r="P283" s="246" t="s">
        <v>62</v>
      </c>
      <c r="Q283" s="244">
        <v>15</v>
      </c>
      <c r="R283" s="246"/>
      <c r="S283" s="355">
        <f>1/(SQRT(1+(SIGMA_ZETA/N_2)*(S282/d^2)^2))</f>
        <v>0.9988289022800465</v>
      </c>
      <c r="T283" s="355">
        <f>1/(SQRT(1+(SIGMA_ZETA/N_2)*(T282/d^2)^2))</f>
        <v>0.99122790322681231</v>
      </c>
      <c r="U283" s="355">
        <f>1/(SQRT(1+(SIGMA_ZETA/N_2)*(U282/d^2)^2))</f>
        <v>0.957024201817536</v>
      </c>
      <c r="V283" s="355">
        <f>1/(SQRT(1+(SIGMA_ZETA/N_2)*(V282/d^2)^2))</f>
        <v>0.90717979875321164</v>
      </c>
      <c r="W283" s="6"/>
    </row>
    <row r="284" spans="1:23" ht="14" x14ac:dyDescent="0.3">
      <c r="A284" s="318"/>
      <c r="B284" s="318"/>
      <c r="C284" s="318"/>
      <c r="D284" s="318"/>
      <c r="E284" s="318"/>
      <c r="F284" s="318"/>
      <c r="G284" s="318"/>
      <c r="H284" s="318"/>
      <c r="I284" s="318"/>
      <c r="J284" s="318"/>
      <c r="K284" s="318"/>
      <c r="L284" s="318"/>
      <c r="P284" s="246" t="s">
        <v>65</v>
      </c>
      <c r="R284" s="246"/>
      <c r="S284" s="355"/>
      <c r="T284" s="355"/>
      <c r="U284" s="355"/>
      <c r="V284" s="355"/>
      <c r="W284" s="6"/>
    </row>
    <row r="285" spans="1:23" ht="14" x14ac:dyDescent="0.3">
      <c r="A285" s="318"/>
      <c r="B285" s="318"/>
      <c r="C285" s="318"/>
      <c r="D285" s="318"/>
      <c r="E285" s="318"/>
      <c r="F285" s="318"/>
      <c r="G285" s="318"/>
      <c r="H285" s="318"/>
      <c r="I285" s="318"/>
      <c r="J285" s="318"/>
      <c r="K285" s="318"/>
      <c r="L285" s="318"/>
      <c r="P285" s="246" t="s">
        <v>67</v>
      </c>
      <c r="Q285" s="244">
        <v>21</v>
      </c>
      <c r="R285" s="246"/>
      <c r="S285" s="355">
        <f>F_L/SQRT(1+((F_L^2/N_2)*SIGMA_ZETA_1*(S282/d^2)^2))</f>
        <v>0.91868329719081188</v>
      </c>
      <c r="T285" s="355">
        <f>E$9/SQRT(1+((E$9^2/N_2)*SIGMA_ZETA_1*(T282/d^2)^2))</f>
        <v>0.88108433140201292</v>
      </c>
      <c r="U285" s="355">
        <f>F$9/SQRT(1+((F$9^2/N_2)*SIGMA_ZETA_1*(U282/d^2)^2))</f>
        <v>0.79449455771979816</v>
      </c>
      <c r="V285" s="355">
        <f>G$9/SQRT(1+((G$9^2/N_2)*SIGMA_ZETA_1*(V282/d^2)^2))</f>
        <v>0.71531554432738398</v>
      </c>
      <c r="W285" s="6"/>
    </row>
    <row r="286" spans="1:23" ht="14" x14ac:dyDescent="0.3">
      <c r="A286" s="318"/>
      <c r="B286" s="318"/>
      <c r="C286" s="318"/>
      <c r="D286" s="318"/>
      <c r="E286" s="318"/>
      <c r="F286" s="318"/>
      <c r="G286" s="318"/>
      <c r="H286" s="318"/>
      <c r="I286" s="318"/>
      <c r="J286" s="318"/>
      <c r="K286" s="318"/>
      <c r="L286" s="318"/>
      <c r="P286" s="246" t="s">
        <v>69</v>
      </c>
      <c r="Q286" s="244">
        <v>1</v>
      </c>
      <c r="R286" s="246"/>
      <c r="S286" s="355">
        <f>(Q/(N_1*S283)*(SQRT(G/DELTA_P)))</f>
        <v>14.158716864768749</v>
      </c>
      <c r="T286" s="355">
        <f>(E$3/(N_1*T283)*(SQRT(E$6/E$5)))</f>
        <v>38.973489540193512</v>
      </c>
      <c r="U286" s="355">
        <f>(F$3/(N_1*U283)*(SQRT(F$6/F$5)))</f>
        <v>88.576348578178795</v>
      </c>
      <c r="V286" s="355">
        <f>(G$3/(N_1*V283)*(SQRT(G$6/G$5)))</f>
        <v>135.56710470351294</v>
      </c>
      <c r="W286" s="6"/>
    </row>
    <row r="287" spans="1:23" ht="14" x14ac:dyDescent="0.3">
      <c r="A287" s="318"/>
      <c r="B287" s="318"/>
      <c r="C287" s="318"/>
      <c r="D287" s="318"/>
      <c r="E287" s="318"/>
      <c r="F287" s="318"/>
      <c r="G287" s="318"/>
      <c r="H287" s="318"/>
      <c r="I287" s="318"/>
      <c r="J287" s="318"/>
      <c r="K287" s="318"/>
      <c r="L287" s="318"/>
      <c r="P287" s="246" t="s">
        <v>72</v>
      </c>
      <c r="Q287" s="244">
        <v>1</v>
      </c>
      <c r="R287" s="246"/>
      <c r="S287" s="355">
        <f>(Q/(N_1*S283)*SQRT(G/(S288)))</f>
        <v>11.609794304470123</v>
      </c>
      <c r="T287" s="355">
        <f>(E$3/(N_1*T283)*SQRT(E$6/T288))</f>
        <v>32.609113406809328</v>
      </c>
      <c r="U287" s="355">
        <f>(F$3/(N_1*U283)*SQRT(F$6/U288))</f>
        <v>75.099742474848483</v>
      </c>
      <c r="V287" s="355">
        <f>(G$3/(N_1*V283)*SQRT(G$6/V288))</f>
        <v>113.04789585595061</v>
      </c>
      <c r="W287" s="6"/>
    </row>
    <row r="288" spans="1:23" ht="14" x14ac:dyDescent="0.3">
      <c r="A288" s="318"/>
      <c r="B288" s="318"/>
      <c r="C288" s="318"/>
      <c r="D288" s="318"/>
      <c r="E288" s="318"/>
      <c r="F288" s="318"/>
      <c r="G288" s="318"/>
      <c r="H288" s="318"/>
      <c r="I288" s="318"/>
      <c r="J288" s="318"/>
      <c r="K288" s="318"/>
      <c r="L288" s="318"/>
      <c r="P288" s="246" t="s">
        <v>75</v>
      </c>
      <c r="Q288" s="244">
        <v>3</v>
      </c>
      <c r="R288" s="246"/>
      <c r="S288" s="355">
        <f>(S285/S283)^2*(P_1-(F_F*P_V))</f>
        <v>47.593618181101121</v>
      </c>
      <c r="T288" s="355">
        <f>(T285/T283)^2*(E$4-(T$4*E$7))</f>
        <v>43.424436007818777</v>
      </c>
      <c r="U288" s="355">
        <f>(U285/U283)^2*(F$4-(U$4*F$7))</f>
        <v>34.638413948646722</v>
      </c>
      <c r="V288" s="355">
        <f>(V285/V283)^2*(G$4-(V$4*G$7))</f>
        <v>28.76164165053056</v>
      </c>
      <c r="W288" s="6"/>
    </row>
    <row r="289" spans="1:23" ht="14" x14ac:dyDescent="0.3">
      <c r="A289" s="318"/>
      <c r="B289" s="318"/>
      <c r="C289" s="318"/>
      <c r="D289" s="318"/>
      <c r="E289" s="318"/>
      <c r="F289" s="318"/>
      <c r="G289" s="318"/>
      <c r="H289" s="318"/>
      <c r="I289" s="318"/>
      <c r="J289" s="318"/>
      <c r="K289" s="318"/>
      <c r="L289" s="318"/>
      <c r="P289" s="246" t="s">
        <v>29</v>
      </c>
      <c r="R289" s="246"/>
      <c r="S289" s="355">
        <f>IF(DELTA_P&lt;S288,S286,S287)</f>
        <v>14.158716864768749</v>
      </c>
      <c r="T289" s="355">
        <f>IF(E$5&lt;T288,T286,T287)</f>
        <v>38.973489540193512</v>
      </c>
      <c r="U289" s="355">
        <f>IF(F$5&lt;U288,U286,U287)</f>
        <v>88.576348578178795</v>
      </c>
      <c r="V289" s="355">
        <f>IF(G$5&lt;V288,V286,V287)</f>
        <v>135.56710470351294</v>
      </c>
      <c r="W289" s="6"/>
    </row>
    <row r="290" spans="1:23" ht="14" x14ac:dyDescent="0.3">
      <c r="A290" s="318"/>
      <c r="B290" s="318"/>
      <c r="C290" s="318"/>
      <c r="D290" s="318"/>
      <c r="E290" s="318"/>
      <c r="F290" s="318"/>
      <c r="G290" s="318"/>
      <c r="H290" s="318"/>
      <c r="I290" s="318"/>
      <c r="J290" s="318"/>
      <c r="K290" s="318"/>
      <c r="L290" s="318"/>
      <c r="P290" s="246" t="s">
        <v>81</v>
      </c>
      <c r="R290" s="246"/>
      <c r="S290" s="355">
        <f>S282/S289</f>
        <v>1</v>
      </c>
      <c r="T290" s="355">
        <f>T282/T289</f>
        <v>1</v>
      </c>
      <c r="U290" s="355">
        <f>U282/U289</f>
        <v>1</v>
      </c>
      <c r="V290" s="355">
        <f>V282/V289</f>
        <v>1</v>
      </c>
      <c r="W290" s="6"/>
    </row>
    <row r="291" spans="1:23" ht="14" x14ac:dyDescent="0.3">
      <c r="A291" s="318"/>
      <c r="B291" s="318"/>
      <c r="C291" s="318"/>
      <c r="D291" s="318"/>
      <c r="E291" s="318"/>
      <c r="F291" s="318"/>
      <c r="G291" s="318"/>
      <c r="H291" s="318"/>
      <c r="I291" s="318"/>
      <c r="J291" s="318"/>
      <c r="K291" s="318"/>
      <c r="L291" s="318"/>
      <c r="P291" s="246"/>
      <c r="R291" s="246"/>
      <c r="S291" s="355"/>
      <c r="T291" s="355"/>
      <c r="U291" s="355"/>
      <c r="V291" s="355"/>
      <c r="W291" s="6"/>
    </row>
    <row r="292" spans="1:23" ht="14" x14ac:dyDescent="0.3">
      <c r="A292" s="318"/>
      <c r="B292" s="318"/>
      <c r="C292" s="318"/>
      <c r="D292" s="318"/>
      <c r="E292" s="318"/>
      <c r="F292" s="318"/>
      <c r="G292" s="318"/>
      <c r="H292" s="318"/>
      <c r="I292" s="318"/>
      <c r="J292" s="318"/>
      <c r="K292" s="318"/>
      <c r="L292" s="318"/>
      <c r="P292" s="246" t="s">
        <v>60</v>
      </c>
      <c r="R292" s="246"/>
      <c r="S292" s="355">
        <f>S289</f>
        <v>14.158716864768749</v>
      </c>
      <c r="T292" s="355">
        <f>T289</f>
        <v>38.973489540193512</v>
      </c>
      <c r="U292" s="355">
        <f>U289</f>
        <v>88.576348578178795</v>
      </c>
      <c r="V292" s="355">
        <f>V289</f>
        <v>135.56710470351294</v>
      </c>
      <c r="W292" s="6"/>
    </row>
    <row r="293" spans="1:23" ht="14" x14ac:dyDescent="0.3">
      <c r="A293" s="318"/>
      <c r="B293" s="318"/>
      <c r="C293" s="318"/>
      <c r="D293" s="318"/>
      <c r="E293" s="318"/>
      <c r="F293" s="318"/>
      <c r="G293" s="318"/>
      <c r="H293" s="318"/>
      <c r="I293" s="318"/>
      <c r="J293" s="318"/>
      <c r="K293" s="318"/>
      <c r="L293" s="318"/>
      <c r="P293" s="246" t="s">
        <v>62</v>
      </c>
      <c r="Q293" s="244">
        <v>15</v>
      </c>
      <c r="R293" s="246"/>
      <c r="S293" s="355">
        <f>1/(SQRT(1+(SIGMA_ZETA/N_2)*(S292/d^2)^2))</f>
        <v>0.9988289022800465</v>
      </c>
      <c r="T293" s="355">
        <f>1/(SQRT(1+(SIGMA_ZETA/N_2)*(T292/d^2)^2))</f>
        <v>0.99122790322681231</v>
      </c>
      <c r="U293" s="355">
        <f>1/(SQRT(1+(SIGMA_ZETA/N_2)*(U292/d^2)^2))</f>
        <v>0.957024201817536</v>
      </c>
      <c r="V293" s="355">
        <f>1/(SQRT(1+(SIGMA_ZETA/N_2)*(V292/d^2)^2))</f>
        <v>0.90717979875321164</v>
      </c>
      <c r="W293" s="6"/>
    </row>
    <row r="294" spans="1:23" ht="14" x14ac:dyDescent="0.3">
      <c r="A294" s="318"/>
      <c r="B294" s="318"/>
      <c r="C294" s="318"/>
      <c r="D294" s="318"/>
      <c r="E294" s="318"/>
      <c r="F294" s="318"/>
      <c r="G294" s="318"/>
      <c r="H294" s="318"/>
      <c r="I294" s="318"/>
      <c r="J294" s="318"/>
      <c r="K294" s="318"/>
      <c r="L294" s="318"/>
      <c r="P294" s="246" t="s">
        <v>65</v>
      </c>
      <c r="R294" s="246"/>
      <c r="S294" s="355"/>
      <c r="T294" s="355"/>
      <c r="U294" s="355"/>
      <c r="V294" s="355"/>
      <c r="W294" s="6"/>
    </row>
    <row r="295" spans="1:23" ht="14" x14ac:dyDescent="0.3">
      <c r="A295" s="318"/>
      <c r="B295" s="318"/>
      <c r="C295" s="318"/>
      <c r="D295" s="318"/>
      <c r="E295" s="318"/>
      <c r="F295" s="318"/>
      <c r="G295" s="318"/>
      <c r="H295" s="318"/>
      <c r="I295" s="318"/>
      <c r="J295" s="318"/>
      <c r="K295" s="318"/>
      <c r="L295" s="318"/>
      <c r="P295" s="246" t="s">
        <v>67</v>
      </c>
      <c r="Q295" s="244">
        <v>21</v>
      </c>
      <c r="R295" s="246"/>
      <c r="S295" s="355">
        <f>F_L/SQRT(1+((F_L^2/N_2)*SIGMA_ZETA_1*(S292/d^2)^2))</f>
        <v>0.91868329719081188</v>
      </c>
      <c r="T295" s="355">
        <f>E$9/SQRT(1+((E$9^2/N_2)*SIGMA_ZETA_1*(T292/d^2)^2))</f>
        <v>0.88108433140201292</v>
      </c>
      <c r="U295" s="355">
        <f>F$9/SQRT(1+((F$9^2/N_2)*SIGMA_ZETA_1*(U292/d^2)^2))</f>
        <v>0.79449455771979816</v>
      </c>
      <c r="V295" s="355">
        <f>G$9/SQRT(1+((G$9^2/N_2)*SIGMA_ZETA_1*(V292/d^2)^2))</f>
        <v>0.71531554432738398</v>
      </c>
      <c r="W295" s="6"/>
    </row>
    <row r="296" spans="1:23" ht="14" x14ac:dyDescent="0.3">
      <c r="A296" s="318"/>
      <c r="B296" s="318"/>
      <c r="C296" s="318"/>
      <c r="D296" s="318"/>
      <c r="E296" s="318"/>
      <c r="F296" s="318"/>
      <c r="G296" s="318"/>
      <c r="H296" s="318"/>
      <c r="I296" s="318"/>
      <c r="J296" s="318"/>
      <c r="K296" s="318"/>
      <c r="L296" s="318"/>
      <c r="P296" s="246" t="s">
        <v>69</v>
      </c>
      <c r="Q296" s="244">
        <v>1</v>
      </c>
      <c r="R296" s="246"/>
      <c r="S296" s="355">
        <f>(Q/(N_1*S293)*(SQRT(G/DELTA_P)))</f>
        <v>14.158716864768749</v>
      </c>
      <c r="T296" s="355">
        <f>(E$3/(N_1*T293)*(SQRT(E$6/E$5)))</f>
        <v>38.973489540193512</v>
      </c>
      <c r="U296" s="355">
        <f>(F$3/(N_1*U293)*(SQRT(F$6/F$5)))</f>
        <v>88.576348578178795</v>
      </c>
      <c r="V296" s="355">
        <f>(G$3/(N_1*V293)*(SQRT(G$6/G$5)))</f>
        <v>135.56710470351294</v>
      </c>
      <c r="W296" s="6"/>
    </row>
    <row r="297" spans="1:23" ht="14" x14ac:dyDescent="0.3">
      <c r="A297" s="318"/>
      <c r="B297" s="318"/>
      <c r="C297" s="318"/>
      <c r="D297" s="318"/>
      <c r="E297" s="318"/>
      <c r="F297" s="318"/>
      <c r="G297" s="318"/>
      <c r="H297" s="318"/>
      <c r="I297" s="318"/>
      <c r="J297" s="318"/>
      <c r="K297" s="318"/>
      <c r="L297" s="318"/>
      <c r="P297" s="246" t="s">
        <v>72</v>
      </c>
      <c r="Q297" s="244">
        <v>1</v>
      </c>
      <c r="R297" s="246"/>
      <c r="S297" s="355">
        <f>(Q/(N_1*S293)*SQRT(G/(S298)))</f>
        <v>11.609794304470123</v>
      </c>
      <c r="T297" s="355">
        <f>(E$3/(N_1*T293)*SQRT(E$6/T298))</f>
        <v>32.609113406809328</v>
      </c>
      <c r="U297" s="355">
        <f>(F$3/(N_1*U293)*SQRT(F$6/U298))</f>
        <v>75.099742474848483</v>
      </c>
      <c r="V297" s="355">
        <f>(G$3/(N_1*V293)*SQRT(G$6/V298))</f>
        <v>113.04789585595061</v>
      </c>
      <c r="W297" s="6"/>
    </row>
    <row r="298" spans="1:23" ht="14" x14ac:dyDescent="0.3">
      <c r="A298" s="318"/>
      <c r="B298" s="318"/>
      <c r="C298" s="318"/>
      <c r="D298" s="318"/>
      <c r="E298" s="318"/>
      <c r="F298" s="318"/>
      <c r="G298" s="318"/>
      <c r="H298" s="318"/>
      <c r="I298" s="318"/>
      <c r="J298" s="318"/>
      <c r="K298" s="318"/>
      <c r="L298" s="318"/>
      <c r="P298" s="246" t="s">
        <v>75</v>
      </c>
      <c r="Q298" s="244">
        <v>3</v>
      </c>
      <c r="R298" s="246"/>
      <c r="S298" s="355">
        <f>(S295/S293)^2*(P_1-(F_F*P_V))</f>
        <v>47.593618181101121</v>
      </c>
      <c r="T298" s="355">
        <f>(T295/T293)^2*(E$4-(T$4*E$7))</f>
        <v>43.424436007818777</v>
      </c>
      <c r="U298" s="355">
        <f>(U295/U293)^2*(F$4-(U$4*F$7))</f>
        <v>34.638413948646722</v>
      </c>
      <c r="V298" s="355">
        <f>(V295/V293)^2*(G$4-(V$4*G$7))</f>
        <v>28.76164165053056</v>
      </c>
      <c r="W298" s="6"/>
    </row>
    <row r="299" spans="1:23" ht="14" x14ac:dyDescent="0.3">
      <c r="A299" s="318"/>
      <c r="B299" s="318"/>
      <c r="C299" s="318"/>
      <c r="D299" s="318"/>
      <c r="E299" s="318"/>
      <c r="F299" s="318"/>
      <c r="G299" s="318"/>
      <c r="H299" s="318"/>
      <c r="I299" s="318"/>
      <c r="J299" s="318"/>
      <c r="K299" s="318"/>
      <c r="L299" s="318"/>
      <c r="P299" s="246" t="s">
        <v>29</v>
      </c>
      <c r="R299" s="246"/>
      <c r="S299" s="355">
        <f>IF(DELTA_P&lt;S298,S296,S297)</f>
        <v>14.158716864768749</v>
      </c>
      <c r="T299" s="355">
        <f>IF(E$5&lt;T298,T296,T297)</f>
        <v>38.973489540193512</v>
      </c>
      <c r="U299" s="355">
        <f>IF(F$5&lt;U298,U296,U297)</f>
        <v>88.576348578178795</v>
      </c>
      <c r="V299" s="355">
        <f>IF(G$5&lt;V298,V296,V297)</f>
        <v>135.56710470351294</v>
      </c>
      <c r="W299" s="6"/>
    </row>
    <row r="300" spans="1:23" ht="14" x14ac:dyDescent="0.3">
      <c r="A300" s="318"/>
      <c r="B300" s="318"/>
      <c r="C300" s="318"/>
      <c r="D300" s="318"/>
      <c r="E300" s="318"/>
      <c r="F300" s="318"/>
      <c r="G300" s="318"/>
      <c r="H300" s="318"/>
      <c r="I300" s="318"/>
      <c r="J300" s="318"/>
      <c r="K300" s="318"/>
      <c r="L300" s="318"/>
      <c r="P300" s="246" t="s">
        <v>81</v>
      </c>
      <c r="R300" s="246"/>
      <c r="S300" s="355">
        <f>S292/S299</f>
        <v>1</v>
      </c>
      <c r="T300" s="355">
        <f>T292/T299</f>
        <v>1</v>
      </c>
      <c r="U300" s="355">
        <f>U292/U299</f>
        <v>1</v>
      </c>
      <c r="V300" s="355">
        <f>V292/V299</f>
        <v>1</v>
      </c>
      <c r="W300" s="6"/>
    </row>
    <row r="301" spans="1:23" ht="14" x14ac:dyDescent="0.3">
      <c r="A301" s="318"/>
      <c r="B301" s="318"/>
      <c r="C301" s="318"/>
      <c r="D301" s="318"/>
      <c r="E301" s="318"/>
      <c r="F301" s="318"/>
      <c r="G301" s="318"/>
      <c r="H301" s="318"/>
      <c r="I301" s="318"/>
      <c r="J301" s="318"/>
      <c r="K301" s="318"/>
      <c r="L301" s="318"/>
      <c r="P301" s="246"/>
      <c r="R301" s="246"/>
      <c r="S301" s="355"/>
      <c r="T301" s="355"/>
      <c r="U301" s="355"/>
      <c r="V301" s="355"/>
      <c r="W301" s="6"/>
    </row>
    <row r="302" spans="1:23" ht="14" x14ac:dyDescent="0.3">
      <c r="A302" s="318"/>
      <c r="B302" s="318"/>
      <c r="C302" s="318"/>
      <c r="D302" s="318"/>
      <c r="E302" s="318"/>
      <c r="F302" s="318"/>
      <c r="G302" s="318"/>
      <c r="H302" s="318"/>
      <c r="I302" s="318"/>
      <c r="J302" s="318"/>
      <c r="K302" s="318"/>
      <c r="L302" s="318"/>
      <c r="P302" s="246" t="s">
        <v>60</v>
      </c>
      <c r="R302" s="246"/>
      <c r="S302" s="355">
        <f>S299</f>
        <v>14.158716864768749</v>
      </c>
      <c r="T302" s="355">
        <f>T299</f>
        <v>38.973489540193512</v>
      </c>
      <c r="U302" s="355">
        <f>U299</f>
        <v>88.576348578178795</v>
      </c>
      <c r="V302" s="355">
        <f>V299</f>
        <v>135.56710470351294</v>
      </c>
      <c r="W302" s="6"/>
    </row>
    <row r="303" spans="1:23" ht="14" x14ac:dyDescent="0.3">
      <c r="A303" s="318"/>
      <c r="B303" s="318"/>
      <c r="C303" s="318"/>
      <c r="D303" s="318"/>
      <c r="E303" s="318"/>
      <c r="F303" s="318"/>
      <c r="G303" s="318"/>
      <c r="H303" s="318"/>
      <c r="I303" s="318"/>
      <c r="J303" s="318"/>
      <c r="K303" s="318"/>
      <c r="L303" s="318"/>
      <c r="P303" s="246" t="s">
        <v>62</v>
      </c>
      <c r="Q303" s="244">
        <v>15</v>
      </c>
      <c r="R303" s="246"/>
      <c r="S303" s="355">
        <f>1/(SQRT(1+(SIGMA_ZETA/N_2)*(S302/d^2)^2))</f>
        <v>0.9988289022800465</v>
      </c>
      <c r="T303" s="355">
        <f>1/(SQRT(1+(SIGMA_ZETA/N_2)*(T302/d^2)^2))</f>
        <v>0.99122790322681231</v>
      </c>
      <c r="U303" s="355">
        <f>1/(SQRT(1+(SIGMA_ZETA/N_2)*(U302/d^2)^2))</f>
        <v>0.957024201817536</v>
      </c>
      <c r="V303" s="355">
        <f>1/(SQRT(1+(SIGMA_ZETA/N_2)*(V302/d^2)^2))</f>
        <v>0.90717979875321164</v>
      </c>
      <c r="W303" s="6"/>
    </row>
    <row r="304" spans="1:23" ht="14" x14ac:dyDescent="0.3">
      <c r="A304" s="318"/>
      <c r="B304" s="318"/>
      <c r="C304" s="318"/>
      <c r="D304" s="318"/>
      <c r="E304" s="318"/>
      <c r="F304" s="318"/>
      <c r="G304" s="318"/>
      <c r="H304" s="318"/>
      <c r="I304" s="318"/>
      <c r="J304" s="318"/>
      <c r="K304" s="318"/>
      <c r="L304" s="318"/>
      <c r="P304" s="246" t="s">
        <v>65</v>
      </c>
      <c r="R304" s="246"/>
      <c r="S304" s="355"/>
      <c r="T304" s="355"/>
      <c r="U304" s="355"/>
      <c r="V304" s="355"/>
      <c r="W304" s="6"/>
    </row>
    <row r="305" spans="1:23" ht="14" x14ac:dyDescent="0.3">
      <c r="A305" s="318"/>
      <c r="B305" s="318"/>
      <c r="C305" s="318"/>
      <c r="D305" s="318"/>
      <c r="E305" s="318"/>
      <c r="F305" s="318"/>
      <c r="G305" s="318"/>
      <c r="H305" s="318"/>
      <c r="I305" s="318"/>
      <c r="J305" s="318"/>
      <c r="K305" s="318"/>
      <c r="L305" s="318"/>
      <c r="P305" s="246" t="s">
        <v>67</v>
      </c>
      <c r="Q305" s="244">
        <v>21</v>
      </c>
      <c r="R305" s="246"/>
      <c r="S305" s="355">
        <f>F_L/SQRT(1+((F_L^2/N_2)*SIGMA_ZETA_1*(S302/d^2)^2))</f>
        <v>0.91868329719081188</v>
      </c>
      <c r="T305" s="355">
        <f>E$9/SQRT(1+((E$9^2/N_2)*SIGMA_ZETA_1*(T302/d^2)^2))</f>
        <v>0.88108433140201292</v>
      </c>
      <c r="U305" s="355">
        <f>F$9/SQRT(1+((F$9^2/N_2)*SIGMA_ZETA_1*(U302/d^2)^2))</f>
        <v>0.79449455771979816</v>
      </c>
      <c r="V305" s="355">
        <f>G$9/SQRT(1+((G$9^2/N_2)*SIGMA_ZETA_1*(V302/d^2)^2))</f>
        <v>0.71531554432738398</v>
      </c>
      <c r="W305" s="6"/>
    </row>
    <row r="306" spans="1:23" ht="14" x14ac:dyDescent="0.3">
      <c r="A306" s="318"/>
      <c r="B306" s="318"/>
      <c r="C306" s="318"/>
      <c r="D306" s="318"/>
      <c r="E306" s="318"/>
      <c r="F306" s="318"/>
      <c r="G306" s="318"/>
      <c r="H306" s="318"/>
      <c r="I306" s="318"/>
      <c r="J306" s="318"/>
      <c r="K306" s="318"/>
      <c r="L306" s="318"/>
      <c r="P306" s="246" t="s">
        <v>69</v>
      </c>
      <c r="Q306" s="244">
        <v>1</v>
      </c>
      <c r="R306" s="246"/>
      <c r="S306" s="355">
        <f>(Q/(N_1*S303)*(SQRT(G/DELTA_P)))</f>
        <v>14.158716864768749</v>
      </c>
      <c r="T306" s="355">
        <f>(E$3/(N_1*T303)*(SQRT(E$6/E$5)))</f>
        <v>38.973489540193512</v>
      </c>
      <c r="U306" s="355">
        <f>(F$3/(N_1*U303)*(SQRT(F$6/F$5)))</f>
        <v>88.576348578178795</v>
      </c>
      <c r="V306" s="355">
        <f>(G$3/(N_1*V303)*(SQRT(G$6/G$5)))</f>
        <v>135.56710470351294</v>
      </c>
      <c r="W306" s="6"/>
    </row>
    <row r="307" spans="1:23" ht="14" x14ac:dyDescent="0.3">
      <c r="A307" s="318"/>
      <c r="B307" s="318"/>
      <c r="C307" s="318"/>
      <c r="D307" s="318"/>
      <c r="E307" s="318"/>
      <c r="F307" s="318"/>
      <c r="G307" s="318"/>
      <c r="H307" s="318"/>
      <c r="I307" s="318"/>
      <c r="J307" s="318"/>
      <c r="K307" s="318"/>
      <c r="L307" s="318"/>
      <c r="P307" s="246" t="s">
        <v>72</v>
      </c>
      <c r="Q307" s="244">
        <v>1</v>
      </c>
      <c r="R307" s="246"/>
      <c r="S307" s="355">
        <f>(Q/(N_1*S303)*SQRT(G/(S308)))</f>
        <v>11.609794304470123</v>
      </c>
      <c r="T307" s="355">
        <f>(E$3/(N_1*T303)*SQRT(E$6/T308))</f>
        <v>32.609113406809328</v>
      </c>
      <c r="U307" s="355">
        <f>(F$3/(N_1*U303)*SQRT(F$6/U308))</f>
        <v>75.099742474848483</v>
      </c>
      <c r="V307" s="355">
        <f>(G$3/(N_1*V303)*SQRT(G$6/V308))</f>
        <v>113.04789585595061</v>
      </c>
      <c r="W307" s="6"/>
    </row>
    <row r="308" spans="1:23" ht="14" x14ac:dyDescent="0.3">
      <c r="A308" s="318"/>
      <c r="B308" s="318"/>
      <c r="C308" s="318"/>
      <c r="D308" s="318"/>
      <c r="E308" s="318"/>
      <c r="F308" s="318"/>
      <c r="G308" s="318"/>
      <c r="H308" s="318"/>
      <c r="I308" s="318"/>
      <c r="J308" s="318"/>
      <c r="K308" s="318"/>
      <c r="L308" s="318"/>
      <c r="P308" s="246" t="s">
        <v>75</v>
      </c>
      <c r="Q308" s="244">
        <v>3</v>
      </c>
      <c r="R308" s="246"/>
      <c r="S308" s="355">
        <f>(S305/S303)^2*(P_1-(F_F*P_V))</f>
        <v>47.593618181101121</v>
      </c>
      <c r="T308" s="355">
        <f>(T305/T303)^2*(E$4-(T$4*E$7))</f>
        <v>43.424436007818777</v>
      </c>
      <c r="U308" s="355">
        <f>(U305/U303)^2*(F$4-(U$4*F$7))</f>
        <v>34.638413948646722</v>
      </c>
      <c r="V308" s="355">
        <f>(V305/V303)^2*(G$4-(V$4*G$7))</f>
        <v>28.76164165053056</v>
      </c>
      <c r="W308" s="6"/>
    </row>
    <row r="309" spans="1:23" ht="14" x14ac:dyDescent="0.3">
      <c r="A309" s="318"/>
      <c r="B309" s="318"/>
      <c r="C309" s="318"/>
      <c r="D309" s="318"/>
      <c r="E309" s="318"/>
      <c r="F309" s="318"/>
      <c r="G309" s="318"/>
      <c r="H309" s="318"/>
      <c r="I309" s="318"/>
      <c r="J309" s="318"/>
      <c r="K309" s="318"/>
      <c r="L309" s="318"/>
      <c r="P309" s="246" t="s">
        <v>29</v>
      </c>
      <c r="R309" s="246"/>
      <c r="S309" s="355">
        <f>IF(DELTA_P&lt;S308,S306,S307)</f>
        <v>14.158716864768749</v>
      </c>
      <c r="T309" s="355">
        <f>IF(E$5&lt;T308,T306,T307)</f>
        <v>38.973489540193512</v>
      </c>
      <c r="U309" s="355">
        <f>IF(F$5&lt;U308,U306,U307)</f>
        <v>88.576348578178795</v>
      </c>
      <c r="V309" s="355">
        <f>IF(G$5&lt;V308,V306,V307)</f>
        <v>135.56710470351294</v>
      </c>
      <c r="W309" s="6"/>
    </row>
    <row r="310" spans="1:23" ht="14" x14ac:dyDescent="0.3">
      <c r="A310" s="318"/>
      <c r="B310" s="318"/>
      <c r="C310" s="318"/>
      <c r="D310" s="318"/>
      <c r="E310" s="318"/>
      <c r="F310" s="318"/>
      <c r="G310" s="318"/>
      <c r="H310" s="318"/>
      <c r="I310" s="318"/>
      <c r="J310" s="318"/>
      <c r="K310" s="318"/>
      <c r="L310" s="318"/>
      <c r="P310" s="246" t="s">
        <v>81</v>
      </c>
      <c r="R310" s="246"/>
      <c r="S310" s="355">
        <f>S302/S309</f>
        <v>1</v>
      </c>
      <c r="T310" s="355">
        <f>T302/T309</f>
        <v>1</v>
      </c>
      <c r="U310" s="355">
        <f>U302/U309</f>
        <v>1</v>
      </c>
      <c r="V310" s="355">
        <f>V302/V309</f>
        <v>1</v>
      </c>
      <c r="W310" s="6"/>
    </row>
    <row r="311" spans="1:23" ht="14" x14ac:dyDescent="0.3">
      <c r="A311" s="318"/>
      <c r="B311" s="318"/>
      <c r="C311" s="318"/>
      <c r="D311" s="318"/>
      <c r="E311" s="318"/>
      <c r="F311" s="318"/>
      <c r="G311" s="318"/>
      <c r="H311" s="318"/>
      <c r="I311" s="318"/>
      <c r="J311" s="318"/>
      <c r="K311" s="318"/>
      <c r="L311" s="318"/>
      <c r="P311" s="246"/>
      <c r="R311" s="246"/>
      <c r="S311" s="355"/>
      <c r="T311" s="355"/>
      <c r="U311" s="355"/>
      <c r="V311" s="355"/>
      <c r="W311" s="6"/>
    </row>
    <row r="312" spans="1:23" ht="14" x14ac:dyDescent="0.3">
      <c r="A312" s="318"/>
      <c r="B312" s="318"/>
      <c r="C312" s="318"/>
      <c r="D312" s="318"/>
      <c r="E312" s="318"/>
      <c r="F312" s="318"/>
      <c r="G312" s="318"/>
      <c r="H312" s="318"/>
      <c r="I312" s="318"/>
      <c r="J312" s="318"/>
      <c r="K312" s="318"/>
      <c r="L312" s="318"/>
      <c r="P312" s="246" t="s">
        <v>60</v>
      </c>
      <c r="R312" s="246"/>
      <c r="S312" s="355">
        <f>S309</f>
        <v>14.158716864768749</v>
      </c>
      <c r="T312" s="355">
        <f>T309</f>
        <v>38.973489540193512</v>
      </c>
      <c r="U312" s="355">
        <f>U309</f>
        <v>88.576348578178795</v>
      </c>
      <c r="V312" s="355">
        <f>V309</f>
        <v>135.56710470351294</v>
      </c>
      <c r="W312" s="6"/>
    </row>
    <row r="313" spans="1:23" ht="14" x14ac:dyDescent="0.3">
      <c r="A313" s="318"/>
      <c r="B313" s="318"/>
      <c r="C313" s="318"/>
      <c r="D313" s="318"/>
      <c r="E313" s="318"/>
      <c r="F313" s="318"/>
      <c r="G313" s="318"/>
      <c r="H313" s="318"/>
      <c r="I313" s="318"/>
      <c r="J313" s="318"/>
      <c r="K313" s="318"/>
      <c r="L313" s="318"/>
      <c r="P313" s="246" t="s">
        <v>62</v>
      </c>
      <c r="Q313" s="244">
        <v>15</v>
      </c>
      <c r="R313" s="246"/>
      <c r="S313" s="355">
        <f>1/(SQRT(1+(SIGMA_ZETA/N_2)*(S312/d^2)^2))</f>
        <v>0.9988289022800465</v>
      </c>
      <c r="T313" s="355">
        <f>1/(SQRT(1+(SIGMA_ZETA/N_2)*(T312/d^2)^2))</f>
        <v>0.99122790322681231</v>
      </c>
      <c r="U313" s="355">
        <f>1/(SQRT(1+(SIGMA_ZETA/N_2)*(U312/d^2)^2))</f>
        <v>0.957024201817536</v>
      </c>
      <c r="V313" s="355">
        <f>1/(SQRT(1+(SIGMA_ZETA/N_2)*(V312/d^2)^2))</f>
        <v>0.90717979875321164</v>
      </c>
      <c r="W313" s="6"/>
    </row>
    <row r="314" spans="1:23" ht="14" x14ac:dyDescent="0.3">
      <c r="A314" s="318"/>
      <c r="B314" s="318"/>
      <c r="C314" s="318"/>
      <c r="D314" s="318"/>
      <c r="E314" s="318"/>
      <c r="F314" s="318"/>
      <c r="G314" s="318"/>
      <c r="H314" s="318"/>
      <c r="I314" s="318"/>
      <c r="J314" s="318"/>
      <c r="K314" s="318"/>
      <c r="L314" s="318"/>
      <c r="P314" s="246" t="s">
        <v>65</v>
      </c>
      <c r="R314" s="246"/>
      <c r="S314" s="355"/>
      <c r="T314" s="355"/>
      <c r="U314" s="355"/>
      <c r="V314" s="355"/>
      <c r="W314" s="6"/>
    </row>
    <row r="315" spans="1:23" ht="14" x14ac:dyDescent="0.3">
      <c r="A315" s="318"/>
      <c r="B315" s="318"/>
      <c r="C315" s="318"/>
      <c r="D315" s="318"/>
      <c r="E315" s="318"/>
      <c r="F315" s="318"/>
      <c r="G315" s="318"/>
      <c r="H315" s="318"/>
      <c r="I315" s="318"/>
      <c r="J315" s="318"/>
      <c r="K315" s="318"/>
      <c r="L315" s="318"/>
      <c r="P315" s="246" t="s">
        <v>67</v>
      </c>
      <c r="Q315" s="244">
        <v>21</v>
      </c>
      <c r="R315" s="246"/>
      <c r="S315" s="355">
        <f>F_L/SQRT(1+((F_L^2/N_2)*SIGMA_ZETA_1*(S312/d^2)^2))</f>
        <v>0.91868329719081188</v>
      </c>
      <c r="T315" s="355">
        <f>E$9/SQRT(1+((E$9^2/N_2)*SIGMA_ZETA_1*(T312/d^2)^2))</f>
        <v>0.88108433140201292</v>
      </c>
      <c r="U315" s="355">
        <f>F$9/SQRT(1+((F$9^2/N_2)*SIGMA_ZETA_1*(U312/d^2)^2))</f>
        <v>0.79449455771979816</v>
      </c>
      <c r="V315" s="355">
        <f>G$9/SQRT(1+((G$9^2/N_2)*SIGMA_ZETA_1*(V312/d^2)^2))</f>
        <v>0.71531554432738398</v>
      </c>
      <c r="W315" s="6"/>
    </row>
    <row r="316" spans="1:23" ht="14" x14ac:dyDescent="0.3">
      <c r="A316" s="318"/>
      <c r="B316" s="318"/>
      <c r="C316" s="318"/>
      <c r="D316" s="318"/>
      <c r="E316" s="318"/>
      <c r="F316" s="318"/>
      <c r="G316" s="318"/>
      <c r="H316" s="318"/>
      <c r="I316" s="318"/>
      <c r="J316" s="318"/>
      <c r="K316" s="318"/>
      <c r="L316" s="318"/>
      <c r="P316" s="246" t="s">
        <v>69</v>
      </c>
      <c r="Q316" s="244">
        <v>1</v>
      </c>
      <c r="R316" s="246"/>
      <c r="S316" s="355">
        <f>(Q/(N_1*S313)*(SQRT(G/DELTA_P)))</f>
        <v>14.158716864768749</v>
      </c>
      <c r="T316" s="355">
        <f>(E$3/(N_1*T313)*(SQRT(E$6/E$5)))</f>
        <v>38.973489540193512</v>
      </c>
      <c r="U316" s="355">
        <f>(F$3/(N_1*U313)*(SQRT(F$6/F$5)))</f>
        <v>88.576348578178795</v>
      </c>
      <c r="V316" s="355">
        <f>(G$3/(N_1*V313)*(SQRT(G$6/G$5)))</f>
        <v>135.56710470351294</v>
      </c>
      <c r="W316" s="6"/>
    </row>
    <row r="317" spans="1:23" ht="14" x14ac:dyDescent="0.3">
      <c r="A317" s="318"/>
      <c r="B317" s="318"/>
      <c r="C317" s="318"/>
      <c r="D317" s="318"/>
      <c r="E317" s="318"/>
      <c r="F317" s="318"/>
      <c r="G317" s="318"/>
      <c r="H317" s="318"/>
      <c r="I317" s="318"/>
      <c r="J317" s="318"/>
      <c r="K317" s="318"/>
      <c r="L317" s="318"/>
      <c r="P317" s="246" t="s">
        <v>72</v>
      </c>
      <c r="Q317" s="244">
        <v>1</v>
      </c>
      <c r="R317" s="246"/>
      <c r="S317" s="355">
        <f>(Q/(N_1*S313)*SQRT(G/(S318)))</f>
        <v>11.609794304470123</v>
      </c>
      <c r="T317" s="355">
        <f>(E$3/(N_1*T313)*SQRT(E$6/T318))</f>
        <v>32.609113406809328</v>
      </c>
      <c r="U317" s="355">
        <f>(F$3/(N_1*U313)*SQRT(F$6/U318))</f>
        <v>75.099742474848483</v>
      </c>
      <c r="V317" s="355">
        <f>(G$3/(N_1*V313)*SQRT(G$6/V318))</f>
        <v>113.04789585595061</v>
      </c>
      <c r="W317" s="6"/>
    </row>
    <row r="318" spans="1:23" ht="14" x14ac:dyDescent="0.3">
      <c r="A318" s="318"/>
      <c r="B318" s="318"/>
      <c r="C318" s="318"/>
      <c r="D318" s="318"/>
      <c r="E318" s="318"/>
      <c r="F318" s="318"/>
      <c r="G318" s="318"/>
      <c r="H318" s="318"/>
      <c r="I318" s="318"/>
      <c r="J318" s="318"/>
      <c r="K318" s="318"/>
      <c r="L318" s="318"/>
      <c r="P318" s="246" t="s">
        <v>75</v>
      </c>
      <c r="Q318" s="244">
        <v>3</v>
      </c>
      <c r="R318" s="246"/>
      <c r="S318" s="355">
        <f>(S315/S313)^2*(P_1-(F_F*P_V))</f>
        <v>47.593618181101121</v>
      </c>
      <c r="T318" s="355">
        <f>(T315/T313)^2*(E$4-(T$4*E$7))</f>
        <v>43.424436007818777</v>
      </c>
      <c r="U318" s="355">
        <f>(U315/U313)^2*(F$4-(U$4*F$7))</f>
        <v>34.638413948646722</v>
      </c>
      <c r="V318" s="355">
        <f>(V315/V313)^2*(G$4-(V$4*G$7))</f>
        <v>28.76164165053056</v>
      </c>
      <c r="W318" s="6"/>
    </row>
    <row r="319" spans="1:23" ht="14" x14ac:dyDescent="0.3">
      <c r="A319" s="318"/>
      <c r="B319" s="318"/>
      <c r="C319" s="318"/>
      <c r="D319" s="318"/>
      <c r="E319" s="318"/>
      <c r="F319" s="318"/>
      <c r="G319" s="318"/>
      <c r="H319" s="318"/>
      <c r="I319" s="318"/>
      <c r="J319" s="318"/>
      <c r="K319" s="318"/>
      <c r="L319" s="318"/>
      <c r="P319" s="246" t="s">
        <v>29</v>
      </c>
      <c r="R319" s="246"/>
      <c r="S319" s="355">
        <f>IF(DELTA_P&lt;S318,S316,S317)</f>
        <v>14.158716864768749</v>
      </c>
      <c r="T319" s="355">
        <f>IF(E$5&lt;T318,T316,T317)</f>
        <v>38.973489540193512</v>
      </c>
      <c r="U319" s="355">
        <f>IF(F$5&lt;U318,U316,U317)</f>
        <v>88.576348578178795</v>
      </c>
      <c r="V319" s="355">
        <f>IF(G$5&lt;V318,V316,V317)</f>
        <v>135.56710470351294</v>
      </c>
      <c r="W319" s="6"/>
    </row>
    <row r="320" spans="1:23" ht="14" x14ac:dyDescent="0.3">
      <c r="A320" s="318"/>
      <c r="B320" s="318"/>
      <c r="C320" s="318"/>
      <c r="D320" s="318"/>
      <c r="E320" s="318"/>
      <c r="F320" s="318"/>
      <c r="G320" s="318"/>
      <c r="H320" s="318"/>
      <c r="I320" s="318"/>
      <c r="J320" s="318"/>
      <c r="K320" s="318"/>
      <c r="L320" s="318"/>
      <c r="P320" s="385" t="s">
        <v>81</v>
      </c>
      <c r="Q320" s="331"/>
      <c r="R320" s="385"/>
      <c r="S320" s="355">
        <f>S312/S319</f>
        <v>1</v>
      </c>
      <c r="T320" s="355">
        <f>T312/T319</f>
        <v>1</v>
      </c>
      <c r="U320" s="355">
        <f>U312/U319</f>
        <v>1</v>
      </c>
      <c r="V320" s="355">
        <f>V312/V319</f>
        <v>1</v>
      </c>
      <c r="W320" s="6"/>
    </row>
    <row r="321" spans="1:23" ht="14" x14ac:dyDescent="0.3">
      <c r="A321" s="318"/>
      <c r="B321" s="318"/>
      <c r="C321" s="318"/>
      <c r="D321" s="318"/>
      <c r="E321" s="318"/>
      <c r="F321" s="318"/>
      <c r="G321" s="318"/>
      <c r="H321" s="318"/>
      <c r="I321" s="318"/>
      <c r="J321" s="318"/>
      <c r="K321" s="318"/>
      <c r="L321" s="318"/>
      <c r="P321" s="246"/>
      <c r="R321" s="246"/>
      <c r="S321" s="355"/>
      <c r="T321" s="355"/>
      <c r="U321" s="355"/>
      <c r="V321" s="355"/>
      <c r="W321" s="6"/>
    </row>
    <row r="322" spans="1:23" ht="14" x14ac:dyDescent="0.3">
      <c r="A322" s="318"/>
      <c r="B322" s="318"/>
      <c r="C322" s="318"/>
      <c r="D322" s="318"/>
      <c r="E322" s="318"/>
      <c r="F322" s="318"/>
      <c r="G322" s="318"/>
      <c r="H322" s="318"/>
      <c r="I322" s="318"/>
      <c r="J322" s="318"/>
      <c r="K322" s="318"/>
      <c r="L322" s="318"/>
      <c r="P322" s="246" t="s">
        <v>60</v>
      </c>
      <c r="R322" s="246"/>
      <c r="S322" s="355">
        <f>S319</f>
        <v>14.158716864768749</v>
      </c>
      <c r="T322" s="355">
        <f>T319</f>
        <v>38.973489540193512</v>
      </c>
      <c r="U322" s="355">
        <f>U319</f>
        <v>88.576348578178795</v>
      </c>
      <c r="V322" s="355">
        <f>V319</f>
        <v>135.56710470351294</v>
      </c>
      <c r="W322" s="6"/>
    </row>
    <row r="323" spans="1:23" ht="14" x14ac:dyDescent="0.3">
      <c r="A323" s="318"/>
      <c r="B323" s="318"/>
      <c r="C323" s="318"/>
      <c r="D323" s="318"/>
      <c r="E323" s="318"/>
      <c r="F323" s="318"/>
      <c r="G323" s="318"/>
      <c r="H323" s="318"/>
      <c r="I323" s="318"/>
      <c r="J323" s="318"/>
      <c r="K323" s="318"/>
      <c r="L323" s="318"/>
      <c r="P323" s="246" t="s">
        <v>62</v>
      </c>
      <c r="Q323" s="244">
        <v>15</v>
      </c>
      <c r="R323" s="246"/>
      <c r="S323" s="355">
        <f>1/(SQRT(1+(SIGMA_ZETA/N_2)*(S322/d^2)^2))</f>
        <v>0.9988289022800465</v>
      </c>
      <c r="T323" s="355">
        <f>1/(SQRT(1+(SIGMA_ZETA/N_2)*(T322/d^2)^2))</f>
        <v>0.99122790322681231</v>
      </c>
      <c r="U323" s="355">
        <f>1/(SQRT(1+(SIGMA_ZETA/N_2)*(U322/d^2)^2))</f>
        <v>0.957024201817536</v>
      </c>
      <c r="V323" s="355">
        <f>1/(SQRT(1+(SIGMA_ZETA/N_2)*(V322/d^2)^2))</f>
        <v>0.90717979875321164</v>
      </c>
      <c r="W323" s="6"/>
    </row>
    <row r="324" spans="1:23" ht="14" x14ac:dyDescent="0.3">
      <c r="A324" s="318"/>
      <c r="B324" s="318"/>
      <c r="C324" s="318"/>
      <c r="D324" s="318"/>
      <c r="E324" s="318"/>
      <c r="F324" s="318"/>
      <c r="G324" s="318"/>
      <c r="H324" s="318"/>
      <c r="I324" s="318"/>
      <c r="J324" s="318"/>
      <c r="K324" s="318"/>
      <c r="L324" s="318"/>
      <c r="P324" s="246" t="s">
        <v>65</v>
      </c>
      <c r="R324" s="246"/>
      <c r="S324" s="355"/>
      <c r="T324" s="355"/>
      <c r="U324" s="355"/>
      <c r="V324" s="355"/>
      <c r="W324" s="6"/>
    </row>
    <row r="325" spans="1:23" ht="14" x14ac:dyDescent="0.3">
      <c r="A325" s="318"/>
      <c r="B325" s="318"/>
      <c r="C325" s="318"/>
      <c r="D325" s="318"/>
      <c r="E325" s="318"/>
      <c r="F325" s="318"/>
      <c r="G325" s="318"/>
      <c r="H325" s="318"/>
      <c r="I325" s="318"/>
      <c r="J325" s="318"/>
      <c r="K325" s="318"/>
      <c r="L325" s="318"/>
      <c r="P325" s="246" t="s">
        <v>67</v>
      </c>
      <c r="Q325" s="244">
        <v>21</v>
      </c>
      <c r="R325" s="246"/>
      <c r="S325" s="355">
        <f>F_L/SQRT(1+((F_L^2/N_2)*SIGMA_ZETA_1*(S322/d^2)^2))</f>
        <v>0.91868329719081188</v>
      </c>
      <c r="T325" s="355">
        <f>E$9/SQRT(1+((E$9^2/N_2)*SIGMA_ZETA_1*(T322/d^2)^2))</f>
        <v>0.88108433140201292</v>
      </c>
      <c r="U325" s="355">
        <f>F$9/SQRT(1+((F$9^2/N_2)*SIGMA_ZETA_1*(U322/d^2)^2))</f>
        <v>0.79449455771979816</v>
      </c>
      <c r="V325" s="355">
        <f>G$9/SQRT(1+((G$9^2/N_2)*SIGMA_ZETA_1*(V322/d^2)^2))</f>
        <v>0.71531554432738398</v>
      </c>
      <c r="W325" s="6"/>
    </row>
    <row r="326" spans="1:23" ht="14" x14ac:dyDescent="0.3">
      <c r="A326" s="318"/>
      <c r="B326" s="318"/>
      <c r="C326" s="318"/>
      <c r="D326" s="318"/>
      <c r="E326" s="318"/>
      <c r="F326" s="318"/>
      <c r="G326" s="318"/>
      <c r="H326" s="318"/>
      <c r="I326" s="318"/>
      <c r="J326" s="318"/>
      <c r="K326" s="318"/>
      <c r="L326" s="318"/>
      <c r="P326" s="246" t="s">
        <v>69</v>
      </c>
      <c r="Q326" s="244">
        <v>1</v>
      </c>
      <c r="R326" s="246"/>
      <c r="S326" s="355">
        <f>(Q/(N_1*S323)*(SQRT(G/DELTA_P)))</f>
        <v>14.158716864768749</v>
      </c>
      <c r="T326" s="355">
        <f>(E$3/(N_1*T323)*(SQRT(E$6/E$5)))</f>
        <v>38.973489540193512</v>
      </c>
      <c r="U326" s="355">
        <f>(F$3/(N_1*U323)*(SQRT(F$6/F$5)))</f>
        <v>88.576348578178795</v>
      </c>
      <c r="V326" s="355">
        <f>(G$3/(N_1*V323)*(SQRT(G$6/G$5)))</f>
        <v>135.56710470351294</v>
      </c>
      <c r="W326" s="6"/>
    </row>
    <row r="327" spans="1:23" ht="14" x14ac:dyDescent="0.3">
      <c r="A327" s="318"/>
      <c r="B327" s="318"/>
      <c r="C327" s="318"/>
      <c r="D327" s="318"/>
      <c r="E327" s="318"/>
      <c r="F327" s="318"/>
      <c r="G327" s="318"/>
      <c r="H327" s="318"/>
      <c r="I327" s="318"/>
      <c r="J327" s="318"/>
      <c r="K327" s="318"/>
      <c r="L327" s="318"/>
      <c r="P327" s="246" t="s">
        <v>72</v>
      </c>
      <c r="Q327" s="244">
        <v>1</v>
      </c>
      <c r="R327" s="246"/>
      <c r="S327" s="355">
        <f>(Q/(N_1*S323)*SQRT(G/(S328)))</f>
        <v>11.609794304470123</v>
      </c>
      <c r="T327" s="355">
        <f>(E$3/(N_1*T323)*SQRT(E$6/T328))</f>
        <v>32.609113406809328</v>
      </c>
      <c r="U327" s="355">
        <f>(F$3/(N_1*U323)*SQRT(F$6/U328))</f>
        <v>75.099742474848483</v>
      </c>
      <c r="V327" s="355">
        <f>(G$3/(N_1*V323)*SQRT(G$6/V328))</f>
        <v>113.04789585595061</v>
      </c>
      <c r="W327" s="6"/>
    </row>
    <row r="328" spans="1:23" ht="14" x14ac:dyDescent="0.3">
      <c r="A328" s="318"/>
      <c r="B328" s="318"/>
      <c r="C328" s="318"/>
      <c r="D328" s="318"/>
      <c r="E328" s="318"/>
      <c r="F328" s="318"/>
      <c r="G328" s="318"/>
      <c r="H328" s="318"/>
      <c r="I328" s="318"/>
      <c r="J328" s="318"/>
      <c r="K328" s="318"/>
      <c r="L328" s="318"/>
      <c r="P328" s="246" t="s">
        <v>75</v>
      </c>
      <c r="Q328" s="244">
        <v>3</v>
      </c>
      <c r="R328" s="246"/>
      <c r="S328" s="355">
        <f>(S325/S323)^2*(P_1-(F_F*P_V))</f>
        <v>47.593618181101121</v>
      </c>
      <c r="T328" s="355">
        <f>(T325/T323)^2*(E$4-(T$4*E$7))</f>
        <v>43.424436007818777</v>
      </c>
      <c r="U328" s="355">
        <f>(U325/U323)^2*(F$4-(U$4*F$7))</f>
        <v>34.638413948646722</v>
      </c>
      <c r="V328" s="355">
        <f>(V325/V323)^2*(G$4-(V$4*G$7))</f>
        <v>28.76164165053056</v>
      </c>
      <c r="W328" s="6"/>
    </row>
    <row r="329" spans="1:23" ht="14" x14ac:dyDescent="0.3">
      <c r="A329" s="318"/>
      <c r="B329" s="318"/>
      <c r="C329" s="318"/>
      <c r="D329" s="318"/>
      <c r="E329" s="318"/>
      <c r="F329" s="318"/>
      <c r="G329" s="318"/>
      <c r="H329" s="318"/>
      <c r="I329" s="318"/>
      <c r="J329" s="318"/>
      <c r="K329" s="318"/>
      <c r="L329" s="318"/>
      <c r="P329" s="246" t="s">
        <v>29</v>
      </c>
      <c r="R329" s="246"/>
      <c r="S329" s="355">
        <f>IF(DELTA_P&lt;S328,S326,S327)</f>
        <v>14.158716864768749</v>
      </c>
      <c r="T329" s="355">
        <f>IF(E$5&lt;T328,T326,T327)</f>
        <v>38.973489540193512</v>
      </c>
      <c r="U329" s="355">
        <f>IF(F$5&lt;U328,U326,U327)</f>
        <v>88.576348578178795</v>
      </c>
      <c r="V329" s="355">
        <f>IF(G$5&lt;V328,V326,V327)</f>
        <v>135.56710470351294</v>
      </c>
      <c r="W329" s="6"/>
    </row>
    <row r="330" spans="1:23" ht="14" x14ac:dyDescent="0.3">
      <c r="A330" s="318"/>
      <c r="B330" s="318"/>
      <c r="C330" s="318"/>
      <c r="D330" s="318"/>
      <c r="E330" s="318"/>
      <c r="F330" s="318"/>
      <c r="G330" s="318"/>
      <c r="H330" s="318"/>
      <c r="I330" s="318"/>
      <c r="J330" s="318"/>
      <c r="K330" s="318"/>
      <c r="L330" s="318"/>
      <c r="P330" s="246" t="s">
        <v>81</v>
      </c>
      <c r="R330" s="246"/>
      <c r="S330" s="355">
        <f>S322/S329</f>
        <v>1</v>
      </c>
      <c r="T330" s="355">
        <f>T322/T329</f>
        <v>1</v>
      </c>
      <c r="U330" s="355">
        <f>U322/U329</f>
        <v>1</v>
      </c>
      <c r="V330" s="355">
        <f>V322/V329</f>
        <v>1</v>
      </c>
      <c r="W330" s="6"/>
    </row>
    <row r="331" spans="1:23" ht="14" x14ac:dyDescent="0.3">
      <c r="A331" s="318"/>
      <c r="B331" s="318"/>
      <c r="C331" s="318"/>
      <c r="D331" s="318"/>
      <c r="E331" s="318"/>
      <c r="F331" s="318"/>
      <c r="G331" s="318"/>
      <c r="H331" s="318"/>
      <c r="I331" s="318"/>
      <c r="J331" s="318"/>
      <c r="K331" s="318"/>
      <c r="L331" s="318"/>
      <c r="P331" s="246"/>
      <c r="R331" s="246"/>
      <c r="S331" s="355"/>
      <c r="T331" s="355"/>
      <c r="U331" s="355"/>
      <c r="V331" s="355"/>
      <c r="W331" s="6"/>
    </row>
    <row r="332" spans="1:23" ht="14" x14ac:dyDescent="0.3">
      <c r="A332" s="318"/>
      <c r="B332" s="318"/>
      <c r="C332" s="318"/>
      <c r="D332" s="318"/>
      <c r="E332" s="318"/>
      <c r="F332" s="318"/>
      <c r="G332" s="318"/>
      <c r="H332" s="318"/>
      <c r="I332" s="318"/>
      <c r="J332" s="318"/>
      <c r="K332" s="318"/>
      <c r="L332" s="318"/>
      <c r="P332" s="246" t="s">
        <v>60</v>
      </c>
      <c r="R332" s="246"/>
      <c r="S332" s="355">
        <f>S329</f>
        <v>14.158716864768749</v>
      </c>
      <c r="T332" s="355">
        <f>T329</f>
        <v>38.973489540193512</v>
      </c>
      <c r="U332" s="355">
        <f>U329</f>
        <v>88.576348578178795</v>
      </c>
      <c r="V332" s="355">
        <f>V329</f>
        <v>135.56710470351294</v>
      </c>
      <c r="W332" s="6"/>
    </row>
    <row r="333" spans="1:23" ht="14" x14ac:dyDescent="0.3">
      <c r="A333" s="318"/>
      <c r="B333" s="318"/>
      <c r="C333" s="318"/>
      <c r="D333" s="318"/>
      <c r="E333" s="318"/>
      <c r="F333" s="318"/>
      <c r="G333" s="318"/>
      <c r="H333" s="318"/>
      <c r="I333" s="318"/>
      <c r="J333" s="318"/>
      <c r="K333" s="318"/>
      <c r="L333" s="318"/>
      <c r="P333" s="246" t="s">
        <v>62</v>
      </c>
      <c r="Q333" s="244">
        <v>15</v>
      </c>
      <c r="R333" s="246"/>
      <c r="S333" s="355">
        <f>1/(SQRT(1+(SIGMA_ZETA/N_2)*(S332/d^2)^2))</f>
        <v>0.9988289022800465</v>
      </c>
      <c r="T333" s="355">
        <f>1/(SQRT(1+(SIGMA_ZETA/N_2)*(T332/d^2)^2))</f>
        <v>0.99122790322681231</v>
      </c>
      <c r="U333" s="355">
        <f>1/(SQRT(1+(SIGMA_ZETA/N_2)*(U332/d^2)^2))</f>
        <v>0.957024201817536</v>
      </c>
      <c r="V333" s="355">
        <f>1/(SQRT(1+(SIGMA_ZETA/N_2)*(V332/d^2)^2))</f>
        <v>0.90717979875321164</v>
      </c>
      <c r="W333" s="6"/>
    </row>
    <row r="334" spans="1:23" ht="14" x14ac:dyDescent="0.3">
      <c r="A334" s="318"/>
      <c r="B334" s="318"/>
      <c r="C334" s="318"/>
      <c r="D334" s="318"/>
      <c r="E334" s="318"/>
      <c r="F334" s="318"/>
      <c r="G334" s="318"/>
      <c r="H334" s="318"/>
      <c r="I334" s="318"/>
      <c r="J334" s="318"/>
      <c r="K334" s="318"/>
      <c r="L334" s="318"/>
      <c r="P334" s="246" t="s">
        <v>65</v>
      </c>
      <c r="R334" s="246"/>
      <c r="S334" s="355"/>
      <c r="T334" s="355"/>
      <c r="U334" s="355"/>
      <c r="V334" s="355"/>
      <c r="W334" s="6"/>
    </row>
    <row r="335" spans="1:23" ht="14" x14ac:dyDescent="0.3">
      <c r="A335" s="318"/>
      <c r="B335" s="318"/>
      <c r="C335" s="318"/>
      <c r="D335" s="318"/>
      <c r="E335" s="318"/>
      <c r="F335" s="318"/>
      <c r="G335" s="318"/>
      <c r="H335" s="318"/>
      <c r="I335" s="318"/>
      <c r="J335" s="318"/>
      <c r="K335" s="318"/>
      <c r="L335" s="318"/>
      <c r="P335" s="246" t="s">
        <v>67</v>
      </c>
      <c r="Q335" s="244">
        <v>21</v>
      </c>
      <c r="R335" s="246"/>
      <c r="S335" s="355">
        <f>F_L/SQRT(1+((F_L^2/N_2)*SIGMA_ZETA_1*(S332/d^2)^2))</f>
        <v>0.91868329719081188</v>
      </c>
      <c r="T335" s="355">
        <f>E$9/SQRT(1+((E$9^2/N_2)*SIGMA_ZETA_1*(T332/d^2)^2))</f>
        <v>0.88108433140201292</v>
      </c>
      <c r="U335" s="355">
        <f>F$9/SQRT(1+((F$9^2/N_2)*SIGMA_ZETA_1*(U332/d^2)^2))</f>
        <v>0.79449455771979816</v>
      </c>
      <c r="V335" s="355">
        <f>G$9/SQRT(1+((G$9^2/N_2)*SIGMA_ZETA_1*(V332/d^2)^2))</f>
        <v>0.71531554432738398</v>
      </c>
      <c r="W335" s="6"/>
    </row>
    <row r="336" spans="1:23" ht="14" x14ac:dyDescent="0.3">
      <c r="A336" s="318"/>
      <c r="B336" s="318"/>
      <c r="C336" s="318"/>
      <c r="D336" s="318"/>
      <c r="E336" s="318"/>
      <c r="F336" s="318"/>
      <c r="G336" s="318"/>
      <c r="H336" s="318"/>
      <c r="I336" s="318"/>
      <c r="J336" s="318"/>
      <c r="K336" s="318"/>
      <c r="L336" s="318"/>
      <c r="P336" s="246" t="s">
        <v>69</v>
      </c>
      <c r="Q336" s="244">
        <v>1</v>
      </c>
      <c r="R336" s="246"/>
      <c r="S336" s="355">
        <f>(Q/(N_1*S333)*(SQRT(G/DELTA_P)))</f>
        <v>14.158716864768749</v>
      </c>
      <c r="T336" s="355">
        <f>(E$3/(N_1*T333)*(SQRT(E$6/E$5)))</f>
        <v>38.973489540193512</v>
      </c>
      <c r="U336" s="355">
        <f>(F$3/(N_1*U333)*(SQRT(F$6/F$5)))</f>
        <v>88.576348578178795</v>
      </c>
      <c r="V336" s="355">
        <f>(G$3/(N_1*V333)*(SQRT(G$6/G$5)))</f>
        <v>135.56710470351294</v>
      </c>
      <c r="W336" s="6"/>
    </row>
    <row r="337" spans="1:23" ht="14" x14ac:dyDescent="0.3">
      <c r="A337" s="318"/>
      <c r="B337" s="318"/>
      <c r="C337" s="318"/>
      <c r="D337" s="318"/>
      <c r="E337" s="318"/>
      <c r="F337" s="318"/>
      <c r="G337" s="318"/>
      <c r="H337" s="318"/>
      <c r="I337" s="318"/>
      <c r="J337" s="318"/>
      <c r="K337" s="318"/>
      <c r="L337" s="318"/>
      <c r="P337" s="246" t="s">
        <v>72</v>
      </c>
      <c r="Q337" s="244">
        <v>1</v>
      </c>
      <c r="R337" s="246"/>
      <c r="S337" s="355">
        <f>(Q/(N_1*S333)*SQRT(G/(S338)))</f>
        <v>11.609794304470123</v>
      </c>
      <c r="T337" s="355">
        <f>(E$3/(N_1*T333)*SQRT(E$6/T338))</f>
        <v>32.609113406809328</v>
      </c>
      <c r="U337" s="355">
        <f>(F$3/(N_1*U333)*SQRT(F$6/U338))</f>
        <v>75.099742474848483</v>
      </c>
      <c r="V337" s="355">
        <f>(G$3/(N_1*V333)*SQRT(G$6/V338))</f>
        <v>113.04789585595061</v>
      </c>
      <c r="W337" s="6"/>
    </row>
    <row r="338" spans="1:23" ht="14" x14ac:dyDescent="0.3">
      <c r="A338" s="318"/>
      <c r="B338" s="318"/>
      <c r="C338" s="318"/>
      <c r="D338" s="318"/>
      <c r="E338" s="318"/>
      <c r="F338" s="318"/>
      <c r="G338" s="318"/>
      <c r="H338" s="318"/>
      <c r="I338" s="318"/>
      <c r="J338" s="318"/>
      <c r="K338" s="318"/>
      <c r="L338" s="318"/>
      <c r="P338" s="246" t="s">
        <v>75</v>
      </c>
      <c r="Q338" s="244">
        <v>3</v>
      </c>
      <c r="R338" s="246"/>
      <c r="S338" s="355">
        <f>(S335/S333)^2*(P_1-(F_F*P_V))</f>
        <v>47.593618181101121</v>
      </c>
      <c r="T338" s="355">
        <f>(T335/T333)^2*(E$4-(T$4*E$7))</f>
        <v>43.424436007818777</v>
      </c>
      <c r="U338" s="355">
        <f>(U335/U333)^2*(F$4-(U$4*F$7))</f>
        <v>34.638413948646722</v>
      </c>
      <c r="V338" s="355">
        <f>(V335/V333)^2*(G$4-(V$4*G$7))</f>
        <v>28.76164165053056</v>
      </c>
      <c r="W338" s="6"/>
    </row>
    <row r="339" spans="1:23" ht="14" x14ac:dyDescent="0.3">
      <c r="A339" s="318"/>
      <c r="B339" s="318"/>
      <c r="C339" s="318"/>
      <c r="D339" s="318"/>
      <c r="E339" s="318"/>
      <c r="F339" s="318"/>
      <c r="G339" s="318"/>
      <c r="H339" s="318"/>
      <c r="I339" s="318"/>
      <c r="J339" s="318"/>
      <c r="K339" s="318"/>
      <c r="L339" s="318"/>
      <c r="P339" s="246" t="s">
        <v>29</v>
      </c>
      <c r="R339" s="246"/>
      <c r="S339" s="355">
        <f>IF(DELTA_P&lt;S338,S336,S337)</f>
        <v>14.158716864768749</v>
      </c>
      <c r="T339" s="355">
        <f>IF(E$5&lt;T338,T336,T337)</f>
        <v>38.973489540193512</v>
      </c>
      <c r="U339" s="355">
        <f>IF(F$5&lt;U338,U336,U337)</f>
        <v>88.576348578178795</v>
      </c>
      <c r="V339" s="355">
        <f>IF(G$5&lt;V338,V336,V337)</f>
        <v>135.56710470351294</v>
      </c>
      <c r="W339" s="6"/>
    </row>
    <row r="340" spans="1:23" ht="14" x14ac:dyDescent="0.3">
      <c r="A340" s="318"/>
      <c r="B340" s="318"/>
      <c r="C340" s="318"/>
      <c r="D340" s="318"/>
      <c r="E340" s="318"/>
      <c r="F340" s="318"/>
      <c r="G340" s="318"/>
      <c r="H340" s="318"/>
      <c r="I340" s="318"/>
      <c r="J340" s="318"/>
      <c r="K340" s="318"/>
      <c r="L340" s="318"/>
      <c r="P340" s="246" t="s">
        <v>81</v>
      </c>
      <c r="R340" s="246"/>
      <c r="S340" s="355">
        <f>S332/S339</f>
        <v>1</v>
      </c>
      <c r="T340" s="355">
        <f>T332/T339</f>
        <v>1</v>
      </c>
      <c r="U340" s="355">
        <f>U332/U339</f>
        <v>1</v>
      </c>
      <c r="V340" s="355">
        <f>V332/V339</f>
        <v>1</v>
      </c>
      <c r="W340" s="6"/>
    </row>
    <row r="341" spans="1:23" ht="14" x14ac:dyDescent="0.3">
      <c r="A341" s="318"/>
      <c r="B341" s="318"/>
      <c r="C341" s="318"/>
      <c r="D341" s="318"/>
      <c r="E341" s="318"/>
      <c r="F341" s="318"/>
      <c r="G341" s="318"/>
      <c r="H341" s="318"/>
      <c r="I341" s="318"/>
      <c r="J341" s="318"/>
      <c r="K341" s="318"/>
      <c r="L341" s="318"/>
      <c r="P341" s="246"/>
      <c r="R341" s="246"/>
      <c r="S341" s="355"/>
      <c r="T341" s="355"/>
      <c r="U341" s="355"/>
      <c r="V341" s="355"/>
      <c r="W341" s="6"/>
    </row>
    <row r="342" spans="1:23" ht="14" x14ac:dyDescent="0.3">
      <c r="A342" s="318"/>
      <c r="B342" s="318"/>
      <c r="C342" s="318"/>
      <c r="D342" s="318"/>
      <c r="E342" s="318"/>
      <c r="F342" s="318"/>
      <c r="G342" s="318"/>
      <c r="H342" s="318"/>
      <c r="I342" s="318"/>
      <c r="J342" s="318"/>
      <c r="K342" s="318"/>
      <c r="L342" s="318"/>
      <c r="P342" s="246" t="s">
        <v>60</v>
      </c>
      <c r="R342" s="246"/>
      <c r="S342" s="355">
        <f>S339</f>
        <v>14.158716864768749</v>
      </c>
      <c r="T342" s="355">
        <f>T339</f>
        <v>38.973489540193512</v>
      </c>
      <c r="U342" s="355">
        <f>U339</f>
        <v>88.576348578178795</v>
      </c>
      <c r="V342" s="355">
        <f>V339</f>
        <v>135.56710470351294</v>
      </c>
      <c r="W342" s="6"/>
    </row>
    <row r="343" spans="1:23" ht="14" x14ac:dyDescent="0.3">
      <c r="A343" s="318"/>
      <c r="B343" s="318"/>
      <c r="C343" s="318"/>
      <c r="D343" s="318"/>
      <c r="E343" s="318"/>
      <c r="F343" s="318"/>
      <c r="G343" s="318"/>
      <c r="H343" s="318"/>
      <c r="I343" s="318"/>
      <c r="J343" s="318"/>
      <c r="K343" s="318"/>
      <c r="L343" s="318"/>
      <c r="P343" s="246" t="s">
        <v>62</v>
      </c>
      <c r="Q343" s="244">
        <v>15</v>
      </c>
      <c r="R343" s="246"/>
      <c r="S343" s="355">
        <f>1/(SQRT(1+(SIGMA_ZETA/N_2)*(S342/d^2)^2))</f>
        <v>0.9988289022800465</v>
      </c>
      <c r="T343" s="355">
        <f>1/(SQRT(1+(SIGMA_ZETA/N_2)*(T342/d^2)^2))</f>
        <v>0.99122790322681231</v>
      </c>
      <c r="U343" s="355">
        <f>1/(SQRT(1+(SIGMA_ZETA/N_2)*(U342/d^2)^2))</f>
        <v>0.957024201817536</v>
      </c>
      <c r="V343" s="355">
        <f>1/(SQRT(1+(SIGMA_ZETA/N_2)*(V342/d^2)^2))</f>
        <v>0.90717979875321164</v>
      </c>
      <c r="W343" s="6"/>
    </row>
    <row r="344" spans="1:23" ht="14" x14ac:dyDescent="0.3">
      <c r="A344" s="318"/>
      <c r="B344" s="318"/>
      <c r="C344" s="318"/>
      <c r="D344" s="318"/>
      <c r="E344" s="318"/>
      <c r="F344" s="318"/>
      <c r="G344" s="318"/>
      <c r="H344" s="318"/>
      <c r="I344" s="318"/>
      <c r="J344" s="318"/>
      <c r="K344" s="318"/>
      <c r="L344" s="318"/>
      <c r="P344" s="246" t="s">
        <v>65</v>
      </c>
      <c r="R344" s="246"/>
      <c r="S344" s="355"/>
      <c r="T344" s="355"/>
      <c r="U344" s="355"/>
      <c r="V344" s="355"/>
      <c r="W344" s="6"/>
    </row>
    <row r="345" spans="1:23" ht="14" x14ac:dyDescent="0.3">
      <c r="A345" s="318"/>
      <c r="B345" s="318"/>
      <c r="C345" s="318"/>
      <c r="D345" s="318"/>
      <c r="E345" s="318"/>
      <c r="F345" s="318"/>
      <c r="G345" s="318"/>
      <c r="H345" s="318"/>
      <c r="I345" s="318"/>
      <c r="J345" s="318"/>
      <c r="K345" s="318"/>
      <c r="L345" s="318"/>
      <c r="P345" s="246" t="s">
        <v>67</v>
      </c>
      <c r="Q345" s="244">
        <v>21</v>
      </c>
      <c r="R345" s="246"/>
      <c r="S345" s="355">
        <f>F_L/SQRT(1+((F_L^2/N_2)*SIGMA_ZETA_1*(S342/d^2)^2))</f>
        <v>0.91868329719081188</v>
      </c>
      <c r="T345" s="355">
        <f>E$9/SQRT(1+((E$9^2/N_2)*SIGMA_ZETA_1*(T342/d^2)^2))</f>
        <v>0.88108433140201292</v>
      </c>
      <c r="U345" s="355">
        <f>F$9/SQRT(1+((F$9^2/N_2)*SIGMA_ZETA_1*(U342/d^2)^2))</f>
        <v>0.79449455771979816</v>
      </c>
      <c r="V345" s="355">
        <f>G$9/SQRT(1+((G$9^2/N_2)*SIGMA_ZETA_1*(V342/d^2)^2))</f>
        <v>0.71531554432738398</v>
      </c>
      <c r="W345" s="6"/>
    </row>
    <row r="346" spans="1:23" ht="14" x14ac:dyDescent="0.3">
      <c r="A346" s="318"/>
      <c r="B346" s="318"/>
      <c r="C346" s="318"/>
      <c r="D346" s="318"/>
      <c r="E346" s="318"/>
      <c r="F346" s="318"/>
      <c r="G346" s="318"/>
      <c r="H346" s="318"/>
      <c r="I346" s="318"/>
      <c r="J346" s="318"/>
      <c r="K346" s="318"/>
      <c r="L346" s="318"/>
      <c r="P346" s="246" t="s">
        <v>69</v>
      </c>
      <c r="Q346" s="244">
        <v>1</v>
      </c>
      <c r="R346" s="246"/>
      <c r="S346" s="355">
        <f>(Q/(N_1*S343)*(SQRT(G/DELTA_P)))</f>
        <v>14.158716864768749</v>
      </c>
      <c r="T346" s="355">
        <f>(E$3/(N_1*T343)*(SQRT(E$6/E$5)))</f>
        <v>38.973489540193512</v>
      </c>
      <c r="U346" s="355">
        <f>(F$3/(N_1*U343)*(SQRT(F$6/F$5)))</f>
        <v>88.576348578178795</v>
      </c>
      <c r="V346" s="355">
        <f>(G$3/(N_1*V343)*(SQRT(G$6/G$5)))</f>
        <v>135.56710470351294</v>
      </c>
      <c r="W346" s="6"/>
    </row>
    <row r="347" spans="1:23" ht="14" x14ac:dyDescent="0.3">
      <c r="A347" s="318"/>
      <c r="B347" s="318"/>
      <c r="C347" s="318"/>
      <c r="D347" s="318"/>
      <c r="E347" s="318"/>
      <c r="F347" s="318"/>
      <c r="G347" s="318"/>
      <c r="H347" s="318"/>
      <c r="I347" s="318"/>
      <c r="J347" s="318"/>
      <c r="K347" s="318"/>
      <c r="L347" s="318"/>
      <c r="P347" s="246" t="s">
        <v>72</v>
      </c>
      <c r="Q347" s="244">
        <v>1</v>
      </c>
      <c r="R347" s="246"/>
      <c r="S347" s="355">
        <f>(Q/(N_1*S343)*SQRT(G/(S348)))</f>
        <v>11.609794304470123</v>
      </c>
      <c r="T347" s="355">
        <f>(E$3/(N_1*T343)*SQRT(E$6/T348))</f>
        <v>32.609113406809328</v>
      </c>
      <c r="U347" s="355">
        <f>(F$3/(N_1*U343)*SQRT(F$6/U348))</f>
        <v>75.099742474848483</v>
      </c>
      <c r="V347" s="355">
        <f>(G$3/(N_1*V343)*SQRT(G$6/V348))</f>
        <v>113.04789585595061</v>
      </c>
      <c r="W347" s="6"/>
    </row>
    <row r="348" spans="1:23" ht="14" x14ac:dyDescent="0.3">
      <c r="A348" s="318"/>
      <c r="B348" s="318"/>
      <c r="C348" s="318"/>
      <c r="D348" s="318"/>
      <c r="E348" s="318"/>
      <c r="F348" s="318"/>
      <c r="G348" s="318"/>
      <c r="H348" s="318"/>
      <c r="I348" s="318"/>
      <c r="J348" s="318"/>
      <c r="K348" s="318"/>
      <c r="L348" s="318"/>
      <c r="P348" s="246" t="s">
        <v>75</v>
      </c>
      <c r="Q348" s="244">
        <v>3</v>
      </c>
      <c r="R348" s="246"/>
      <c r="S348" s="355">
        <f>(S345/S343)^2*(P_1-(F_F*P_V))</f>
        <v>47.593618181101121</v>
      </c>
      <c r="T348" s="355">
        <f>(T345/T343)^2*(E$4-(T$4*E$7))</f>
        <v>43.424436007818777</v>
      </c>
      <c r="U348" s="355">
        <f>(U345/U343)^2*(F$4-(U$4*F$7))</f>
        <v>34.638413948646722</v>
      </c>
      <c r="V348" s="355">
        <f>(V345/V343)^2*(G$4-(V$4*G$7))</f>
        <v>28.76164165053056</v>
      </c>
      <c r="W348" s="6"/>
    </row>
    <row r="349" spans="1:23" ht="14" x14ac:dyDescent="0.3">
      <c r="A349" s="318"/>
      <c r="B349" s="318"/>
      <c r="C349" s="318"/>
      <c r="D349" s="318"/>
      <c r="E349" s="318"/>
      <c r="F349" s="318"/>
      <c r="G349" s="318"/>
      <c r="H349" s="318"/>
      <c r="I349" s="318"/>
      <c r="J349" s="318"/>
      <c r="K349" s="318"/>
      <c r="L349" s="318"/>
      <c r="P349" s="246" t="s">
        <v>29</v>
      </c>
      <c r="R349" s="246"/>
      <c r="S349" s="355">
        <f>IF(DELTA_P&lt;S348,S346,S347)</f>
        <v>14.158716864768749</v>
      </c>
      <c r="T349" s="355">
        <f>IF(E$5&lt;T348,T346,T347)</f>
        <v>38.973489540193512</v>
      </c>
      <c r="U349" s="355">
        <f>IF(F$5&lt;U348,U346,U347)</f>
        <v>88.576348578178795</v>
      </c>
      <c r="V349" s="355">
        <f>IF(G$5&lt;V348,V346,V347)</f>
        <v>135.56710470351294</v>
      </c>
      <c r="W349" s="6"/>
    </row>
    <row r="350" spans="1:23" ht="14" x14ac:dyDescent="0.3">
      <c r="A350" s="318"/>
      <c r="B350" s="318"/>
      <c r="C350" s="318"/>
      <c r="D350" s="318"/>
      <c r="E350" s="318"/>
      <c r="F350" s="318"/>
      <c r="G350" s="318"/>
      <c r="H350" s="318"/>
      <c r="I350" s="318"/>
      <c r="J350" s="318"/>
      <c r="K350" s="318"/>
      <c r="L350" s="318"/>
      <c r="P350" s="246" t="s">
        <v>81</v>
      </c>
      <c r="R350" s="246"/>
      <c r="S350" s="355">
        <f>S342/S349</f>
        <v>1</v>
      </c>
      <c r="T350" s="355">
        <f>T342/T349</f>
        <v>1</v>
      </c>
      <c r="U350" s="355">
        <f>U342/U349</f>
        <v>1</v>
      </c>
      <c r="V350" s="355">
        <f>V342/V349</f>
        <v>1</v>
      </c>
      <c r="W350" s="6"/>
    </row>
    <row r="351" spans="1:23" ht="14" x14ac:dyDescent="0.3">
      <c r="A351" s="318"/>
      <c r="B351" s="318"/>
      <c r="C351" s="318"/>
      <c r="D351" s="318"/>
      <c r="E351" s="318"/>
      <c r="F351" s="318"/>
      <c r="G351" s="318"/>
      <c r="H351" s="318"/>
      <c r="I351" s="318"/>
      <c r="J351" s="318"/>
      <c r="K351" s="318"/>
      <c r="L351" s="318"/>
      <c r="P351" s="246"/>
      <c r="R351" s="246"/>
      <c r="S351" s="355"/>
      <c r="T351" s="355"/>
      <c r="U351" s="355"/>
      <c r="V351" s="355"/>
      <c r="W351" s="6"/>
    </row>
    <row r="352" spans="1:23" ht="14" x14ac:dyDescent="0.3">
      <c r="A352" s="318"/>
      <c r="B352" s="318"/>
      <c r="C352" s="318"/>
      <c r="D352" s="318"/>
      <c r="E352" s="318"/>
      <c r="F352" s="318"/>
      <c r="G352" s="318"/>
      <c r="H352" s="318"/>
      <c r="I352" s="318"/>
      <c r="J352" s="318"/>
      <c r="K352" s="318"/>
      <c r="L352" s="318"/>
      <c r="P352" s="246" t="s">
        <v>60</v>
      </c>
      <c r="R352" s="246"/>
      <c r="S352" s="355">
        <f>S349</f>
        <v>14.158716864768749</v>
      </c>
      <c r="T352" s="355">
        <f>T349</f>
        <v>38.973489540193512</v>
      </c>
      <c r="U352" s="355">
        <f>U349</f>
        <v>88.576348578178795</v>
      </c>
      <c r="V352" s="355">
        <f>V349</f>
        <v>135.56710470351294</v>
      </c>
      <c r="W352" s="6"/>
    </row>
    <row r="353" spans="1:23" ht="14" x14ac:dyDescent="0.3">
      <c r="A353" s="318"/>
      <c r="B353" s="318"/>
      <c r="C353" s="318"/>
      <c r="D353" s="318"/>
      <c r="E353" s="318"/>
      <c r="F353" s="318"/>
      <c r="G353" s="318"/>
      <c r="H353" s="318"/>
      <c r="I353" s="318"/>
      <c r="J353" s="318"/>
      <c r="K353" s="318"/>
      <c r="L353" s="318"/>
      <c r="P353" s="246" t="s">
        <v>62</v>
      </c>
      <c r="Q353" s="244">
        <v>15</v>
      </c>
      <c r="R353" s="246"/>
      <c r="S353" s="355">
        <f>1/(SQRT(1+(SIGMA_ZETA/N_2)*(S352/d^2)^2))</f>
        <v>0.9988289022800465</v>
      </c>
      <c r="T353" s="355">
        <f>1/(SQRT(1+(SIGMA_ZETA/N_2)*(T352/d^2)^2))</f>
        <v>0.99122790322681231</v>
      </c>
      <c r="U353" s="355">
        <f>1/(SQRT(1+(SIGMA_ZETA/N_2)*(U352/d^2)^2))</f>
        <v>0.957024201817536</v>
      </c>
      <c r="V353" s="355">
        <f>1/(SQRT(1+(SIGMA_ZETA/N_2)*(V352/d^2)^2))</f>
        <v>0.90717979875321164</v>
      </c>
      <c r="W353" s="6"/>
    </row>
    <row r="354" spans="1:23" ht="14" x14ac:dyDescent="0.3">
      <c r="A354" s="318"/>
      <c r="B354" s="318"/>
      <c r="C354" s="318"/>
      <c r="D354" s="318"/>
      <c r="E354" s="318"/>
      <c r="F354" s="318"/>
      <c r="G354" s="318"/>
      <c r="H354" s="318"/>
      <c r="I354" s="318"/>
      <c r="J354" s="318"/>
      <c r="K354" s="318"/>
      <c r="L354" s="318"/>
      <c r="P354" s="246" t="s">
        <v>65</v>
      </c>
      <c r="R354" s="246"/>
      <c r="S354" s="355"/>
      <c r="T354" s="355"/>
      <c r="U354" s="355"/>
      <c r="V354" s="355"/>
      <c r="W354" s="6"/>
    </row>
    <row r="355" spans="1:23" ht="14" x14ac:dyDescent="0.3">
      <c r="A355" s="318"/>
      <c r="B355" s="318"/>
      <c r="C355" s="318"/>
      <c r="D355" s="318"/>
      <c r="E355" s="318"/>
      <c r="F355" s="318"/>
      <c r="G355" s="318"/>
      <c r="H355" s="318"/>
      <c r="I355" s="318"/>
      <c r="J355" s="318"/>
      <c r="K355" s="318"/>
      <c r="L355" s="318"/>
      <c r="P355" s="246" t="s">
        <v>67</v>
      </c>
      <c r="Q355" s="244">
        <v>21</v>
      </c>
      <c r="R355" s="246"/>
      <c r="S355" s="355">
        <f>F_L/SQRT(1+((F_L^2/N_2)*SIGMA_ZETA_1*(S352/d^2)^2))</f>
        <v>0.91868329719081188</v>
      </c>
      <c r="T355" s="355">
        <f>E$9/SQRT(1+((E$9^2/N_2)*SIGMA_ZETA_1*(T352/d^2)^2))</f>
        <v>0.88108433140201292</v>
      </c>
      <c r="U355" s="355">
        <f>F$9/SQRT(1+((F$9^2/N_2)*SIGMA_ZETA_1*(U352/d^2)^2))</f>
        <v>0.79449455771979816</v>
      </c>
      <c r="V355" s="355">
        <f>G$9/SQRT(1+((G$9^2/N_2)*SIGMA_ZETA_1*(V352/d^2)^2))</f>
        <v>0.71531554432738398</v>
      </c>
      <c r="W355" s="6"/>
    </row>
    <row r="356" spans="1:23" ht="14" x14ac:dyDescent="0.3">
      <c r="A356" s="318"/>
      <c r="B356" s="318"/>
      <c r="C356" s="318"/>
      <c r="D356" s="318"/>
      <c r="E356" s="318"/>
      <c r="F356" s="318"/>
      <c r="G356" s="318"/>
      <c r="H356" s="318"/>
      <c r="I356" s="318"/>
      <c r="J356" s="318"/>
      <c r="K356" s="318"/>
      <c r="L356" s="318"/>
      <c r="P356" s="246" t="s">
        <v>69</v>
      </c>
      <c r="Q356" s="244">
        <v>1</v>
      </c>
      <c r="R356" s="246"/>
      <c r="S356" s="355">
        <f>(Q/(N_1*S353)*(SQRT(G/DELTA_P)))</f>
        <v>14.158716864768749</v>
      </c>
      <c r="T356" s="355">
        <f>(E$3/(N_1*T353)*(SQRT(E$6/E$5)))</f>
        <v>38.973489540193512</v>
      </c>
      <c r="U356" s="355">
        <f>(F$3/(N_1*U353)*(SQRT(F$6/F$5)))</f>
        <v>88.576348578178795</v>
      </c>
      <c r="V356" s="355">
        <f>(G$3/(N_1*V353)*(SQRT(G$6/G$5)))</f>
        <v>135.56710470351294</v>
      </c>
      <c r="W356" s="6"/>
    </row>
    <row r="357" spans="1:23" x14ac:dyDescent="0.25">
      <c r="P357" s="246" t="s">
        <v>72</v>
      </c>
      <c r="Q357" s="244">
        <v>1</v>
      </c>
      <c r="R357" s="246"/>
      <c r="S357" s="355">
        <f>(Q/(N_1*S353)*SQRT(G/(S358)))</f>
        <v>11.609794304470123</v>
      </c>
      <c r="T357" s="355">
        <f>(E$3/(N_1*T353)*SQRT(E$6/T358))</f>
        <v>32.609113406809328</v>
      </c>
      <c r="U357" s="355">
        <f>(F$3/(N_1*U353)*SQRT(F$6/U358))</f>
        <v>75.099742474848483</v>
      </c>
      <c r="V357" s="355">
        <f>(G$3/(N_1*V353)*SQRT(G$6/V358))</f>
        <v>113.04789585595061</v>
      </c>
      <c r="W357" s="6"/>
    </row>
    <row r="358" spans="1:23" x14ac:dyDescent="0.25">
      <c r="P358" s="246" t="s">
        <v>75</v>
      </c>
      <c r="Q358" s="244">
        <v>3</v>
      </c>
      <c r="R358" s="246"/>
      <c r="S358" s="355">
        <f>(S355/S353)^2*(P_1-(F_F*P_V))</f>
        <v>47.593618181101121</v>
      </c>
      <c r="T358" s="355">
        <f>(T355/T353)^2*(E$4-(T$4*E$7))</f>
        <v>43.424436007818777</v>
      </c>
      <c r="U358" s="355">
        <f>(U355/U353)^2*(F$4-(U$4*F$7))</f>
        <v>34.638413948646722</v>
      </c>
      <c r="V358" s="355">
        <f>(V355/V353)^2*(G$4-(V$4*G$7))</f>
        <v>28.76164165053056</v>
      </c>
      <c r="W358" s="6"/>
    </row>
    <row r="359" spans="1:23" x14ac:dyDescent="0.25">
      <c r="P359" s="246" t="s">
        <v>29</v>
      </c>
      <c r="R359" s="246"/>
      <c r="S359" s="355">
        <f>IF(DELTA_P&lt;S358,S356,S357)</f>
        <v>14.158716864768749</v>
      </c>
      <c r="T359" s="355">
        <f>IF(E$5&lt;T358,T356,T357)</f>
        <v>38.973489540193512</v>
      </c>
      <c r="U359" s="355">
        <f>IF(F$5&lt;U358,U356,U357)</f>
        <v>88.576348578178795</v>
      </c>
      <c r="V359" s="355">
        <f>IF(G$5&lt;V358,V356,V357)</f>
        <v>135.56710470351294</v>
      </c>
      <c r="W359" s="6"/>
    </row>
    <row r="360" spans="1:23" x14ac:dyDescent="0.25">
      <c r="P360" s="246" t="s">
        <v>81</v>
      </c>
      <c r="R360" s="246"/>
      <c r="S360" s="355">
        <f>S352/S359</f>
        <v>1</v>
      </c>
      <c r="T360" s="355">
        <f>T352/T359</f>
        <v>1</v>
      </c>
      <c r="U360" s="355">
        <f>U352/U359</f>
        <v>1</v>
      </c>
      <c r="V360" s="355">
        <f>V352/V359</f>
        <v>1</v>
      </c>
      <c r="W360" s="6"/>
    </row>
    <row r="361" spans="1:23" x14ac:dyDescent="0.25">
      <c r="P361" s="246"/>
      <c r="R361" s="246"/>
      <c r="S361" s="355"/>
      <c r="T361" s="355"/>
      <c r="U361" s="355"/>
      <c r="V361" s="355"/>
      <c r="W361" s="6"/>
    </row>
    <row r="362" spans="1:23" x14ac:dyDescent="0.25">
      <c r="P362" s="246" t="s">
        <v>60</v>
      </c>
      <c r="R362" s="246"/>
      <c r="S362" s="355">
        <f>S359</f>
        <v>14.158716864768749</v>
      </c>
      <c r="T362" s="355">
        <f>T359</f>
        <v>38.973489540193512</v>
      </c>
      <c r="U362" s="355">
        <f>U359</f>
        <v>88.576348578178795</v>
      </c>
      <c r="V362" s="355">
        <f>V359</f>
        <v>135.56710470351294</v>
      </c>
      <c r="W362" s="6"/>
    </row>
    <row r="363" spans="1:23" x14ac:dyDescent="0.25">
      <c r="P363" s="246" t="s">
        <v>62</v>
      </c>
      <c r="Q363" s="244">
        <v>15</v>
      </c>
      <c r="R363" s="246"/>
      <c r="S363" s="355">
        <f>1/(SQRT(1+(SIGMA_ZETA/N_2)*(S362/d^2)^2))</f>
        <v>0.9988289022800465</v>
      </c>
      <c r="T363" s="355">
        <f>1/(SQRT(1+(SIGMA_ZETA/N_2)*(T362/d^2)^2))</f>
        <v>0.99122790322681231</v>
      </c>
      <c r="U363" s="355">
        <f>1/(SQRT(1+(SIGMA_ZETA/N_2)*(U362/d^2)^2))</f>
        <v>0.957024201817536</v>
      </c>
      <c r="V363" s="355">
        <f>1/(SQRT(1+(SIGMA_ZETA/N_2)*(V362/d^2)^2))</f>
        <v>0.90717979875321164</v>
      </c>
      <c r="W363" s="6"/>
    </row>
    <row r="364" spans="1:23" x14ac:dyDescent="0.25">
      <c r="P364" s="246" t="s">
        <v>65</v>
      </c>
      <c r="R364" s="246"/>
      <c r="S364" s="355"/>
      <c r="T364" s="355"/>
      <c r="U364" s="355"/>
      <c r="V364" s="355"/>
      <c r="W364" s="6"/>
    </row>
    <row r="365" spans="1:23" x14ac:dyDescent="0.25">
      <c r="P365" s="246" t="s">
        <v>67</v>
      </c>
      <c r="Q365" s="244">
        <v>21</v>
      </c>
      <c r="R365" s="246"/>
      <c r="S365" s="355">
        <f>F_L/SQRT(1+((F_L^2/N_2)*SIGMA_ZETA_1*(S362/d^2)^2))</f>
        <v>0.91868329719081188</v>
      </c>
      <c r="T365" s="355">
        <f>E$9/SQRT(1+((E$9^2/N_2)*SIGMA_ZETA_1*(T362/d^2)^2))</f>
        <v>0.88108433140201292</v>
      </c>
      <c r="U365" s="355">
        <f>F$9/SQRT(1+((F$9^2/N_2)*SIGMA_ZETA_1*(U362/d^2)^2))</f>
        <v>0.79449455771979816</v>
      </c>
      <c r="V365" s="355">
        <f>G$9/SQRT(1+((G$9^2/N_2)*SIGMA_ZETA_1*(V362/d^2)^2))</f>
        <v>0.71531554432738398</v>
      </c>
      <c r="W365" s="6"/>
    </row>
    <row r="366" spans="1:23" x14ac:dyDescent="0.25">
      <c r="P366" s="246" t="s">
        <v>69</v>
      </c>
      <c r="Q366" s="244">
        <v>1</v>
      </c>
      <c r="R366" s="246"/>
      <c r="S366" s="355">
        <f>(Q/(N_1*S363)*(SQRT(G/DELTA_P)))</f>
        <v>14.158716864768749</v>
      </c>
      <c r="T366" s="355">
        <f>(E$3/(N_1*T363)*(SQRT(E$6/E$5)))</f>
        <v>38.973489540193512</v>
      </c>
      <c r="U366" s="355">
        <f>(F$3/(N_1*U363)*(SQRT(F$6/F$5)))</f>
        <v>88.576348578178795</v>
      </c>
      <c r="V366" s="355">
        <f>(G$3/(N_1*V363)*(SQRT(G$6/G$5)))</f>
        <v>135.56710470351294</v>
      </c>
      <c r="W366" s="6"/>
    </row>
    <row r="367" spans="1:23" x14ac:dyDescent="0.25">
      <c r="P367" s="246" t="s">
        <v>72</v>
      </c>
      <c r="Q367" s="244">
        <v>1</v>
      </c>
      <c r="R367" s="246"/>
      <c r="S367" s="355">
        <f>(Q/(N_1*S363)*SQRT(G/(S368)))</f>
        <v>11.609794304470123</v>
      </c>
      <c r="T367" s="355">
        <f>(E$3/(N_1*T363)*SQRT(E$6/T368))</f>
        <v>32.609113406809328</v>
      </c>
      <c r="U367" s="355">
        <f>(F$3/(N_1*U363)*SQRT(F$6/U368))</f>
        <v>75.099742474848483</v>
      </c>
      <c r="V367" s="355">
        <f>(G$3/(N_1*V363)*SQRT(G$6/V368))</f>
        <v>113.04789585595061</v>
      </c>
      <c r="W367" s="6"/>
    </row>
    <row r="368" spans="1:23" x14ac:dyDescent="0.25">
      <c r="P368" s="246" t="s">
        <v>75</v>
      </c>
      <c r="Q368" s="244">
        <v>3</v>
      </c>
      <c r="R368" s="246"/>
      <c r="S368" s="355">
        <f>(S365/S363)^2*(P_1-(F_F*P_V))</f>
        <v>47.593618181101121</v>
      </c>
      <c r="T368" s="355">
        <f>(T365/T363)^2*(E$4-(T$4*E$7))</f>
        <v>43.424436007818777</v>
      </c>
      <c r="U368" s="355">
        <f>(U365/U363)^2*(F$4-(U$4*F$7))</f>
        <v>34.638413948646722</v>
      </c>
      <c r="V368" s="355">
        <f>(V365/V363)^2*(G$4-(V$4*G$7))</f>
        <v>28.76164165053056</v>
      </c>
      <c r="W368" s="6"/>
    </row>
    <row r="369" spans="16:25" x14ac:dyDescent="0.25">
      <c r="P369" s="246" t="s">
        <v>29</v>
      </c>
      <c r="R369" s="246"/>
      <c r="S369" s="355">
        <f>IF(DELTA_P&lt;S368,S366,S367)</f>
        <v>14.158716864768749</v>
      </c>
      <c r="T369" s="355">
        <f>IF(E$5&lt;T368,T366,T367)</f>
        <v>38.973489540193512</v>
      </c>
      <c r="U369" s="355">
        <f>IF(F$5&lt;U368,U366,U367)</f>
        <v>88.576348578178795</v>
      </c>
      <c r="V369" s="355">
        <f>IF(G$5&lt;V368,V366,V367)</f>
        <v>135.56710470351294</v>
      </c>
      <c r="W369" s="6"/>
    </row>
    <row r="370" spans="16:25" x14ac:dyDescent="0.25">
      <c r="P370" s="246" t="s">
        <v>81</v>
      </c>
      <c r="R370" s="246"/>
      <c r="S370" s="355">
        <f>S362/S369</f>
        <v>1</v>
      </c>
      <c r="T370" s="355">
        <f>T362/T369</f>
        <v>1</v>
      </c>
      <c r="U370" s="355">
        <f>U362/U369</f>
        <v>1</v>
      </c>
      <c r="V370" s="355">
        <f>V362/V369</f>
        <v>1</v>
      </c>
      <c r="W370" s="6"/>
    </row>
    <row r="371" spans="16:25" x14ac:dyDescent="0.25">
      <c r="P371" s="246"/>
      <c r="R371" s="246"/>
      <c r="S371" s="355"/>
      <c r="T371" s="355"/>
      <c r="U371" s="355"/>
      <c r="V371" s="355"/>
      <c r="W371" s="6"/>
    </row>
    <row r="372" spans="16:25" x14ac:dyDescent="0.25">
      <c r="P372" s="246" t="s">
        <v>60</v>
      </c>
      <c r="R372" s="246"/>
      <c r="S372" s="355">
        <f>S369</f>
        <v>14.158716864768749</v>
      </c>
      <c r="T372" s="355">
        <f>T369</f>
        <v>38.973489540193512</v>
      </c>
      <c r="U372" s="355">
        <f>U369</f>
        <v>88.576348578178795</v>
      </c>
      <c r="V372" s="355">
        <f>V369</f>
        <v>135.56710470351294</v>
      </c>
      <c r="W372" s="6"/>
    </row>
    <row r="373" spans="16:25" x14ac:dyDescent="0.25">
      <c r="P373" s="246" t="s">
        <v>62</v>
      </c>
      <c r="Q373" s="244">
        <v>15</v>
      </c>
      <c r="R373" s="246"/>
      <c r="S373" s="355">
        <f>1/(SQRT(1+(SIGMA_ZETA/N_2)*(S372/d^2)^2))</f>
        <v>0.9988289022800465</v>
      </c>
      <c r="T373" s="355">
        <f>1/(SQRT(1+(SIGMA_ZETA/N_2)*(T372/d^2)^2))</f>
        <v>0.99122790322681231</v>
      </c>
      <c r="U373" s="355">
        <f>1/(SQRT(1+(SIGMA_ZETA/N_2)*(U372/d^2)^2))</f>
        <v>0.957024201817536</v>
      </c>
      <c r="V373" s="355">
        <f>1/(SQRT(1+(SIGMA_ZETA/N_2)*(V372/d^2)^2))</f>
        <v>0.90717979875321164</v>
      </c>
      <c r="W373" s="6"/>
      <c r="Y373" s="323"/>
    </row>
    <row r="374" spans="16:25" x14ac:dyDescent="0.25">
      <c r="P374" s="246" t="s">
        <v>65</v>
      </c>
      <c r="R374" s="246"/>
      <c r="S374" s="355"/>
      <c r="T374" s="355"/>
      <c r="U374" s="355"/>
      <c r="V374" s="355"/>
      <c r="W374" s="6"/>
    </row>
    <row r="375" spans="16:25" x14ac:dyDescent="0.25">
      <c r="P375" s="246" t="s">
        <v>67</v>
      </c>
      <c r="Q375" s="244">
        <v>21</v>
      </c>
      <c r="R375" s="246"/>
      <c r="S375" s="355">
        <f>F_L/SQRT(1+((F_L^2/N_2)*SIGMA_ZETA_1*(S372/d^2)^2))</f>
        <v>0.91868329719081188</v>
      </c>
      <c r="T375" s="355">
        <f>E$9/SQRT(1+((E$9^2/N_2)*SIGMA_ZETA_1*(T372/d^2)^2))</f>
        <v>0.88108433140201292</v>
      </c>
      <c r="U375" s="355">
        <f>F$9/SQRT(1+((F$9^2/N_2)*SIGMA_ZETA_1*(U372/d^2)^2))</f>
        <v>0.79449455771979816</v>
      </c>
      <c r="V375" s="355">
        <f>G$9/SQRT(1+((G$9^2/N_2)*SIGMA_ZETA_1*(V372/d^2)^2))</f>
        <v>0.71531554432738398</v>
      </c>
      <c r="W375" s="6"/>
    </row>
    <row r="376" spans="16:25" x14ac:dyDescent="0.25">
      <c r="P376" s="246" t="s">
        <v>69</v>
      </c>
      <c r="Q376" s="244">
        <v>1</v>
      </c>
      <c r="R376" s="246"/>
      <c r="S376" s="355">
        <f>(Q/(N_1*S373)*(SQRT(G/DELTA_P)))</f>
        <v>14.158716864768749</v>
      </c>
      <c r="T376" s="355">
        <f>(E$3/(N_1*T373)*(SQRT(E$6/E$5)))</f>
        <v>38.973489540193512</v>
      </c>
      <c r="U376" s="355">
        <f>(F$3/(N_1*U373)*(SQRT(F$6/F$5)))</f>
        <v>88.576348578178795</v>
      </c>
      <c r="V376" s="355">
        <f>(G$3/(N_1*V373)*(SQRT(G$6/G$5)))</f>
        <v>135.56710470351294</v>
      </c>
      <c r="W376" s="6"/>
    </row>
    <row r="377" spans="16:25" x14ac:dyDescent="0.25">
      <c r="P377" s="246" t="s">
        <v>72</v>
      </c>
      <c r="Q377" s="244">
        <v>1</v>
      </c>
      <c r="R377" s="246"/>
      <c r="S377" s="355">
        <f>(Q/(N_1*S373)*SQRT(G/(S378)))</f>
        <v>11.609794304470123</v>
      </c>
      <c r="T377" s="355">
        <f>(E$3/(N_1*T373)*SQRT(E$6/T378))</f>
        <v>32.609113406809328</v>
      </c>
      <c r="U377" s="355">
        <f>(F$3/(N_1*U373)*SQRT(F$6/U378))</f>
        <v>75.099742474848483</v>
      </c>
      <c r="V377" s="355">
        <f>(G$3/(N_1*V373)*SQRT(G$6/V378))</f>
        <v>113.04789585595061</v>
      </c>
      <c r="W377" s="6"/>
    </row>
    <row r="378" spans="16:25" x14ac:dyDescent="0.25">
      <c r="P378" s="246" t="s">
        <v>75</v>
      </c>
      <c r="Q378" s="244">
        <v>3</v>
      </c>
      <c r="R378" s="246"/>
      <c r="S378" s="355">
        <f>(S375/S373)^2*(P_1-(F_F*P_V))</f>
        <v>47.593618181101121</v>
      </c>
      <c r="T378" s="355">
        <f>(T375/T373)^2*(E$4-(T$4*E$7))</f>
        <v>43.424436007818777</v>
      </c>
      <c r="U378" s="355">
        <f>(U375/U373)^2*(F$4-(U$4*F$7))</f>
        <v>34.638413948646722</v>
      </c>
      <c r="V378" s="355">
        <f>(V375/V373)^2*(G$4-(V$4*G$7))</f>
        <v>28.76164165053056</v>
      </c>
      <c r="W378" s="6"/>
    </row>
    <row r="379" spans="16:25" x14ac:dyDescent="0.25">
      <c r="P379" s="246" t="s">
        <v>29</v>
      </c>
      <c r="R379" s="246"/>
      <c r="S379" s="355">
        <f>IF(DELTA_P&lt;S378,S376,S377)</f>
        <v>14.158716864768749</v>
      </c>
      <c r="T379" s="355">
        <f>IF(E$5&lt;T378,T376,T377)</f>
        <v>38.973489540193512</v>
      </c>
      <c r="U379" s="355">
        <f>IF(F$5&lt;U378,U376,U377)</f>
        <v>88.576348578178795</v>
      </c>
      <c r="V379" s="355">
        <f>IF(G$5&lt;V378,V376,V377)</f>
        <v>135.56710470351294</v>
      </c>
      <c r="W379" s="6"/>
    </row>
    <row r="380" spans="16:25" x14ac:dyDescent="0.25">
      <c r="P380" s="246" t="s">
        <v>81</v>
      </c>
      <c r="R380" s="246"/>
      <c r="S380" s="355">
        <f>S372/S379</f>
        <v>1</v>
      </c>
      <c r="T380" s="355">
        <f>T372/T379</f>
        <v>1</v>
      </c>
      <c r="U380" s="355">
        <f>U372/U379</f>
        <v>1</v>
      </c>
      <c r="V380" s="355">
        <f>V372/V379</f>
        <v>1</v>
      </c>
      <c r="W380" s="6"/>
    </row>
    <row r="381" spans="16:25" x14ac:dyDescent="0.25">
      <c r="P381" s="246"/>
      <c r="R381" s="246"/>
      <c r="S381" s="355"/>
      <c r="T381" s="355"/>
      <c r="U381" s="355"/>
      <c r="V381" s="355"/>
      <c r="W381" s="6"/>
    </row>
    <row r="382" spans="16:25" x14ac:dyDescent="0.25">
      <c r="P382" s="246" t="s">
        <v>60</v>
      </c>
      <c r="R382" s="246"/>
      <c r="S382" s="355">
        <f>S379</f>
        <v>14.158716864768749</v>
      </c>
      <c r="T382" s="355">
        <f>T379</f>
        <v>38.973489540193512</v>
      </c>
      <c r="U382" s="355">
        <f>U379</f>
        <v>88.576348578178795</v>
      </c>
      <c r="V382" s="355">
        <f>V379</f>
        <v>135.56710470351294</v>
      </c>
      <c r="W382" s="6"/>
    </row>
    <row r="383" spans="16:25" x14ac:dyDescent="0.25">
      <c r="P383" s="246" t="s">
        <v>62</v>
      </c>
      <c r="Q383" s="244">
        <v>15</v>
      </c>
      <c r="R383" s="246"/>
      <c r="S383" s="355">
        <f>1/(SQRT(1+(SIGMA_ZETA/N_2)*(S382/d^2)^2))</f>
        <v>0.9988289022800465</v>
      </c>
      <c r="T383" s="355">
        <f>1/(SQRT(1+(SIGMA_ZETA/N_2)*(T382/d^2)^2))</f>
        <v>0.99122790322681231</v>
      </c>
      <c r="U383" s="355">
        <f>1/(SQRT(1+(SIGMA_ZETA/N_2)*(U382/d^2)^2))</f>
        <v>0.957024201817536</v>
      </c>
      <c r="V383" s="355">
        <f>1/(SQRT(1+(SIGMA_ZETA/N_2)*(V382/d^2)^2))</f>
        <v>0.90717979875321164</v>
      </c>
      <c r="W383" s="6"/>
    </row>
    <row r="384" spans="16:25" x14ac:dyDescent="0.25">
      <c r="P384" s="246" t="s">
        <v>65</v>
      </c>
      <c r="R384" s="246"/>
      <c r="S384" s="355"/>
      <c r="T384" s="355"/>
      <c r="U384" s="355"/>
      <c r="V384" s="355"/>
      <c r="W384" s="6"/>
    </row>
    <row r="385" spans="16:23" x14ac:dyDescent="0.25">
      <c r="P385" s="246" t="s">
        <v>67</v>
      </c>
      <c r="Q385" s="244">
        <v>21</v>
      </c>
      <c r="R385" s="246"/>
      <c r="S385" s="355">
        <f>F_L/SQRT(1+((F_L^2/N_2)*SIGMA_ZETA_1*(S382/d^2)^2))</f>
        <v>0.91868329719081188</v>
      </c>
      <c r="T385" s="355">
        <f>E$9/SQRT(1+((E$9^2/N_2)*SIGMA_ZETA_1*(T382/d^2)^2))</f>
        <v>0.88108433140201292</v>
      </c>
      <c r="U385" s="355">
        <f>F$9/SQRT(1+((F$9^2/N_2)*SIGMA_ZETA_1*(U382/d^2)^2))</f>
        <v>0.79449455771979816</v>
      </c>
      <c r="V385" s="355">
        <f>G$9/SQRT(1+((G$9^2/N_2)*SIGMA_ZETA_1*(V382/d^2)^2))</f>
        <v>0.71531554432738398</v>
      </c>
      <c r="W385" s="6"/>
    </row>
    <row r="386" spans="16:23" x14ac:dyDescent="0.25">
      <c r="P386" s="246" t="s">
        <v>69</v>
      </c>
      <c r="Q386" s="244">
        <v>1</v>
      </c>
      <c r="R386" s="246"/>
      <c r="S386" s="355">
        <f>(Q/(N_1*S383)*(SQRT(G/DELTA_P)))</f>
        <v>14.158716864768749</v>
      </c>
      <c r="T386" s="355">
        <f>(E$3/(N_1*T383)*(SQRT(E$6/E$5)))</f>
        <v>38.973489540193512</v>
      </c>
      <c r="U386" s="355">
        <f>(F$3/(N_1*U383)*(SQRT(F$6/F$5)))</f>
        <v>88.576348578178795</v>
      </c>
      <c r="V386" s="355">
        <f>(G$3/(N_1*V383)*(SQRT(G$6/G$5)))</f>
        <v>135.56710470351294</v>
      </c>
      <c r="W386" s="6"/>
    </row>
    <row r="387" spans="16:23" x14ac:dyDescent="0.25">
      <c r="P387" s="246" t="s">
        <v>72</v>
      </c>
      <c r="Q387" s="244">
        <v>1</v>
      </c>
      <c r="R387" s="246"/>
      <c r="S387" s="355">
        <f>(Q/(N_1*S383)*SQRT(G/(S388)))</f>
        <v>11.609794304470123</v>
      </c>
      <c r="T387" s="355">
        <f>(E$3/(N_1*T383)*SQRT(E$6/T388))</f>
        <v>32.609113406809328</v>
      </c>
      <c r="U387" s="355">
        <f>(F$3/(N_1*U383)*SQRT(F$6/U388))</f>
        <v>75.099742474848483</v>
      </c>
      <c r="V387" s="355">
        <f>(G$3/(N_1*V383)*SQRT(G$6/V388))</f>
        <v>113.04789585595061</v>
      </c>
      <c r="W387" s="6"/>
    </row>
    <row r="388" spans="16:23" x14ac:dyDescent="0.25">
      <c r="P388" s="246" t="s">
        <v>75</v>
      </c>
      <c r="Q388" s="244">
        <v>3</v>
      </c>
      <c r="R388" s="246"/>
      <c r="S388" s="355">
        <f>(S385/S383)^2*(P_1-(F_F*P_V))</f>
        <v>47.593618181101121</v>
      </c>
      <c r="T388" s="355">
        <f>(T385/T383)^2*(E$4-(T$4*E$7))</f>
        <v>43.424436007818777</v>
      </c>
      <c r="U388" s="355">
        <f>(U385/U383)^2*(F$4-(U$4*F$7))</f>
        <v>34.638413948646722</v>
      </c>
      <c r="V388" s="355">
        <f>(V385/V383)^2*(G$4-(V$4*G$7))</f>
        <v>28.76164165053056</v>
      </c>
      <c r="W388" s="6"/>
    </row>
    <row r="389" spans="16:23" x14ac:dyDescent="0.25">
      <c r="P389" s="246" t="s">
        <v>29</v>
      </c>
      <c r="R389" s="246"/>
      <c r="S389" s="355">
        <f>IF(DELTA_P&lt;S388,S386,S387)</f>
        <v>14.158716864768749</v>
      </c>
      <c r="T389" s="355">
        <f>IF(E$5&lt;T388,T386,T387)</f>
        <v>38.973489540193512</v>
      </c>
      <c r="U389" s="355">
        <f>IF(F$5&lt;U388,U386,U387)</f>
        <v>88.576348578178795</v>
      </c>
      <c r="V389" s="355">
        <f>IF(G$5&lt;V388,V386,V387)</f>
        <v>135.56710470351294</v>
      </c>
      <c r="W389" s="6"/>
    </row>
    <row r="390" spans="16:23" x14ac:dyDescent="0.25">
      <c r="P390" s="246" t="s">
        <v>81</v>
      </c>
      <c r="R390" s="246"/>
      <c r="S390" s="355">
        <f>S382/S389</f>
        <v>1</v>
      </c>
      <c r="T390" s="355">
        <f>T382/T389</f>
        <v>1</v>
      </c>
      <c r="U390" s="355">
        <f>U382/U389</f>
        <v>1</v>
      </c>
      <c r="V390" s="355">
        <f>V382/V389</f>
        <v>1</v>
      </c>
      <c r="W390" s="6"/>
    </row>
    <row r="391" spans="16:23" x14ac:dyDescent="0.25">
      <c r="P391" s="246"/>
      <c r="R391" s="246"/>
      <c r="S391" s="355"/>
      <c r="T391" s="355"/>
      <c r="U391" s="355"/>
      <c r="V391" s="355"/>
      <c r="W391" s="6"/>
    </row>
    <row r="392" spans="16:23" x14ac:dyDescent="0.25">
      <c r="P392" s="246" t="s">
        <v>60</v>
      </c>
      <c r="R392" s="246"/>
      <c r="S392" s="355">
        <f>S389</f>
        <v>14.158716864768749</v>
      </c>
      <c r="T392" s="355">
        <f>T389</f>
        <v>38.973489540193512</v>
      </c>
      <c r="U392" s="355">
        <f>U389</f>
        <v>88.576348578178795</v>
      </c>
      <c r="V392" s="355">
        <f>V389</f>
        <v>135.56710470351294</v>
      </c>
      <c r="W392" s="6"/>
    </row>
    <row r="393" spans="16:23" x14ac:dyDescent="0.25">
      <c r="P393" s="246" t="s">
        <v>62</v>
      </c>
      <c r="Q393" s="244">
        <v>15</v>
      </c>
      <c r="R393" s="246"/>
      <c r="S393" s="355">
        <f>1/(SQRT(1+(SIGMA_ZETA/N_2)*(S392/d^2)^2))</f>
        <v>0.9988289022800465</v>
      </c>
      <c r="T393" s="355">
        <f>1/(SQRT(1+(SIGMA_ZETA/N_2)*(T392/d^2)^2))</f>
        <v>0.99122790322681231</v>
      </c>
      <c r="U393" s="355">
        <f>1/(SQRT(1+(SIGMA_ZETA/N_2)*(U392/d^2)^2))</f>
        <v>0.957024201817536</v>
      </c>
      <c r="V393" s="355">
        <f>1/(SQRT(1+(SIGMA_ZETA/N_2)*(V392/d^2)^2))</f>
        <v>0.90717979875321164</v>
      </c>
      <c r="W393" s="6"/>
    </row>
    <row r="394" spans="16:23" x14ac:dyDescent="0.25">
      <c r="P394" s="246" t="s">
        <v>65</v>
      </c>
      <c r="R394" s="246"/>
      <c r="S394" s="355"/>
      <c r="T394" s="355"/>
      <c r="U394" s="355"/>
      <c r="V394" s="355"/>
      <c r="W394" s="6"/>
    </row>
    <row r="395" spans="16:23" x14ac:dyDescent="0.25">
      <c r="P395" s="246" t="s">
        <v>67</v>
      </c>
      <c r="Q395" s="244">
        <v>21</v>
      </c>
      <c r="R395" s="246"/>
      <c r="S395" s="355">
        <f>F_L/SQRT(1+((F_L^2/N_2)*SIGMA_ZETA_1*(S392/d^2)^2))</f>
        <v>0.91868329719081188</v>
      </c>
      <c r="T395" s="355">
        <f>E$9/SQRT(1+((E$9^2/N_2)*SIGMA_ZETA_1*(T392/d^2)^2))</f>
        <v>0.88108433140201292</v>
      </c>
      <c r="U395" s="355">
        <f>F$9/SQRT(1+((F$9^2/N_2)*SIGMA_ZETA_1*(U392/d^2)^2))</f>
        <v>0.79449455771979816</v>
      </c>
      <c r="V395" s="355">
        <f>G$9/SQRT(1+((G$9^2/N_2)*SIGMA_ZETA_1*(V392/d^2)^2))</f>
        <v>0.71531554432738398</v>
      </c>
      <c r="W395" s="6"/>
    </row>
    <row r="396" spans="16:23" x14ac:dyDescent="0.25">
      <c r="P396" s="246" t="s">
        <v>69</v>
      </c>
      <c r="Q396" s="244">
        <v>1</v>
      </c>
      <c r="R396" s="246"/>
      <c r="S396" s="355">
        <f>(Q/(N_1*S393)*(SQRT(G/DELTA_P)))</f>
        <v>14.158716864768749</v>
      </c>
      <c r="T396" s="355">
        <f>(E$3/(N_1*T393)*(SQRT(E$6/E$5)))</f>
        <v>38.973489540193512</v>
      </c>
      <c r="U396" s="355">
        <f>(F$3/(N_1*U393)*(SQRT(F$6/F$5)))</f>
        <v>88.576348578178795</v>
      </c>
      <c r="V396" s="355">
        <f>(G$3/(N_1*V393)*(SQRT(G$6/G$5)))</f>
        <v>135.56710470351294</v>
      </c>
      <c r="W396" s="6"/>
    </row>
    <row r="397" spans="16:23" x14ac:dyDescent="0.25">
      <c r="P397" s="246" t="s">
        <v>72</v>
      </c>
      <c r="Q397" s="244">
        <v>1</v>
      </c>
      <c r="R397" s="246"/>
      <c r="S397" s="355">
        <f>(Q/(N_1*S393)*SQRT(G/(S398)))</f>
        <v>11.609794304470123</v>
      </c>
      <c r="T397" s="355">
        <f>(E$3/(N_1*T393)*SQRT(E$6/T398))</f>
        <v>32.609113406809328</v>
      </c>
      <c r="U397" s="355">
        <f>(F$3/(N_1*U393)*SQRT(F$6/U398))</f>
        <v>75.099742474848483</v>
      </c>
      <c r="V397" s="355">
        <f>(G$3/(N_1*V393)*SQRT(G$6/V398))</f>
        <v>113.04789585595061</v>
      </c>
      <c r="W397" s="6"/>
    </row>
    <row r="398" spans="16:23" x14ac:dyDescent="0.25">
      <c r="P398" s="246" t="s">
        <v>75</v>
      </c>
      <c r="Q398" s="244">
        <v>3</v>
      </c>
      <c r="R398" s="246"/>
      <c r="S398" s="355">
        <f>(S395/S393)^2*(P_1-(F_F*P_V))</f>
        <v>47.593618181101121</v>
      </c>
      <c r="T398" s="355">
        <f>(T395/T393)^2*(E$4-(T$4*E$7))</f>
        <v>43.424436007818777</v>
      </c>
      <c r="U398" s="355">
        <f>(U395/U393)^2*(F$4-(U$4*F$7))</f>
        <v>34.638413948646722</v>
      </c>
      <c r="V398" s="355">
        <f>(V395/V393)^2*(G$4-(V$4*G$7))</f>
        <v>28.76164165053056</v>
      </c>
      <c r="W398" s="6"/>
    </row>
    <row r="399" spans="16:23" x14ac:dyDescent="0.25">
      <c r="P399" s="246" t="s">
        <v>29</v>
      </c>
      <c r="R399" s="246"/>
      <c r="S399" s="355">
        <f>IF(DELTA_P&lt;S398,S396,S397)</f>
        <v>14.158716864768749</v>
      </c>
      <c r="T399" s="355">
        <f>IF(E$5&lt;T398,T396,T397)</f>
        <v>38.973489540193512</v>
      </c>
      <c r="U399" s="355">
        <f>IF(F$5&lt;U398,U396,U397)</f>
        <v>88.576348578178795</v>
      </c>
      <c r="V399" s="355">
        <f>IF(G$5&lt;V398,V396,V397)</f>
        <v>135.56710470351294</v>
      </c>
      <c r="W399" s="6"/>
    </row>
    <row r="400" spans="16:23" x14ac:dyDescent="0.25">
      <c r="P400" s="246" t="s">
        <v>81</v>
      </c>
      <c r="R400" s="246"/>
      <c r="S400" s="355">
        <f>S392/S399</f>
        <v>1</v>
      </c>
      <c r="T400" s="355">
        <f>T392/T399</f>
        <v>1</v>
      </c>
      <c r="U400" s="355">
        <f>U392/U399</f>
        <v>1</v>
      </c>
      <c r="V400" s="355">
        <f>V392/V399</f>
        <v>1</v>
      </c>
      <c r="W400" s="6"/>
    </row>
    <row r="401" spans="16:23" x14ac:dyDescent="0.25">
      <c r="P401" s="246"/>
      <c r="R401" s="246"/>
      <c r="S401" s="355"/>
      <c r="T401" s="355"/>
      <c r="U401" s="355"/>
      <c r="V401" s="355"/>
      <c r="W401" s="6"/>
    </row>
    <row r="402" spans="16:23" x14ac:dyDescent="0.25">
      <c r="P402" s="246" t="s">
        <v>60</v>
      </c>
      <c r="R402" s="246"/>
      <c r="S402" s="355">
        <f>S399</f>
        <v>14.158716864768749</v>
      </c>
      <c r="T402" s="355">
        <f>T399</f>
        <v>38.973489540193512</v>
      </c>
      <c r="U402" s="355">
        <f>U399</f>
        <v>88.576348578178795</v>
      </c>
      <c r="V402" s="355">
        <f>V399</f>
        <v>135.56710470351294</v>
      </c>
      <c r="W402" s="6"/>
    </row>
    <row r="403" spans="16:23" x14ac:dyDescent="0.25">
      <c r="P403" s="246" t="s">
        <v>62</v>
      </c>
      <c r="Q403" s="244">
        <v>15</v>
      </c>
      <c r="R403" s="246"/>
      <c r="S403" s="355">
        <f>1/(SQRT(1+(SIGMA_ZETA/N_2)*(S402/d^2)^2))</f>
        <v>0.9988289022800465</v>
      </c>
      <c r="T403" s="355">
        <f>1/(SQRT(1+(SIGMA_ZETA/N_2)*(T402/d^2)^2))</f>
        <v>0.99122790322681231</v>
      </c>
      <c r="U403" s="355">
        <f>1/(SQRT(1+(SIGMA_ZETA/N_2)*(U402/d^2)^2))</f>
        <v>0.957024201817536</v>
      </c>
      <c r="V403" s="355">
        <f>1/(SQRT(1+(SIGMA_ZETA/N_2)*(V402/d^2)^2))</f>
        <v>0.90717979875321164</v>
      </c>
      <c r="W403" s="6"/>
    </row>
    <row r="404" spans="16:23" x14ac:dyDescent="0.25">
      <c r="P404" s="246" t="s">
        <v>65</v>
      </c>
      <c r="R404" s="246"/>
      <c r="S404" s="355"/>
      <c r="T404" s="355"/>
      <c r="U404" s="355"/>
      <c r="V404" s="355"/>
      <c r="W404" s="6"/>
    </row>
    <row r="405" spans="16:23" x14ac:dyDescent="0.25">
      <c r="P405" s="246" t="s">
        <v>67</v>
      </c>
      <c r="Q405" s="244">
        <v>21</v>
      </c>
      <c r="R405" s="246"/>
      <c r="S405" s="355">
        <f>F_L/SQRT(1+((F_L^2/N_2)*SIGMA_ZETA_1*(S402/d^2)^2))</f>
        <v>0.91868329719081188</v>
      </c>
      <c r="T405" s="355">
        <f>E$9/SQRT(1+((E$9^2/N_2)*SIGMA_ZETA_1*(T402/d^2)^2))</f>
        <v>0.88108433140201292</v>
      </c>
      <c r="U405" s="355">
        <f>F$9/SQRT(1+((F$9^2/N_2)*SIGMA_ZETA_1*(U402/d^2)^2))</f>
        <v>0.79449455771979816</v>
      </c>
      <c r="V405" s="355">
        <f>G$9/SQRT(1+((G$9^2/N_2)*SIGMA_ZETA_1*(V402/d^2)^2))</f>
        <v>0.71531554432738398</v>
      </c>
      <c r="W405" s="6"/>
    </row>
    <row r="406" spans="16:23" x14ac:dyDescent="0.25">
      <c r="P406" s="246" t="s">
        <v>69</v>
      </c>
      <c r="Q406" s="244">
        <v>1</v>
      </c>
      <c r="R406" s="246"/>
      <c r="S406" s="355">
        <f>(Q/(N_1*S403)*(SQRT(G/DELTA_P)))</f>
        <v>14.158716864768749</v>
      </c>
      <c r="T406" s="355">
        <f>(E$3/(N_1*T403)*(SQRT(E$6/E$5)))</f>
        <v>38.973489540193512</v>
      </c>
      <c r="U406" s="355">
        <f>(F$3/(N_1*U403)*(SQRT(F$6/F$5)))</f>
        <v>88.576348578178795</v>
      </c>
      <c r="V406" s="355">
        <f>(G$3/(N_1*V403)*(SQRT(G$6/G$5)))</f>
        <v>135.56710470351294</v>
      </c>
      <c r="W406" s="6"/>
    </row>
    <row r="407" spans="16:23" x14ac:dyDescent="0.25">
      <c r="P407" s="246" t="s">
        <v>72</v>
      </c>
      <c r="Q407" s="244">
        <v>1</v>
      </c>
      <c r="R407" s="246"/>
      <c r="S407" s="355">
        <f>(Q/(N_1*S403)*SQRT(G/(S408)))</f>
        <v>11.609794304470123</v>
      </c>
      <c r="T407" s="355">
        <f>(E$3/(N_1*T403)*SQRT(E$6/T408))</f>
        <v>32.609113406809328</v>
      </c>
      <c r="U407" s="355">
        <f>(F$3/(N_1*U403)*SQRT(F$6/U408))</f>
        <v>75.099742474848483</v>
      </c>
      <c r="V407" s="355">
        <f>(G$3/(N_1*V403)*SQRT(G$6/V408))</f>
        <v>113.04789585595061</v>
      </c>
      <c r="W407" s="6"/>
    </row>
    <row r="408" spans="16:23" x14ac:dyDescent="0.25">
      <c r="P408" s="246" t="s">
        <v>75</v>
      </c>
      <c r="Q408" s="244">
        <v>3</v>
      </c>
      <c r="R408" s="246"/>
      <c r="S408" s="355">
        <f>(S405/S403)^2*(P_1-(F_F*P_V))</f>
        <v>47.593618181101121</v>
      </c>
      <c r="T408" s="355">
        <f>(T405/T403)^2*(E$4-(T$4*E$7))</f>
        <v>43.424436007818777</v>
      </c>
      <c r="U408" s="355">
        <f>(U405/U403)^2*(F$4-(U$4*F$7))</f>
        <v>34.638413948646722</v>
      </c>
      <c r="V408" s="355">
        <f>(V405/V403)^2*(G$4-(V$4*G$7))</f>
        <v>28.76164165053056</v>
      </c>
      <c r="W408" s="6"/>
    </row>
    <row r="409" spans="16:23" x14ac:dyDescent="0.25">
      <c r="P409" s="246" t="s">
        <v>29</v>
      </c>
      <c r="R409" s="246"/>
      <c r="S409" s="355">
        <f>IF(DELTA_P&lt;S408,S406,S407)</f>
        <v>14.158716864768749</v>
      </c>
      <c r="T409" s="355">
        <f>IF(E$5&lt;T408,T406,T407)</f>
        <v>38.973489540193512</v>
      </c>
      <c r="U409" s="355">
        <f>IF(F$5&lt;U408,U406,U407)</f>
        <v>88.576348578178795</v>
      </c>
      <c r="V409" s="355">
        <f>IF(G$5&lt;V408,V406,V407)</f>
        <v>135.56710470351294</v>
      </c>
      <c r="W409" s="6"/>
    </row>
    <row r="410" spans="16:23" x14ac:dyDescent="0.25">
      <c r="P410" s="246" t="s">
        <v>81</v>
      </c>
      <c r="R410" s="246"/>
      <c r="S410" s="355">
        <f>S402/S409</f>
        <v>1</v>
      </c>
      <c r="T410" s="355">
        <f>T402/T409</f>
        <v>1</v>
      </c>
      <c r="U410" s="355">
        <f>U402/U409</f>
        <v>1</v>
      </c>
      <c r="V410" s="355">
        <f>V402/V409</f>
        <v>1</v>
      </c>
      <c r="W410" s="6"/>
    </row>
    <row r="411" spans="16:23" x14ac:dyDescent="0.25">
      <c r="P411" s="246"/>
      <c r="R411" s="246"/>
      <c r="S411" s="355"/>
      <c r="T411" s="355"/>
      <c r="U411" s="355"/>
      <c r="V411" s="355"/>
      <c r="W411" s="6"/>
    </row>
    <row r="412" spans="16:23" x14ac:dyDescent="0.25">
      <c r="P412" s="246" t="s">
        <v>60</v>
      </c>
      <c r="R412" s="246"/>
      <c r="S412" s="355">
        <f>S409</f>
        <v>14.158716864768749</v>
      </c>
      <c r="T412" s="355">
        <f>T409</f>
        <v>38.973489540193512</v>
      </c>
      <c r="U412" s="355">
        <f>U409</f>
        <v>88.576348578178795</v>
      </c>
      <c r="V412" s="355">
        <f>V409</f>
        <v>135.56710470351294</v>
      </c>
      <c r="W412" s="6"/>
    </row>
    <row r="413" spans="16:23" x14ac:dyDescent="0.25">
      <c r="P413" s="246" t="s">
        <v>62</v>
      </c>
      <c r="Q413" s="244">
        <v>15</v>
      </c>
      <c r="R413" s="246"/>
      <c r="S413" s="355">
        <f>1/(SQRT(1+(SIGMA_ZETA/N_2)*(S412/d^2)^2))</f>
        <v>0.9988289022800465</v>
      </c>
      <c r="T413" s="355">
        <f>1/(SQRT(1+(SIGMA_ZETA/N_2)*(T412/d^2)^2))</f>
        <v>0.99122790322681231</v>
      </c>
      <c r="U413" s="355">
        <f>1/(SQRT(1+(SIGMA_ZETA/N_2)*(U412/d^2)^2))</f>
        <v>0.957024201817536</v>
      </c>
      <c r="V413" s="355">
        <f>1/(SQRT(1+(SIGMA_ZETA/N_2)*(V412/d^2)^2))</f>
        <v>0.90717979875321164</v>
      </c>
      <c r="W413" s="6"/>
    </row>
    <row r="414" spans="16:23" x14ac:dyDescent="0.25">
      <c r="P414" s="246" t="s">
        <v>65</v>
      </c>
      <c r="R414" s="246"/>
      <c r="S414" s="355"/>
      <c r="T414" s="355"/>
      <c r="U414" s="355"/>
      <c r="V414" s="355"/>
      <c r="W414" s="6"/>
    </row>
    <row r="415" spans="16:23" x14ac:dyDescent="0.25">
      <c r="P415" s="246" t="s">
        <v>67</v>
      </c>
      <c r="Q415" s="244">
        <v>21</v>
      </c>
      <c r="R415" s="246"/>
      <c r="S415" s="355">
        <f>F_L/SQRT(1+((F_L^2/N_2)*SIGMA_ZETA_1*(S412/d^2)^2))</f>
        <v>0.91868329719081188</v>
      </c>
      <c r="T415" s="355">
        <f>E$9/SQRT(1+((E$9^2/N_2)*SIGMA_ZETA_1*(T412/d^2)^2))</f>
        <v>0.88108433140201292</v>
      </c>
      <c r="U415" s="355">
        <f>F$9/SQRT(1+((F$9^2/N_2)*SIGMA_ZETA_1*(U412/d^2)^2))</f>
        <v>0.79449455771979816</v>
      </c>
      <c r="V415" s="355">
        <f>G$9/SQRT(1+((G$9^2/N_2)*SIGMA_ZETA_1*(V412/d^2)^2))</f>
        <v>0.71531554432738398</v>
      </c>
      <c r="W415" s="6"/>
    </row>
    <row r="416" spans="16:23" x14ac:dyDescent="0.25">
      <c r="P416" s="246" t="s">
        <v>69</v>
      </c>
      <c r="Q416" s="244">
        <v>1</v>
      </c>
      <c r="R416" s="246"/>
      <c r="S416" s="355">
        <f>(Q/(N_1*S413)*(SQRT(G/DELTA_P)))</f>
        <v>14.158716864768749</v>
      </c>
      <c r="T416" s="355">
        <f>(E$3/(N_1*T413)*(SQRT(E$6/E$5)))</f>
        <v>38.973489540193512</v>
      </c>
      <c r="U416" s="355">
        <f>(F$3/(N_1*U413)*(SQRT(F$6/F$5)))</f>
        <v>88.576348578178795</v>
      </c>
      <c r="V416" s="355">
        <f>(G$3/(N_1*V413)*(SQRT(G$6/G$5)))</f>
        <v>135.56710470351294</v>
      </c>
      <c r="W416" s="6"/>
    </row>
    <row r="417" spans="16:23" x14ac:dyDescent="0.25">
      <c r="P417" s="246" t="s">
        <v>72</v>
      </c>
      <c r="Q417" s="244">
        <v>1</v>
      </c>
      <c r="R417" s="246"/>
      <c r="S417" s="355">
        <f>(Q/(N_1*S413)*SQRT(G/(S418)))</f>
        <v>11.609794304470123</v>
      </c>
      <c r="T417" s="355">
        <f>(E$3/(N_1*T413)*SQRT(E$6/T418))</f>
        <v>32.609113406809328</v>
      </c>
      <c r="U417" s="355">
        <f>(F$3/(N_1*U413)*SQRT(F$6/U418))</f>
        <v>75.099742474848483</v>
      </c>
      <c r="V417" s="355">
        <f>(G$3/(N_1*V413)*SQRT(G$6/V418))</f>
        <v>113.04789585595061</v>
      </c>
      <c r="W417" s="6"/>
    </row>
    <row r="418" spans="16:23" x14ac:dyDescent="0.25">
      <c r="P418" s="246" t="s">
        <v>75</v>
      </c>
      <c r="Q418" s="244">
        <v>3</v>
      </c>
      <c r="R418" s="246"/>
      <c r="S418" s="355">
        <f>(S415/S413)^2*(P_1-(F_F*P_V))</f>
        <v>47.593618181101121</v>
      </c>
      <c r="T418" s="355">
        <f>(T415/T413)^2*(E$4-(T$4*E$7))</f>
        <v>43.424436007818777</v>
      </c>
      <c r="U418" s="355">
        <f>(U415/U413)^2*(F$4-(U$4*F$7))</f>
        <v>34.638413948646722</v>
      </c>
      <c r="V418" s="355">
        <f>(V415/V413)^2*(G$4-(V$4*G$7))</f>
        <v>28.76164165053056</v>
      </c>
      <c r="W418" s="6"/>
    </row>
    <row r="419" spans="16:23" x14ac:dyDescent="0.25">
      <c r="P419" s="246" t="s">
        <v>29</v>
      </c>
      <c r="R419" s="246"/>
      <c r="S419" s="355">
        <f>IF(DELTA_P&lt;S418,S416,S417)</f>
        <v>14.158716864768749</v>
      </c>
      <c r="T419" s="355">
        <f>IF(E$5&lt;T418,T416,T417)</f>
        <v>38.973489540193512</v>
      </c>
      <c r="U419" s="355">
        <f>IF(F$5&lt;U418,U416,U417)</f>
        <v>88.576348578178795</v>
      </c>
      <c r="V419" s="355">
        <f>IF(G$5&lt;V418,V416,V417)</f>
        <v>135.56710470351294</v>
      </c>
      <c r="W419" s="6"/>
    </row>
    <row r="420" spans="16:23" x14ac:dyDescent="0.25">
      <c r="P420" s="246" t="s">
        <v>81</v>
      </c>
      <c r="R420" s="246"/>
      <c r="S420" s="355">
        <f>S412/S419</f>
        <v>1</v>
      </c>
      <c r="T420" s="355">
        <f>T412/T419</f>
        <v>1</v>
      </c>
      <c r="U420" s="355">
        <f>U412/U419</f>
        <v>1</v>
      </c>
      <c r="V420" s="355">
        <f>V412/V419</f>
        <v>1</v>
      </c>
      <c r="W420" s="6"/>
    </row>
    <row r="421" spans="16:23" x14ac:dyDescent="0.25">
      <c r="P421" s="246"/>
      <c r="R421" s="246"/>
      <c r="S421" s="355"/>
      <c r="T421" s="355"/>
      <c r="U421" s="355"/>
      <c r="V421" s="355"/>
      <c r="W421" s="6"/>
    </row>
    <row r="422" spans="16:23" x14ac:dyDescent="0.25">
      <c r="P422" s="246" t="s">
        <v>60</v>
      </c>
      <c r="R422" s="246"/>
      <c r="S422" s="355">
        <f>S419</f>
        <v>14.158716864768749</v>
      </c>
      <c r="T422" s="355">
        <f>T419</f>
        <v>38.973489540193512</v>
      </c>
      <c r="U422" s="355">
        <f>U419</f>
        <v>88.576348578178795</v>
      </c>
      <c r="V422" s="355">
        <f>V419</f>
        <v>135.56710470351294</v>
      </c>
      <c r="W422" s="6"/>
    </row>
    <row r="423" spans="16:23" x14ac:dyDescent="0.25">
      <c r="P423" s="246" t="s">
        <v>62</v>
      </c>
      <c r="Q423" s="244">
        <v>15</v>
      </c>
      <c r="R423" s="246"/>
      <c r="S423" s="355">
        <f>1/(SQRT(1+(SIGMA_ZETA/N_2)*(S422/d^2)^2))</f>
        <v>0.9988289022800465</v>
      </c>
      <c r="T423" s="355">
        <f>1/(SQRT(1+(SIGMA_ZETA/N_2)*(T422/d^2)^2))</f>
        <v>0.99122790322681231</v>
      </c>
      <c r="U423" s="355">
        <f>1/(SQRT(1+(SIGMA_ZETA/N_2)*(U422/d^2)^2))</f>
        <v>0.957024201817536</v>
      </c>
      <c r="V423" s="355">
        <f>1/(SQRT(1+(SIGMA_ZETA/N_2)*(V422/d^2)^2))</f>
        <v>0.90717979875321164</v>
      </c>
      <c r="W423" s="6"/>
    </row>
    <row r="424" spans="16:23" x14ac:dyDescent="0.25">
      <c r="P424" s="246" t="s">
        <v>65</v>
      </c>
      <c r="R424" s="246"/>
      <c r="S424" s="355"/>
      <c r="T424" s="355"/>
      <c r="U424" s="355"/>
      <c r="V424" s="355"/>
      <c r="W424" s="6"/>
    </row>
    <row r="425" spans="16:23" x14ac:dyDescent="0.25">
      <c r="P425" s="246" t="s">
        <v>67</v>
      </c>
      <c r="Q425" s="244">
        <v>21</v>
      </c>
      <c r="R425" s="246"/>
      <c r="S425" s="355">
        <f>F_L/SQRT(1+((F_L^2/N_2)*SIGMA_ZETA_1*(S422/d^2)^2))</f>
        <v>0.91868329719081188</v>
      </c>
      <c r="T425" s="355">
        <f>E$9/SQRT(1+((E$9^2/N_2)*SIGMA_ZETA_1*(T422/d^2)^2))</f>
        <v>0.88108433140201292</v>
      </c>
      <c r="U425" s="355">
        <f>F$9/SQRT(1+((F$9^2/N_2)*SIGMA_ZETA_1*(U422/d^2)^2))</f>
        <v>0.79449455771979816</v>
      </c>
      <c r="V425" s="355">
        <f>G$9/SQRT(1+((G$9^2/N_2)*SIGMA_ZETA_1*(V422/d^2)^2))</f>
        <v>0.71531554432738398</v>
      </c>
      <c r="W425" s="6"/>
    </row>
    <row r="426" spans="16:23" x14ac:dyDescent="0.25">
      <c r="P426" s="246" t="s">
        <v>69</v>
      </c>
      <c r="Q426" s="244">
        <v>1</v>
      </c>
      <c r="R426" s="246"/>
      <c r="S426" s="355">
        <f>(Q/(N_1*S423)*(SQRT(G/DELTA_P)))</f>
        <v>14.158716864768749</v>
      </c>
      <c r="T426" s="355">
        <f>(E$3/(N_1*T423)*(SQRT(E$6/E$5)))</f>
        <v>38.973489540193512</v>
      </c>
      <c r="U426" s="355">
        <f>(F$3/(N_1*U423)*(SQRT(F$6/F$5)))</f>
        <v>88.576348578178795</v>
      </c>
      <c r="V426" s="355">
        <f>(G$3/(N_1*V423)*(SQRT(G$6/G$5)))</f>
        <v>135.56710470351294</v>
      </c>
      <c r="W426" s="6"/>
    </row>
    <row r="427" spans="16:23" x14ac:dyDescent="0.25">
      <c r="P427" s="246" t="s">
        <v>72</v>
      </c>
      <c r="Q427" s="244">
        <v>1</v>
      </c>
      <c r="R427" s="246"/>
      <c r="S427" s="355">
        <f>(Q/(N_1*S423)*SQRT(G/(S428)))</f>
        <v>11.609794304470123</v>
      </c>
      <c r="T427" s="355">
        <f>(E$3/(N_1*T423)*SQRT(E$6/T428))</f>
        <v>32.609113406809328</v>
      </c>
      <c r="U427" s="355">
        <f>(F$3/(N_1*U423)*SQRT(F$6/U428))</f>
        <v>75.099742474848483</v>
      </c>
      <c r="V427" s="355">
        <f>(G$3/(N_1*V423)*SQRT(G$6/V428))</f>
        <v>113.04789585595061</v>
      </c>
      <c r="W427" s="6"/>
    </row>
    <row r="428" spans="16:23" x14ac:dyDescent="0.25">
      <c r="P428" s="246" t="s">
        <v>75</v>
      </c>
      <c r="Q428" s="244">
        <v>3</v>
      </c>
      <c r="R428" s="246"/>
      <c r="S428" s="355">
        <f>(S425/S423)^2*(P_1-(F_F*P_V))</f>
        <v>47.593618181101121</v>
      </c>
      <c r="T428" s="355">
        <f>(T425/T423)^2*(E$4-(T$4*E$7))</f>
        <v>43.424436007818777</v>
      </c>
      <c r="U428" s="355">
        <f>(U425/U423)^2*(F$4-(U$4*F$7))</f>
        <v>34.638413948646722</v>
      </c>
      <c r="V428" s="355">
        <f>(V425/V423)^2*(G$4-(V$4*G$7))</f>
        <v>28.76164165053056</v>
      </c>
      <c r="W428" s="6"/>
    </row>
    <row r="429" spans="16:23" x14ac:dyDescent="0.25">
      <c r="P429" s="246" t="s">
        <v>29</v>
      </c>
      <c r="R429" s="246"/>
      <c r="S429" s="355">
        <f>IF(DELTA_P&lt;S428,S426,S427)</f>
        <v>14.158716864768749</v>
      </c>
      <c r="T429" s="355">
        <f>IF(E$5&lt;T428,T426,T427)</f>
        <v>38.973489540193512</v>
      </c>
      <c r="U429" s="355">
        <f>IF(F$5&lt;U428,U426,U427)</f>
        <v>88.576348578178795</v>
      </c>
      <c r="V429" s="355">
        <f>IF(G$5&lt;V428,V426,V427)</f>
        <v>135.56710470351294</v>
      </c>
      <c r="W429" s="6"/>
    </row>
    <row r="430" spans="16:23" x14ac:dyDescent="0.25">
      <c r="P430" s="246" t="s">
        <v>82</v>
      </c>
      <c r="R430" s="246"/>
      <c r="S430" s="355">
        <f>S422/S429</f>
        <v>1</v>
      </c>
      <c r="T430" s="355">
        <f>T422/T429</f>
        <v>1</v>
      </c>
      <c r="U430" s="355">
        <f>U422/U429</f>
        <v>1</v>
      </c>
      <c r="V430" s="355">
        <f>V422/V429</f>
        <v>1</v>
      </c>
      <c r="W430" s="6"/>
    </row>
    <row r="431" spans="16:23" x14ac:dyDescent="0.25">
      <c r="P431" s="246"/>
      <c r="R431" s="246"/>
      <c r="S431" s="355"/>
      <c r="T431" s="355"/>
      <c r="U431" s="355"/>
      <c r="V431" s="355"/>
      <c r="W431" s="6"/>
    </row>
    <row r="432" spans="16:23" x14ac:dyDescent="0.25">
      <c r="P432" s="246" t="s">
        <v>60</v>
      </c>
      <c r="R432" s="246"/>
      <c r="S432" s="355">
        <f>S429</f>
        <v>14.158716864768749</v>
      </c>
      <c r="T432" s="355">
        <f>T429</f>
        <v>38.973489540193512</v>
      </c>
      <c r="U432" s="355">
        <f>U429</f>
        <v>88.576348578178795</v>
      </c>
      <c r="V432" s="355">
        <f>V429</f>
        <v>135.56710470351294</v>
      </c>
      <c r="W432" s="6"/>
    </row>
    <row r="433" spans="16:23" x14ac:dyDescent="0.25">
      <c r="P433" s="246" t="s">
        <v>62</v>
      </c>
      <c r="Q433" s="244">
        <v>15</v>
      </c>
      <c r="R433" s="246"/>
      <c r="S433" s="355">
        <f>1/(SQRT(1+(SIGMA_ZETA/N_2)*(S432/d^2)^2))</f>
        <v>0.9988289022800465</v>
      </c>
      <c r="T433" s="355">
        <f>1/(SQRT(1+(SIGMA_ZETA/N_2)*(T432/d^2)^2))</f>
        <v>0.99122790322681231</v>
      </c>
      <c r="U433" s="355">
        <f>1/(SQRT(1+(SIGMA_ZETA/N_2)*(U432/d^2)^2))</f>
        <v>0.957024201817536</v>
      </c>
      <c r="V433" s="355">
        <f>1/(SQRT(1+(SIGMA_ZETA/N_2)*(V432/d^2)^2))</f>
        <v>0.90717979875321164</v>
      </c>
      <c r="W433" s="6"/>
    </row>
    <row r="434" spans="16:23" x14ac:dyDescent="0.25">
      <c r="P434" s="246" t="s">
        <v>65</v>
      </c>
      <c r="R434" s="246"/>
      <c r="S434" s="355"/>
      <c r="T434" s="355"/>
      <c r="U434" s="355"/>
      <c r="V434" s="355"/>
      <c r="W434" s="6"/>
    </row>
    <row r="435" spans="16:23" x14ac:dyDescent="0.25">
      <c r="P435" s="246" t="s">
        <v>67</v>
      </c>
      <c r="Q435" s="244">
        <v>21</v>
      </c>
      <c r="R435" s="246"/>
      <c r="S435" s="355">
        <f>F_L/SQRT(1+((F_L^2/N_2)*SIGMA_ZETA_1*(S432/d^2)^2))</f>
        <v>0.91868329719081188</v>
      </c>
      <c r="T435" s="355">
        <f>E$9/SQRT(1+((E$9^2/N_2)*SIGMA_ZETA_1*(T432/d^2)^2))</f>
        <v>0.88108433140201292</v>
      </c>
      <c r="U435" s="355">
        <f>F$9/SQRT(1+((F$9^2/N_2)*SIGMA_ZETA_1*(U432/d^2)^2))</f>
        <v>0.79449455771979816</v>
      </c>
      <c r="V435" s="355">
        <f>G$9/SQRT(1+((G$9^2/N_2)*SIGMA_ZETA_1*(V432/d^2)^2))</f>
        <v>0.71531554432738398</v>
      </c>
      <c r="W435" s="6"/>
    </row>
    <row r="436" spans="16:23" x14ac:dyDescent="0.25">
      <c r="P436" s="246" t="s">
        <v>69</v>
      </c>
      <c r="Q436" s="244">
        <v>1</v>
      </c>
      <c r="R436" s="246"/>
      <c r="S436" s="355">
        <f>(Q/(N_1*S433)*(SQRT(G/DELTA_P)))</f>
        <v>14.158716864768749</v>
      </c>
      <c r="T436" s="355">
        <f>(E$3/(N_1*T433)*(SQRT(E$6/E$5)))</f>
        <v>38.973489540193512</v>
      </c>
      <c r="U436" s="355">
        <f>(F$3/(N_1*U433)*(SQRT(F$6/F$5)))</f>
        <v>88.576348578178795</v>
      </c>
      <c r="V436" s="355">
        <f>(G$3/(N_1*V433)*(SQRT(G$6/G$5)))</f>
        <v>135.56710470351294</v>
      </c>
      <c r="W436" s="6"/>
    </row>
    <row r="437" spans="16:23" x14ac:dyDescent="0.25">
      <c r="P437" s="246" t="s">
        <v>72</v>
      </c>
      <c r="Q437" s="244">
        <v>1</v>
      </c>
      <c r="R437" s="246"/>
      <c r="S437" s="355">
        <f>(Q/(N_1*S433)*SQRT(G/(S438)))</f>
        <v>11.609794304470123</v>
      </c>
      <c r="T437" s="355">
        <f>(E$3/(N_1*T433)*SQRT(E$6/T438))</f>
        <v>32.609113406809328</v>
      </c>
      <c r="U437" s="355">
        <f>(F$3/(N_1*U433)*SQRT(F$6/U438))</f>
        <v>75.099742474848483</v>
      </c>
      <c r="V437" s="355">
        <f>(G$3/(N_1*V433)*SQRT(G$6/V438))</f>
        <v>113.04789585595061</v>
      </c>
      <c r="W437" s="6"/>
    </row>
    <row r="438" spans="16:23" x14ac:dyDescent="0.25">
      <c r="P438" s="246" t="s">
        <v>75</v>
      </c>
      <c r="Q438" s="244">
        <v>3</v>
      </c>
      <c r="R438" s="246"/>
      <c r="S438" s="355">
        <f>(S435/S433)^2*(P_1-(F_F*P_V))</f>
        <v>47.593618181101121</v>
      </c>
      <c r="T438" s="355">
        <f>(T435/T433)^2*(E$4-(T$4*E$7))</f>
        <v>43.424436007818777</v>
      </c>
      <c r="U438" s="355">
        <f>(U435/U433)^2*(F$4-(U$4*F$7))</f>
        <v>34.638413948646722</v>
      </c>
      <c r="V438" s="355">
        <f>(V435/V433)^2*(G$4-(V$4*G$7))</f>
        <v>28.76164165053056</v>
      </c>
      <c r="W438" s="6"/>
    </row>
    <row r="439" spans="16:23" x14ac:dyDescent="0.25">
      <c r="P439" s="246" t="s">
        <v>29</v>
      </c>
      <c r="R439" s="246"/>
      <c r="S439" s="355">
        <f>IF(DELTA_P&lt;S438,S436,S437)</f>
        <v>14.158716864768749</v>
      </c>
      <c r="T439" s="355">
        <f>IF(E$5&lt;T438,T436,T437)</f>
        <v>38.973489540193512</v>
      </c>
      <c r="U439" s="355">
        <f>IF(F$5&lt;U438,U436,U437)</f>
        <v>88.576348578178795</v>
      </c>
      <c r="V439" s="355">
        <f>IF(G$5&lt;V438,V436,V437)</f>
        <v>135.56710470351294</v>
      </c>
      <c r="W439" s="6"/>
    </row>
    <row r="440" spans="16:23" x14ac:dyDescent="0.25">
      <c r="P440" s="246" t="s">
        <v>81</v>
      </c>
      <c r="R440" s="246"/>
      <c r="S440" s="355">
        <f>S432/S439</f>
        <v>1</v>
      </c>
      <c r="T440" s="355">
        <f>T432/T439</f>
        <v>1</v>
      </c>
      <c r="U440" s="355">
        <f>U432/U439</f>
        <v>1</v>
      </c>
      <c r="V440" s="355">
        <f>V432/V439</f>
        <v>1</v>
      </c>
      <c r="W440" s="6"/>
    </row>
    <row r="441" spans="16:23" x14ac:dyDescent="0.25">
      <c r="P441" s="246"/>
      <c r="R441" s="246"/>
      <c r="S441" s="355"/>
      <c r="T441" s="355"/>
      <c r="U441" s="355"/>
      <c r="V441" s="355"/>
      <c r="W441" s="6"/>
    </row>
    <row r="442" spans="16:23" x14ac:dyDescent="0.25">
      <c r="P442" s="246" t="s">
        <v>60</v>
      </c>
      <c r="R442" s="246"/>
      <c r="S442" s="355">
        <f>S439</f>
        <v>14.158716864768749</v>
      </c>
      <c r="T442" s="355">
        <f>T439</f>
        <v>38.973489540193512</v>
      </c>
      <c r="U442" s="355">
        <f>U439</f>
        <v>88.576348578178795</v>
      </c>
      <c r="V442" s="355">
        <f>V439</f>
        <v>135.56710470351294</v>
      </c>
      <c r="W442" s="6"/>
    </row>
    <row r="443" spans="16:23" x14ac:dyDescent="0.25">
      <c r="P443" s="246" t="s">
        <v>62</v>
      </c>
      <c r="Q443" s="244">
        <v>15</v>
      </c>
      <c r="R443" s="246"/>
      <c r="S443" s="355">
        <f>1/(SQRT(1+(SIGMA_ZETA/N_2)*(S442/d^2)^2))</f>
        <v>0.9988289022800465</v>
      </c>
      <c r="T443" s="355">
        <f>1/(SQRT(1+(SIGMA_ZETA/N_2)*(T442/d^2)^2))</f>
        <v>0.99122790322681231</v>
      </c>
      <c r="U443" s="355">
        <f>1/(SQRT(1+(SIGMA_ZETA/N_2)*(U442/d^2)^2))</f>
        <v>0.957024201817536</v>
      </c>
      <c r="V443" s="355">
        <f>1/(SQRT(1+(SIGMA_ZETA/N_2)*(V442/d^2)^2))</f>
        <v>0.90717979875321164</v>
      </c>
      <c r="W443" s="6"/>
    </row>
    <row r="444" spans="16:23" x14ac:dyDescent="0.25">
      <c r="P444" s="246" t="s">
        <v>65</v>
      </c>
      <c r="R444" s="246"/>
      <c r="S444" s="355"/>
      <c r="T444" s="355"/>
      <c r="U444" s="355"/>
      <c r="V444" s="355"/>
      <c r="W444" s="6"/>
    </row>
    <row r="445" spans="16:23" x14ac:dyDescent="0.25">
      <c r="P445" s="246" t="s">
        <v>67</v>
      </c>
      <c r="Q445" s="244">
        <v>21</v>
      </c>
      <c r="R445" s="246"/>
      <c r="S445" s="355">
        <f>F_L/SQRT(1+((F_L^2/N_2)*SIGMA_ZETA_1*(S442/d^2)^2))</f>
        <v>0.91868329719081188</v>
      </c>
      <c r="T445" s="355">
        <f>E$9/SQRT(1+((E$9^2/N_2)*SIGMA_ZETA_1*(T442/d^2)^2))</f>
        <v>0.88108433140201292</v>
      </c>
      <c r="U445" s="355">
        <f>F$9/SQRT(1+((F$9^2/N_2)*SIGMA_ZETA_1*(U442/d^2)^2))</f>
        <v>0.79449455771979816</v>
      </c>
      <c r="V445" s="355">
        <f>G$9/SQRT(1+((G$9^2/N_2)*SIGMA_ZETA_1*(V442/d^2)^2))</f>
        <v>0.71531554432738398</v>
      </c>
      <c r="W445" s="6"/>
    </row>
    <row r="446" spans="16:23" x14ac:dyDescent="0.25">
      <c r="P446" s="246" t="s">
        <v>69</v>
      </c>
      <c r="Q446" s="244">
        <v>1</v>
      </c>
      <c r="R446" s="246"/>
      <c r="S446" s="355">
        <f>(Q/(N_1*S443)*(SQRT(G/DELTA_P)))</f>
        <v>14.158716864768749</v>
      </c>
      <c r="T446" s="355">
        <f>(E$3/(N_1*T443)*(SQRT(E$6/E$5)))</f>
        <v>38.973489540193512</v>
      </c>
      <c r="U446" s="355">
        <f>(F$3/(N_1*U443)*(SQRT(F$6/F$5)))</f>
        <v>88.576348578178795</v>
      </c>
      <c r="V446" s="355">
        <f>(G$3/(N_1*V443)*(SQRT(G$6/G$5)))</f>
        <v>135.56710470351294</v>
      </c>
      <c r="W446" s="6"/>
    </row>
    <row r="447" spans="16:23" x14ac:dyDescent="0.25">
      <c r="P447" s="246" t="s">
        <v>72</v>
      </c>
      <c r="Q447" s="244">
        <v>1</v>
      </c>
      <c r="R447" s="246"/>
      <c r="S447" s="355">
        <f>(Q/(N_1*S443)*SQRT(G/(S448)))</f>
        <v>11.609794304470123</v>
      </c>
      <c r="T447" s="355">
        <f>(E$3/(N_1*T443)*SQRT(E$6/T448))</f>
        <v>32.609113406809328</v>
      </c>
      <c r="U447" s="355">
        <f>(F$3/(N_1*U443)*SQRT(F$6/U448))</f>
        <v>75.099742474848483</v>
      </c>
      <c r="V447" s="355">
        <f>(G$3/(N_1*V443)*SQRT(G$6/V448))</f>
        <v>113.04789585595061</v>
      </c>
      <c r="W447" s="6"/>
    </row>
    <row r="448" spans="16:23" x14ac:dyDescent="0.25">
      <c r="P448" s="246" t="s">
        <v>75</v>
      </c>
      <c r="Q448" s="244">
        <v>3</v>
      </c>
      <c r="R448" s="246"/>
      <c r="S448" s="355">
        <f>(S445/S443)^2*(P_1-(F_F*P_V))</f>
        <v>47.593618181101121</v>
      </c>
      <c r="T448" s="355">
        <f>(T445/T443)^2*(E$4-(T$4*E$7))</f>
        <v>43.424436007818777</v>
      </c>
      <c r="U448" s="355">
        <f>(U445/U443)^2*(F$4-(U$4*F$7))</f>
        <v>34.638413948646722</v>
      </c>
      <c r="V448" s="355">
        <f>(V445/V443)^2*(G$4-(V$4*G$7))</f>
        <v>28.76164165053056</v>
      </c>
      <c r="W448" s="6"/>
    </row>
    <row r="449" spans="16:23" x14ac:dyDescent="0.25">
      <c r="P449" s="246" t="s">
        <v>29</v>
      </c>
      <c r="R449" s="246"/>
      <c r="S449" s="355">
        <f>IF(DELTA_P&lt;S448,S446,S447)</f>
        <v>14.158716864768749</v>
      </c>
      <c r="T449" s="355">
        <f>IF(E$5&lt;T448,T446,T447)</f>
        <v>38.973489540193512</v>
      </c>
      <c r="U449" s="355">
        <f>IF(F$5&lt;U448,U446,U447)</f>
        <v>88.576348578178795</v>
      </c>
      <c r="V449" s="355">
        <f>IF(G$5&lt;V448,V446,V447)</f>
        <v>135.56710470351294</v>
      </c>
      <c r="W449" s="6"/>
    </row>
    <row r="450" spans="16:23" x14ac:dyDescent="0.25">
      <c r="P450" s="246" t="s">
        <v>81</v>
      </c>
      <c r="R450" s="246"/>
      <c r="S450" s="355">
        <f>S442/S449</f>
        <v>1</v>
      </c>
      <c r="T450" s="355">
        <f>T442/T449</f>
        <v>1</v>
      </c>
      <c r="U450" s="355">
        <f>U442/U449</f>
        <v>1</v>
      </c>
      <c r="V450" s="355">
        <f>V442/V449</f>
        <v>1</v>
      </c>
      <c r="W450" s="6"/>
    </row>
    <row r="451" spans="16:23" x14ac:dyDescent="0.25">
      <c r="P451" s="246"/>
      <c r="R451" s="246"/>
      <c r="S451" s="355"/>
      <c r="T451" s="355"/>
      <c r="U451" s="355"/>
      <c r="V451" s="355"/>
      <c r="W451" s="6"/>
    </row>
    <row r="452" spans="16:23" x14ac:dyDescent="0.25">
      <c r="P452" s="246" t="s">
        <v>60</v>
      </c>
      <c r="R452" s="246"/>
      <c r="S452" s="355">
        <f>S449</f>
        <v>14.158716864768749</v>
      </c>
      <c r="T452" s="355">
        <f>T449</f>
        <v>38.973489540193512</v>
      </c>
      <c r="U452" s="355">
        <f>U449</f>
        <v>88.576348578178795</v>
      </c>
      <c r="V452" s="355">
        <f>V449</f>
        <v>135.56710470351294</v>
      </c>
      <c r="W452" s="6"/>
    </row>
    <row r="453" spans="16:23" x14ac:dyDescent="0.25">
      <c r="P453" s="246" t="s">
        <v>62</v>
      </c>
      <c r="Q453" s="244">
        <v>15</v>
      </c>
      <c r="R453" s="246"/>
      <c r="S453" s="355">
        <f>1/(SQRT(1+(SIGMA_ZETA/N_2)*(S452/d^2)^2))</f>
        <v>0.9988289022800465</v>
      </c>
      <c r="T453" s="355">
        <f>1/(SQRT(1+(SIGMA_ZETA/N_2)*(T452/d^2)^2))</f>
        <v>0.99122790322681231</v>
      </c>
      <c r="U453" s="355">
        <f>1/(SQRT(1+(SIGMA_ZETA/N_2)*(U452/d^2)^2))</f>
        <v>0.957024201817536</v>
      </c>
      <c r="V453" s="355">
        <f>1/(SQRT(1+(SIGMA_ZETA/N_2)*(V452/d^2)^2))</f>
        <v>0.90717979875321164</v>
      </c>
      <c r="W453" s="6"/>
    </row>
    <row r="454" spans="16:23" x14ac:dyDescent="0.25">
      <c r="P454" s="246" t="s">
        <v>65</v>
      </c>
      <c r="R454" s="246"/>
      <c r="S454" s="355"/>
      <c r="T454" s="355"/>
      <c r="U454" s="355"/>
      <c r="V454" s="355"/>
      <c r="W454" s="6"/>
    </row>
    <row r="455" spans="16:23" x14ac:dyDescent="0.25">
      <c r="P455" s="246" t="s">
        <v>67</v>
      </c>
      <c r="Q455" s="244">
        <v>21</v>
      </c>
      <c r="R455" s="246"/>
      <c r="S455" s="355">
        <f>F_L/SQRT(1+((F_L^2/N_2)*SIGMA_ZETA_1*(S452/d^2)^2))</f>
        <v>0.91868329719081188</v>
      </c>
      <c r="T455" s="355">
        <f>E$9/SQRT(1+((E$9^2/N_2)*SIGMA_ZETA_1*(T452/d^2)^2))</f>
        <v>0.88108433140201292</v>
      </c>
      <c r="U455" s="355">
        <f>F$9/SQRT(1+((F$9^2/N_2)*SIGMA_ZETA_1*(U452/d^2)^2))</f>
        <v>0.79449455771979816</v>
      </c>
      <c r="V455" s="355">
        <f>G$9/SQRT(1+((G$9^2/N_2)*SIGMA_ZETA_1*(V452/d^2)^2))</f>
        <v>0.71531554432738398</v>
      </c>
      <c r="W455" s="6"/>
    </row>
    <row r="456" spans="16:23" x14ac:dyDescent="0.25">
      <c r="P456" s="246" t="s">
        <v>69</v>
      </c>
      <c r="Q456" s="244">
        <v>1</v>
      </c>
      <c r="R456" s="246"/>
      <c r="S456" s="355">
        <f>(Q/(N_1*S453)*(SQRT(G/DELTA_P)))</f>
        <v>14.158716864768749</v>
      </c>
      <c r="T456" s="355">
        <f>(E$3/(N_1*T453)*(SQRT(E$6/E$5)))</f>
        <v>38.973489540193512</v>
      </c>
      <c r="U456" s="355">
        <f>(F$3/(N_1*U453)*(SQRT(F$6/F$5)))</f>
        <v>88.576348578178795</v>
      </c>
      <c r="V456" s="355">
        <f>(G$3/(N_1*V453)*(SQRT(G$6/G$5)))</f>
        <v>135.56710470351294</v>
      </c>
      <c r="W456" s="6"/>
    </row>
    <row r="457" spans="16:23" x14ac:dyDescent="0.25">
      <c r="P457" s="246" t="s">
        <v>72</v>
      </c>
      <c r="Q457" s="244">
        <v>1</v>
      </c>
      <c r="R457" s="246"/>
      <c r="S457" s="355">
        <f>(Q/(N_1*S453)*SQRT(G/(S458)))</f>
        <v>11.609794304470123</v>
      </c>
      <c r="T457" s="355">
        <f>(E$3/(N_1*T453)*SQRT(E$6/T458))</f>
        <v>32.609113406809328</v>
      </c>
      <c r="U457" s="355">
        <f>(F$3/(N_1*U453)*SQRT(F$6/U458))</f>
        <v>75.099742474848483</v>
      </c>
      <c r="V457" s="355">
        <f>(G$3/(N_1*V453)*SQRT(G$6/V458))</f>
        <v>113.04789585595061</v>
      </c>
      <c r="W457" s="6"/>
    </row>
    <row r="458" spans="16:23" x14ac:dyDescent="0.25">
      <c r="P458" s="246" t="s">
        <v>75</v>
      </c>
      <c r="Q458" s="244">
        <v>3</v>
      </c>
      <c r="R458" s="246"/>
      <c r="S458" s="355">
        <f>(S455/S453)^2*(P_1-(F_F*P_V))</f>
        <v>47.593618181101121</v>
      </c>
      <c r="T458" s="355">
        <f>(T455/T453)^2*(E$4-(T$4*E$7))</f>
        <v>43.424436007818777</v>
      </c>
      <c r="U458" s="355">
        <f>(U455/U453)^2*(F$4-(U$4*F$7))</f>
        <v>34.638413948646722</v>
      </c>
      <c r="V458" s="355">
        <f>(V455/V453)^2*(G$4-(V$4*G$7))</f>
        <v>28.76164165053056</v>
      </c>
      <c r="W458" s="6"/>
    </row>
    <row r="459" spans="16:23" x14ac:dyDescent="0.25">
      <c r="P459" s="246" t="s">
        <v>29</v>
      </c>
      <c r="R459" s="246"/>
      <c r="S459" s="355">
        <f>IF(DELTA_P&lt;S458,S456,S457)</f>
        <v>14.158716864768749</v>
      </c>
      <c r="T459" s="355">
        <f>IF(E$5&lt;T458,T456,T457)</f>
        <v>38.973489540193512</v>
      </c>
      <c r="U459" s="355">
        <f>IF(F$5&lt;U458,U456,U457)</f>
        <v>88.576348578178795</v>
      </c>
      <c r="V459" s="355">
        <f>IF(G$5&lt;V458,V456,V457)</f>
        <v>135.56710470351294</v>
      </c>
      <c r="W459" s="6"/>
    </row>
    <row r="460" spans="16:23" x14ac:dyDescent="0.25">
      <c r="P460" s="246" t="s">
        <v>81</v>
      </c>
      <c r="R460" s="246"/>
      <c r="S460" s="355">
        <f>S452/S459</f>
        <v>1</v>
      </c>
      <c r="T460" s="355">
        <f>T452/T459</f>
        <v>1</v>
      </c>
      <c r="U460" s="355">
        <f>U452/U459</f>
        <v>1</v>
      </c>
      <c r="V460" s="355">
        <f>V452/V459</f>
        <v>1</v>
      </c>
      <c r="W460" s="6"/>
    </row>
    <row r="461" spans="16:23" x14ac:dyDescent="0.25">
      <c r="P461" s="246"/>
      <c r="R461" s="246"/>
      <c r="S461" s="355"/>
      <c r="T461" s="355"/>
      <c r="U461" s="355"/>
      <c r="V461" s="355"/>
      <c r="W461" s="6"/>
    </row>
    <row r="462" spans="16:23" x14ac:dyDescent="0.25">
      <c r="P462" s="246" t="s">
        <v>60</v>
      </c>
      <c r="R462" s="246"/>
      <c r="S462" s="355">
        <f>S459</f>
        <v>14.158716864768749</v>
      </c>
      <c r="T462" s="355">
        <f>T459</f>
        <v>38.973489540193512</v>
      </c>
      <c r="U462" s="355">
        <f>U459</f>
        <v>88.576348578178795</v>
      </c>
      <c r="V462" s="355">
        <f>V459</f>
        <v>135.56710470351294</v>
      </c>
      <c r="W462" s="6"/>
    </row>
    <row r="463" spans="16:23" x14ac:dyDescent="0.25">
      <c r="P463" s="246" t="s">
        <v>62</v>
      </c>
      <c r="Q463" s="244">
        <v>15</v>
      </c>
      <c r="R463" s="246"/>
      <c r="S463" s="355">
        <f>1/(SQRT(1+(SIGMA_ZETA/N_2)*(S462/d^2)^2))</f>
        <v>0.9988289022800465</v>
      </c>
      <c r="T463" s="355">
        <f>1/(SQRT(1+(SIGMA_ZETA/N_2)*(T462/d^2)^2))</f>
        <v>0.99122790322681231</v>
      </c>
      <c r="U463" s="355">
        <f>1/(SQRT(1+(SIGMA_ZETA/N_2)*(U462/d^2)^2))</f>
        <v>0.957024201817536</v>
      </c>
      <c r="V463" s="355">
        <f>1/(SQRT(1+(SIGMA_ZETA/N_2)*(V462/d^2)^2))</f>
        <v>0.90717979875321164</v>
      </c>
      <c r="W463" s="6"/>
    </row>
    <row r="464" spans="16:23" x14ac:dyDescent="0.25">
      <c r="P464" s="246" t="s">
        <v>65</v>
      </c>
      <c r="R464" s="246"/>
      <c r="S464" s="355"/>
      <c r="T464" s="355"/>
      <c r="U464" s="355"/>
      <c r="V464" s="355"/>
      <c r="W464" s="6"/>
    </row>
    <row r="465" spans="16:23" x14ac:dyDescent="0.25">
      <c r="P465" s="246" t="s">
        <v>67</v>
      </c>
      <c r="Q465" s="244">
        <v>21</v>
      </c>
      <c r="R465" s="246"/>
      <c r="S465" s="355">
        <f>F_L/SQRT(1+((F_L^2/N_2)*SIGMA_ZETA_1*(S462/d^2)^2))</f>
        <v>0.91868329719081188</v>
      </c>
      <c r="T465" s="355">
        <f>E$9/SQRT(1+((E$9^2/N_2)*SIGMA_ZETA_1*(T462/d^2)^2))</f>
        <v>0.88108433140201292</v>
      </c>
      <c r="U465" s="355">
        <f>F$9/SQRT(1+((F$9^2/N_2)*SIGMA_ZETA_1*(U462/d^2)^2))</f>
        <v>0.79449455771979816</v>
      </c>
      <c r="V465" s="355">
        <f>G$9/SQRT(1+((G$9^2/N_2)*SIGMA_ZETA_1*(V462/d^2)^2))</f>
        <v>0.71531554432738398</v>
      </c>
      <c r="W465" s="6"/>
    </row>
    <row r="466" spans="16:23" x14ac:dyDescent="0.25">
      <c r="P466" s="246" t="s">
        <v>69</v>
      </c>
      <c r="Q466" s="244">
        <v>1</v>
      </c>
      <c r="R466" s="246"/>
      <c r="S466" s="355">
        <f>(Q/(N_1*S463)*(SQRT(G/DELTA_P)))</f>
        <v>14.158716864768749</v>
      </c>
      <c r="T466" s="355">
        <f>(E$3/(N_1*T463)*(SQRT(E$6/E$5)))</f>
        <v>38.973489540193512</v>
      </c>
      <c r="U466" s="355">
        <f>(F$3/(N_1*U463)*(SQRT(F$6/F$5)))</f>
        <v>88.576348578178795</v>
      </c>
      <c r="V466" s="355">
        <f>(G$3/(N_1*V463)*(SQRT(G$6/G$5)))</f>
        <v>135.56710470351294</v>
      </c>
      <c r="W466" s="6"/>
    </row>
    <row r="467" spans="16:23" x14ac:dyDescent="0.25">
      <c r="P467" s="246" t="s">
        <v>72</v>
      </c>
      <c r="Q467" s="244">
        <v>1</v>
      </c>
      <c r="R467" s="246"/>
      <c r="S467" s="355">
        <f>(Q/(N_1*S463)*SQRT(G/(S468)))</f>
        <v>11.609794304470123</v>
      </c>
      <c r="T467" s="355">
        <f>(E$3/(N_1*T463)*SQRT(E$6/T468))</f>
        <v>32.609113406809328</v>
      </c>
      <c r="U467" s="355">
        <f>(F$3/(N_1*U463)*SQRT(F$6/U468))</f>
        <v>75.099742474848483</v>
      </c>
      <c r="V467" s="355">
        <f>(G$3/(N_1*V463)*SQRT(G$6/V468))</f>
        <v>113.04789585595061</v>
      </c>
      <c r="W467" s="6"/>
    </row>
    <row r="468" spans="16:23" x14ac:dyDescent="0.25">
      <c r="P468" s="246" t="s">
        <v>75</v>
      </c>
      <c r="Q468" s="244">
        <v>3</v>
      </c>
      <c r="R468" s="246"/>
      <c r="S468" s="355">
        <f>(S465/S463)^2*(P_1-(F_F*P_V))</f>
        <v>47.593618181101121</v>
      </c>
      <c r="T468" s="355">
        <f>(T465/T463)^2*(E$4-(T$4*E$7))</f>
        <v>43.424436007818777</v>
      </c>
      <c r="U468" s="355">
        <f>(U465/U463)^2*(F$4-(U$4*F$7))</f>
        <v>34.638413948646722</v>
      </c>
      <c r="V468" s="355">
        <f>(V465/V463)^2*(G$4-(V$4*G$7))</f>
        <v>28.76164165053056</v>
      </c>
      <c r="W468" s="6"/>
    </row>
    <row r="469" spans="16:23" x14ac:dyDescent="0.25">
      <c r="P469" s="246" t="s">
        <v>29</v>
      </c>
      <c r="R469" s="246"/>
      <c r="S469" s="355">
        <f>IF(DELTA_P&lt;S468,S466,S467)</f>
        <v>14.158716864768749</v>
      </c>
      <c r="T469" s="355">
        <f>IF(E$5&lt;T468,T466,T467)</f>
        <v>38.973489540193512</v>
      </c>
      <c r="U469" s="355">
        <f>IF(F$5&lt;U468,U466,U467)</f>
        <v>88.576348578178795</v>
      </c>
      <c r="V469" s="355">
        <f>IF(G$5&lt;V468,V466,V467)</f>
        <v>135.56710470351294</v>
      </c>
      <c r="W469" s="6"/>
    </row>
    <row r="470" spans="16:23" x14ac:dyDescent="0.25">
      <c r="P470" s="246" t="s">
        <v>81</v>
      </c>
      <c r="R470" s="246"/>
      <c r="S470" s="355">
        <f>S462/S469</f>
        <v>1</v>
      </c>
      <c r="T470" s="355">
        <f>T462/T469</f>
        <v>1</v>
      </c>
      <c r="U470" s="355">
        <f>U462/U469</f>
        <v>1</v>
      </c>
      <c r="V470" s="355">
        <f>V462/V469</f>
        <v>1</v>
      </c>
      <c r="W470" s="6"/>
    </row>
    <row r="471" spans="16:23" x14ac:dyDescent="0.25">
      <c r="P471" s="246"/>
      <c r="R471" s="246"/>
      <c r="S471" s="355"/>
      <c r="T471" s="355"/>
      <c r="U471" s="355"/>
      <c r="V471" s="355"/>
      <c r="W471" s="6"/>
    </row>
    <row r="472" spans="16:23" x14ac:dyDescent="0.25">
      <c r="P472" s="246" t="s">
        <v>60</v>
      </c>
      <c r="R472" s="246"/>
      <c r="S472" s="355">
        <f>S469</f>
        <v>14.158716864768749</v>
      </c>
      <c r="T472" s="355">
        <f>T469</f>
        <v>38.973489540193512</v>
      </c>
      <c r="U472" s="355">
        <f>U469</f>
        <v>88.576348578178795</v>
      </c>
      <c r="V472" s="355">
        <f>V469</f>
        <v>135.56710470351294</v>
      </c>
      <c r="W472" s="6"/>
    </row>
    <row r="473" spans="16:23" x14ac:dyDescent="0.25">
      <c r="P473" s="246" t="s">
        <v>62</v>
      </c>
      <c r="Q473" s="244">
        <v>15</v>
      </c>
      <c r="R473" s="246"/>
      <c r="S473" s="355">
        <f>1/(SQRT(1+(SIGMA_ZETA/N_2)*(S472/d^2)^2))</f>
        <v>0.9988289022800465</v>
      </c>
      <c r="T473" s="355">
        <f>1/(SQRT(1+(SIGMA_ZETA/N_2)*(T472/d^2)^2))</f>
        <v>0.99122790322681231</v>
      </c>
      <c r="U473" s="355">
        <f>1/(SQRT(1+(SIGMA_ZETA/N_2)*(U472/d^2)^2))</f>
        <v>0.957024201817536</v>
      </c>
      <c r="V473" s="355">
        <f>1/(SQRT(1+(SIGMA_ZETA/N_2)*(V472/d^2)^2))</f>
        <v>0.90717979875321164</v>
      </c>
      <c r="W473" s="6"/>
    </row>
    <row r="474" spans="16:23" x14ac:dyDescent="0.25">
      <c r="P474" s="246" t="s">
        <v>65</v>
      </c>
      <c r="R474" s="246"/>
      <c r="S474" s="355"/>
      <c r="T474" s="355"/>
      <c r="U474" s="355"/>
      <c r="V474" s="355"/>
      <c r="W474" s="6"/>
    </row>
    <row r="475" spans="16:23" x14ac:dyDescent="0.25">
      <c r="P475" s="246" t="s">
        <v>67</v>
      </c>
      <c r="Q475" s="244">
        <v>21</v>
      </c>
      <c r="R475" s="246"/>
      <c r="S475" s="355">
        <f>F_L/SQRT(1+((F_L^2/N_2)*SIGMA_ZETA_1*(S472/d^2)^2))</f>
        <v>0.91868329719081188</v>
      </c>
      <c r="T475" s="355">
        <f>E$9/SQRT(1+((E$9^2/N_2)*SIGMA_ZETA_1*(T472/d^2)^2))</f>
        <v>0.88108433140201292</v>
      </c>
      <c r="U475" s="355">
        <f>F$9/SQRT(1+((F$9^2/N_2)*SIGMA_ZETA_1*(U472/d^2)^2))</f>
        <v>0.79449455771979816</v>
      </c>
      <c r="V475" s="355">
        <f>G$9/SQRT(1+((G$9^2/N_2)*SIGMA_ZETA_1*(V472/d^2)^2))</f>
        <v>0.71531554432738398</v>
      </c>
      <c r="W475" s="6"/>
    </row>
    <row r="476" spans="16:23" x14ac:dyDescent="0.25">
      <c r="P476" s="246" t="s">
        <v>69</v>
      </c>
      <c r="Q476" s="244">
        <v>1</v>
      </c>
      <c r="R476" s="246"/>
      <c r="S476" s="355">
        <f>(Q/(N_1*S473)*(SQRT(G/DELTA_P)))</f>
        <v>14.158716864768749</v>
      </c>
      <c r="T476" s="355">
        <f>(E$3/(N_1*T473)*(SQRT(E$6/E$5)))</f>
        <v>38.973489540193512</v>
      </c>
      <c r="U476" s="355">
        <f>(F$3/(N_1*U473)*(SQRT(F$6/F$5)))</f>
        <v>88.576348578178795</v>
      </c>
      <c r="V476" s="355">
        <f>(G$3/(N_1*V473)*(SQRT(G$6/G$5)))</f>
        <v>135.56710470351294</v>
      </c>
      <c r="W476" s="6"/>
    </row>
    <row r="477" spans="16:23" x14ac:dyDescent="0.25">
      <c r="P477" s="246" t="s">
        <v>72</v>
      </c>
      <c r="Q477" s="244">
        <v>1</v>
      </c>
      <c r="R477" s="246"/>
      <c r="S477" s="355">
        <f>(Q/(N_1*S473)*SQRT(G/(S478)))</f>
        <v>11.609794304470123</v>
      </c>
      <c r="T477" s="355">
        <f>(E$3/(N_1*T473)*SQRT(E$6/T478))</f>
        <v>32.609113406809328</v>
      </c>
      <c r="U477" s="355">
        <f>(F$3/(N_1*U473)*SQRT(F$6/U478))</f>
        <v>75.099742474848483</v>
      </c>
      <c r="V477" s="355">
        <f>(G$3/(N_1*V473)*SQRT(G$6/V478))</f>
        <v>113.04789585595061</v>
      </c>
      <c r="W477" s="6"/>
    </row>
    <row r="478" spans="16:23" x14ac:dyDescent="0.25">
      <c r="P478" s="246" t="s">
        <v>75</v>
      </c>
      <c r="Q478" s="244">
        <v>3</v>
      </c>
      <c r="R478" s="246"/>
      <c r="S478" s="355">
        <f>(S475/S473)^2*(P_1-(F_F*P_V))</f>
        <v>47.593618181101121</v>
      </c>
      <c r="T478" s="355">
        <f>(T475/T473)^2*(E$4-(T$4*E$7))</f>
        <v>43.424436007818777</v>
      </c>
      <c r="U478" s="355">
        <f>(U475/U473)^2*(F$4-(U$4*F$7))</f>
        <v>34.638413948646722</v>
      </c>
      <c r="V478" s="355">
        <f>(V475/V473)^2*(G$4-(V$4*G$7))</f>
        <v>28.76164165053056</v>
      </c>
      <c r="W478" s="6"/>
    </row>
    <row r="479" spans="16:23" x14ac:dyDescent="0.25">
      <c r="P479" s="246" t="s">
        <v>29</v>
      </c>
      <c r="R479" s="246"/>
      <c r="S479" s="355">
        <f>IF(DELTA_P&lt;S478,S476,S477)</f>
        <v>14.158716864768749</v>
      </c>
      <c r="T479" s="355">
        <f>IF(E$5&lt;T478,T476,T477)</f>
        <v>38.973489540193512</v>
      </c>
      <c r="U479" s="355">
        <f>IF(F$5&lt;U478,U476,U477)</f>
        <v>88.576348578178795</v>
      </c>
      <c r="V479" s="355">
        <f>IF(G$5&lt;V478,V476,V477)</f>
        <v>135.56710470351294</v>
      </c>
      <c r="W479" s="6"/>
    </row>
    <row r="480" spans="16:23" x14ac:dyDescent="0.25">
      <c r="P480" s="246" t="s">
        <v>81</v>
      </c>
      <c r="R480" s="246"/>
      <c r="S480" s="355">
        <f>S472/S479</f>
        <v>1</v>
      </c>
      <c r="T480" s="355">
        <f>T472/T479</f>
        <v>1</v>
      </c>
      <c r="U480" s="355">
        <f>U472/U479</f>
        <v>1</v>
      </c>
      <c r="V480" s="355">
        <f>V472/V479</f>
        <v>1</v>
      </c>
      <c r="W480" s="6"/>
    </row>
    <row r="481" spans="16:23" x14ac:dyDescent="0.25">
      <c r="P481" s="246"/>
      <c r="R481" s="246"/>
      <c r="S481" s="355"/>
      <c r="T481" s="355"/>
      <c r="U481" s="355"/>
      <c r="V481" s="355"/>
      <c r="W481" s="6"/>
    </row>
    <row r="482" spans="16:23" x14ac:dyDescent="0.25">
      <c r="P482" s="246" t="s">
        <v>60</v>
      </c>
      <c r="R482" s="246"/>
      <c r="S482" s="355">
        <f>S479</f>
        <v>14.158716864768749</v>
      </c>
      <c r="T482" s="355">
        <f>T479</f>
        <v>38.973489540193512</v>
      </c>
      <c r="U482" s="355">
        <f>U479</f>
        <v>88.576348578178795</v>
      </c>
      <c r="V482" s="355">
        <f>V479</f>
        <v>135.56710470351294</v>
      </c>
      <c r="W482" s="6"/>
    </row>
    <row r="483" spans="16:23" x14ac:dyDescent="0.25">
      <c r="P483" s="246" t="s">
        <v>62</v>
      </c>
      <c r="Q483" s="244">
        <v>15</v>
      </c>
      <c r="R483" s="246"/>
      <c r="S483" s="355">
        <f>1/(SQRT(1+(SIGMA_ZETA/N_2)*(S482/d^2)^2))</f>
        <v>0.9988289022800465</v>
      </c>
      <c r="T483" s="355">
        <f>1/(SQRT(1+(SIGMA_ZETA/N_2)*(T482/d^2)^2))</f>
        <v>0.99122790322681231</v>
      </c>
      <c r="U483" s="355">
        <f>1/(SQRT(1+(SIGMA_ZETA/N_2)*(U482/d^2)^2))</f>
        <v>0.957024201817536</v>
      </c>
      <c r="V483" s="355">
        <f>1/(SQRT(1+(SIGMA_ZETA/N_2)*(V482/d^2)^2))</f>
        <v>0.90717979875321164</v>
      </c>
      <c r="W483" s="6"/>
    </row>
    <row r="484" spans="16:23" x14ac:dyDescent="0.25">
      <c r="P484" s="246" t="s">
        <v>65</v>
      </c>
      <c r="R484" s="246"/>
      <c r="S484" s="355"/>
      <c r="T484" s="355"/>
      <c r="U484" s="355"/>
      <c r="V484" s="355"/>
      <c r="W484" s="6"/>
    </row>
    <row r="485" spans="16:23" x14ac:dyDescent="0.25">
      <c r="P485" s="246" t="s">
        <v>67</v>
      </c>
      <c r="Q485" s="244">
        <v>21</v>
      </c>
      <c r="R485" s="246"/>
      <c r="S485" s="355">
        <f>F_L/SQRT(1+((F_L^2/N_2)*SIGMA_ZETA_1*(S482/d^2)^2))</f>
        <v>0.91868329719081188</v>
      </c>
      <c r="T485" s="355">
        <f>E$9/SQRT(1+((E$9^2/N_2)*SIGMA_ZETA_1*(T482/d^2)^2))</f>
        <v>0.88108433140201292</v>
      </c>
      <c r="U485" s="355">
        <f>F$9/SQRT(1+((F$9^2/N_2)*SIGMA_ZETA_1*(U482/d^2)^2))</f>
        <v>0.79449455771979816</v>
      </c>
      <c r="V485" s="355">
        <f>G$9/SQRT(1+((G$9^2/N_2)*SIGMA_ZETA_1*(V482/d^2)^2))</f>
        <v>0.71531554432738398</v>
      </c>
      <c r="W485" s="6"/>
    </row>
    <row r="486" spans="16:23" x14ac:dyDescent="0.25">
      <c r="P486" s="246" t="s">
        <v>69</v>
      </c>
      <c r="Q486" s="244">
        <v>1</v>
      </c>
      <c r="R486" s="246"/>
      <c r="S486" s="355">
        <f>(Q/(N_1*S483)*(SQRT(G/DELTA_P)))</f>
        <v>14.158716864768749</v>
      </c>
      <c r="T486" s="355">
        <f>(E$3/(N_1*T483)*(SQRT(E$6/E$5)))</f>
        <v>38.973489540193512</v>
      </c>
      <c r="U486" s="355">
        <f>(F$3/(N_1*U483)*(SQRT(F$6/F$5)))</f>
        <v>88.576348578178795</v>
      </c>
      <c r="V486" s="355">
        <f>(G$3/(N_1*V483)*(SQRT(G$6/G$5)))</f>
        <v>135.56710470351294</v>
      </c>
      <c r="W486" s="6"/>
    </row>
    <row r="487" spans="16:23" x14ac:dyDescent="0.25">
      <c r="P487" s="246" t="s">
        <v>72</v>
      </c>
      <c r="Q487" s="244">
        <v>1</v>
      </c>
      <c r="R487" s="246"/>
      <c r="S487" s="355">
        <f>(Q/(N_1*S483)*SQRT(G/(S488)))</f>
        <v>11.609794304470123</v>
      </c>
      <c r="T487" s="355">
        <f>(E$3/(N_1*T483)*SQRT(E$6/T488))</f>
        <v>32.609113406809328</v>
      </c>
      <c r="U487" s="355">
        <f>(F$3/(N_1*U483)*SQRT(F$6/U488))</f>
        <v>75.099742474848483</v>
      </c>
      <c r="V487" s="355">
        <f>(G$3/(N_1*V483)*SQRT(G$6/V488))</f>
        <v>113.04789585595061</v>
      </c>
      <c r="W487" s="6"/>
    </row>
    <row r="488" spans="16:23" x14ac:dyDescent="0.25">
      <c r="P488" s="246" t="s">
        <v>75</v>
      </c>
      <c r="Q488" s="244">
        <v>3</v>
      </c>
      <c r="R488" s="246"/>
      <c r="S488" s="355">
        <f>(S485/S483)^2*(P_1-(F_F*P_V))</f>
        <v>47.593618181101121</v>
      </c>
      <c r="T488" s="355">
        <f>(T485/T483)^2*(E$4-(T$4*E$7))</f>
        <v>43.424436007818777</v>
      </c>
      <c r="U488" s="355">
        <f>(U485/U483)^2*(F$4-(U$4*F$7))</f>
        <v>34.638413948646722</v>
      </c>
      <c r="V488" s="355">
        <f>(V485/V483)^2*(G$4-(V$4*G$7))</f>
        <v>28.76164165053056</v>
      </c>
      <c r="W488" s="6"/>
    </row>
    <row r="489" spans="16:23" x14ac:dyDescent="0.25">
      <c r="P489" s="246" t="s">
        <v>29</v>
      </c>
      <c r="R489" s="246"/>
      <c r="S489" s="355">
        <f>IF(DELTA_P&lt;S488,S486,S487)</f>
        <v>14.158716864768749</v>
      </c>
      <c r="T489" s="355">
        <f>IF(E$5&lt;T488,T486,T487)</f>
        <v>38.973489540193512</v>
      </c>
      <c r="U489" s="355">
        <f>IF(F$5&lt;U488,U486,U487)</f>
        <v>88.576348578178795</v>
      </c>
      <c r="V489" s="355">
        <f>IF(G$5&lt;V488,V486,V487)</f>
        <v>135.56710470351294</v>
      </c>
      <c r="W489" s="6"/>
    </row>
    <row r="490" spans="16:23" x14ac:dyDescent="0.25">
      <c r="P490" s="246" t="s">
        <v>81</v>
      </c>
      <c r="R490" s="246"/>
      <c r="S490" s="355">
        <f>S482/S489</f>
        <v>1</v>
      </c>
      <c r="T490" s="355">
        <f>T482/T489</f>
        <v>1</v>
      </c>
      <c r="U490" s="355">
        <f>U482/U489</f>
        <v>1</v>
      </c>
      <c r="V490" s="355">
        <f>V482/V489</f>
        <v>1</v>
      </c>
      <c r="W490" s="6"/>
    </row>
    <row r="491" spans="16:23" x14ac:dyDescent="0.25">
      <c r="P491" s="246"/>
      <c r="R491" s="246"/>
      <c r="S491" s="355"/>
      <c r="T491" s="355"/>
      <c r="U491" s="355"/>
      <c r="V491" s="355"/>
      <c r="W491" s="6"/>
    </row>
    <row r="492" spans="16:23" x14ac:dyDescent="0.25">
      <c r="P492" s="246" t="s">
        <v>60</v>
      </c>
      <c r="R492" s="246"/>
      <c r="S492" s="355">
        <f>S489</f>
        <v>14.158716864768749</v>
      </c>
      <c r="T492" s="355">
        <f>T489</f>
        <v>38.973489540193512</v>
      </c>
      <c r="U492" s="355">
        <f>U489</f>
        <v>88.576348578178795</v>
      </c>
      <c r="V492" s="355">
        <f>V489</f>
        <v>135.56710470351294</v>
      </c>
      <c r="W492" s="6"/>
    </row>
    <row r="493" spans="16:23" x14ac:dyDescent="0.25">
      <c r="P493" s="246" t="s">
        <v>62</v>
      </c>
      <c r="Q493" s="244">
        <v>15</v>
      </c>
      <c r="R493" s="246"/>
      <c r="S493" s="355">
        <f>1/(SQRT(1+(SIGMA_ZETA/N_2)*(S492/d^2)^2))</f>
        <v>0.9988289022800465</v>
      </c>
      <c r="T493" s="355">
        <f>1/(SQRT(1+(SIGMA_ZETA/N_2)*(T492/d^2)^2))</f>
        <v>0.99122790322681231</v>
      </c>
      <c r="U493" s="355">
        <f>1/(SQRT(1+(SIGMA_ZETA/N_2)*(U492/d^2)^2))</f>
        <v>0.957024201817536</v>
      </c>
      <c r="V493" s="355">
        <f>1/(SQRT(1+(SIGMA_ZETA/N_2)*(V492/d^2)^2))</f>
        <v>0.90717979875321164</v>
      </c>
      <c r="W493" s="6"/>
    </row>
    <row r="494" spans="16:23" x14ac:dyDescent="0.25">
      <c r="P494" s="246" t="s">
        <v>65</v>
      </c>
      <c r="R494" s="246"/>
      <c r="S494" s="355"/>
      <c r="T494" s="355"/>
      <c r="U494" s="355"/>
      <c r="V494" s="355"/>
      <c r="W494" s="6"/>
    </row>
    <row r="495" spans="16:23" x14ac:dyDescent="0.25">
      <c r="P495" s="246" t="s">
        <v>67</v>
      </c>
      <c r="Q495" s="244">
        <v>21</v>
      </c>
      <c r="R495" s="246"/>
      <c r="S495" s="355">
        <f>F_L/SQRT(1+((F_L^2/N_2)*SIGMA_ZETA_1*(S492/d^2)^2))</f>
        <v>0.91868329719081188</v>
      </c>
      <c r="T495" s="355">
        <f>E$9/SQRT(1+((E$9^2/N_2)*SIGMA_ZETA_1*(T492/d^2)^2))</f>
        <v>0.88108433140201292</v>
      </c>
      <c r="U495" s="355">
        <f>F$9/SQRT(1+((F$9^2/N_2)*SIGMA_ZETA_1*(U492/d^2)^2))</f>
        <v>0.79449455771979816</v>
      </c>
      <c r="V495" s="355">
        <f>G$9/SQRT(1+((G$9^2/N_2)*SIGMA_ZETA_1*(V492/d^2)^2))</f>
        <v>0.71531554432738398</v>
      </c>
      <c r="W495" s="6"/>
    </row>
    <row r="496" spans="16:23" x14ac:dyDescent="0.25">
      <c r="P496" s="246" t="s">
        <v>69</v>
      </c>
      <c r="Q496" s="244">
        <v>1</v>
      </c>
      <c r="R496" s="246"/>
      <c r="S496" s="355">
        <f>(Q/(N_1*S493)*(SQRT(G/DELTA_P)))</f>
        <v>14.158716864768749</v>
      </c>
      <c r="T496" s="355">
        <f>(E$3/(N_1*T493)*(SQRT(E$6/E$5)))</f>
        <v>38.973489540193512</v>
      </c>
      <c r="U496" s="355">
        <f>(F$3/(N_1*U493)*(SQRT(F$6/F$5)))</f>
        <v>88.576348578178795</v>
      </c>
      <c r="V496" s="355">
        <f>(G$3/(N_1*V493)*(SQRT(G$6/G$5)))</f>
        <v>135.56710470351294</v>
      </c>
      <c r="W496" s="6"/>
    </row>
    <row r="497" spans="15:23" x14ac:dyDescent="0.25">
      <c r="P497" s="246" t="s">
        <v>72</v>
      </c>
      <c r="Q497" s="244">
        <v>1</v>
      </c>
      <c r="R497" s="246"/>
      <c r="S497" s="355">
        <f>(Q/(N_1*S493)*SQRT(G/(S498)))</f>
        <v>11.609794304470123</v>
      </c>
      <c r="T497" s="355">
        <f>(E$3/(N_1*T493)*SQRT(E$6/T498))</f>
        <v>32.609113406809328</v>
      </c>
      <c r="U497" s="355">
        <f>(F$3/(N_1*U493)*SQRT(F$6/U498))</f>
        <v>75.099742474848483</v>
      </c>
      <c r="V497" s="355">
        <f>(G$3/(N_1*V493)*SQRT(G$6/V498))</f>
        <v>113.04789585595061</v>
      </c>
      <c r="W497" s="6"/>
    </row>
    <row r="498" spans="15:23" x14ac:dyDescent="0.25">
      <c r="P498" s="246" t="s">
        <v>75</v>
      </c>
      <c r="Q498" s="244">
        <v>3</v>
      </c>
      <c r="R498" s="246"/>
      <c r="S498" s="355">
        <f>(S495/S493)^2*(P_1-(F_F*P_V))</f>
        <v>47.593618181101121</v>
      </c>
      <c r="T498" s="355">
        <f>(T495/T493)^2*(E$4-(T$4*E$7))</f>
        <v>43.424436007818777</v>
      </c>
      <c r="U498" s="355">
        <f>(U495/U493)^2*(F$4-(U$4*F$7))</f>
        <v>34.638413948646722</v>
      </c>
      <c r="V498" s="355">
        <f>(V495/V493)^2*(G$4-(V$4*G$7))</f>
        <v>28.76164165053056</v>
      </c>
      <c r="W498" s="6"/>
    </row>
    <row r="499" spans="15:23" x14ac:dyDescent="0.25">
      <c r="P499" s="246" t="s">
        <v>29</v>
      </c>
      <c r="R499" s="246"/>
      <c r="S499" s="355">
        <f>IF(DELTA_P&lt;S498,S496,S497)</f>
        <v>14.158716864768749</v>
      </c>
      <c r="T499" s="355">
        <f>IF(E$5&lt;T498,T496,T497)</f>
        <v>38.973489540193512</v>
      </c>
      <c r="U499" s="355">
        <f>IF(F$5&lt;U498,U496,U497)</f>
        <v>88.576348578178795</v>
      </c>
      <c r="V499" s="355">
        <f>IF(G$5&lt;V498,V496,V497)</f>
        <v>135.56710470351294</v>
      </c>
      <c r="W499" s="6"/>
    </row>
    <row r="500" spans="15:23" ht="15" customHeight="1" x14ac:dyDescent="0.25">
      <c r="P500" s="246" t="s">
        <v>81</v>
      </c>
      <c r="R500" s="246"/>
      <c r="S500" s="355">
        <f>S492/S499</f>
        <v>1</v>
      </c>
      <c r="T500" s="355">
        <f>T492/T499</f>
        <v>1</v>
      </c>
      <c r="U500" s="355">
        <f>U492/U499</f>
        <v>1</v>
      </c>
      <c r="V500" s="355">
        <f>V492/V499</f>
        <v>1</v>
      </c>
      <c r="W500" s="6"/>
    </row>
    <row r="501" spans="15:23" x14ac:dyDescent="0.25">
      <c r="P501" s="246"/>
      <c r="R501" s="246"/>
      <c r="S501" s="355"/>
      <c r="T501" s="355"/>
      <c r="U501" s="355"/>
      <c r="V501" s="355"/>
      <c r="W501" s="6"/>
    </row>
    <row r="502" spans="15:23" x14ac:dyDescent="0.25">
      <c r="P502" s="246" t="s">
        <v>60</v>
      </c>
      <c r="R502" s="246"/>
      <c r="S502" s="355">
        <f>S499</f>
        <v>14.158716864768749</v>
      </c>
      <c r="T502" s="355">
        <f>T499</f>
        <v>38.973489540193512</v>
      </c>
      <c r="U502" s="355">
        <f>U499</f>
        <v>88.576348578178795</v>
      </c>
      <c r="V502" s="355">
        <f>V499</f>
        <v>135.56710470351294</v>
      </c>
      <c r="W502" s="6"/>
    </row>
    <row r="503" spans="15:23" x14ac:dyDescent="0.25">
      <c r="P503" s="246" t="s">
        <v>62</v>
      </c>
      <c r="Q503" s="244">
        <v>15</v>
      </c>
      <c r="R503" s="246"/>
      <c r="S503" s="355">
        <f>1/(SQRT(1+(SIGMA_ZETA/N_2)*(S502/d^2)^2))</f>
        <v>0.9988289022800465</v>
      </c>
      <c r="T503" s="355">
        <f>1/(SQRT(1+(SIGMA_ZETA/N_2)*(T502/d^2)^2))</f>
        <v>0.99122790322681231</v>
      </c>
      <c r="U503" s="355">
        <f>1/(SQRT(1+(SIGMA_ZETA/N_2)*(U502/d^2)^2))</f>
        <v>0.957024201817536</v>
      </c>
      <c r="V503" s="355">
        <f>1/(SQRT(1+(SIGMA_ZETA/N_2)*(V502/d^2)^2))</f>
        <v>0.90717979875321164</v>
      </c>
      <c r="W503" s="6"/>
    </row>
    <row r="504" spans="15:23" x14ac:dyDescent="0.25">
      <c r="P504" s="246" t="s">
        <v>65</v>
      </c>
      <c r="R504" s="246"/>
      <c r="S504" s="355"/>
      <c r="T504" s="355"/>
      <c r="U504" s="355"/>
      <c r="V504" s="355"/>
      <c r="W504" s="6"/>
    </row>
    <row r="505" spans="15:23" x14ac:dyDescent="0.25">
      <c r="P505" s="246" t="s">
        <v>67</v>
      </c>
      <c r="Q505" s="244">
        <v>21</v>
      </c>
      <c r="R505" s="246"/>
      <c r="S505" s="355">
        <f>F_L/SQRT(1+((F_L^2/N_2)*SIGMA_ZETA_1*(S502/d^2)^2))</f>
        <v>0.91868329719081188</v>
      </c>
      <c r="T505" s="355">
        <f>E$9/SQRT(1+((E$9^2/N_2)*SIGMA_ZETA_1*(T502/d^2)^2))</f>
        <v>0.88108433140201292</v>
      </c>
      <c r="U505" s="355">
        <f>F$9/SQRT(1+((F$9^2/N_2)*SIGMA_ZETA_1*(U502/d^2)^2))</f>
        <v>0.79449455771979816</v>
      </c>
      <c r="V505" s="355">
        <f>G$9/SQRT(1+((G$9^2/N_2)*SIGMA_ZETA_1*(V502/d^2)^2))</f>
        <v>0.71531554432738398</v>
      </c>
      <c r="W505" s="6"/>
    </row>
    <row r="506" spans="15:23" x14ac:dyDescent="0.25">
      <c r="P506" s="246" t="s">
        <v>69</v>
      </c>
      <c r="Q506" s="244">
        <v>1</v>
      </c>
      <c r="R506" s="246"/>
      <c r="S506" s="355">
        <f>(Q/(N_1*S503)*(SQRT(G/DELTA_P)))</f>
        <v>14.158716864768749</v>
      </c>
      <c r="T506" s="355">
        <f>(E$3/(N_1*T503)*(SQRT(E$6/E$5)))</f>
        <v>38.973489540193512</v>
      </c>
      <c r="U506" s="355">
        <f>(F$3/(N_1*U503)*(SQRT(F$6/F$5)))</f>
        <v>88.576348578178795</v>
      </c>
      <c r="V506" s="355">
        <f>(G$3/(N_1*V503)*(SQRT(G$6/G$5)))</f>
        <v>135.56710470351294</v>
      </c>
      <c r="W506" s="6"/>
    </row>
    <row r="507" spans="15:23" x14ac:dyDescent="0.25">
      <c r="P507" s="246" t="s">
        <v>72</v>
      </c>
      <c r="Q507" s="244">
        <v>1</v>
      </c>
      <c r="R507" s="246"/>
      <c r="S507" s="355">
        <f>(Q/(N_1*S503)*SQRT(G/(S508)))</f>
        <v>11.609794304470123</v>
      </c>
      <c r="T507" s="355">
        <f>(E$3/(N_1*T503)*SQRT(E$6/T508))</f>
        <v>32.609113406809328</v>
      </c>
      <c r="U507" s="355">
        <f>(F$3/(N_1*U503)*SQRT(F$6/U508))</f>
        <v>75.099742474848483</v>
      </c>
      <c r="V507" s="355">
        <f>(G$3/(N_1*V503)*SQRT(G$6/V508))</f>
        <v>113.04789585595061</v>
      </c>
      <c r="W507" s="6"/>
    </row>
    <row r="508" spans="15:23" x14ac:dyDescent="0.25">
      <c r="P508" s="246" t="s">
        <v>75</v>
      </c>
      <c r="Q508" s="244">
        <v>3</v>
      </c>
      <c r="R508" s="246"/>
      <c r="S508" s="355">
        <f>(S505/S503)^2*(P_1-(F_F*P_V))</f>
        <v>47.593618181101121</v>
      </c>
      <c r="T508" s="355">
        <f>(T505/T503)^2*(E$4-(T$4*E$7))</f>
        <v>43.424436007818777</v>
      </c>
      <c r="U508" s="355">
        <f>(U505/U503)^2*(F$4-(U$4*F$7))</f>
        <v>34.638413948646722</v>
      </c>
      <c r="V508" s="355">
        <f>(V505/V503)^2*(G$4-(V$4*G$7))</f>
        <v>28.76164165053056</v>
      </c>
      <c r="W508" s="6"/>
    </row>
    <row r="509" spans="15:23" x14ac:dyDescent="0.25">
      <c r="P509" s="246" t="s">
        <v>29</v>
      </c>
      <c r="R509" s="246"/>
      <c r="S509" s="355">
        <f>IF(DELTA_P&lt;S508,S506,S507)</f>
        <v>14.158716864768749</v>
      </c>
      <c r="T509" s="355">
        <f>IF(E$5&lt;T508,T506,T507)</f>
        <v>38.973489540193512</v>
      </c>
      <c r="U509" s="355">
        <f>IF(F$5&lt;U508,U506,U507)</f>
        <v>88.576348578178795</v>
      </c>
      <c r="V509" s="355">
        <f>IF(G$5&lt;V508,V506,V507)</f>
        <v>135.56710470351294</v>
      </c>
      <c r="W509" s="6"/>
    </row>
    <row r="510" spans="15:23" x14ac:dyDescent="0.25">
      <c r="P510" s="246" t="s">
        <v>81</v>
      </c>
      <c r="R510" s="246"/>
      <c r="S510" s="355">
        <f>S502/S509</f>
        <v>1</v>
      </c>
      <c r="T510" s="355">
        <f>T502/T509</f>
        <v>1</v>
      </c>
      <c r="U510" s="355">
        <f>U502/U509</f>
        <v>1</v>
      </c>
      <c r="V510" s="355">
        <f>V502/V509</f>
        <v>1</v>
      </c>
      <c r="W510" s="6"/>
    </row>
    <row r="511" spans="15:23" x14ac:dyDescent="0.25">
      <c r="P511" s="246"/>
      <c r="R511" s="246"/>
      <c r="S511" s="355"/>
      <c r="T511" s="355"/>
      <c r="U511" s="355"/>
      <c r="V511" s="355"/>
      <c r="W511" s="6"/>
    </row>
    <row r="512" spans="15:23" x14ac:dyDescent="0.25">
      <c r="O512" s="348"/>
      <c r="P512" s="246" t="s">
        <v>60</v>
      </c>
      <c r="R512" s="246"/>
      <c r="S512" s="355">
        <f>S509</f>
        <v>14.158716864768749</v>
      </c>
      <c r="T512" s="355">
        <f>T509</f>
        <v>38.973489540193512</v>
      </c>
      <c r="U512" s="355">
        <f>U509</f>
        <v>88.576348578178795</v>
      </c>
      <c r="V512" s="355">
        <f>V509</f>
        <v>135.56710470351294</v>
      </c>
      <c r="W512" s="6"/>
    </row>
    <row r="513" spans="16:23" x14ac:dyDescent="0.25">
      <c r="P513" s="246" t="s">
        <v>62</v>
      </c>
      <c r="R513" s="246"/>
      <c r="S513" s="355">
        <f>1/(SQRT(1+(SIGMA_ZETA/N_2)*(S512/d^2)^2))</f>
        <v>0.9988289022800465</v>
      </c>
      <c r="T513" s="355">
        <f>1/(SQRT(1+(SIGMA_ZETA/N_2)*(T512/d^2)^2))</f>
        <v>0.99122790322681231</v>
      </c>
      <c r="U513" s="355">
        <f>1/(SQRT(1+(SIGMA_ZETA/N_2)*(U512/d^2)^2))</f>
        <v>0.957024201817536</v>
      </c>
      <c r="V513" s="355">
        <f>1/(SQRT(1+(SIGMA_ZETA/N_2)*(V512/d^2)^2))</f>
        <v>0.90717979875321164</v>
      </c>
      <c r="W513" s="6"/>
    </row>
    <row r="514" spans="16:23" x14ac:dyDescent="0.25">
      <c r="P514" s="246" t="s">
        <v>65</v>
      </c>
      <c r="Q514" s="244">
        <v>15</v>
      </c>
      <c r="R514" s="246"/>
      <c r="S514" s="355"/>
      <c r="T514" s="355"/>
      <c r="U514" s="355"/>
      <c r="V514" s="355"/>
      <c r="W514" s="6"/>
    </row>
    <row r="515" spans="16:23" x14ac:dyDescent="0.25">
      <c r="P515" s="246" t="s">
        <v>67</v>
      </c>
      <c r="R515" s="246"/>
      <c r="S515" s="355">
        <f>F_L/SQRT(1+((F_L^2/N_2)*SIGMA_ZETA_1*(S512/d^2)^2))</f>
        <v>0.91868329719081188</v>
      </c>
      <c r="T515" s="355">
        <f>E$9/SQRT(1+((E$9^2/N_2)*SIGMA_ZETA_1*(T512/d^2)^2))</f>
        <v>0.88108433140201292</v>
      </c>
      <c r="U515" s="355">
        <f>F$9/SQRT(1+((F$9^2/N_2)*SIGMA_ZETA_1*(U512/d^2)^2))</f>
        <v>0.79449455771979816</v>
      </c>
      <c r="V515" s="355">
        <f>G$9/SQRT(1+((G$9^2/N_2)*SIGMA_ZETA_1*(V512/d^2)^2))</f>
        <v>0.71531554432738398</v>
      </c>
      <c r="W515" s="6"/>
    </row>
    <row r="516" spans="16:23" x14ac:dyDescent="0.25">
      <c r="P516" s="246" t="s">
        <v>69</v>
      </c>
      <c r="Q516" s="244">
        <v>21</v>
      </c>
      <c r="R516" s="246"/>
      <c r="S516" s="355">
        <f>(Q/(N_1*S513)*(SQRT(G/DELTA_P)))</f>
        <v>14.158716864768749</v>
      </c>
      <c r="T516" s="355">
        <f>(E$3/(N_1*T513)*(SQRT(E$6/E$5)))</f>
        <v>38.973489540193512</v>
      </c>
      <c r="U516" s="355">
        <f>(F$3/(N_1*U513)*(SQRT(F$6/F$5)))</f>
        <v>88.576348578178795</v>
      </c>
      <c r="V516" s="355">
        <f>(G$3/(N_1*V513)*(SQRT(G$6/G$5)))</f>
        <v>135.56710470351294</v>
      </c>
      <c r="W516" s="6"/>
    </row>
    <row r="517" spans="16:23" x14ac:dyDescent="0.25">
      <c r="P517" s="246" t="s">
        <v>72</v>
      </c>
      <c r="Q517" s="244">
        <v>1</v>
      </c>
      <c r="R517" s="246"/>
      <c r="S517" s="355">
        <f>(Q/(N_1*S513)*SQRT(G/(S518)))</f>
        <v>11.609794304470123</v>
      </c>
      <c r="T517" s="355">
        <f>(E$3/(N_1*T513)*SQRT(E$6/T518))</f>
        <v>32.609113406809328</v>
      </c>
      <c r="U517" s="355">
        <f>(F$3/(N_1*U513)*SQRT(F$6/U518))</f>
        <v>75.099742474848483</v>
      </c>
      <c r="V517" s="355">
        <f>(G$3/(N_1*V513)*SQRT(G$6/V518))</f>
        <v>113.04789585595061</v>
      </c>
      <c r="W517" s="6"/>
    </row>
    <row r="518" spans="16:23" x14ac:dyDescent="0.25">
      <c r="P518" s="246" t="s">
        <v>75</v>
      </c>
      <c r="Q518" s="244">
        <v>1</v>
      </c>
      <c r="R518" s="246"/>
      <c r="S518" s="355">
        <f>(S515/S513)^2*(P_1-(F_F*P_V))</f>
        <v>47.593618181101121</v>
      </c>
      <c r="T518" s="355">
        <f>(T515/T513)^2*(E$4-(T$4*E$7))</f>
        <v>43.424436007818777</v>
      </c>
      <c r="U518" s="355">
        <f>(U515/U513)^2*(F$4-(U$4*F$7))</f>
        <v>34.638413948646722</v>
      </c>
      <c r="V518" s="355">
        <f>(V515/V513)^2*(G$4-(V$4*G$7))</f>
        <v>28.76164165053056</v>
      </c>
      <c r="W518" s="6"/>
    </row>
    <row r="519" spans="16:23" x14ac:dyDescent="0.25">
      <c r="P519" s="246" t="s">
        <v>29</v>
      </c>
      <c r="Q519" s="244">
        <v>3</v>
      </c>
      <c r="R519" s="246"/>
      <c r="S519" s="355">
        <f>IF(DELTA_P&lt;S518,S516,S517)</f>
        <v>14.158716864768749</v>
      </c>
      <c r="T519" s="355">
        <f>IF(E$5&lt;T518,T516,T517)</f>
        <v>38.973489540193512</v>
      </c>
      <c r="U519" s="355">
        <f>IF(F$5&lt;U518,U516,U517)</f>
        <v>88.576348578178795</v>
      </c>
      <c r="V519" s="355">
        <f>IF(G$5&lt;V518,V516,V517)</f>
        <v>135.56710470351294</v>
      </c>
      <c r="W519" s="6"/>
    </row>
    <row r="520" spans="16:23" x14ac:dyDescent="0.25">
      <c r="P520" s="246" t="s">
        <v>81</v>
      </c>
      <c r="R520" s="246"/>
      <c r="S520" s="355">
        <f>S512/S519</f>
        <v>1</v>
      </c>
      <c r="T520" s="355">
        <f>T512/T519</f>
        <v>1</v>
      </c>
      <c r="U520" s="355">
        <f>U512/U519</f>
        <v>1</v>
      </c>
      <c r="V520" s="355">
        <f>V512/V519</f>
        <v>1</v>
      </c>
      <c r="W520" s="6"/>
    </row>
    <row r="521" spans="16:23" x14ac:dyDescent="0.25">
      <c r="P521" s="246"/>
      <c r="R521" s="246"/>
      <c r="S521" s="355"/>
      <c r="T521" s="355"/>
      <c r="U521" s="355"/>
      <c r="V521" s="355"/>
      <c r="W521" s="6"/>
    </row>
    <row r="522" spans="16:23" x14ac:dyDescent="0.25">
      <c r="P522" s="246" t="s">
        <v>60</v>
      </c>
      <c r="R522" s="246"/>
      <c r="S522" s="355">
        <f>S519</f>
        <v>14.158716864768749</v>
      </c>
      <c r="T522" s="355">
        <f>T519</f>
        <v>38.973489540193512</v>
      </c>
      <c r="U522" s="355">
        <f>U519</f>
        <v>88.576348578178795</v>
      </c>
      <c r="V522" s="355">
        <f>V519</f>
        <v>135.56710470351294</v>
      </c>
      <c r="W522" s="6"/>
    </row>
    <row r="523" spans="16:23" x14ac:dyDescent="0.25">
      <c r="P523" s="246" t="s">
        <v>62</v>
      </c>
      <c r="Q523" s="244">
        <v>15</v>
      </c>
      <c r="R523" s="246"/>
      <c r="S523" s="355">
        <f>1/(SQRT(1+(SIGMA_ZETA/N_2)*(S522/d^2)^2))</f>
        <v>0.9988289022800465</v>
      </c>
      <c r="T523" s="355">
        <f>1/(SQRT(1+(SIGMA_ZETA/N_2)*(T522/d^2)^2))</f>
        <v>0.99122790322681231</v>
      </c>
      <c r="U523" s="355">
        <f>1/(SQRT(1+(SIGMA_ZETA/N_2)*(U522/d^2)^2))</f>
        <v>0.957024201817536</v>
      </c>
      <c r="V523" s="355">
        <f>1/(SQRT(1+(SIGMA_ZETA/N_2)*(V522/d^2)^2))</f>
        <v>0.90717979875321164</v>
      </c>
      <c r="W523" s="6"/>
    </row>
    <row r="524" spans="16:23" x14ac:dyDescent="0.25">
      <c r="P524" s="246" t="s">
        <v>65</v>
      </c>
      <c r="R524" s="246"/>
      <c r="S524" s="355"/>
      <c r="T524" s="355"/>
      <c r="U524" s="355"/>
      <c r="V524" s="355"/>
      <c r="W524" s="6"/>
    </row>
    <row r="525" spans="16:23" x14ac:dyDescent="0.25">
      <c r="P525" s="246" t="s">
        <v>67</v>
      </c>
      <c r="Q525" s="244">
        <v>21</v>
      </c>
      <c r="R525" s="246"/>
      <c r="S525" s="355">
        <f>F_L/SQRT(1+((F_L^2/N_2)*SIGMA_ZETA_1*(S522/d^2)^2))</f>
        <v>0.91868329719081188</v>
      </c>
      <c r="T525" s="355">
        <f>E$9/SQRT(1+((E$9^2/N_2)*SIGMA_ZETA_1*(T522/d^2)^2))</f>
        <v>0.88108433140201292</v>
      </c>
      <c r="U525" s="355">
        <f>F$9/SQRT(1+((F$9^2/N_2)*SIGMA_ZETA_1*(U522/d^2)^2))</f>
        <v>0.79449455771979816</v>
      </c>
      <c r="V525" s="355">
        <f>G$9/SQRT(1+((G$9^2/N_2)*SIGMA_ZETA_1*(V522/d^2)^2))</f>
        <v>0.71531554432738398</v>
      </c>
      <c r="W525" s="6"/>
    </row>
    <row r="526" spans="16:23" x14ac:dyDescent="0.25">
      <c r="P526" s="246" t="s">
        <v>69</v>
      </c>
      <c r="Q526" s="244">
        <v>1</v>
      </c>
      <c r="R526" s="246"/>
      <c r="S526" s="355">
        <f>(Q/(N_1*S523)*(SQRT(G/DELTA_P)))</f>
        <v>14.158716864768749</v>
      </c>
      <c r="T526" s="355">
        <f>(E$3/(N_1*T523)*(SQRT(E$6/E$5)))</f>
        <v>38.973489540193512</v>
      </c>
      <c r="U526" s="355">
        <f>(F$3/(N_1*U523)*(SQRT(F$6/F$5)))</f>
        <v>88.576348578178795</v>
      </c>
      <c r="V526" s="355">
        <f>(G$3/(N_1*V523)*(SQRT(G$6/G$5)))</f>
        <v>135.56710470351294</v>
      </c>
      <c r="W526" s="6"/>
    </row>
    <row r="527" spans="16:23" x14ac:dyDescent="0.25">
      <c r="P527" s="246" t="s">
        <v>72</v>
      </c>
      <c r="Q527" s="244">
        <v>1</v>
      </c>
      <c r="R527" s="246"/>
      <c r="S527" s="355">
        <f>(Q/(N_1*S523)*SQRT(G/(S528)))</f>
        <v>11.609794304470123</v>
      </c>
      <c r="T527" s="355">
        <f>(E$3/(N_1*T523)*SQRT(E$6/T528))</f>
        <v>32.609113406809328</v>
      </c>
      <c r="U527" s="355">
        <f>(F$3/(N_1*U523)*SQRT(F$6/U528))</f>
        <v>75.099742474848483</v>
      </c>
      <c r="V527" s="355">
        <f>(G$3/(N_1*V523)*SQRT(G$6/V528))</f>
        <v>113.04789585595061</v>
      </c>
      <c r="W527" s="6"/>
    </row>
    <row r="528" spans="16:23" x14ac:dyDescent="0.25">
      <c r="P528" s="246" t="s">
        <v>75</v>
      </c>
      <c r="Q528" s="244">
        <v>3</v>
      </c>
      <c r="R528" s="246"/>
      <c r="S528" s="355">
        <f>(S525/S523)^2*(P_1-(F_F*P_V))</f>
        <v>47.593618181101121</v>
      </c>
      <c r="T528" s="355">
        <f>(T525/T523)^2*(E$4-(T$4*E$7))</f>
        <v>43.424436007818777</v>
      </c>
      <c r="U528" s="355">
        <f>(U525/U523)^2*(F$4-(U$4*F$7))</f>
        <v>34.638413948646722</v>
      </c>
      <c r="V528" s="355">
        <f>(V525/V523)^2*(G$4-(V$4*G$7))</f>
        <v>28.76164165053056</v>
      </c>
      <c r="W528" s="6"/>
    </row>
    <row r="529" spans="16:23" x14ac:dyDescent="0.25">
      <c r="P529" s="246" t="s">
        <v>29</v>
      </c>
      <c r="R529" s="246"/>
      <c r="S529" s="355">
        <f>IF(DELTA_P&lt;S528,S526,S527)</f>
        <v>14.158716864768749</v>
      </c>
      <c r="T529" s="355">
        <f>IF(E$5&lt;T528,T526,T527)</f>
        <v>38.973489540193512</v>
      </c>
      <c r="U529" s="355">
        <f>IF(F$5&lt;U528,U526,U527)</f>
        <v>88.576348578178795</v>
      </c>
      <c r="V529" s="355">
        <f>IF(G$5&lt;V528,V526,V527)</f>
        <v>135.56710470351294</v>
      </c>
      <c r="W529" s="6"/>
    </row>
    <row r="530" spans="16:23" x14ac:dyDescent="0.25">
      <c r="P530" s="246" t="s">
        <v>81</v>
      </c>
      <c r="R530" s="246"/>
      <c r="S530" s="355">
        <f>S522/S529</f>
        <v>1</v>
      </c>
      <c r="T530" s="355">
        <f>T522/T529</f>
        <v>1</v>
      </c>
      <c r="U530" s="355">
        <f>U522/U529</f>
        <v>1</v>
      </c>
      <c r="V530" s="355">
        <f>V522/V529</f>
        <v>1</v>
      </c>
      <c r="W530" s="6"/>
    </row>
    <row r="531" spans="16:23" x14ac:dyDescent="0.25">
      <c r="P531" s="246"/>
      <c r="R531" s="246"/>
      <c r="S531" s="355"/>
      <c r="T531" s="355"/>
      <c r="U531" s="355"/>
      <c r="V531" s="355"/>
      <c r="W531" s="6"/>
    </row>
    <row r="532" spans="16:23" x14ac:dyDescent="0.25">
      <c r="P532" s="246" t="s">
        <v>60</v>
      </c>
      <c r="R532" s="246"/>
      <c r="S532" s="355">
        <f>S529</f>
        <v>14.158716864768749</v>
      </c>
      <c r="T532" s="355">
        <f>T529</f>
        <v>38.973489540193512</v>
      </c>
      <c r="U532" s="355">
        <f>U529</f>
        <v>88.576348578178795</v>
      </c>
      <c r="V532" s="355">
        <f>V529</f>
        <v>135.56710470351294</v>
      </c>
      <c r="W532" s="6"/>
    </row>
    <row r="533" spans="16:23" x14ac:dyDescent="0.25">
      <c r="P533" s="246" t="s">
        <v>62</v>
      </c>
      <c r="Q533" s="244">
        <v>15</v>
      </c>
      <c r="R533" s="246"/>
      <c r="S533" s="355">
        <f>1/(SQRT(1+(SIGMA_ZETA/N_2)*(S532/d^2)^2))</f>
        <v>0.9988289022800465</v>
      </c>
      <c r="T533" s="355">
        <f>1/(SQRT(1+(SIGMA_ZETA/N_2)*(T532/d^2)^2))</f>
        <v>0.99122790322681231</v>
      </c>
      <c r="U533" s="355">
        <f>1/(SQRT(1+(SIGMA_ZETA/N_2)*(U532/d^2)^2))</f>
        <v>0.957024201817536</v>
      </c>
      <c r="V533" s="355">
        <f>1/(SQRT(1+(SIGMA_ZETA/N_2)*(V532/d^2)^2))</f>
        <v>0.90717979875321164</v>
      </c>
      <c r="W533" s="6"/>
    </row>
    <row r="534" spans="16:23" x14ac:dyDescent="0.25">
      <c r="P534" s="246" t="s">
        <v>65</v>
      </c>
      <c r="R534" s="246"/>
      <c r="S534" s="355"/>
      <c r="T534" s="355"/>
      <c r="U534" s="355"/>
      <c r="V534" s="355"/>
      <c r="W534" s="6"/>
    </row>
    <row r="535" spans="16:23" x14ac:dyDescent="0.25">
      <c r="P535" s="246" t="s">
        <v>67</v>
      </c>
      <c r="Q535" s="244">
        <v>21</v>
      </c>
      <c r="R535" s="246"/>
      <c r="S535" s="355">
        <f>F_L/SQRT(1+((F_L^2/N_2)*SIGMA_ZETA_1*(S532/d^2)^2))</f>
        <v>0.91868329719081188</v>
      </c>
      <c r="T535" s="355">
        <f>E$9/SQRT(1+((E$9^2/N_2)*SIGMA_ZETA_1*(T532/d^2)^2))</f>
        <v>0.88108433140201292</v>
      </c>
      <c r="U535" s="355">
        <f>F$9/SQRT(1+((F$9^2/N_2)*SIGMA_ZETA_1*(U532/d^2)^2))</f>
        <v>0.79449455771979816</v>
      </c>
      <c r="V535" s="355">
        <f>G$9/SQRT(1+((G$9^2/N_2)*SIGMA_ZETA_1*(V532/d^2)^2))</f>
        <v>0.71531554432738398</v>
      </c>
      <c r="W535" s="6"/>
    </row>
    <row r="536" spans="16:23" x14ac:dyDescent="0.25">
      <c r="P536" s="246" t="s">
        <v>69</v>
      </c>
      <c r="Q536" s="244">
        <v>1</v>
      </c>
      <c r="R536" s="246"/>
      <c r="S536" s="355">
        <f>(Q/(N_1*S533)*(SQRT(G/DELTA_P)))</f>
        <v>14.158716864768749</v>
      </c>
      <c r="T536" s="355">
        <f>(E$3/(N_1*T533)*(SQRT(E$6/E$5)))</f>
        <v>38.973489540193512</v>
      </c>
      <c r="U536" s="355">
        <f>(F$3/(N_1*U533)*(SQRT(F$6/F$5)))</f>
        <v>88.576348578178795</v>
      </c>
      <c r="V536" s="355">
        <f>(G$3/(N_1*V533)*(SQRT(G$6/G$5)))</f>
        <v>135.56710470351294</v>
      </c>
      <c r="W536" s="6"/>
    </row>
    <row r="537" spans="16:23" x14ac:dyDescent="0.25">
      <c r="P537" s="246" t="s">
        <v>72</v>
      </c>
      <c r="Q537" s="244">
        <v>1</v>
      </c>
      <c r="R537" s="246"/>
      <c r="S537" s="355">
        <f>(Q/(N_1*S533)*SQRT(G/(S538)))</f>
        <v>11.609794304470123</v>
      </c>
      <c r="T537" s="355">
        <f>(E$3/(N_1*T533)*SQRT(E$6/T538))</f>
        <v>32.609113406809328</v>
      </c>
      <c r="U537" s="355">
        <f>(F$3/(N_1*U533)*SQRT(F$6/U538))</f>
        <v>75.099742474848483</v>
      </c>
      <c r="V537" s="355">
        <f>(G$3/(N_1*V533)*SQRT(G$6/V538))</f>
        <v>113.04789585595061</v>
      </c>
      <c r="W537" s="6"/>
    </row>
    <row r="538" spans="16:23" x14ac:dyDescent="0.25">
      <c r="P538" s="246" t="s">
        <v>75</v>
      </c>
      <c r="Q538" s="244">
        <v>3</v>
      </c>
      <c r="R538" s="246"/>
      <c r="S538" s="355">
        <f>(S535/S533)^2*(P_1-(F_F*P_V))</f>
        <v>47.593618181101121</v>
      </c>
      <c r="T538" s="355">
        <f>(T535/T533)^2*(E$4-(T$4*E$7))</f>
        <v>43.424436007818777</v>
      </c>
      <c r="U538" s="355">
        <f>(U535/U533)^2*(F$4-(U$4*F$7))</f>
        <v>34.638413948646722</v>
      </c>
      <c r="V538" s="355">
        <f>(V535/V533)^2*(G$4-(V$4*G$7))</f>
        <v>28.76164165053056</v>
      </c>
      <c r="W538" s="6"/>
    </row>
    <row r="539" spans="16:23" x14ac:dyDescent="0.25">
      <c r="P539" s="246" t="s">
        <v>29</v>
      </c>
      <c r="R539" s="246"/>
      <c r="S539" s="355">
        <f>IF(DELTA_P&lt;S538,S536,S537)</f>
        <v>14.158716864768749</v>
      </c>
      <c r="T539" s="355">
        <f>IF(E$5&lt;T538,T536,T537)</f>
        <v>38.973489540193512</v>
      </c>
      <c r="U539" s="355">
        <f>IF(F$5&lt;U538,U536,U537)</f>
        <v>88.576348578178795</v>
      </c>
      <c r="V539" s="355">
        <f>IF(G$5&lt;V538,V536,V537)</f>
        <v>135.56710470351294</v>
      </c>
      <c r="W539" s="6"/>
    </row>
    <row r="540" spans="16:23" x14ac:dyDescent="0.25">
      <c r="P540" s="246" t="s">
        <v>81</v>
      </c>
      <c r="R540" s="246"/>
      <c r="S540" s="355">
        <f>S532/S539</f>
        <v>1</v>
      </c>
      <c r="T540" s="355">
        <f>T532/T539</f>
        <v>1</v>
      </c>
      <c r="U540" s="355">
        <f>U532/U539</f>
        <v>1</v>
      </c>
      <c r="V540" s="355">
        <f>V532/V539</f>
        <v>1</v>
      </c>
      <c r="W540" s="6"/>
    </row>
    <row r="541" spans="16:23" x14ac:dyDescent="0.25">
      <c r="P541" s="246"/>
      <c r="R541" s="246"/>
      <c r="S541" s="355"/>
      <c r="T541" s="355"/>
      <c r="U541" s="355"/>
      <c r="V541" s="355"/>
      <c r="W541" s="6"/>
    </row>
    <row r="542" spans="16:23" x14ac:dyDescent="0.25">
      <c r="P542" s="246" t="s">
        <v>60</v>
      </c>
      <c r="R542" s="246"/>
      <c r="S542" s="355">
        <f>S539</f>
        <v>14.158716864768749</v>
      </c>
      <c r="T542" s="355">
        <f>T539</f>
        <v>38.973489540193512</v>
      </c>
      <c r="U542" s="355">
        <f>U539</f>
        <v>88.576348578178795</v>
      </c>
      <c r="V542" s="355">
        <f>V539</f>
        <v>135.56710470351294</v>
      </c>
      <c r="W542" s="6"/>
    </row>
    <row r="543" spans="16:23" x14ac:dyDescent="0.25">
      <c r="P543" s="246" t="s">
        <v>62</v>
      </c>
      <c r="Q543" s="244">
        <v>15</v>
      </c>
      <c r="R543" s="246"/>
      <c r="S543" s="355">
        <f>1/(SQRT(1+(SIGMA_ZETA/N_2)*(S542/d^2)^2))</f>
        <v>0.9988289022800465</v>
      </c>
      <c r="T543" s="355">
        <f>1/(SQRT(1+(SIGMA_ZETA/N_2)*(T542/d^2)^2))</f>
        <v>0.99122790322681231</v>
      </c>
      <c r="U543" s="355">
        <f>1/(SQRT(1+(SIGMA_ZETA/N_2)*(U542/d^2)^2))</f>
        <v>0.957024201817536</v>
      </c>
      <c r="V543" s="355">
        <f>1/(SQRT(1+(SIGMA_ZETA/N_2)*(V542/d^2)^2))</f>
        <v>0.90717979875321164</v>
      </c>
      <c r="W543" s="6"/>
    </row>
    <row r="544" spans="16:23" x14ac:dyDescent="0.25">
      <c r="P544" s="246" t="s">
        <v>65</v>
      </c>
      <c r="R544" s="246"/>
      <c r="S544" s="355"/>
      <c r="T544" s="355"/>
      <c r="U544" s="355"/>
      <c r="V544" s="355"/>
      <c r="W544" s="6"/>
    </row>
    <row r="545" spans="16:23" x14ac:dyDescent="0.25">
      <c r="P545" s="246" t="s">
        <v>67</v>
      </c>
      <c r="Q545" s="244">
        <v>21</v>
      </c>
      <c r="R545" s="246"/>
      <c r="S545" s="355">
        <f>F_L/SQRT(1+((F_L^2/N_2)*SIGMA_ZETA_1*(S542/d^2)^2))</f>
        <v>0.91868329719081188</v>
      </c>
      <c r="T545" s="355">
        <f>E$9/SQRT(1+((E$9^2/N_2)*SIGMA_ZETA_1*(T542/d^2)^2))</f>
        <v>0.88108433140201292</v>
      </c>
      <c r="U545" s="355">
        <f>F$9/SQRT(1+((F$9^2/N_2)*SIGMA_ZETA_1*(U542/d^2)^2))</f>
        <v>0.79449455771979816</v>
      </c>
      <c r="V545" s="355">
        <f>G$9/SQRT(1+((G$9^2/N_2)*SIGMA_ZETA_1*(V542/d^2)^2))</f>
        <v>0.71531554432738398</v>
      </c>
      <c r="W545" s="6"/>
    </row>
    <row r="546" spans="16:23" x14ac:dyDescent="0.25">
      <c r="P546" s="246" t="s">
        <v>69</v>
      </c>
      <c r="Q546" s="244">
        <v>1</v>
      </c>
      <c r="R546" s="246"/>
      <c r="S546" s="355">
        <f>(Q/(N_1*S543)*(SQRT(G/DELTA_P)))</f>
        <v>14.158716864768749</v>
      </c>
      <c r="T546" s="355">
        <f>(E$3/(N_1*T543)*(SQRT(E$6/E$5)))</f>
        <v>38.973489540193512</v>
      </c>
      <c r="U546" s="355">
        <f>(F$3/(N_1*U543)*(SQRT(F$6/F$5)))</f>
        <v>88.576348578178795</v>
      </c>
      <c r="V546" s="355">
        <f>(G$3/(N_1*V543)*(SQRT(G$6/G$5)))</f>
        <v>135.56710470351294</v>
      </c>
      <c r="W546" s="6"/>
    </row>
    <row r="547" spans="16:23" x14ac:dyDescent="0.25">
      <c r="P547" s="246" t="s">
        <v>72</v>
      </c>
      <c r="Q547" s="244">
        <v>1</v>
      </c>
      <c r="R547" s="246"/>
      <c r="S547" s="355">
        <f>(Q/(N_1*S543)*SQRT(G/(S548)))</f>
        <v>11.609794304470123</v>
      </c>
      <c r="T547" s="355">
        <f>(E$3/(N_1*T543)*SQRT(E$6/T548))</f>
        <v>32.609113406809328</v>
      </c>
      <c r="U547" s="355">
        <f>(F$3/(N_1*U543)*SQRT(F$6/U548))</f>
        <v>75.099742474848483</v>
      </c>
      <c r="V547" s="355">
        <f>(G$3/(N_1*V543)*SQRT(G$6/V548))</f>
        <v>113.04789585595061</v>
      </c>
      <c r="W547" s="6"/>
    </row>
    <row r="548" spans="16:23" x14ac:dyDescent="0.25">
      <c r="P548" s="246" t="s">
        <v>75</v>
      </c>
      <c r="Q548" s="244">
        <v>3</v>
      </c>
      <c r="R548" s="246"/>
      <c r="S548" s="355">
        <f>(S545/S543)^2*(P_1-(F_F*P_V))</f>
        <v>47.593618181101121</v>
      </c>
      <c r="T548" s="355">
        <f>(T545/T543)^2*(E$4-(T$4*E$7))</f>
        <v>43.424436007818777</v>
      </c>
      <c r="U548" s="355">
        <f>(U545/U543)^2*(F$4-(U$4*F$7))</f>
        <v>34.638413948646722</v>
      </c>
      <c r="V548" s="355">
        <f>(V545/V543)^2*(G$4-(V$4*G$7))</f>
        <v>28.76164165053056</v>
      </c>
      <c r="W548" s="6"/>
    </row>
    <row r="549" spans="16:23" x14ac:dyDescent="0.25">
      <c r="P549" s="246" t="s">
        <v>29</v>
      </c>
      <c r="R549" s="246"/>
      <c r="S549" s="355">
        <f>IF(DELTA_P&lt;S548,S546,S547)</f>
        <v>14.158716864768749</v>
      </c>
      <c r="T549" s="355">
        <f>IF(E$5&lt;T548,T546,T547)</f>
        <v>38.973489540193512</v>
      </c>
      <c r="U549" s="355">
        <f>IF(F$5&lt;U548,U546,U547)</f>
        <v>88.576348578178795</v>
      </c>
      <c r="V549" s="355">
        <f>IF(G$5&lt;V548,V546,V547)</f>
        <v>135.56710470351294</v>
      </c>
      <c r="W549" s="6"/>
    </row>
    <row r="550" spans="16:23" x14ac:dyDescent="0.25">
      <c r="P550" s="246" t="s">
        <v>81</v>
      </c>
      <c r="R550" s="246"/>
      <c r="S550" s="355">
        <f>S542/S549</f>
        <v>1</v>
      </c>
      <c r="T550" s="355">
        <f>T542/T549</f>
        <v>1</v>
      </c>
      <c r="U550" s="355">
        <f>U542/U549</f>
        <v>1</v>
      </c>
      <c r="V550" s="355">
        <f>V542/V549</f>
        <v>1</v>
      </c>
      <c r="W550" s="6"/>
    </row>
    <row r="551" spans="16:23" x14ac:dyDescent="0.25">
      <c r="P551" s="246"/>
      <c r="R551" s="246"/>
      <c r="S551" s="355"/>
      <c r="T551" s="355"/>
      <c r="U551" s="355"/>
      <c r="V551" s="355"/>
      <c r="W551" s="6"/>
    </row>
    <row r="552" spans="16:23" x14ac:dyDescent="0.25">
      <c r="P552" s="246" t="s">
        <v>60</v>
      </c>
      <c r="R552" s="246"/>
      <c r="S552" s="355">
        <f>S549</f>
        <v>14.158716864768749</v>
      </c>
      <c r="T552" s="355">
        <f>T549</f>
        <v>38.973489540193512</v>
      </c>
      <c r="U552" s="355">
        <f>U549</f>
        <v>88.576348578178795</v>
      </c>
      <c r="V552" s="355">
        <f>V549</f>
        <v>135.56710470351294</v>
      </c>
      <c r="W552" s="6"/>
    </row>
    <row r="553" spans="16:23" x14ac:dyDescent="0.25">
      <c r="P553" s="246" t="s">
        <v>62</v>
      </c>
      <c r="Q553" s="244">
        <v>15</v>
      </c>
      <c r="R553" s="246"/>
      <c r="S553" s="355">
        <f>1/(SQRT(1+(SIGMA_ZETA/N_2)*(S552/d^2)^2))</f>
        <v>0.9988289022800465</v>
      </c>
      <c r="T553" s="355">
        <f>1/(SQRT(1+(SIGMA_ZETA/N_2)*(T552/d^2)^2))</f>
        <v>0.99122790322681231</v>
      </c>
      <c r="U553" s="355">
        <f>1/(SQRT(1+(SIGMA_ZETA/N_2)*(U552/d^2)^2))</f>
        <v>0.957024201817536</v>
      </c>
      <c r="V553" s="355">
        <f>1/(SQRT(1+(SIGMA_ZETA/N_2)*(V552/d^2)^2))</f>
        <v>0.90717979875321164</v>
      </c>
      <c r="W553" s="6"/>
    </row>
    <row r="554" spans="16:23" x14ac:dyDescent="0.25">
      <c r="P554" s="246" t="s">
        <v>65</v>
      </c>
      <c r="R554" s="246"/>
      <c r="S554" s="355"/>
      <c r="T554" s="355"/>
      <c r="U554" s="355"/>
      <c r="V554" s="355"/>
      <c r="W554" s="6"/>
    </row>
    <row r="555" spans="16:23" x14ac:dyDescent="0.25">
      <c r="P555" s="246" t="s">
        <v>67</v>
      </c>
      <c r="Q555" s="244">
        <v>21</v>
      </c>
      <c r="R555" s="246"/>
      <c r="S555" s="355">
        <f>F_L/SQRT(1+((F_L^2/N_2)*SIGMA_ZETA_1*(S552/d^2)^2))</f>
        <v>0.91868329719081188</v>
      </c>
      <c r="T555" s="355">
        <f>E$9/SQRT(1+((E$9^2/N_2)*SIGMA_ZETA_1*(T552/d^2)^2))</f>
        <v>0.88108433140201292</v>
      </c>
      <c r="U555" s="355">
        <f>F$9/SQRT(1+((F$9^2/N_2)*SIGMA_ZETA_1*(U552/d^2)^2))</f>
        <v>0.79449455771979816</v>
      </c>
      <c r="V555" s="355">
        <f>G$9/SQRT(1+((G$9^2/N_2)*SIGMA_ZETA_1*(V552/d^2)^2))</f>
        <v>0.71531554432738398</v>
      </c>
      <c r="W555" s="6"/>
    </row>
    <row r="556" spans="16:23" x14ac:dyDescent="0.25">
      <c r="P556" s="246" t="s">
        <v>69</v>
      </c>
      <c r="Q556" s="244">
        <v>1</v>
      </c>
      <c r="R556" s="246"/>
      <c r="S556" s="355">
        <f>(Q/(N_1*S553)*(SQRT(G/DELTA_P)))</f>
        <v>14.158716864768749</v>
      </c>
      <c r="T556" s="355">
        <f>(E$3/(N_1*T553)*(SQRT(E$6/E$5)))</f>
        <v>38.973489540193512</v>
      </c>
      <c r="U556" s="355">
        <f>(F$3/(N_1*U553)*(SQRT(F$6/F$5)))</f>
        <v>88.576348578178795</v>
      </c>
      <c r="V556" s="355">
        <f>(G$3/(N_1*V553)*(SQRT(G$6/G$5)))</f>
        <v>135.56710470351294</v>
      </c>
      <c r="W556" s="6"/>
    </row>
    <row r="557" spans="16:23" x14ac:dyDescent="0.25">
      <c r="P557" s="246" t="s">
        <v>72</v>
      </c>
      <c r="Q557" s="244">
        <v>1</v>
      </c>
      <c r="R557" s="246"/>
      <c r="S557" s="355">
        <f>(Q/(N_1*S553)*SQRT(G/(S558)))</f>
        <v>11.609794304470123</v>
      </c>
      <c r="T557" s="355">
        <f>(E$3/(N_1*T553)*SQRT(E$6/T558))</f>
        <v>32.609113406809328</v>
      </c>
      <c r="U557" s="355">
        <f>(F$3/(N_1*U553)*SQRT(F$6/U558))</f>
        <v>75.099742474848483</v>
      </c>
      <c r="V557" s="355">
        <f>(G$3/(N_1*V553)*SQRT(G$6/V558))</f>
        <v>113.04789585595061</v>
      </c>
      <c r="W557" s="6"/>
    </row>
    <row r="558" spans="16:23" x14ac:dyDescent="0.25">
      <c r="P558" s="246" t="s">
        <v>75</v>
      </c>
      <c r="Q558" s="244">
        <v>3</v>
      </c>
      <c r="R558" s="246"/>
      <c r="S558" s="355">
        <f>(S555/S553)^2*(P_1-(F_F*P_V))</f>
        <v>47.593618181101121</v>
      </c>
      <c r="T558" s="355">
        <f>(T555/T553)^2*(E$4-(T$4*E$7))</f>
        <v>43.424436007818777</v>
      </c>
      <c r="U558" s="355">
        <f>(U555/U553)^2*(F$4-(U$4*F$7))</f>
        <v>34.638413948646722</v>
      </c>
      <c r="V558" s="355">
        <f>(V555/V553)^2*(G$4-(V$4*G$7))</f>
        <v>28.76164165053056</v>
      </c>
      <c r="W558" s="6"/>
    </row>
    <row r="559" spans="16:23" x14ac:dyDescent="0.25">
      <c r="P559" s="246" t="s">
        <v>29</v>
      </c>
      <c r="R559" s="246"/>
      <c r="S559" s="355">
        <f>IF(DELTA_P&lt;S558,S556,S557)</f>
        <v>14.158716864768749</v>
      </c>
      <c r="T559" s="355">
        <f>IF(E$5&lt;T558,T556,T557)</f>
        <v>38.973489540193512</v>
      </c>
      <c r="U559" s="355">
        <f>IF(F$5&lt;U558,U556,U557)</f>
        <v>88.576348578178795</v>
      </c>
      <c r="V559" s="355">
        <f>IF(G$5&lt;V558,V556,V557)</f>
        <v>135.56710470351294</v>
      </c>
      <c r="W559" s="6"/>
    </row>
    <row r="560" spans="16:23" x14ac:dyDescent="0.25">
      <c r="P560" s="246" t="s">
        <v>81</v>
      </c>
      <c r="R560" s="246"/>
      <c r="S560" s="355">
        <f>S552/S559</f>
        <v>1</v>
      </c>
      <c r="T560" s="355">
        <f>T552/T559</f>
        <v>1</v>
      </c>
      <c r="U560" s="355">
        <f>U552/U559</f>
        <v>1</v>
      </c>
      <c r="V560" s="355">
        <f>V552/V559</f>
        <v>1</v>
      </c>
      <c r="W560" s="6"/>
    </row>
    <row r="561" spans="16:23" x14ac:dyDescent="0.25">
      <c r="P561" s="246"/>
      <c r="R561" s="246"/>
      <c r="S561" s="355"/>
      <c r="T561" s="355"/>
      <c r="U561" s="355"/>
      <c r="V561" s="355"/>
      <c r="W561" s="6"/>
    </row>
    <row r="562" spans="16:23" x14ac:dyDescent="0.25">
      <c r="P562" s="246" t="s">
        <v>60</v>
      </c>
      <c r="R562" s="246"/>
      <c r="S562" s="355">
        <f>S559</f>
        <v>14.158716864768749</v>
      </c>
      <c r="T562" s="355">
        <f>T559</f>
        <v>38.973489540193512</v>
      </c>
      <c r="U562" s="355">
        <f>U559</f>
        <v>88.576348578178795</v>
      </c>
      <c r="V562" s="355">
        <f>V559</f>
        <v>135.56710470351294</v>
      </c>
      <c r="W562" s="6"/>
    </row>
    <row r="563" spans="16:23" x14ac:dyDescent="0.25">
      <c r="P563" s="246" t="s">
        <v>62</v>
      </c>
      <c r="Q563" s="244">
        <v>15</v>
      </c>
      <c r="R563" s="246"/>
      <c r="S563" s="355">
        <f>1/(SQRT(1+(SIGMA_ZETA/N_2)*(S562/d^2)^2))</f>
        <v>0.9988289022800465</v>
      </c>
      <c r="T563" s="355">
        <f>1/(SQRT(1+(SIGMA_ZETA/N_2)*(T562/d^2)^2))</f>
        <v>0.99122790322681231</v>
      </c>
      <c r="U563" s="355">
        <f>1/(SQRT(1+(SIGMA_ZETA/N_2)*(U562/d^2)^2))</f>
        <v>0.957024201817536</v>
      </c>
      <c r="V563" s="355">
        <f>1/(SQRT(1+(SIGMA_ZETA/N_2)*(V562/d^2)^2))</f>
        <v>0.90717979875321164</v>
      </c>
      <c r="W563" s="6"/>
    </row>
    <row r="564" spans="16:23" x14ac:dyDescent="0.25">
      <c r="P564" s="246" t="s">
        <v>65</v>
      </c>
      <c r="R564" s="246"/>
      <c r="S564" s="355"/>
      <c r="T564" s="355"/>
      <c r="U564" s="355"/>
      <c r="V564" s="355"/>
      <c r="W564" s="6"/>
    </row>
    <row r="565" spans="16:23" x14ac:dyDescent="0.25">
      <c r="P565" s="246" t="s">
        <v>67</v>
      </c>
      <c r="Q565" s="244">
        <v>21</v>
      </c>
      <c r="R565" s="246"/>
      <c r="S565" s="355">
        <f>F_L/SQRT(1+((F_L^2/N_2)*SIGMA_ZETA_1*(S562/d^2)^2))</f>
        <v>0.91868329719081188</v>
      </c>
      <c r="T565" s="355">
        <f>E$9/SQRT(1+((E$9^2/N_2)*SIGMA_ZETA_1*(T562/d^2)^2))</f>
        <v>0.88108433140201292</v>
      </c>
      <c r="U565" s="355">
        <f>F$9/SQRT(1+((F$9^2/N_2)*SIGMA_ZETA_1*(U562/d^2)^2))</f>
        <v>0.79449455771979816</v>
      </c>
      <c r="V565" s="355">
        <f>G$9/SQRT(1+((G$9^2/N_2)*SIGMA_ZETA_1*(V562/d^2)^2))</f>
        <v>0.71531554432738398</v>
      </c>
      <c r="W565" s="6"/>
    </row>
    <row r="566" spans="16:23" x14ac:dyDescent="0.25">
      <c r="P566" s="246" t="s">
        <v>69</v>
      </c>
      <c r="Q566" s="244">
        <v>1</v>
      </c>
      <c r="R566" s="246"/>
      <c r="S566" s="355">
        <f>(Q/(N_1*S563)*(SQRT(G/DELTA_P)))</f>
        <v>14.158716864768749</v>
      </c>
      <c r="T566" s="355">
        <f>(E$3/(N_1*T563)*(SQRT(E$6/E$5)))</f>
        <v>38.973489540193512</v>
      </c>
      <c r="U566" s="355">
        <f>(F$3/(N_1*U563)*(SQRT(F$6/F$5)))</f>
        <v>88.576348578178795</v>
      </c>
      <c r="V566" s="355">
        <f>(G$3/(N_1*V563)*(SQRT(G$6/G$5)))</f>
        <v>135.56710470351294</v>
      </c>
      <c r="W566" s="6"/>
    </row>
    <row r="567" spans="16:23" x14ac:dyDescent="0.25">
      <c r="P567" s="246" t="s">
        <v>72</v>
      </c>
      <c r="Q567" s="244">
        <v>1</v>
      </c>
      <c r="R567" s="246"/>
      <c r="S567" s="355">
        <f>(Q/(N_1*S563)*SQRT(G/(S568)))</f>
        <v>11.609794304470123</v>
      </c>
      <c r="T567" s="355">
        <f>(E$3/(N_1*T563)*SQRT(E$6/T568))</f>
        <v>32.609113406809328</v>
      </c>
      <c r="U567" s="355">
        <f>(F$3/(N_1*U563)*SQRT(F$6/U568))</f>
        <v>75.099742474848483</v>
      </c>
      <c r="V567" s="355">
        <f>(G$3/(N_1*V563)*SQRT(G$6/V568))</f>
        <v>113.04789585595061</v>
      </c>
      <c r="W567" s="6"/>
    </row>
    <row r="568" spans="16:23" x14ac:dyDescent="0.25">
      <c r="P568" s="246" t="s">
        <v>75</v>
      </c>
      <c r="Q568" s="244">
        <v>3</v>
      </c>
      <c r="R568" s="246"/>
      <c r="S568" s="355">
        <f>(S565/S563)^2*(P_1-(F_F*P_V))</f>
        <v>47.593618181101121</v>
      </c>
      <c r="T568" s="355">
        <f>(T565/T563)^2*(E$4-(T$4*E$7))</f>
        <v>43.424436007818777</v>
      </c>
      <c r="U568" s="355">
        <f>(U565/U563)^2*(F$4-(U$4*F$7))</f>
        <v>34.638413948646722</v>
      </c>
      <c r="V568" s="355">
        <f>(V565/V563)^2*(G$4-(V$4*G$7))</f>
        <v>28.76164165053056</v>
      </c>
      <c r="W568" s="6"/>
    </row>
    <row r="569" spans="16:23" x14ac:dyDescent="0.25">
      <c r="P569" s="246" t="s">
        <v>29</v>
      </c>
      <c r="R569" s="246"/>
      <c r="S569" s="355">
        <f>IF(DELTA_P&lt;S568,S566,S567)</f>
        <v>14.158716864768749</v>
      </c>
      <c r="T569" s="355">
        <f>IF(E$5&lt;T568,T566,T567)</f>
        <v>38.973489540193512</v>
      </c>
      <c r="U569" s="355">
        <f>IF(F$5&lt;U568,U566,U567)</f>
        <v>88.576348578178795</v>
      </c>
      <c r="V569" s="355">
        <f>IF(G$5&lt;V568,V566,V567)</f>
        <v>135.56710470351294</v>
      </c>
      <c r="W569" s="6"/>
    </row>
    <row r="570" spans="16:23" x14ac:dyDescent="0.25">
      <c r="P570" s="246" t="s">
        <v>81</v>
      </c>
      <c r="R570" s="246"/>
      <c r="S570" s="355">
        <f>S562/S569</f>
        <v>1</v>
      </c>
      <c r="T570" s="355">
        <f>T562/T569</f>
        <v>1</v>
      </c>
      <c r="U570" s="355">
        <f>U562/U569</f>
        <v>1</v>
      </c>
      <c r="V570" s="355">
        <f>V562/V569</f>
        <v>1</v>
      </c>
      <c r="W570" s="6"/>
    </row>
    <row r="571" spans="16:23" x14ac:dyDescent="0.25">
      <c r="P571" s="246"/>
      <c r="R571" s="246"/>
      <c r="S571" s="355"/>
      <c r="T571" s="355"/>
      <c r="U571" s="355"/>
      <c r="V571" s="355"/>
      <c r="W571" s="6"/>
    </row>
    <row r="572" spans="16:23" x14ac:dyDescent="0.25">
      <c r="P572" s="246" t="s">
        <v>60</v>
      </c>
      <c r="R572" s="246"/>
      <c r="S572" s="355">
        <f>S569</f>
        <v>14.158716864768749</v>
      </c>
      <c r="T572" s="355">
        <f>T569</f>
        <v>38.973489540193512</v>
      </c>
      <c r="U572" s="355">
        <f>U569</f>
        <v>88.576348578178795</v>
      </c>
      <c r="V572" s="355">
        <f>V569</f>
        <v>135.56710470351294</v>
      </c>
      <c r="W572" s="6"/>
    </row>
    <row r="573" spans="16:23" x14ac:dyDescent="0.25">
      <c r="P573" s="246" t="s">
        <v>62</v>
      </c>
      <c r="Q573" s="244">
        <v>15</v>
      </c>
      <c r="R573" s="246"/>
      <c r="S573" s="355">
        <f>1/(SQRT(1+(SIGMA_ZETA/N_2)*(S572/d^2)^2))</f>
        <v>0.9988289022800465</v>
      </c>
      <c r="T573" s="355">
        <f>1/(SQRT(1+(SIGMA_ZETA/N_2)*(T572/d^2)^2))</f>
        <v>0.99122790322681231</v>
      </c>
      <c r="U573" s="355">
        <f>1/(SQRT(1+(SIGMA_ZETA/N_2)*(U572/d^2)^2))</f>
        <v>0.957024201817536</v>
      </c>
      <c r="V573" s="355">
        <f>1/(SQRT(1+(SIGMA_ZETA/N_2)*(V572/d^2)^2))</f>
        <v>0.90717979875321164</v>
      </c>
      <c r="W573" s="6"/>
    </row>
    <row r="574" spans="16:23" x14ac:dyDescent="0.25">
      <c r="P574" s="246" t="s">
        <v>65</v>
      </c>
      <c r="R574" s="246"/>
      <c r="S574" s="355"/>
      <c r="T574" s="355"/>
      <c r="U574" s="355"/>
      <c r="V574" s="355"/>
      <c r="W574" s="6"/>
    </row>
    <row r="575" spans="16:23" x14ac:dyDescent="0.25">
      <c r="P575" s="246" t="s">
        <v>67</v>
      </c>
      <c r="Q575" s="244">
        <v>21</v>
      </c>
      <c r="R575" s="246"/>
      <c r="S575" s="355">
        <f>F_L/SQRT(1+((F_L^2/N_2)*SIGMA_ZETA_1*(S572/d^2)^2))</f>
        <v>0.91868329719081188</v>
      </c>
      <c r="T575" s="355">
        <f>E$9/SQRT(1+((E$9^2/N_2)*SIGMA_ZETA_1*(T572/d^2)^2))</f>
        <v>0.88108433140201292</v>
      </c>
      <c r="U575" s="355">
        <f>F$9/SQRT(1+((F$9^2/N_2)*SIGMA_ZETA_1*(U572/d^2)^2))</f>
        <v>0.79449455771979816</v>
      </c>
      <c r="V575" s="355">
        <f>G$9/SQRT(1+((G$9^2/N_2)*SIGMA_ZETA_1*(V572/d^2)^2))</f>
        <v>0.71531554432738398</v>
      </c>
      <c r="W575" s="6"/>
    </row>
    <row r="576" spans="16:23" x14ac:dyDescent="0.25">
      <c r="P576" s="246" t="s">
        <v>69</v>
      </c>
      <c r="Q576" s="244">
        <v>1</v>
      </c>
      <c r="R576" s="246"/>
      <c r="S576" s="355">
        <f>(Q/(N_1*S573)*(SQRT(G/DELTA_P)))</f>
        <v>14.158716864768749</v>
      </c>
      <c r="T576" s="355">
        <f>(E$3/(N_1*T573)*(SQRT(E$6/E$5)))</f>
        <v>38.973489540193512</v>
      </c>
      <c r="U576" s="355">
        <f>(F$3/(N_1*U573)*(SQRT(F$6/F$5)))</f>
        <v>88.576348578178795</v>
      </c>
      <c r="V576" s="355">
        <f>(G$3/(N_1*V573)*(SQRT(G$6/G$5)))</f>
        <v>135.56710470351294</v>
      </c>
      <c r="W576" s="6"/>
    </row>
    <row r="577" spans="16:23" x14ac:dyDescent="0.25">
      <c r="P577" s="246" t="s">
        <v>72</v>
      </c>
      <c r="Q577" s="244">
        <v>1</v>
      </c>
      <c r="R577" s="246"/>
      <c r="S577" s="355">
        <f>(Q/(N_1*S573)*SQRT(G/(S578)))</f>
        <v>11.609794304470123</v>
      </c>
      <c r="T577" s="355">
        <f>(E$3/(N_1*T573)*SQRT(E$6/T578))</f>
        <v>32.609113406809328</v>
      </c>
      <c r="U577" s="355">
        <f>(F$3/(N_1*U573)*SQRT(F$6/U578))</f>
        <v>75.099742474848483</v>
      </c>
      <c r="V577" s="355">
        <f>(G$3/(N_1*V573)*SQRT(G$6/V578))</f>
        <v>113.04789585595061</v>
      </c>
      <c r="W577" s="6"/>
    </row>
    <row r="578" spans="16:23" x14ac:dyDescent="0.25">
      <c r="P578" s="246" t="s">
        <v>75</v>
      </c>
      <c r="Q578" s="244">
        <v>3</v>
      </c>
      <c r="R578" s="246"/>
      <c r="S578" s="355">
        <f>(S575/S573)^2*(P_1-(F_F*P_V))</f>
        <v>47.593618181101121</v>
      </c>
      <c r="T578" s="355">
        <f>(T575/T573)^2*(E$4-(T$4*E$7))</f>
        <v>43.424436007818777</v>
      </c>
      <c r="U578" s="355">
        <f>(U575/U573)^2*(F$4-(U$4*F$7))</f>
        <v>34.638413948646722</v>
      </c>
      <c r="V578" s="355">
        <f>(V575/V573)^2*(G$4-(V$4*G$7))</f>
        <v>28.76164165053056</v>
      </c>
      <c r="W578" s="6"/>
    </row>
    <row r="579" spans="16:23" x14ac:dyDescent="0.25">
      <c r="P579" s="246" t="s">
        <v>29</v>
      </c>
      <c r="R579" s="246"/>
      <c r="S579" s="355">
        <f>IF(DELTA_P&lt;S578,S576,S577)</f>
        <v>14.158716864768749</v>
      </c>
      <c r="T579" s="355">
        <f>IF(E$5&lt;T578,T576,T577)</f>
        <v>38.973489540193512</v>
      </c>
      <c r="U579" s="355">
        <f>IF(F$5&lt;U578,U576,U577)</f>
        <v>88.576348578178795</v>
      </c>
      <c r="V579" s="355">
        <f>IF(G$5&lt;V578,V576,V577)</f>
        <v>135.56710470351294</v>
      </c>
      <c r="W579" s="6"/>
    </row>
    <row r="580" spans="16:23" x14ac:dyDescent="0.25">
      <c r="P580" s="246" t="s">
        <v>81</v>
      </c>
      <c r="R580" s="246"/>
      <c r="S580" s="355">
        <f>S572/S579</f>
        <v>1</v>
      </c>
      <c r="T580" s="355">
        <f>T572/T579</f>
        <v>1</v>
      </c>
      <c r="U580" s="355">
        <f>U572/U579</f>
        <v>1</v>
      </c>
      <c r="V580" s="355">
        <f>V572/V579</f>
        <v>1</v>
      </c>
      <c r="W580" s="6"/>
    </row>
    <row r="581" spans="16:23" x14ac:dyDescent="0.25">
      <c r="P581" s="246"/>
      <c r="R581" s="246"/>
      <c r="S581" s="355"/>
      <c r="T581" s="355"/>
      <c r="U581" s="355"/>
      <c r="V581" s="355"/>
      <c r="W581" s="6"/>
    </row>
    <row r="582" spans="16:23" x14ac:dyDescent="0.25">
      <c r="P582" s="246" t="s">
        <v>60</v>
      </c>
      <c r="R582" s="246"/>
      <c r="S582" s="355">
        <f>S579</f>
        <v>14.158716864768749</v>
      </c>
      <c r="T582" s="355">
        <f>T579</f>
        <v>38.973489540193512</v>
      </c>
      <c r="U582" s="355">
        <f>U579</f>
        <v>88.576348578178795</v>
      </c>
      <c r="V582" s="355">
        <f>V579</f>
        <v>135.56710470351294</v>
      </c>
      <c r="W582" s="6"/>
    </row>
    <row r="583" spans="16:23" x14ac:dyDescent="0.25">
      <c r="P583" s="246" t="s">
        <v>62</v>
      </c>
      <c r="Q583" s="244">
        <v>15</v>
      </c>
      <c r="R583" s="246"/>
      <c r="S583" s="355">
        <f>1/(SQRT(1+(SIGMA_ZETA/N_2)*(S582/d^2)^2))</f>
        <v>0.9988289022800465</v>
      </c>
      <c r="T583" s="355">
        <f>1/(SQRT(1+(SIGMA_ZETA/N_2)*(T582/d^2)^2))</f>
        <v>0.99122790322681231</v>
      </c>
      <c r="U583" s="355">
        <f>1/(SQRT(1+(SIGMA_ZETA/N_2)*(U582/d^2)^2))</f>
        <v>0.957024201817536</v>
      </c>
      <c r="V583" s="355">
        <f>1/(SQRT(1+(SIGMA_ZETA/N_2)*(V582/d^2)^2))</f>
        <v>0.90717979875321164</v>
      </c>
      <c r="W583" s="6"/>
    </row>
    <row r="584" spans="16:23" x14ac:dyDescent="0.25">
      <c r="P584" s="246" t="s">
        <v>65</v>
      </c>
      <c r="R584" s="246"/>
      <c r="S584" s="355"/>
      <c r="T584" s="355"/>
      <c r="U584" s="355"/>
      <c r="V584" s="355"/>
      <c r="W584" s="6"/>
    </row>
    <row r="585" spans="16:23" x14ac:dyDescent="0.25">
      <c r="P585" s="246" t="s">
        <v>67</v>
      </c>
      <c r="Q585" s="244">
        <v>21</v>
      </c>
      <c r="R585" s="246"/>
      <c r="S585" s="355">
        <f>F_L/SQRT(1+((F_L^2/N_2)*SIGMA_ZETA_1*(S582/d^2)^2))</f>
        <v>0.91868329719081188</v>
      </c>
      <c r="T585" s="355">
        <f>E$9/SQRT(1+((E$9^2/N_2)*SIGMA_ZETA_1*(T582/d^2)^2))</f>
        <v>0.88108433140201292</v>
      </c>
      <c r="U585" s="355">
        <f>F$9/SQRT(1+((F$9^2/N_2)*SIGMA_ZETA_1*(U582/d^2)^2))</f>
        <v>0.79449455771979816</v>
      </c>
      <c r="V585" s="355">
        <f>G$9/SQRT(1+((G$9^2/N_2)*SIGMA_ZETA_1*(V582/d^2)^2))</f>
        <v>0.71531554432738398</v>
      </c>
      <c r="W585" s="6"/>
    </row>
    <row r="586" spans="16:23" x14ac:dyDescent="0.25">
      <c r="P586" s="246" t="s">
        <v>69</v>
      </c>
      <c r="Q586" s="244">
        <v>1</v>
      </c>
      <c r="R586" s="246"/>
      <c r="S586" s="355">
        <f>(Q/(N_1*S583)*(SQRT(G/DELTA_P)))</f>
        <v>14.158716864768749</v>
      </c>
      <c r="T586" s="355">
        <f>(E$3/(N_1*T583)*(SQRT(E$6/E$5)))</f>
        <v>38.973489540193512</v>
      </c>
      <c r="U586" s="355">
        <f>(F$3/(N_1*U583)*(SQRT(F$6/F$5)))</f>
        <v>88.576348578178795</v>
      </c>
      <c r="V586" s="355">
        <f>(G$3/(N_1*V583)*(SQRT(G$6/G$5)))</f>
        <v>135.56710470351294</v>
      </c>
      <c r="W586" s="6"/>
    </row>
    <row r="587" spans="16:23" x14ac:dyDescent="0.25">
      <c r="P587" s="246" t="s">
        <v>72</v>
      </c>
      <c r="Q587" s="244">
        <v>1</v>
      </c>
      <c r="R587" s="246"/>
      <c r="S587" s="355">
        <f>(Q/(N_1*S583)*SQRT(G/(S588)))</f>
        <v>11.609794304470123</v>
      </c>
      <c r="T587" s="355">
        <f>(E$3/(N_1*T583)*SQRT(E$6/T588))</f>
        <v>32.609113406809328</v>
      </c>
      <c r="U587" s="355">
        <f>(F$3/(N_1*U583)*SQRT(F$6/U588))</f>
        <v>75.099742474848483</v>
      </c>
      <c r="V587" s="355">
        <f>(G$3/(N_1*V583)*SQRT(G$6/V588))</f>
        <v>113.04789585595061</v>
      </c>
      <c r="W587" s="6"/>
    </row>
    <row r="588" spans="16:23" x14ac:dyDescent="0.25">
      <c r="P588" s="246" t="s">
        <v>75</v>
      </c>
      <c r="Q588" s="244">
        <v>3</v>
      </c>
      <c r="R588" s="246"/>
      <c r="S588" s="355">
        <f>(S585/S583)^2*(P_1-(F_F*P_V))</f>
        <v>47.593618181101121</v>
      </c>
      <c r="T588" s="355">
        <f>(T585/T583)^2*(E$4-(T$4*E$7))</f>
        <v>43.424436007818777</v>
      </c>
      <c r="U588" s="355">
        <f>(U585/U583)^2*(F$4-(U$4*F$7))</f>
        <v>34.638413948646722</v>
      </c>
      <c r="V588" s="355">
        <f>(V585/V583)^2*(G$4-(V$4*G$7))</f>
        <v>28.76164165053056</v>
      </c>
      <c r="W588" s="6"/>
    </row>
    <row r="589" spans="16:23" x14ac:dyDescent="0.25">
      <c r="P589" s="246" t="s">
        <v>29</v>
      </c>
      <c r="R589" s="246"/>
      <c r="S589" s="355">
        <f>IF(DELTA_P&lt;S588,S586,S587)</f>
        <v>14.158716864768749</v>
      </c>
      <c r="T589" s="355">
        <f>IF(E$5&lt;T588,T586,T587)</f>
        <v>38.973489540193512</v>
      </c>
      <c r="U589" s="355">
        <f>IF(F$5&lt;U588,U586,U587)</f>
        <v>88.576348578178795</v>
      </c>
      <c r="V589" s="355">
        <f>IF(G$5&lt;V588,V586,V587)</f>
        <v>135.56710470351294</v>
      </c>
      <c r="W589" s="6"/>
    </row>
    <row r="590" spans="16:23" x14ac:dyDescent="0.25">
      <c r="P590" s="246" t="s">
        <v>81</v>
      </c>
      <c r="R590" s="246"/>
      <c r="S590" s="355">
        <f>S582/S589</f>
        <v>1</v>
      </c>
      <c r="T590" s="355">
        <f>T582/T589</f>
        <v>1</v>
      </c>
      <c r="U590" s="355">
        <f>U582/U589</f>
        <v>1</v>
      </c>
      <c r="V590" s="355">
        <f>V582/V589</f>
        <v>1</v>
      </c>
      <c r="W590" s="6"/>
    </row>
    <row r="591" spans="16:23" x14ac:dyDescent="0.25">
      <c r="P591" s="246"/>
      <c r="R591" s="246"/>
      <c r="S591" s="355"/>
      <c r="T591" s="355"/>
      <c r="U591" s="355"/>
      <c r="V591" s="355"/>
      <c r="W591" s="6"/>
    </row>
    <row r="592" spans="16:23" x14ac:dyDescent="0.25">
      <c r="P592" s="246" t="s">
        <v>60</v>
      </c>
      <c r="R592" s="246"/>
      <c r="S592" s="355">
        <f>S589</f>
        <v>14.158716864768749</v>
      </c>
      <c r="T592" s="355">
        <f>T589</f>
        <v>38.973489540193512</v>
      </c>
      <c r="U592" s="355">
        <f>U589</f>
        <v>88.576348578178795</v>
      </c>
      <c r="V592" s="355">
        <f>V589</f>
        <v>135.56710470351294</v>
      </c>
      <c r="W592" s="6"/>
    </row>
    <row r="593" spans="16:23" x14ac:dyDescent="0.25">
      <c r="P593" s="246" t="s">
        <v>62</v>
      </c>
      <c r="Q593" s="244">
        <v>15</v>
      </c>
      <c r="R593" s="246"/>
      <c r="S593" s="355">
        <f>1/(SQRT(1+(SIGMA_ZETA/N_2)*(S592/d^2)^2))</f>
        <v>0.9988289022800465</v>
      </c>
      <c r="T593" s="355">
        <f>1/(SQRT(1+(SIGMA_ZETA/N_2)*(T592/d^2)^2))</f>
        <v>0.99122790322681231</v>
      </c>
      <c r="U593" s="355">
        <f>1/(SQRT(1+(SIGMA_ZETA/N_2)*(U592/d^2)^2))</f>
        <v>0.957024201817536</v>
      </c>
      <c r="V593" s="355">
        <f>1/(SQRT(1+(SIGMA_ZETA/N_2)*(V592/d^2)^2))</f>
        <v>0.90717979875321164</v>
      </c>
      <c r="W593" s="6"/>
    </row>
    <row r="594" spans="16:23" x14ac:dyDescent="0.25">
      <c r="P594" s="246" t="s">
        <v>65</v>
      </c>
      <c r="R594" s="246"/>
      <c r="S594" s="355"/>
      <c r="T594" s="355"/>
      <c r="U594" s="355"/>
      <c r="V594" s="355"/>
      <c r="W594" s="6"/>
    </row>
    <row r="595" spans="16:23" x14ac:dyDescent="0.25">
      <c r="P595" s="246" t="s">
        <v>67</v>
      </c>
      <c r="Q595" s="244">
        <v>21</v>
      </c>
      <c r="R595" s="246"/>
      <c r="S595" s="355">
        <f>F_L/SQRT(1+((F_L^2/N_2)*SIGMA_ZETA_1*(S592/d^2)^2))</f>
        <v>0.91868329719081188</v>
      </c>
      <c r="T595" s="355">
        <f>E$9/SQRT(1+((E$9^2/N_2)*SIGMA_ZETA_1*(T592/d^2)^2))</f>
        <v>0.88108433140201292</v>
      </c>
      <c r="U595" s="355">
        <f>F$9/SQRT(1+((F$9^2/N_2)*SIGMA_ZETA_1*(U592/d^2)^2))</f>
        <v>0.79449455771979816</v>
      </c>
      <c r="V595" s="355">
        <f>G$9/SQRT(1+((G$9^2/N_2)*SIGMA_ZETA_1*(V592/d^2)^2))</f>
        <v>0.71531554432738398</v>
      </c>
      <c r="W595" s="6"/>
    </row>
    <row r="596" spans="16:23" x14ac:dyDescent="0.25">
      <c r="P596" s="246" t="s">
        <v>69</v>
      </c>
      <c r="Q596" s="244">
        <v>1</v>
      </c>
      <c r="R596" s="246"/>
      <c r="S596" s="355">
        <f>(Q/(N_1*S593)*(SQRT(G/DELTA_P)))</f>
        <v>14.158716864768749</v>
      </c>
      <c r="T596" s="355">
        <f>(E$3/(N_1*T593)*(SQRT(E$6/E$5)))</f>
        <v>38.973489540193512</v>
      </c>
      <c r="U596" s="355">
        <f>(F$3/(N_1*U593)*(SQRT(F$6/F$5)))</f>
        <v>88.576348578178795</v>
      </c>
      <c r="V596" s="355">
        <f>(G$3/(N_1*V593)*(SQRT(G$6/G$5)))</f>
        <v>135.56710470351294</v>
      </c>
      <c r="W596" s="6"/>
    </row>
    <row r="597" spans="16:23" x14ac:dyDescent="0.25">
      <c r="P597" s="246" t="s">
        <v>72</v>
      </c>
      <c r="Q597" s="244">
        <v>1</v>
      </c>
      <c r="R597" s="246"/>
      <c r="S597" s="355">
        <f>(Q/(N_1*S593)*SQRT(G/(S598)))</f>
        <v>11.609794304470123</v>
      </c>
      <c r="T597" s="355">
        <f>(E$3/(N_1*T593)*SQRT(E$6/T598))</f>
        <v>32.609113406809328</v>
      </c>
      <c r="U597" s="355">
        <f>(F$3/(N_1*U593)*SQRT(F$6/U598))</f>
        <v>75.099742474848483</v>
      </c>
      <c r="V597" s="355">
        <f>(G$3/(N_1*V593)*SQRT(G$6/V598))</f>
        <v>113.04789585595061</v>
      </c>
      <c r="W597" s="6"/>
    </row>
    <row r="598" spans="16:23" x14ac:dyDescent="0.25">
      <c r="P598" s="246" t="s">
        <v>75</v>
      </c>
      <c r="Q598" s="244">
        <v>3</v>
      </c>
      <c r="R598" s="246"/>
      <c r="S598" s="355">
        <f>(S595/S593)^2*(P_1-(F_F*P_V))</f>
        <v>47.593618181101121</v>
      </c>
      <c r="T598" s="355">
        <f>(T595/T593)^2*(E$4-(T$4*E$7))</f>
        <v>43.424436007818777</v>
      </c>
      <c r="U598" s="355">
        <f>(U595/U593)^2*(F$4-(U$4*F$7))</f>
        <v>34.638413948646722</v>
      </c>
      <c r="V598" s="355">
        <f>(V595/V593)^2*(G$4-(V$4*G$7))</f>
        <v>28.76164165053056</v>
      </c>
      <c r="W598" s="6"/>
    </row>
    <row r="599" spans="16:23" x14ac:dyDescent="0.25">
      <c r="P599" s="246" t="s">
        <v>29</v>
      </c>
      <c r="R599" s="246"/>
      <c r="S599" s="355">
        <f>IF(DELTA_P&lt;S598,S596,S597)</f>
        <v>14.158716864768749</v>
      </c>
      <c r="T599" s="355">
        <f>IF(E$5&lt;T598,T596,T597)</f>
        <v>38.973489540193512</v>
      </c>
      <c r="U599" s="355">
        <f>IF(F$5&lt;U598,U596,U597)</f>
        <v>88.576348578178795</v>
      </c>
      <c r="V599" s="355">
        <f>IF(G$5&lt;V598,V596,V597)</f>
        <v>135.56710470351294</v>
      </c>
      <c r="W599" s="6"/>
    </row>
    <row r="600" spans="16:23" x14ac:dyDescent="0.25">
      <c r="P600" s="246" t="s">
        <v>81</v>
      </c>
      <c r="R600" s="246"/>
      <c r="S600" s="355">
        <f>S592/S599</f>
        <v>1</v>
      </c>
      <c r="T600" s="355">
        <f>T592/T599</f>
        <v>1</v>
      </c>
      <c r="U600" s="355">
        <f>U592/U599</f>
        <v>1</v>
      </c>
      <c r="V600" s="355">
        <f>V592/V599</f>
        <v>1</v>
      </c>
      <c r="W600" s="6"/>
    </row>
    <row r="601" spans="16:23" x14ac:dyDescent="0.25">
      <c r="P601" s="246"/>
      <c r="R601" s="246"/>
      <c r="S601" s="355"/>
      <c r="T601" s="355"/>
      <c r="U601" s="355"/>
      <c r="V601" s="355"/>
      <c r="W601" s="6"/>
    </row>
    <row r="602" spans="16:23" x14ac:dyDescent="0.25">
      <c r="P602" s="246" t="s">
        <v>60</v>
      </c>
      <c r="R602" s="246"/>
      <c r="S602" s="355">
        <f>S599</f>
        <v>14.158716864768749</v>
      </c>
      <c r="T602" s="355">
        <f>T599</f>
        <v>38.973489540193512</v>
      </c>
      <c r="U602" s="355">
        <f>U599</f>
        <v>88.576348578178795</v>
      </c>
      <c r="V602" s="355">
        <f>V599</f>
        <v>135.56710470351294</v>
      </c>
      <c r="W602" s="6"/>
    </row>
    <row r="603" spans="16:23" x14ac:dyDescent="0.25">
      <c r="P603" s="246" t="s">
        <v>62</v>
      </c>
      <c r="Q603" s="244">
        <v>15</v>
      </c>
      <c r="R603" s="246"/>
      <c r="S603" s="355">
        <f>1/(SQRT(1+(SIGMA_ZETA/N_2)*(S602/d^2)^2))</f>
        <v>0.9988289022800465</v>
      </c>
      <c r="T603" s="355">
        <f>1/(SQRT(1+(SIGMA_ZETA/N_2)*(T602/d^2)^2))</f>
        <v>0.99122790322681231</v>
      </c>
      <c r="U603" s="355">
        <f>1/(SQRT(1+(SIGMA_ZETA/N_2)*(U602/d^2)^2))</f>
        <v>0.957024201817536</v>
      </c>
      <c r="V603" s="355">
        <f>1/(SQRT(1+(SIGMA_ZETA/N_2)*(V602/d^2)^2))</f>
        <v>0.90717979875321164</v>
      </c>
      <c r="W603" s="6"/>
    </row>
    <row r="604" spans="16:23" x14ac:dyDescent="0.25">
      <c r="P604" s="246" t="s">
        <v>65</v>
      </c>
      <c r="R604" s="246"/>
      <c r="S604" s="355"/>
      <c r="T604" s="355"/>
      <c r="U604" s="355"/>
      <c r="V604" s="355"/>
      <c r="W604" s="6"/>
    </row>
    <row r="605" spans="16:23" x14ac:dyDescent="0.25">
      <c r="P605" s="246" t="s">
        <v>67</v>
      </c>
      <c r="Q605" s="244">
        <v>21</v>
      </c>
      <c r="R605" s="246"/>
      <c r="S605" s="355">
        <f>F_L/SQRT(1+((F_L^2/N_2)*SIGMA_ZETA_1*(S602/d^2)^2))</f>
        <v>0.91868329719081188</v>
      </c>
      <c r="T605" s="355">
        <f>E$9/SQRT(1+((E$9^2/N_2)*SIGMA_ZETA_1*(T602/d^2)^2))</f>
        <v>0.88108433140201292</v>
      </c>
      <c r="U605" s="355">
        <f>F$9/SQRT(1+((F$9^2/N_2)*SIGMA_ZETA_1*(U602/d^2)^2))</f>
        <v>0.79449455771979816</v>
      </c>
      <c r="V605" s="355">
        <f>G$9/SQRT(1+((G$9^2/N_2)*SIGMA_ZETA_1*(V602/d^2)^2))</f>
        <v>0.71531554432738398</v>
      </c>
      <c r="W605" s="6"/>
    </row>
    <row r="606" spans="16:23" x14ac:dyDescent="0.25">
      <c r="P606" s="246" t="s">
        <v>69</v>
      </c>
      <c r="Q606" s="244">
        <v>1</v>
      </c>
      <c r="R606" s="246"/>
      <c r="S606" s="355">
        <f>(Q/(N_1*S603)*(SQRT(G/DELTA_P)))</f>
        <v>14.158716864768749</v>
      </c>
      <c r="T606" s="355">
        <f>(E$3/(N_1*T603)*(SQRT(E$6/E$5)))</f>
        <v>38.973489540193512</v>
      </c>
      <c r="U606" s="355">
        <f>(F$3/(N_1*U603)*(SQRT(F$6/F$5)))</f>
        <v>88.576348578178795</v>
      </c>
      <c r="V606" s="355">
        <f>(G$3/(N_1*V603)*(SQRT(G$6/G$5)))</f>
        <v>135.56710470351294</v>
      </c>
      <c r="W606" s="6"/>
    </row>
    <row r="607" spans="16:23" x14ac:dyDescent="0.25">
      <c r="P607" s="246" t="s">
        <v>72</v>
      </c>
      <c r="Q607" s="244">
        <v>1</v>
      </c>
      <c r="R607" s="246"/>
      <c r="S607" s="355">
        <f>(Q/(N_1*S603)*SQRT(G/(S608)))</f>
        <v>11.609794304470123</v>
      </c>
      <c r="T607" s="355">
        <f>(E$3/(N_1*T603)*SQRT(E$6/T608))</f>
        <v>32.609113406809328</v>
      </c>
      <c r="U607" s="355">
        <f>(F$3/(N_1*U603)*SQRT(F$6/U608))</f>
        <v>75.099742474848483</v>
      </c>
      <c r="V607" s="355">
        <f>(G$3/(N_1*V603)*SQRT(G$6/V608))</f>
        <v>113.04789585595061</v>
      </c>
      <c r="W607" s="6"/>
    </row>
    <row r="608" spans="16:23" x14ac:dyDescent="0.25">
      <c r="P608" s="246" t="s">
        <v>75</v>
      </c>
      <c r="Q608" s="244">
        <v>3</v>
      </c>
      <c r="R608" s="246"/>
      <c r="S608" s="355">
        <f>(S605/S603)^2*(P_1-(F_F*P_V))</f>
        <v>47.593618181101121</v>
      </c>
      <c r="T608" s="355">
        <f>(T605/T603)^2*(E$4-(T$4*E$7))</f>
        <v>43.424436007818777</v>
      </c>
      <c r="U608" s="355">
        <f>(U605/U603)^2*(F$4-(U$4*F$7))</f>
        <v>34.638413948646722</v>
      </c>
      <c r="V608" s="355">
        <f>(V605/V603)^2*(G$4-(V$4*G$7))</f>
        <v>28.76164165053056</v>
      </c>
      <c r="W608" s="6"/>
    </row>
    <row r="609" spans="16:23" x14ac:dyDescent="0.25">
      <c r="P609" s="246" t="s">
        <v>29</v>
      </c>
      <c r="R609" s="246"/>
      <c r="S609" s="355">
        <f>IF(DELTA_P&lt;S608,S606,S607)</f>
        <v>14.158716864768749</v>
      </c>
      <c r="T609" s="355">
        <f>IF(E$5&lt;T608,T606,T607)</f>
        <v>38.973489540193512</v>
      </c>
      <c r="U609" s="355">
        <f>IF(F$5&lt;U608,U606,U607)</f>
        <v>88.576348578178795</v>
      </c>
      <c r="V609" s="355">
        <f>IF(G$5&lt;V608,V606,V607)</f>
        <v>135.56710470351294</v>
      </c>
      <c r="W609" s="6"/>
    </row>
    <row r="610" spans="16:23" x14ac:dyDescent="0.25">
      <c r="P610" s="246" t="s">
        <v>81</v>
      </c>
      <c r="R610" s="246"/>
      <c r="S610" s="355">
        <f>S602/S609</f>
        <v>1</v>
      </c>
      <c r="T610" s="355">
        <f>T602/T609</f>
        <v>1</v>
      </c>
      <c r="U610" s="355">
        <f>U602/U609</f>
        <v>1</v>
      </c>
      <c r="V610" s="355">
        <f>V602/V609</f>
        <v>1</v>
      </c>
      <c r="W610" s="6"/>
    </row>
    <row r="611" spans="16:23" x14ac:dyDescent="0.25">
      <c r="S611" s="324"/>
      <c r="T611" s="323"/>
      <c r="U611" s="323"/>
      <c r="V611" s="323"/>
    </row>
    <row r="612" spans="16:23" ht="13" x14ac:dyDescent="0.3">
      <c r="P612" s="317" t="s">
        <v>135</v>
      </c>
    </row>
    <row r="613" spans="16:23" ht="13" x14ac:dyDescent="0.3">
      <c r="P613" s="317" t="s">
        <v>136</v>
      </c>
    </row>
    <row r="614" spans="16:23" x14ac:dyDescent="0.25">
      <c r="P614" s="244" t="s">
        <v>137</v>
      </c>
      <c r="R614" s="244" t="s">
        <v>138</v>
      </c>
      <c r="S614" s="355">
        <f>S609</f>
        <v>14.158716864768749</v>
      </c>
      <c r="T614" s="355">
        <f>T609</f>
        <v>38.973489540193512</v>
      </c>
      <c r="U614" s="355">
        <f>U609</f>
        <v>88.576348578178795</v>
      </c>
      <c r="V614" s="355">
        <f>V609</f>
        <v>135.56710470351294</v>
      </c>
    </row>
    <row r="615" spans="16:23" x14ac:dyDescent="0.25">
      <c r="P615" s="244" t="s">
        <v>62</v>
      </c>
      <c r="Q615" s="244">
        <v>15</v>
      </c>
      <c r="R615" s="244" t="s">
        <v>139</v>
      </c>
      <c r="S615" s="323">
        <f>1/(SQRT(1+(SIGMA_ZETA/N_2)*(Final_Calculated_C/d^2)^2))</f>
        <v>0.9988289022800465</v>
      </c>
      <c r="T615" s="323">
        <f>1/(SQRT(1+(SIGMA_ZETA/N_2)*(T614/d^2)^2))</f>
        <v>0.99122790322681231</v>
      </c>
      <c r="U615" s="323">
        <f>1/(SQRT(1+(SIGMA_ZETA/N_2)*(U614/d^2)^2))</f>
        <v>0.957024201817536</v>
      </c>
      <c r="V615" s="323">
        <f>1/(SQRT(1+(SIGMA_ZETA/N_2)*(V614/d^2)^2))</f>
        <v>0.90717979875321164</v>
      </c>
    </row>
    <row r="616" spans="16:23" x14ac:dyDescent="0.25">
      <c r="P616" s="244" t="s">
        <v>65</v>
      </c>
      <c r="S616" s="323"/>
    </row>
    <row r="617" spans="16:23" x14ac:dyDescent="0.25">
      <c r="P617" s="244" t="s">
        <v>67</v>
      </c>
      <c r="Q617" s="244">
        <v>21</v>
      </c>
      <c r="R617" s="244" t="s">
        <v>140</v>
      </c>
      <c r="S617" s="323">
        <f>F_L/SQRT(1+((F_L^2/N_2)*SIGMA_ZETA_1*(Final_Calculated_C/d^2)^2))</f>
        <v>0.91868329719081188</v>
      </c>
      <c r="T617" s="323">
        <f>E9/SQRT(1+((E9^2/N_2)*SIGMA_ZETA_1*(T614/d^2)^2))</f>
        <v>0.88108433140201292</v>
      </c>
      <c r="U617" s="323">
        <f>F9/SQRT(1+((F9^2/N_2)*SIGMA_ZETA_1*(U614/d^2)^2))</f>
        <v>0.79449455771979816</v>
      </c>
      <c r="V617" s="323">
        <f>G9/SQRT(1+((G9^2/N_2)*SIGMA_ZETA_1*(V614/d^2)^2))</f>
        <v>0.71531554432738398</v>
      </c>
    </row>
    <row r="618" spans="16:23" x14ac:dyDescent="0.25">
      <c r="P618" s="244" t="s">
        <v>141</v>
      </c>
      <c r="Q618" s="244">
        <v>1</v>
      </c>
      <c r="R618" s="244" t="s">
        <v>142</v>
      </c>
      <c r="S618" s="323">
        <f>Final_Calculated_C*N_1*Final_F_P*SQRT(DELTA_P/G)</f>
        <v>80.000000000000014</v>
      </c>
      <c r="T618" s="323">
        <f>T614*N_1*T615*SQRT(E5/E6)</f>
        <v>212.99999999999994</v>
      </c>
      <c r="U618" s="323">
        <f>U614*N_1*U615*SQRT(F5/F6)</f>
        <v>423.00000000000006</v>
      </c>
      <c r="V618" s="323">
        <f>V614*N_1*V615*SQRT(G5/G6)</f>
        <v>550.00000000000011</v>
      </c>
    </row>
    <row r="619" spans="16:23" x14ac:dyDescent="0.25">
      <c r="P619" s="244" t="s">
        <v>143</v>
      </c>
      <c r="Q619" s="244">
        <v>1</v>
      </c>
      <c r="R619" s="244" t="s">
        <v>144</v>
      </c>
      <c r="S619" s="323">
        <f>Final_Calculated_C*N_1*Final_F_P*SQRT(Final_Delta_P_Ch_W_Reducers/G)</f>
        <v>97.563946395275664</v>
      </c>
      <c r="T619" s="323">
        <f>T614*N_1*T615*SQRT(T620/E6)</f>
        <v>254.57157232394297</v>
      </c>
      <c r="U619" s="323">
        <f>U614*N_1*U615*SQRT(U620/F6)</f>
        <v>498.90710958320398</v>
      </c>
      <c r="V619" s="323">
        <f>V614*N_1*V615*SQRT(V620/G6)</f>
        <v>659.56033079944609</v>
      </c>
    </row>
    <row r="620" spans="16:23" x14ac:dyDescent="0.25">
      <c r="P620" s="244" t="s">
        <v>75</v>
      </c>
      <c r="Q620" s="244">
        <v>3</v>
      </c>
      <c r="R620" s="244" t="s">
        <v>145</v>
      </c>
      <c r="S620" s="323">
        <f>(Final_F_LP/Final_F_P)^2*(P_1-(F_F*P_V))</f>
        <v>47.593618181101121</v>
      </c>
      <c r="T620" s="323">
        <f>(T617/T615)^2*(E4-T4*E7)</f>
        <v>43.424436007818777</v>
      </c>
      <c r="U620" s="323">
        <f>(U617/U615)^2*(F4-U4*F7)</f>
        <v>34.638413948646722</v>
      </c>
      <c r="V620" s="323">
        <f>(V617/V615)^2*(G4-V4*G7)</f>
        <v>28.76164165053056</v>
      </c>
    </row>
    <row r="621" spans="16:23" ht="13" x14ac:dyDescent="0.3">
      <c r="P621" s="7" t="s">
        <v>175</v>
      </c>
      <c r="Q621" s="7"/>
      <c r="R621" s="7" t="s">
        <v>146</v>
      </c>
      <c r="S621" s="356">
        <f>IF(DELTA_P&lt;Final_Delta_P_Ch_W_Reducers,Final_Flow_NonCh_W_Reducers,Final_Flow_Ch_W_Reducers)</f>
        <v>80.000000000000014</v>
      </c>
      <c r="T621" s="356">
        <f>IF(E5&lt;T620,T618,T619)</f>
        <v>212.99999999999994</v>
      </c>
      <c r="U621" s="356">
        <f>IF(F5&lt;U620,U618,U619)</f>
        <v>423.00000000000006</v>
      </c>
      <c r="V621" s="356">
        <f>IF(G5&lt;V620,V618,V619)</f>
        <v>550.00000000000011</v>
      </c>
    </row>
    <row r="624" spans="16:23" ht="13" x14ac:dyDescent="0.3">
      <c r="P624" s="247" t="s">
        <v>83</v>
      </c>
      <c r="Q624" s="246"/>
      <c r="R624" s="246"/>
      <c r="S624" s="248"/>
      <c r="T624" s="248"/>
      <c r="U624" s="248"/>
      <c r="V624" s="248"/>
    </row>
    <row r="625" spans="16:22" ht="13" x14ac:dyDescent="0.3">
      <c r="P625" s="247" t="s">
        <v>147</v>
      </c>
      <c r="Q625" s="246"/>
      <c r="R625" s="246"/>
      <c r="S625" s="248"/>
      <c r="T625" s="248"/>
      <c r="U625" s="248"/>
      <c r="V625" s="248"/>
    </row>
    <row r="626" spans="16:22" x14ac:dyDescent="0.25">
      <c r="P626" s="246"/>
      <c r="Q626" s="246"/>
      <c r="R626" s="246"/>
      <c r="S626" s="248"/>
      <c r="T626" s="248"/>
      <c r="U626" s="248"/>
      <c r="V626" s="248"/>
    </row>
    <row r="627" spans="16:22" x14ac:dyDescent="0.25">
      <c r="P627" s="246" t="s">
        <v>84</v>
      </c>
      <c r="Q627" s="246"/>
      <c r="R627" s="246" t="s">
        <v>85</v>
      </c>
      <c r="S627" s="248">
        <f>IF(N_2=890,d,d*0.0394)</f>
        <v>3</v>
      </c>
      <c r="T627" s="248">
        <f>IF(N_2=890,d,d*0.0394)</f>
        <v>3</v>
      </c>
      <c r="U627" s="248">
        <f>IF(N_2=890,d,d*0.0394)</f>
        <v>3</v>
      </c>
      <c r="V627" s="248">
        <f>IF(N_2=890,d,d*0.0394)</f>
        <v>3</v>
      </c>
    </row>
    <row r="628" spans="16:22" x14ac:dyDescent="0.25">
      <c r="P628" s="246" t="s">
        <v>86</v>
      </c>
      <c r="Q628" s="246"/>
      <c r="R628" s="246" t="s">
        <v>87</v>
      </c>
      <c r="S628" s="248">
        <f>IF(FLAG_1=1,C_/d_in^2,C_*1.156/d_in^2)</f>
        <v>1.5731907627520831</v>
      </c>
      <c r="T628" s="248">
        <f>IF(FLAG_1=1,E15/d_in^2,E15*1.156/d_in^2)</f>
        <v>4.3303877266881683</v>
      </c>
      <c r="U628" s="248">
        <f>IF(FLAG_1=1,F15/d_in^2,F15*1.156/d_in^2)</f>
        <v>9.8418165086865326</v>
      </c>
      <c r="V628" s="248">
        <f>IF(FLAG_1=1,G15/d_in^2,G15*1.156/d_in^2)</f>
        <v>15.06301163372366</v>
      </c>
    </row>
    <row r="629" spans="16:22" x14ac:dyDescent="0.25">
      <c r="P629" s="246"/>
      <c r="Q629" s="246"/>
      <c r="R629" s="246"/>
      <c r="S629" s="248"/>
      <c r="T629" s="248"/>
      <c r="U629" s="248"/>
      <c r="V629" s="248"/>
    </row>
    <row r="630" spans="16:22" x14ac:dyDescent="0.25">
      <c r="P630" s="246" t="s">
        <v>88</v>
      </c>
      <c r="Q630" s="246"/>
      <c r="R630" s="246"/>
      <c r="S630" s="248"/>
      <c r="T630" s="248"/>
      <c r="U630" s="248"/>
      <c r="V630" s="248"/>
    </row>
    <row r="631" spans="16:22" x14ac:dyDescent="0.25">
      <c r="P631" s="246" t="s">
        <v>89</v>
      </c>
      <c r="Q631" s="246"/>
      <c r="R631" s="246"/>
      <c r="S631" s="248"/>
      <c r="T631" s="248"/>
      <c r="U631" s="248"/>
      <c r="V631" s="248"/>
    </row>
    <row r="632" spans="16:22" x14ac:dyDescent="0.25">
      <c r="P632" s="246" t="s">
        <v>90</v>
      </c>
      <c r="Q632" s="246"/>
      <c r="R632" s="246"/>
      <c r="S632" s="248"/>
      <c r="T632" s="248"/>
      <c r="U632" s="248"/>
      <c r="V632" s="248"/>
    </row>
    <row r="633" spans="16:22" x14ac:dyDescent="0.25">
      <c r="P633" s="246" t="s">
        <v>91</v>
      </c>
      <c r="Q633" s="246"/>
      <c r="R633" s="246"/>
      <c r="S633" s="248"/>
      <c r="T633" s="248"/>
      <c r="U633" s="248"/>
      <c r="V633" s="248"/>
    </row>
    <row r="634" spans="16:22" x14ac:dyDescent="0.25">
      <c r="P634" s="246" t="s">
        <v>92</v>
      </c>
      <c r="Q634" s="246"/>
      <c r="R634" s="246" t="s">
        <v>93</v>
      </c>
      <c r="S634" s="248">
        <f>IF(C_d&gt;10,0.299,0.636-0.0567*C_d+0.0023*C_d^2)</f>
        <v>0.55249242085677641</v>
      </c>
      <c r="T634" s="248">
        <f>IF(T628&gt;10,0.299,0.636-0.0567*T628+0.0023*T628^2)</f>
        <v>0.43359720898271942</v>
      </c>
      <c r="U634" s="248">
        <f>IF(U628&gt;10,0.299,0.636-0.0567*U628+0.0023*U628^2)</f>
        <v>0.30075011399597962</v>
      </c>
      <c r="V634" s="248">
        <f>IF(V628&gt;10,0.299,0.636-0.0567*V628+0.0023*V628^2)</f>
        <v>0.29899999999999999</v>
      </c>
    </row>
    <row r="635" spans="16:22" x14ac:dyDescent="0.25">
      <c r="P635" s="246" t="s">
        <v>94</v>
      </c>
      <c r="Q635" s="246"/>
      <c r="R635" s="246" t="s">
        <v>95</v>
      </c>
      <c r="S635" s="248">
        <f>IF(C_d&gt;16,0.17,0.58-0.076*C_d+0.0083*C_d^2-0.00032*C_d^3)</f>
        <v>0.47973348276190014</v>
      </c>
      <c r="T635" s="248">
        <f>IF(T628&gt;16,0.17,0.58-0.076*T628+0.0083*T628^2-0.00032*T628^3)</f>
        <v>0.38054881790248052</v>
      </c>
      <c r="U635" s="248">
        <f>IF(U628&gt;16,0.17,0.58-0.076*U628+0.0083*U628^2-0.00032*U628^3)</f>
        <v>0.33091783890827836</v>
      </c>
      <c r="V635" s="248">
        <f>IF(V628&gt;16,0.17,0.58-0.076*V628+0.0083*V628^2-0.00032*V628^3)</f>
        <v>0.22476619984800128</v>
      </c>
    </row>
    <row r="636" spans="16:22" x14ac:dyDescent="0.25">
      <c r="P636" s="246" t="s">
        <v>96</v>
      </c>
      <c r="Q636" s="246"/>
      <c r="R636" s="246" t="s">
        <v>97</v>
      </c>
      <c r="S636" s="248">
        <f>IF(C_d&gt;45,0.16,0.44-0.0124*C_d+0.000138*C_d^2)</f>
        <v>0.42083397476816337</v>
      </c>
      <c r="T636" s="248">
        <f>IF(T628&gt;45,0.16,0.44-0.0124*T628+0.000138*T628^2)</f>
        <v>0.38889100377422303</v>
      </c>
      <c r="U636" s="248">
        <f>IF(U628&gt;45,0.16,0.44-0.0124*U628+0.000138*U628^2)</f>
        <v>0.33132834189459737</v>
      </c>
      <c r="V636" s="248">
        <f>IF(V628&gt;45,0.16,0.44-0.0124*V628+0.000138*V628^2)</f>
        <v>0.28453007182974843</v>
      </c>
    </row>
    <row r="637" spans="16:22" x14ac:dyDescent="0.25">
      <c r="P637" s="246" t="s">
        <v>98</v>
      </c>
      <c r="Q637" s="246"/>
      <c r="R637" s="246" t="s">
        <v>99</v>
      </c>
      <c r="S637" s="248">
        <f>IF(C_d&gt;47,0.12,0.37-0.0104*C_d+0.00011*C_d^2)</f>
        <v>0.3539110582767393</v>
      </c>
      <c r="T637" s="248">
        <f>IF(T628&gt;47,0.12,0.37-0.0104*T628+0.00011*T628^2)</f>
        <v>0.32702671600742272</v>
      </c>
      <c r="U637" s="248">
        <f>IF(U628&gt;47,0.12,0.37-0.0104*U628+0.00011*U628^2)</f>
        <v>0.27829985705063209</v>
      </c>
      <c r="V637" s="248">
        <f>IF(V628&gt;47,0.12,0.37-0.0104*V628+0.00011*V628^2)</f>
        <v>0.23830305415182032</v>
      </c>
    </row>
    <row r="638" spans="16:22" x14ac:dyDescent="0.25">
      <c r="P638" s="246" t="s">
        <v>100</v>
      </c>
      <c r="Q638" s="246"/>
      <c r="R638" s="246" t="s">
        <v>101</v>
      </c>
      <c r="S638" s="248">
        <f>IF(C_d&lt;=34,0.512*EXP(-0.0376*C_d),1.19*C_d^-0.6)</f>
        <v>0.48259251935698499</v>
      </c>
      <c r="T638" s="248">
        <f>IF(T628&lt;=34,0.512*EXP(-0.0376*T628),1.19*T628^-0.6)</f>
        <v>0.43506787200529889</v>
      </c>
      <c r="U638" s="248">
        <f>IF(U628&lt;=34,0.512*EXP(-0.0376*U628),1.19*U628^-0.6)</f>
        <v>0.35363748130542311</v>
      </c>
      <c r="V638" s="248">
        <f>IF(V628&lt;=34,0.512*EXP(-0.0376*V628),1.19*V628^-0.6)</f>
        <v>0.2906022191682</v>
      </c>
    </row>
    <row r="639" spans="16:22" x14ac:dyDescent="0.25">
      <c r="P639" s="246" t="s">
        <v>304</v>
      </c>
      <c r="R639" s="246" t="s">
        <v>306</v>
      </c>
      <c r="S639" s="323">
        <v>0.86</v>
      </c>
      <c r="T639" s="323">
        <v>0.86</v>
      </c>
      <c r="U639" s="323">
        <v>0.86</v>
      </c>
      <c r="V639" s="323">
        <v>0.86</v>
      </c>
    </row>
    <row r="640" spans="16:22" x14ac:dyDescent="0.25">
      <c r="P640" s="246" t="s">
        <v>102</v>
      </c>
      <c r="Q640" s="246"/>
      <c r="R640" s="246" t="s">
        <v>103</v>
      </c>
      <c r="S640" s="248">
        <f>IF(VSC=5,z_5,IF(VSC=4,z_4,IF(VSC=3,z_3,IF(VSC=2,z_2,IF(VSC=1,z_1,z_0)))))</f>
        <v>0.42083397476816337</v>
      </c>
      <c r="T640" s="248">
        <f>IF(VSC=5,T639,IF(VSC=4,T638,IF(VSC=3,T637,IF(VSC=2,T636,IF(VSC=1,T635,T634)))))</f>
        <v>0.38889100377422303</v>
      </c>
      <c r="U640" s="248">
        <f>IF(VSC=5,U639,IF(VSC=4,U638,IF(VSC=3,U637,IF(VSC=2,U636,IF(VSC=1,U635,U634)))))</f>
        <v>0.33132834189459737</v>
      </c>
      <c r="V640" s="248">
        <f>IF(VSC=5,V639,IF(VSC=4,V638,IF(VSC=3,V637,IF(VSC=2,V636,IF(VSC=1,V635,V634)))))</f>
        <v>0.28453007182974843</v>
      </c>
    </row>
    <row r="641" spans="16:22" x14ac:dyDescent="0.25">
      <c r="P641" s="246" t="s">
        <v>104</v>
      </c>
      <c r="Q641" s="246"/>
      <c r="R641" s="246"/>
      <c r="S641" s="248"/>
      <c r="T641" s="248"/>
      <c r="U641" s="248"/>
      <c r="V641" s="248"/>
    </row>
    <row r="642" spans="16:22" x14ac:dyDescent="0.25">
      <c r="P642" s="246" t="s">
        <v>105</v>
      </c>
      <c r="Q642" s="246"/>
      <c r="R642" s="246" t="s">
        <v>106</v>
      </c>
      <c r="S642" s="248">
        <f>DELTA_P/(P_1-P_V)</f>
        <v>0.56899004267425313</v>
      </c>
      <c r="T642" s="248">
        <f>E$5/(E$4-E$7)</f>
        <v>0.55333090644339278</v>
      </c>
      <c r="U642" s="248">
        <f>F$5/(F$4-F$7)</f>
        <v>0.49562101910828021</v>
      </c>
      <c r="V642" s="248">
        <f>G$5/(G$4-G$7)</f>
        <v>0.43252595155709339</v>
      </c>
    </row>
    <row r="643" spans="16:22" x14ac:dyDescent="0.25">
      <c r="P643" s="246" t="s">
        <v>107</v>
      </c>
      <c r="Q643" s="246"/>
      <c r="R643" s="246" t="s">
        <v>108</v>
      </c>
      <c r="S643" s="248">
        <f>IF(x_F&lt;=z,0,(x_F-z)/(1-z))</f>
        <v>0.25580932142347917</v>
      </c>
      <c r="T643" s="248">
        <f>IF(T642&lt;=T640,0,(T642-T640)/(1-T640))</f>
        <v>0.26908440832119035</v>
      </c>
      <c r="U643" s="248">
        <f>IF(U642&lt;=U640,0,(U642-U640)/(1-U640))</f>
        <v>0.24570007599721747</v>
      </c>
      <c r="V643" s="248">
        <f>IF(V642&lt;=V640,0,(V642-V640)/(1-V640))</f>
        <v>0.20685129297583588</v>
      </c>
    </row>
    <row r="644" spans="16:22" x14ac:dyDescent="0.25">
      <c r="P644" s="246"/>
      <c r="Q644" s="246"/>
      <c r="R644" s="246"/>
      <c r="S644" s="248"/>
      <c r="T644" s="248"/>
      <c r="U644" s="248"/>
      <c r="V644" s="248"/>
    </row>
    <row r="645" spans="16:22" x14ac:dyDescent="0.25">
      <c r="P645" s="246" t="s">
        <v>109</v>
      </c>
      <c r="Q645" s="246"/>
      <c r="R645" s="246"/>
      <c r="S645" s="248"/>
      <c r="T645" s="248"/>
      <c r="U645" s="248"/>
      <c r="V645" s="248"/>
    </row>
    <row r="646" spans="16:22" x14ac:dyDescent="0.25">
      <c r="P646" s="246" t="s">
        <v>110</v>
      </c>
      <c r="Q646" s="246"/>
      <c r="R646" s="246"/>
      <c r="S646" s="248"/>
      <c r="T646" s="248"/>
      <c r="U646" s="248"/>
      <c r="V646" s="248"/>
    </row>
    <row r="647" spans="16:22" x14ac:dyDescent="0.25">
      <c r="P647" s="246" t="s">
        <v>92</v>
      </c>
      <c r="Q647" s="246"/>
      <c r="R647" s="246" t="s">
        <v>111</v>
      </c>
      <c r="S647" s="323">
        <f>-1.1-31.5*x_R+33.4*x_R^2</f>
        <v>-6.9723507666730873</v>
      </c>
      <c r="T647" s="323">
        <f>-1.1-31.5*T643+33.4*T643^2</f>
        <v>-7.1577844741452212</v>
      </c>
      <c r="U647" s="323">
        <f>-1.1-31.5*U643+33.4*U643^2</f>
        <v>-6.8232435805880671</v>
      </c>
      <c r="V647" s="323">
        <f>-1.1-31.5*V643+33.4*V643^2</f>
        <v>-6.1867146513859428</v>
      </c>
    </row>
    <row r="648" spans="16:22" x14ac:dyDescent="0.25">
      <c r="P648" s="246" t="s">
        <v>94</v>
      </c>
      <c r="Q648" s="246"/>
      <c r="R648" s="246" t="s">
        <v>112</v>
      </c>
      <c r="S648" s="323">
        <f>DeltaLf_0</f>
        <v>-6.9723507666730873</v>
      </c>
      <c r="T648" s="323">
        <f>T647</f>
        <v>-7.1577844741452212</v>
      </c>
      <c r="U648" s="323">
        <f>U647</f>
        <v>-6.8232435805880671</v>
      </c>
      <c r="V648" s="323">
        <f>V647</f>
        <v>-6.1867146513859428</v>
      </c>
    </row>
    <row r="649" spans="16:22" x14ac:dyDescent="0.25">
      <c r="P649" s="246" t="s">
        <v>96</v>
      </c>
      <c r="Q649" s="246"/>
      <c r="R649" s="246" t="s">
        <v>113</v>
      </c>
      <c r="S649" s="323">
        <f>IF(x_R&lt;=0.3,0,IF(x_R&lt;=0.5,30*x_R-9,6))</f>
        <v>0</v>
      </c>
      <c r="T649" s="323">
        <f>IF(T643&lt;=0.3,0,IF(T643&lt;=0.5,30*T643-9,6))</f>
        <v>0</v>
      </c>
      <c r="U649" s="323">
        <f>IF(U643&lt;=0.3,0,IF(U643&lt;=0.5,30*U643-9,6))</f>
        <v>0</v>
      </c>
      <c r="V649" s="323">
        <f>IF(V643&lt;=0.3,0,IF(V643&lt;=0.5,30*V643-9,6))</f>
        <v>0</v>
      </c>
    </row>
    <row r="650" spans="16:22" x14ac:dyDescent="0.25">
      <c r="P650" s="246" t="s">
        <v>98</v>
      </c>
      <c r="Q650" s="246"/>
      <c r="R650" s="246" t="s">
        <v>114</v>
      </c>
      <c r="S650" s="323">
        <f>IF(x_R&lt;=0.1,20*x_R,2)</f>
        <v>2</v>
      </c>
      <c r="T650" s="323">
        <f>IF(T643&lt;=0.1,20*T643,2)</f>
        <v>2</v>
      </c>
      <c r="U650" s="323">
        <f>IF(U643&lt;=0.1,20*U643,2)</f>
        <v>2</v>
      </c>
      <c r="V650" s="323">
        <f>IF(V643&lt;=0.1,20*V643,2)</f>
        <v>2</v>
      </c>
    </row>
    <row r="651" spans="16:22" x14ac:dyDescent="0.25">
      <c r="P651" s="246" t="s">
        <v>100</v>
      </c>
      <c r="Q651" s="246"/>
      <c r="R651" s="246" t="s">
        <v>115</v>
      </c>
      <c r="S651" s="323">
        <f>6*x_R</f>
        <v>1.5348559285408752</v>
      </c>
      <c r="T651" s="323">
        <f>6*T643</f>
        <v>1.6145064499271422</v>
      </c>
      <c r="U651" s="323">
        <f>6*U643</f>
        <v>1.4742004559833048</v>
      </c>
      <c r="V651" s="323">
        <f>6*V643</f>
        <v>1.2411077578550151</v>
      </c>
    </row>
    <row r="652" spans="16:22" x14ac:dyDescent="0.25">
      <c r="P652" s="246" t="s">
        <v>304</v>
      </c>
      <c r="R652" s="246" t="s">
        <v>305</v>
      </c>
      <c r="S652" s="323">
        <f>-20</f>
        <v>-20</v>
      </c>
      <c r="T652" s="323">
        <f>-20</f>
        <v>-20</v>
      </c>
      <c r="U652" s="323">
        <f>-20</f>
        <v>-20</v>
      </c>
      <c r="V652" s="323">
        <f>-20</f>
        <v>-20</v>
      </c>
    </row>
    <row r="653" spans="16:22" x14ac:dyDescent="0.25">
      <c r="P653" s="246" t="s">
        <v>102</v>
      </c>
      <c r="Q653" s="246"/>
      <c r="R653" s="246" t="s">
        <v>116</v>
      </c>
      <c r="S653" s="323">
        <f>IF(VSC=5,DeltaLf_5,IF(VSC=4,DeltaLf_4,IF(VSC=3,DeltaLf_3,IF(VSC=2,DeltaLf_2,IF(VSC=1,DeltaLf_1,DeltaLf_0)))))</f>
        <v>0</v>
      </c>
      <c r="T653" s="323">
        <f>IF(VSC=5,T652,IF(VSC=4,T651,IF(VSC=3,T650,IF(VSC=2,T649,IF(VSC=1,T648,T647)))))</f>
        <v>0</v>
      </c>
      <c r="U653" s="323">
        <f>IF(VSC=5,U652,IF(VSC=4,U651,IF(VSC=3,U650,IF(VSC=2,U649,IF(VSC=1,U648,U647)))))</f>
        <v>0</v>
      </c>
      <c r="V653" s="323">
        <f>IF(VSC=5,V652,IF(VSC=4,V651,IF(VSC=3,V650,IF(VSC=2,V649,IF(VSC=1,V648,V647)))))</f>
        <v>0</v>
      </c>
    </row>
    <row r="654" spans="16:22" x14ac:dyDescent="0.25">
      <c r="P654" s="246" t="s">
        <v>104</v>
      </c>
      <c r="Q654" s="246"/>
      <c r="R654" s="246"/>
      <c r="S654" s="248"/>
      <c r="T654" s="248"/>
      <c r="U654" s="248"/>
      <c r="V654" s="248"/>
    </row>
    <row r="655" spans="16:22" x14ac:dyDescent="0.25">
      <c r="P655" s="246" t="s">
        <v>117</v>
      </c>
      <c r="Q655" s="246"/>
      <c r="R655" s="246" t="s">
        <v>118</v>
      </c>
      <c r="S655" s="248">
        <f>10*LOG(IF(FLAG_1=1,C_,C_*1.156))+18*LOG(P_1-P_V)-5*LOG(IF(N_41=12.1,62.37*G,999*G))+N_41+DeltaLp</f>
        <v>44.136175867487644</v>
      </c>
      <c r="T655" s="248">
        <f>10*LOG(IF(FLAG_1=1,E15,E15*1.156))+18*LOG(E$4-E$7)-5*LOG(IF(N_41=12.1,62.37*E$6,999*E$6))+N_41+DeltaLp</f>
        <v>48.350809997605346</v>
      </c>
      <c r="U655" s="248">
        <f>10*LOG(IF(FLAG_1=1,F15,F15*1.156))+18*LOG(F$4-F$7)-5*LOG(IF(N_41=12.1,62.37*F$6,999*F$6))+N_41+DeltaLp</f>
        <v>51.217192364919647</v>
      </c>
      <c r="V655" s="248">
        <f>10*LOG(IF(FLAG_1=1,G15,G15*1.156))+18*LOG(G$4-G$7)-5*LOG(IF(N_41=12.1,62.37*G$6,999*G$6))+N_41+DeltaLp</f>
        <v>52.416985346721169</v>
      </c>
    </row>
    <row r="656" spans="16:22" x14ac:dyDescent="0.25">
      <c r="P656" s="246" t="s">
        <v>119</v>
      </c>
      <c r="Q656" s="246"/>
      <c r="R656" s="246" t="s">
        <v>120</v>
      </c>
      <c r="S656" s="248">
        <f>SPL_C+18*LOG(x_F/z)</f>
        <v>46.494065568622545</v>
      </c>
      <c r="T656" s="248">
        <f>T655+18*LOG(T642/T640)</f>
        <v>51.107636570116497</v>
      </c>
      <c r="U656" s="248">
        <f>U655+18*LOG(U642/U640)</f>
        <v>54.365232691531865</v>
      </c>
      <c r="V656" s="248">
        <f>V655+18*LOG(V642/V640)</f>
        <v>55.690897288135233</v>
      </c>
    </row>
    <row r="657" spans="16:22" x14ac:dyDescent="0.25">
      <c r="P657" s="246" t="s">
        <v>121</v>
      </c>
      <c r="Q657" s="246"/>
      <c r="R657" s="246" t="s">
        <v>122</v>
      </c>
      <c r="S657" s="248">
        <f>SPL_C+292*(x_F-z)^0.75-(268+38*z)*(x_F-z)^0.935+DeltaLf</f>
        <v>66.231385283247789</v>
      </c>
      <c r="T657" s="248">
        <f>T655+292*(T642-T640)^0.75-(268+38*T640)*(T642-T640)^0.935+T653</f>
        <v>71.46452902261575</v>
      </c>
      <c r="U657" s="248">
        <f>U655+292*(U642-U640)^0.75-(268+38*U640)*(U642-U640)^0.935+U653</f>
        <v>74.728183241438131</v>
      </c>
      <c r="V657" s="248">
        <f>V655+292*(V642-V640)^0.75-(268+38*V640)*(V642-V640)^0.935+V653</f>
        <v>75.37171099211497</v>
      </c>
    </row>
    <row r="658" spans="16:22" x14ac:dyDescent="0.25">
      <c r="P658" s="246" t="s">
        <v>123</v>
      </c>
      <c r="Q658" s="246"/>
      <c r="R658" s="246" t="s">
        <v>124</v>
      </c>
      <c r="S658" s="248">
        <f>IF(x_F&lt;z,SPL_L,SPL_G)</f>
        <v>66.231385283247789</v>
      </c>
      <c r="T658" s="248">
        <f>IF(T642&lt;T640,T656,T657)</f>
        <v>71.46452902261575</v>
      </c>
      <c r="U658" s="248">
        <f>IF(U642&lt;U640,U656,U657)</f>
        <v>74.728183241438131</v>
      </c>
      <c r="V658" s="248">
        <f>IF(V642&lt;V640,V656,V657)</f>
        <v>75.37171099211497</v>
      </c>
    </row>
    <row r="659" spans="16:22" x14ac:dyDescent="0.25">
      <c r="S659" s="323"/>
      <c r="T659" s="323"/>
      <c r="U659" s="323"/>
      <c r="V659" s="323"/>
    </row>
    <row r="660" spans="16:22" ht="13" x14ac:dyDescent="0.3">
      <c r="P660" s="247" t="s">
        <v>174</v>
      </c>
      <c r="R660" s="247" t="s">
        <v>240</v>
      </c>
      <c r="S660" s="323"/>
      <c r="T660" s="323"/>
      <c r="U660" s="323"/>
      <c r="V660" s="323"/>
    </row>
    <row r="661" spans="16:22" x14ac:dyDescent="0.25">
      <c r="S661" s="323"/>
      <c r="T661" s="323"/>
      <c r="U661" s="323"/>
      <c r="V661" s="323"/>
    </row>
    <row r="662" spans="16:22" x14ac:dyDescent="0.25">
      <c r="P662" s="244" t="s">
        <v>160</v>
      </c>
      <c r="R662" s="244" t="s">
        <v>161</v>
      </c>
      <c r="S662" s="323">
        <f>C_NonCh</f>
        <v>14.142135623730951</v>
      </c>
      <c r="T662" s="323">
        <f>T7</f>
        <v>38.631610318358121</v>
      </c>
      <c r="U662" s="323">
        <f>U7</f>
        <v>84.769709297943407</v>
      </c>
      <c r="V662" s="323">
        <f>V7</f>
        <v>122.98373876248843</v>
      </c>
    </row>
    <row r="663" spans="16:22" x14ac:dyDescent="0.25">
      <c r="P663" s="244" t="s">
        <v>159</v>
      </c>
      <c r="Q663" s="244">
        <v>23</v>
      </c>
      <c r="R663" s="244" t="s">
        <v>194</v>
      </c>
      <c r="S663" s="323">
        <f>((N_4*F_D*Q)/(nu*SQRT(S662*F_L))*((F_L^2*S662^2)/(N_2*d^4)+1)^0.25)</f>
        <v>11517.562651579425</v>
      </c>
      <c r="T663" s="323">
        <f>((N_4*E$23*E$3)/(E$22*SQRT(T662*E$9))*((E$9^2*T662^2)/(N_2*d^4)+1)^0.25)</f>
        <v>18929.820747268957</v>
      </c>
      <c r="U663" s="323">
        <f>((N_4*F$23*F$3)/(F$22*SQRT(U662*F$9))*((F$9^2*U662^2)/(N_2*d^4)+1)^0.25)</f>
        <v>28828.448537679182</v>
      </c>
      <c r="V663" s="323">
        <f>((N_4*G$23*G$3)/(G$22*SQRT(V662*G$9))*((G$9^2*V662^2)/(N_2*d^4)+1)^0.25)</f>
        <v>34037.670124390759</v>
      </c>
    </row>
    <row r="664" spans="16:22" ht="14.5" x14ac:dyDescent="0.25">
      <c r="P664" s="246" t="s">
        <v>324</v>
      </c>
      <c r="Q664" s="244" t="s">
        <v>162</v>
      </c>
      <c r="S664" s="323">
        <f>N_2/((C_i_NT/d^2))^2</f>
        <v>360.44999999999993</v>
      </c>
      <c r="T664" s="323">
        <f>N_2/((T662/d^2))^2</f>
        <v>48.304701448125378</v>
      </c>
      <c r="U664" s="323">
        <f>N_2/((U662/d^2))^2</f>
        <v>10.032141240380259</v>
      </c>
      <c r="V664" s="323">
        <f>N_2/((V662/d^2))^2</f>
        <v>4.7662809917355373</v>
      </c>
    </row>
    <row r="665" spans="16:22" ht="14.5" x14ac:dyDescent="0.25">
      <c r="P665" s="246" t="s">
        <v>325</v>
      </c>
      <c r="Q665" s="244" t="s">
        <v>163</v>
      </c>
      <c r="S665" s="323">
        <f>1+N_32*(C_i_NT/d^2)^(2/3)</f>
        <v>23.977207538832843</v>
      </c>
      <c r="T665" s="323">
        <f>1+N_32*(T662/d^2)^(2/3)</f>
        <v>45.900287604253037</v>
      </c>
      <c r="U665" s="323">
        <f>1+N_32*(U662/d^2)^(2/3)</f>
        <v>76.819522382349405</v>
      </c>
      <c r="V665" s="323">
        <f>1+N_32*(V662/d^2)^(2/3)</f>
        <v>98.167055626516756</v>
      </c>
    </row>
    <row r="666" spans="16:22" x14ac:dyDescent="0.25">
      <c r="P666" s="244" t="s">
        <v>168</v>
      </c>
      <c r="S666" s="323">
        <f>IF(RED_TRM="no",S664,S665)</f>
        <v>360.44999999999993</v>
      </c>
      <c r="T666" s="323">
        <f>IF(RED_TRM="no",T664,T665)</f>
        <v>48.304701448125378</v>
      </c>
      <c r="U666" s="323">
        <f>IF(RED_TRM="no",U664,U665)</f>
        <v>10.032141240380259</v>
      </c>
      <c r="V666" s="323">
        <f>IF(RED_TRM="no",V664,V665)</f>
        <v>4.7662809917355373</v>
      </c>
    </row>
    <row r="667" spans="16:22" ht="15.5" x14ac:dyDescent="0.4">
      <c r="P667" s="244" t="s">
        <v>165</v>
      </c>
      <c r="S667" s="323"/>
    </row>
    <row r="668" spans="16:22" ht="15.5" x14ac:dyDescent="0.4">
      <c r="P668" s="244" t="s">
        <v>166</v>
      </c>
      <c r="Q668" s="244" t="s">
        <v>169</v>
      </c>
      <c r="S668" s="323">
        <f>MIN((0.026/F_L)*SQRT(S666*Re_V),1)</f>
        <v>1</v>
      </c>
      <c r="T668" s="323">
        <f>MIN((0.026/E$9)*SQRT(T666*T663),1)</f>
        <v>1</v>
      </c>
      <c r="U668" s="323">
        <f>MIN((0.026/F$9)*SQRT(U666*U663),1)</f>
        <v>1</v>
      </c>
      <c r="V668" s="323">
        <f>MIN((0.026/G$9)*SQRT(V666*V663),1)</f>
        <v>1</v>
      </c>
    </row>
    <row r="669" spans="16:22" ht="15.5" x14ac:dyDescent="0.4">
      <c r="P669" s="244" t="s">
        <v>167</v>
      </c>
      <c r="Q669" s="244" t="s">
        <v>171</v>
      </c>
      <c r="S669" s="323">
        <f>MIN(1+((0.33*F_L^(1/2))/S666^(1/4)*LOG10(Re_V/10000)),(0.026/F_L)*SQRT(S666*Re_V),1)</f>
        <v>1</v>
      </c>
      <c r="T669" s="323">
        <f>MIN(1+((0.33*E$9^(1/2))/T666^(1/4)*LOG10(T663/10000)),(0.026/E$9)*SQRT(T666*T663),1)</f>
        <v>1</v>
      </c>
      <c r="U669" s="323">
        <f>MIN(1+((0.33*F$9^(1/2))/U666^(1/4)*LOG10(U663/10000)),(0.026/F$9)*SQRT(U666*U663),1)</f>
        <v>1</v>
      </c>
      <c r="V669" s="323">
        <f>MIN(1+((0.33*G$9^(1/2))/V666^(1/4)*LOG10(V663/10000)),(0.026/G$9)*SQRT(V666*V663),1)</f>
        <v>1</v>
      </c>
    </row>
    <row r="670" spans="16:22" ht="15.5" x14ac:dyDescent="0.4">
      <c r="P670" s="244" t="s">
        <v>170</v>
      </c>
      <c r="S670" s="323">
        <f>IF(Re_V&lt;10,S668,S669)</f>
        <v>1</v>
      </c>
      <c r="T670" s="323">
        <f>IF(T663&lt;10,T668,T669)</f>
        <v>1</v>
      </c>
      <c r="U670" s="323">
        <f>IF(U663&lt;10,U668,U669)</f>
        <v>1</v>
      </c>
      <c r="V670" s="323">
        <f>IF(V663&lt;10,V668,V669)</f>
        <v>1</v>
      </c>
    </row>
    <row r="671" spans="16:22" x14ac:dyDescent="0.25">
      <c r="P671" s="244" t="s">
        <v>192</v>
      </c>
      <c r="Q671" s="244" t="s">
        <v>172</v>
      </c>
      <c r="S671" s="324">
        <f>C_i_NT*N_1*S670*SQRT(DELTA_P/G)</f>
        <v>80.000000000000014</v>
      </c>
      <c r="T671" s="324">
        <f>T662*N_1*T670*SQRT(E5/E6)</f>
        <v>212.99999999999997</v>
      </c>
      <c r="U671" s="324">
        <f>U662*N_1*U670*SQRT(F5/F6)</f>
        <v>423.00000000000006</v>
      </c>
      <c r="V671" s="324">
        <f>V662*N_1*V670*SQRT(G5/G6)</f>
        <v>550</v>
      </c>
    </row>
    <row r="672" spans="16:22" x14ac:dyDescent="0.25">
      <c r="S672" s="325"/>
      <c r="T672" s="325"/>
      <c r="U672" s="325"/>
      <c r="V672" s="325"/>
    </row>
    <row r="673" spans="16:22" x14ac:dyDescent="0.25">
      <c r="T673" s="326"/>
      <c r="U673" s="323"/>
      <c r="V673" s="323"/>
    </row>
    <row r="674" spans="16:22" x14ac:dyDescent="0.25">
      <c r="P674" s="244" t="s">
        <v>60</v>
      </c>
      <c r="R674" s="323"/>
      <c r="S674" s="323">
        <f>S662*(D$3/S671)</f>
        <v>14.142135623730947</v>
      </c>
      <c r="T674" s="323">
        <f>T662*(E$3/T671)</f>
        <v>38.631610318358128</v>
      </c>
      <c r="U674" s="323">
        <f>U662*(F$3/U671)</f>
        <v>84.769709297943393</v>
      </c>
      <c r="V674" s="323">
        <f>V662*(G$3/V671)</f>
        <v>122.98373876248843</v>
      </c>
    </row>
    <row r="675" spans="16:22" x14ac:dyDescent="0.25">
      <c r="P675" s="244" t="s">
        <v>159</v>
      </c>
      <c r="Q675" s="244">
        <v>23</v>
      </c>
      <c r="S675" s="323">
        <f>((N_4*F_D*Q)/(nu*SQRT(S674*F_L))*((F_L^2*S674^2)/(N_2*d^4)+1)^0.25)</f>
        <v>11517.562651579427</v>
      </c>
      <c r="T675" s="323">
        <f>((N_4*E$23*E$3)/(E$22*SQRT(T674*E$9))*((E$9^2*T674^2)/(N_2*d^4)+1)^0.25)</f>
        <v>18929.820747268957</v>
      </c>
      <c r="U675" s="323">
        <f>((N_4*F$23*F$3)/(F$22*SQRT(U674*F$9))*((F$9^2*U674^2)/(N_2*d^4)+1)^0.25)</f>
        <v>28828.448537679182</v>
      </c>
      <c r="V675" s="323">
        <f>((N_4*G$23*G$3)/(G$22*SQRT(V674*G$9))*((G$9^2*V674^2)/(N_2*d^4)+1)^0.25)</f>
        <v>34037.670124390759</v>
      </c>
    </row>
    <row r="676" spans="16:22" ht="14.5" x14ac:dyDescent="0.25">
      <c r="P676" s="246" t="s">
        <v>324</v>
      </c>
      <c r="Q676" s="244" t="s">
        <v>162</v>
      </c>
      <c r="S676" s="323">
        <f>N_2/((S674/d^2))^2</f>
        <v>360.45000000000016</v>
      </c>
      <c r="T676" s="323">
        <f>N_2/((T674/d^2))^2</f>
        <v>48.304701448125357</v>
      </c>
      <c r="U676" s="323">
        <f>N_2/((U674/d^2))^2</f>
        <v>10.032141240380263</v>
      </c>
      <c r="V676" s="323">
        <f>N_2/((V674/d^2))^2</f>
        <v>4.7662809917355373</v>
      </c>
    </row>
    <row r="677" spans="16:22" ht="14.5" x14ac:dyDescent="0.25">
      <c r="P677" s="246" t="s">
        <v>325</v>
      </c>
      <c r="Q677" s="244" t="s">
        <v>163</v>
      </c>
      <c r="S677" s="323">
        <f>1+N_32*(S674/d^2)^(2/3)</f>
        <v>23.97720753883284</v>
      </c>
      <c r="T677" s="323">
        <f>1+N_32*(T674/d^2)^(2/3)</f>
        <v>45.900287604253045</v>
      </c>
      <c r="U677" s="323">
        <f>1+N_32*(U674/d^2)^(2/3)</f>
        <v>76.819522382349405</v>
      </c>
      <c r="V677" s="323">
        <f>1+N_32*(V674/d^2)^(2/3)</f>
        <v>98.167055626516756</v>
      </c>
    </row>
    <row r="678" spans="16:22" x14ac:dyDescent="0.25">
      <c r="P678" s="244" t="s">
        <v>168</v>
      </c>
      <c r="S678" s="323">
        <f>IF(RED_TRM="no",S676,S677)</f>
        <v>360.45000000000016</v>
      </c>
      <c r="T678" s="323">
        <f>IF(RED_TRM="no",T676,T677)</f>
        <v>48.304701448125357</v>
      </c>
      <c r="U678" s="323">
        <f>IF(RED_TRM="no",U676,U677)</f>
        <v>10.032141240380263</v>
      </c>
      <c r="V678" s="323">
        <f>IF(RED_TRM="no",V676,V677)</f>
        <v>4.7662809917355373</v>
      </c>
    </row>
    <row r="679" spans="16:22" ht="15.5" x14ac:dyDescent="0.4">
      <c r="P679" s="244" t="s">
        <v>165</v>
      </c>
      <c r="S679" s="323"/>
    </row>
    <row r="680" spans="16:22" ht="15.5" x14ac:dyDescent="0.4">
      <c r="P680" s="244" t="s">
        <v>166</v>
      </c>
      <c r="Q680" s="244" t="s">
        <v>169</v>
      </c>
      <c r="S680" s="323">
        <f>MIN((0.026/F_L)*SQRT(S678*S675),1)</f>
        <v>1</v>
      </c>
      <c r="T680" s="323">
        <f>MIN((0.026/E$9)*SQRT(T678*T675),1)</f>
        <v>1</v>
      </c>
      <c r="U680" s="323">
        <f>MIN((0.026/F$9)*SQRT(U678*U675),1)</f>
        <v>1</v>
      </c>
      <c r="V680" s="323">
        <f>MIN((0.026/G$9)*SQRT(V678*V675),1)</f>
        <v>1</v>
      </c>
    </row>
    <row r="681" spans="16:22" ht="15.5" x14ac:dyDescent="0.4">
      <c r="P681" s="244" t="s">
        <v>167</v>
      </c>
      <c r="Q681" s="244" t="s">
        <v>171</v>
      </c>
      <c r="S681" s="323">
        <f>MIN(1+((0.33*F_L^(1/2))/S678^(1/4)*LOG10(S675/10000)),(0.026/F_L)*SQRT(S678*S675),1)</f>
        <v>1</v>
      </c>
      <c r="T681" s="323">
        <f>MIN(1+((0.33*E$9^(1/2))/T678^(1/4)*LOG10(T675/10000)),(0.026/E$9)*SQRT(T678*T675),1)</f>
        <v>1</v>
      </c>
      <c r="U681" s="323">
        <f>MIN(1+((0.33*F$9^(1/2))/U678^(1/4)*LOG10(U675/10000)),(0.026/F$9)*SQRT(U678*U675),1)</f>
        <v>1</v>
      </c>
      <c r="V681" s="323">
        <f>MIN(1+((0.33*G$9^(1/2))/V678^(1/4)*LOG10(V675/10000)),(0.026/G$9)*SQRT(V678*V675),1)</f>
        <v>1</v>
      </c>
    </row>
    <row r="682" spans="16:22" ht="15.5" x14ac:dyDescent="0.4">
      <c r="P682" s="244" t="s">
        <v>170</v>
      </c>
      <c r="S682" s="323">
        <f>IF(S675&lt;10,S680,S681)</f>
        <v>1</v>
      </c>
      <c r="T682" s="323">
        <f>IF(T675&lt;10,T680,T681)</f>
        <v>1</v>
      </c>
      <c r="U682" s="323">
        <f>IF(U675&lt;10,U680,U681)</f>
        <v>1</v>
      </c>
      <c r="V682" s="323">
        <f>IF(V675&lt;10,V680,V681)</f>
        <v>1</v>
      </c>
    </row>
    <row r="683" spans="16:22" x14ac:dyDescent="0.25">
      <c r="P683" s="244" t="s">
        <v>193</v>
      </c>
      <c r="Q683" s="244" t="s">
        <v>172</v>
      </c>
      <c r="S683" s="324">
        <f>S674*N_1*S682*SQRT(D$5/D$6)</f>
        <v>79.999999999999986</v>
      </c>
      <c r="T683" s="324">
        <f>T674*N_1*T682*SQRT(E$5/E$6)</f>
        <v>213.00000000000003</v>
      </c>
      <c r="U683" s="324">
        <f>U674*N_1*U682*SQRT(F$5/F$6)</f>
        <v>422.99999999999994</v>
      </c>
      <c r="V683" s="324">
        <f>V674*N_1*V682*SQRT(G$5/G$6)</f>
        <v>550</v>
      </c>
    </row>
    <row r="684" spans="16:22" x14ac:dyDescent="0.25">
      <c r="P684" s="244" t="s">
        <v>173</v>
      </c>
      <c r="S684" s="326">
        <f>(S683-S671)/S671</f>
        <v>-3.5527136788005001E-16</v>
      </c>
      <c r="T684" s="326">
        <f>(T683-T671)/T671</f>
        <v>2.6687051108360576E-16</v>
      </c>
      <c r="U684" s="326">
        <f>(U683-U671)/U671</f>
        <v>-2.6876320974377306E-16</v>
      </c>
      <c r="V684" s="326">
        <f>(V683-V671)/V671</f>
        <v>0</v>
      </c>
    </row>
    <row r="685" spans="16:22" x14ac:dyDescent="0.25">
      <c r="T685" s="327"/>
      <c r="U685" s="323"/>
      <c r="V685" s="323"/>
    </row>
    <row r="686" spans="16:22" x14ac:dyDescent="0.25">
      <c r="P686" s="244" t="s">
        <v>60</v>
      </c>
      <c r="R686" s="323"/>
      <c r="S686" s="323">
        <f>IF(S684&lt;=0,S674,S674*(D$3/S683))</f>
        <v>14.142135623730947</v>
      </c>
      <c r="T686" s="323">
        <f>IF(T684&lt;=0,T674,T674*(E$3/T683))</f>
        <v>38.631610318358121</v>
      </c>
      <c r="U686" s="323">
        <f>IF(U684&lt;=0,U674,U674*(F$3/U683))</f>
        <v>84.769709297943393</v>
      </c>
      <c r="V686" s="323">
        <f>IF(V684&lt;=0,V674,V674*(G$3/V683))</f>
        <v>122.98373876248843</v>
      </c>
    </row>
    <row r="687" spans="16:22" x14ac:dyDescent="0.25">
      <c r="P687" s="244" t="s">
        <v>159</v>
      </c>
      <c r="Q687" s="244">
        <v>23</v>
      </c>
      <c r="S687" s="323">
        <f>((N_4*F_D*Q)/(nu*SQRT(S686*F_L))*((F_L^2*S686^2)/(N_2*d^4)+1)^0.25)</f>
        <v>11517.562651579427</v>
      </c>
      <c r="T687" s="323">
        <f>((N_4*E$23*E$3)/(E$22*SQRT(T686*E$9))*((E$9^2*T686^2)/(N_2*d^4)+1)^0.25)</f>
        <v>18929.820747268957</v>
      </c>
      <c r="U687" s="323">
        <f>((N_4*F$23*F$3)/(F$22*SQRT(U686*F$9))*((F$9^2*U686^2)/(N_2*d^4)+1)^0.25)</f>
        <v>28828.448537679182</v>
      </c>
      <c r="V687" s="323">
        <f>((N_4*G$23*G$3)/(G$22*SQRT(V686*G$9))*((G$9^2*V686^2)/(N_2*d^4)+1)^0.25)</f>
        <v>34037.670124390759</v>
      </c>
    </row>
    <row r="688" spans="16:22" ht="14.5" x14ac:dyDescent="0.25">
      <c r="P688" s="246" t="s">
        <v>324</v>
      </c>
      <c r="Q688" s="244" t="s">
        <v>162</v>
      </c>
      <c r="S688" s="323">
        <f>N_2/((S686/d^2))^2</f>
        <v>360.45000000000016</v>
      </c>
      <c r="T688" s="323">
        <f>N_2/((T686/d^2))^2</f>
        <v>48.304701448125378</v>
      </c>
      <c r="U688" s="323">
        <f>N_2/((U686/d^2))^2</f>
        <v>10.032141240380263</v>
      </c>
      <c r="V688" s="323">
        <f>N_2/((V686/d^2))^2</f>
        <v>4.7662809917355373</v>
      </c>
    </row>
    <row r="689" spans="16:22" ht="14.5" x14ac:dyDescent="0.25">
      <c r="P689" s="246" t="s">
        <v>325</v>
      </c>
      <c r="Q689" s="244" t="s">
        <v>163</v>
      </c>
      <c r="S689" s="323">
        <f>1+N_32*(S686/d^2)^(2/3)</f>
        <v>23.97720753883284</v>
      </c>
      <c r="T689" s="323">
        <f>1+N_32*(T686/d^2)^(2/3)</f>
        <v>45.900287604253037</v>
      </c>
      <c r="U689" s="323">
        <f>1+N_32*(U686/d^2)^(2/3)</f>
        <v>76.819522382349405</v>
      </c>
      <c r="V689" s="323">
        <f>1+N_32*(V686/d^2)^(2/3)</f>
        <v>98.167055626516756</v>
      </c>
    </row>
    <row r="690" spans="16:22" x14ac:dyDescent="0.25">
      <c r="P690" s="244" t="s">
        <v>168</v>
      </c>
      <c r="S690" s="323">
        <f>IF(RED_TRM="no",S688,S689)</f>
        <v>360.45000000000016</v>
      </c>
      <c r="T690" s="323">
        <f>IF(RED_TRM="no",T688,T689)</f>
        <v>48.304701448125378</v>
      </c>
      <c r="U690" s="323">
        <f>IF(RED_TRM="no",U688,U689)</f>
        <v>10.032141240380263</v>
      </c>
      <c r="V690" s="323">
        <f>IF(RED_TRM="no",V688,V689)</f>
        <v>4.7662809917355373</v>
      </c>
    </row>
    <row r="691" spans="16:22" ht="15.5" x14ac:dyDescent="0.4">
      <c r="P691" s="244" t="s">
        <v>165</v>
      </c>
      <c r="S691" s="323"/>
    </row>
    <row r="692" spans="16:22" ht="15.5" x14ac:dyDescent="0.4">
      <c r="P692" s="244" t="s">
        <v>166</v>
      </c>
      <c r="Q692" s="244" t="s">
        <v>169</v>
      </c>
      <c r="S692" s="323">
        <f>MIN((0.026/F_L)*SQRT(S690*S687),1)</f>
        <v>1</v>
      </c>
      <c r="T692" s="323">
        <f>MIN((0.026/E$9)*SQRT(T690*T687),1)</f>
        <v>1</v>
      </c>
      <c r="U692" s="323">
        <f>MIN((0.026/F$9)*SQRT(U690*U687),1)</f>
        <v>1</v>
      </c>
      <c r="V692" s="323">
        <f>MIN((0.026/G$9)*SQRT(V690*V687),1)</f>
        <v>1</v>
      </c>
    </row>
    <row r="693" spans="16:22" ht="15.5" x14ac:dyDescent="0.4">
      <c r="P693" s="244" t="s">
        <v>167</v>
      </c>
      <c r="Q693" s="244" t="s">
        <v>171</v>
      </c>
      <c r="S693" s="323">
        <f>MIN(1+((0.33*F_L^(1/2))/S690^(1/4)*LOG10(S687/10000)),(0.026/F_L)*SQRT(S690*S687),1)</f>
        <v>1</v>
      </c>
      <c r="T693" s="323">
        <f>MIN(1+((0.33*E$9^(1/2))/T690^(1/4)*LOG10(T687/10000)),(0.026/E$9)*SQRT(T690*T687),1)</f>
        <v>1</v>
      </c>
      <c r="U693" s="323">
        <f>MIN(1+((0.33*F$9^(1/2))/U690^(1/4)*LOG10(U687/10000)),(0.026/F$9)*SQRT(U690*U687),1)</f>
        <v>1</v>
      </c>
      <c r="V693" s="323">
        <f>MIN(1+((0.33*G$9^(1/2))/V690^(1/4)*LOG10(V687/10000)),(0.026/G$9)*SQRT(V690*V687),1)</f>
        <v>1</v>
      </c>
    </row>
    <row r="694" spans="16:22" ht="15.5" x14ac:dyDescent="0.4">
      <c r="P694" s="244" t="s">
        <v>170</v>
      </c>
      <c r="S694" s="323">
        <f>IF(S687&lt;10,S692,S693)</f>
        <v>1</v>
      </c>
      <c r="T694" s="323">
        <f>IF(T687&lt;10,T692,T693)</f>
        <v>1</v>
      </c>
      <c r="U694" s="323">
        <f>IF(U687&lt;10,U692,U693)</f>
        <v>1</v>
      </c>
      <c r="V694" s="323">
        <f>IF(V687&lt;10,V692,V693)</f>
        <v>1</v>
      </c>
    </row>
    <row r="695" spans="16:22" x14ac:dyDescent="0.25">
      <c r="P695" s="244" t="s">
        <v>193</v>
      </c>
      <c r="Q695" s="244" t="s">
        <v>172</v>
      </c>
      <c r="S695" s="324">
        <f>S686*N_1*S694*SQRT(D$5/D$6)</f>
        <v>79.999999999999986</v>
      </c>
      <c r="T695" s="324">
        <f>T686*N_1*T694*SQRT(E$5/E$6)</f>
        <v>212.99999999999997</v>
      </c>
      <c r="U695" s="324">
        <f>U686*N_1*U694*SQRT(F$5/F$6)</f>
        <v>422.99999999999994</v>
      </c>
      <c r="V695" s="324">
        <f>V686*N_1*V694*SQRT(G$5/G$6)</f>
        <v>550</v>
      </c>
    </row>
    <row r="696" spans="16:22" x14ac:dyDescent="0.25">
      <c r="P696" s="244" t="s">
        <v>173</v>
      </c>
      <c r="S696" s="326">
        <f>(S695-S683)/S683</f>
        <v>0</v>
      </c>
      <c r="T696" s="326">
        <f>(T695-T683)/T683</f>
        <v>-2.6687051108360566E-16</v>
      </c>
      <c r="U696" s="326">
        <f>(U695-U683)/U683</f>
        <v>0</v>
      </c>
      <c r="V696" s="326">
        <f>(V695-V683)/V683</f>
        <v>0</v>
      </c>
    </row>
    <row r="697" spans="16:22" x14ac:dyDescent="0.25">
      <c r="T697" s="327"/>
      <c r="U697" s="323"/>
      <c r="V697" s="323"/>
    </row>
    <row r="698" spans="16:22" x14ac:dyDescent="0.25">
      <c r="P698" s="244" t="s">
        <v>60</v>
      </c>
      <c r="R698" s="323"/>
      <c r="S698" s="323">
        <f>IF(S696&lt;=0,S686,S686*(D$3/S695))</f>
        <v>14.142135623730947</v>
      </c>
      <c r="T698" s="323">
        <f>IF(T696&lt;=0,T686,T686*(E$3/T695))</f>
        <v>38.631610318358121</v>
      </c>
      <c r="U698" s="323">
        <f>IF(U696&lt;=0,U686,U686*(F$3/U695))</f>
        <v>84.769709297943393</v>
      </c>
      <c r="V698" s="323">
        <f>IF(V696&lt;=0,V686,V686*(G$3/V695))</f>
        <v>122.98373876248843</v>
      </c>
    </row>
    <row r="699" spans="16:22" x14ac:dyDescent="0.25">
      <c r="P699" s="244" t="s">
        <v>159</v>
      </c>
      <c r="Q699" s="244">
        <v>23</v>
      </c>
      <c r="S699" s="323">
        <f>((N_4*F_D*Q)/(nu*SQRT(S698*F_L))*((F_L^2*S698^2)/(N_2*d^4)+1)^0.25)</f>
        <v>11517.562651579427</v>
      </c>
      <c r="T699" s="323">
        <f>((N_4*E$23*E$3)/(E$22*SQRT(T698*E$9))*((E$9^2*T698^2)/(N_2*d^4)+1)^0.25)</f>
        <v>18929.820747268957</v>
      </c>
      <c r="U699" s="323">
        <f>((N_4*F$23*F$3)/(F$22*SQRT(U698*F$9))*((F$9^2*U698^2)/(N_2*d^4)+1)^0.25)</f>
        <v>28828.448537679182</v>
      </c>
      <c r="V699" s="323">
        <f>((N_4*G$23*G$3)/(G$22*SQRT(V698*G$9))*((G$9^2*V698^2)/(N_2*d^4)+1)^0.25)</f>
        <v>34037.670124390759</v>
      </c>
    </row>
    <row r="700" spans="16:22" ht="14.5" x14ac:dyDescent="0.25">
      <c r="P700" s="246" t="s">
        <v>324</v>
      </c>
      <c r="Q700" s="244" t="s">
        <v>162</v>
      </c>
      <c r="S700" s="323">
        <f>N_2/((S698/d^2))^2</f>
        <v>360.45000000000016</v>
      </c>
      <c r="T700" s="323">
        <f>N_2/((T698/d^2))^2</f>
        <v>48.304701448125378</v>
      </c>
      <c r="U700" s="323">
        <f>N_2/((U698/d^2))^2</f>
        <v>10.032141240380263</v>
      </c>
      <c r="V700" s="323">
        <f>N_2/((V698/d^2))^2</f>
        <v>4.7662809917355373</v>
      </c>
    </row>
    <row r="701" spans="16:22" ht="14.5" x14ac:dyDescent="0.25">
      <c r="P701" s="246" t="s">
        <v>325</v>
      </c>
      <c r="Q701" s="244" t="s">
        <v>163</v>
      </c>
      <c r="S701" s="323">
        <f>1+N_32*(S698/d^2)^(2/3)</f>
        <v>23.97720753883284</v>
      </c>
      <c r="T701" s="323">
        <f>1+N_32*(T698/d^2)^(2/3)</f>
        <v>45.900287604253037</v>
      </c>
      <c r="U701" s="323">
        <f>1+N_32*(U698/d^2)^(2/3)</f>
        <v>76.819522382349405</v>
      </c>
      <c r="V701" s="323">
        <f>1+N_32*(V698/d^2)^(2/3)</f>
        <v>98.167055626516756</v>
      </c>
    </row>
    <row r="702" spans="16:22" x14ac:dyDescent="0.25">
      <c r="P702" s="244" t="s">
        <v>168</v>
      </c>
      <c r="S702" s="323">
        <f>IF(RED_TRM="no",S700,S701)</f>
        <v>360.45000000000016</v>
      </c>
      <c r="T702" s="323">
        <f>IF(RED_TRM="no",T700,T701)</f>
        <v>48.304701448125378</v>
      </c>
      <c r="U702" s="323">
        <f>IF(RED_TRM="no",U700,U701)</f>
        <v>10.032141240380263</v>
      </c>
      <c r="V702" s="323">
        <f>IF(RED_TRM="no",V700,V701)</f>
        <v>4.7662809917355373</v>
      </c>
    </row>
    <row r="703" spans="16:22" ht="15.5" x14ac:dyDescent="0.4">
      <c r="P703" s="244" t="s">
        <v>165</v>
      </c>
      <c r="S703" s="323"/>
    </row>
    <row r="704" spans="16:22" ht="15.5" x14ac:dyDescent="0.4">
      <c r="P704" s="244" t="s">
        <v>166</v>
      </c>
      <c r="Q704" s="244" t="s">
        <v>169</v>
      </c>
      <c r="S704" s="323">
        <f>MIN((0.026/F_L)*SQRT(S702*S699),1)</f>
        <v>1</v>
      </c>
      <c r="T704" s="323">
        <f>MIN((0.026/E$9)*SQRT(T702*T699),1)</f>
        <v>1</v>
      </c>
      <c r="U704" s="323">
        <f>MIN((0.026/F$9)*SQRT(U702*U699),1)</f>
        <v>1</v>
      </c>
      <c r="V704" s="323">
        <f>MIN((0.026/G$9)*SQRT(V702*V699),1)</f>
        <v>1</v>
      </c>
    </row>
    <row r="705" spans="16:22" ht="15.5" x14ac:dyDescent="0.4">
      <c r="P705" s="244" t="s">
        <v>167</v>
      </c>
      <c r="Q705" s="244" t="s">
        <v>171</v>
      </c>
      <c r="S705" s="323">
        <f>MIN(1+((0.33*F_L^(1/2))/S702^(1/4)*LOG10(S699/10000)),(0.026/F_L)*SQRT(S702*S699),1)</f>
        <v>1</v>
      </c>
      <c r="T705" s="323">
        <f>MIN(1+((0.33*E$9^(1/2))/T702^(1/4)*LOG10(T699/10000)),(0.026/E$9)*SQRT(T702*T699),1)</f>
        <v>1</v>
      </c>
      <c r="U705" s="323">
        <f>MIN(1+((0.33*F$9^(1/2))/U702^(1/4)*LOG10(U699/10000)),(0.026/F$9)*SQRT(U702*U699),1)</f>
        <v>1</v>
      </c>
      <c r="V705" s="323">
        <f>MIN(1+((0.33*G$9^(1/2))/V702^(1/4)*LOG10(V699/10000)),(0.026/G$9)*SQRT(V702*V699),1)</f>
        <v>1</v>
      </c>
    </row>
    <row r="706" spans="16:22" ht="15.5" x14ac:dyDescent="0.4">
      <c r="P706" s="244" t="s">
        <v>170</v>
      </c>
      <c r="S706" s="323">
        <f>IF(S699&lt;10,S704,S705)</f>
        <v>1</v>
      </c>
      <c r="T706" s="323">
        <f>IF(T699&lt;10,T704,T705)</f>
        <v>1</v>
      </c>
      <c r="U706" s="323">
        <f>IF(U699&lt;10,U704,U705)</f>
        <v>1</v>
      </c>
      <c r="V706" s="323">
        <f>IF(V699&lt;10,V704,V705)</f>
        <v>1</v>
      </c>
    </row>
    <row r="707" spans="16:22" x14ac:dyDescent="0.25">
      <c r="P707" s="244" t="s">
        <v>193</v>
      </c>
      <c r="Q707" s="244" t="s">
        <v>172</v>
      </c>
      <c r="S707" s="324">
        <f>S698*N_1*S706*SQRT(D$5/D$6)</f>
        <v>79.999999999999986</v>
      </c>
      <c r="T707" s="324">
        <f>T698*N_1*T706*SQRT(E$5/E$6)</f>
        <v>212.99999999999997</v>
      </c>
      <c r="U707" s="324">
        <f>U698*N_1*U706*SQRT(F$5/F$6)</f>
        <v>422.99999999999994</v>
      </c>
      <c r="V707" s="324">
        <f>V698*N_1*V706*SQRT(G$5/G$6)</f>
        <v>550</v>
      </c>
    </row>
    <row r="708" spans="16:22" x14ac:dyDescent="0.25">
      <c r="P708" s="244" t="s">
        <v>173</v>
      </c>
      <c r="S708" s="326">
        <f>(S707-S695)/S695</f>
        <v>0</v>
      </c>
      <c r="T708" s="326">
        <f>(T707-T695)/T695</f>
        <v>0</v>
      </c>
      <c r="U708" s="326">
        <f>(U707-U695)/U695</f>
        <v>0</v>
      </c>
      <c r="V708" s="326">
        <f>(V707-V695)/V695</f>
        <v>0</v>
      </c>
    </row>
    <row r="709" spans="16:22" x14ac:dyDescent="0.25">
      <c r="T709" s="327"/>
      <c r="U709" s="323"/>
      <c r="V709" s="323"/>
    </row>
    <row r="710" spans="16:22" x14ac:dyDescent="0.25">
      <c r="P710" s="244" t="s">
        <v>60</v>
      </c>
      <c r="R710" s="323"/>
      <c r="S710" s="323">
        <f>IF(S708&lt;=0,S698,S698*(D$3/S707))</f>
        <v>14.142135623730947</v>
      </c>
      <c r="T710" s="323">
        <f>IF(T708&lt;=0,T698,T698*(E$3/T707))</f>
        <v>38.631610318358121</v>
      </c>
      <c r="U710" s="323">
        <f>IF(U708&lt;=0,U698,U698*(F$3/U707))</f>
        <v>84.769709297943393</v>
      </c>
      <c r="V710" s="323">
        <f>IF(V708&lt;=0,V698,V698*(G$3/V707))</f>
        <v>122.98373876248843</v>
      </c>
    </row>
    <row r="711" spans="16:22" x14ac:dyDescent="0.25">
      <c r="P711" s="244" t="s">
        <v>159</v>
      </c>
      <c r="Q711" s="244">
        <v>23</v>
      </c>
      <c r="S711" s="323">
        <f>((N_4*F_D*Q)/(nu*SQRT(S710*F_L))*((F_L^2*S710^2)/(N_2*d^4)+1)^0.25)</f>
        <v>11517.562651579427</v>
      </c>
      <c r="T711" s="323">
        <f>((N_4*E$23*E$3)/(E$22*SQRT(T710*E$9))*((E$9^2*T710^2)/(N_2*d^4)+1)^0.25)</f>
        <v>18929.820747268957</v>
      </c>
      <c r="U711" s="323">
        <f>((N_4*F$23*F$3)/(F$22*SQRT(U710*F$9))*((F$9^2*U710^2)/(N_2*d^4)+1)^0.25)</f>
        <v>28828.448537679182</v>
      </c>
      <c r="V711" s="323">
        <f>((N_4*G$23*G$3)/(G$22*SQRT(V710*G$9))*((G$9^2*V710^2)/(N_2*d^4)+1)^0.25)</f>
        <v>34037.670124390759</v>
      </c>
    </row>
    <row r="712" spans="16:22" ht="14.5" x14ac:dyDescent="0.25">
      <c r="P712" s="246" t="s">
        <v>324</v>
      </c>
      <c r="Q712" s="244" t="s">
        <v>162</v>
      </c>
      <c r="S712" s="323">
        <f>N_2/((S710/d^2))^2</f>
        <v>360.45000000000016</v>
      </c>
      <c r="T712" s="323">
        <f>N_2/((T710/d^2))^2</f>
        <v>48.304701448125378</v>
      </c>
      <c r="U712" s="323">
        <f>N_2/((U710/d^2))^2</f>
        <v>10.032141240380263</v>
      </c>
      <c r="V712" s="323">
        <f>N_2/((V710/d^2))^2</f>
        <v>4.7662809917355373</v>
      </c>
    </row>
    <row r="713" spans="16:22" ht="14.5" x14ac:dyDescent="0.25">
      <c r="P713" s="246" t="s">
        <v>325</v>
      </c>
      <c r="Q713" s="244" t="s">
        <v>163</v>
      </c>
      <c r="S713" s="323">
        <f>1+N_32*(S710/d^2)^(2/3)</f>
        <v>23.97720753883284</v>
      </c>
      <c r="T713" s="323">
        <f>1+N_32*(T710/d^2)^(2/3)</f>
        <v>45.900287604253037</v>
      </c>
      <c r="U713" s="323">
        <f>1+N_32*(U710/d^2)^(2/3)</f>
        <v>76.819522382349405</v>
      </c>
      <c r="V713" s="323">
        <f>1+N_32*(V710/d^2)^(2/3)</f>
        <v>98.167055626516756</v>
      </c>
    </row>
    <row r="714" spans="16:22" x14ac:dyDescent="0.25">
      <c r="P714" s="244" t="s">
        <v>168</v>
      </c>
      <c r="S714" s="323">
        <f>IF(RED_TRM="no",S712,S713)</f>
        <v>360.45000000000016</v>
      </c>
      <c r="T714" s="323">
        <f>IF(RED_TRM="no",T712,T713)</f>
        <v>48.304701448125378</v>
      </c>
      <c r="U714" s="323">
        <f>IF(RED_TRM="no",U712,U713)</f>
        <v>10.032141240380263</v>
      </c>
      <c r="V714" s="323">
        <f>IF(RED_TRM="no",V712,V713)</f>
        <v>4.7662809917355373</v>
      </c>
    </row>
    <row r="715" spans="16:22" ht="15.5" x14ac:dyDescent="0.4">
      <c r="P715" s="244" t="s">
        <v>165</v>
      </c>
      <c r="S715" s="323"/>
    </row>
    <row r="716" spans="16:22" ht="15.5" x14ac:dyDescent="0.4">
      <c r="P716" s="244" t="s">
        <v>166</v>
      </c>
      <c r="Q716" s="244" t="s">
        <v>169</v>
      </c>
      <c r="S716" s="323">
        <f>MIN((0.026/F_L)*SQRT(S714*S711),1)</f>
        <v>1</v>
      </c>
      <c r="T716" s="323">
        <f>MIN((0.026/E$9)*SQRT(T714*T711),1)</f>
        <v>1</v>
      </c>
      <c r="U716" s="323">
        <f>MIN((0.026/F$9)*SQRT(U714*U711),1)</f>
        <v>1</v>
      </c>
      <c r="V716" s="323">
        <f>MIN((0.026/G$9)*SQRT(V714*V711),1)</f>
        <v>1</v>
      </c>
    </row>
    <row r="717" spans="16:22" ht="15.5" x14ac:dyDescent="0.4">
      <c r="P717" s="244" t="s">
        <v>167</v>
      </c>
      <c r="Q717" s="244" t="s">
        <v>171</v>
      </c>
      <c r="S717" s="323">
        <f>MIN(1+((0.33*F_L^(1/2))/S714^(1/4)*LOG10(S711/10000)),(0.026/F_L)*SQRT(S714*S711),1)</f>
        <v>1</v>
      </c>
      <c r="T717" s="323">
        <f>MIN(1+((0.33*E$9^(1/2))/T714^(1/4)*LOG10(T711/10000)),(0.026/E$9)*SQRT(T714*T711),1)</f>
        <v>1</v>
      </c>
      <c r="U717" s="323">
        <f>MIN(1+((0.33*F$9^(1/2))/U714^(1/4)*LOG10(U711/10000)),(0.026/F$9)*SQRT(U714*U711),1)</f>
        <v>1</v>
      </c>
      <c r="V717" s="323">
        <f>MIN(1+((0.33*G$9^(1/2))/V714^(1/4)*LOG10(V711/10000)),(0.026/G$9)*SQRT(V714*V711),1)</f>
        <v>1</v>
      </c>
    </row>
    <row r="718" spans="16:22" ht="15.5" x14ac:dyDescent="0.4">
      <c r="P718" s="244" t="s">
        <v>170</v>
      </c>
      <c r="S718" s="323">
        <f>IF(S711&lt;10,S716,S717)</f>
        <v>1</v>
      </c>
      <c r="T718" s="323">
        <f>IF(T711&lt;10,T716,T717)</f>
        <v>1</v>
      </c>
      <c r="U718" s="323">
        <f>IF(U711&lt;10,U716,U717)</f>
        <v>1</v>
      </c>
      <c r="V718" s="323">
        <f>IF(V711&lt;10,V716,V717)</f>
        <v>1</v>
      </c>
    </row>
    <row r="719" spans="16:22" x14ac:dyDescent="0.25">
      <c r="P719" s="244" t="s">
        <v>193</v>
      </c>
      <c r="Q719" s="244" t="s">
        <v>172</v>
      </c>
      <c r="S719" s="324">
        <f>S710*N_1*S718*SQRT(D$5/D$6)</f>
        <v>79.999999999999986</v>
      </c>
      <c r="T719" s="324">
        <f>T710*N_1*T718*SQRT(E$5/E$6)</f>
        <v>212.99999999999997</v>
      </c>
      <c r="U719" s="324">
        <f>U710*N_1*U718*SQRT(F$5/F$6)</f>
        <v>422.99999999999994</v>
      </c>
      <c r="V719" s="324">
        <f>V710*N_1*V718*SQRT(G$5/G$6)</f>
        <v>550</v>
      </c>
    </row>
    <row r="720" spans="16:22" x14ac:dyDescent="0.25">
      <c r="P720" s="244" t="s">
        <v>173</v>
      </c>
      <c r="S720" s="326">
        <f>(S719-S707)/S707</f>
        <v>0</v>
      </c>
      <c r="T720" s="326">
        <f>(T719-T707)/T707</f>
        <v>0</v>
      </c>
      <c r="U720" s="326">
        <f>(U719-U707)/U707</f>
        <v>0</v>
      </c>
      <c r="V720" s="326">
        <f>(V719-V707)/V707</f>
        <v>0</v>
      </c>
    </row>
    <row r="721" spans="16:22" x14ac:dyDescent="0.25">
      <c r="T721" s="323"/>
      <c r="U721" s="323"/>
      <c r="V721" s="323"/>
    </row>
    <row r="722" spans="16:22" x14ac:dyDescent="0.25">
      <c r="P722" s="244" t="s">
        <v>60</v>
      </c>
      <c r="R722" s="323"/>
      <c r="S722" s="323">
        <f>IF(S720&lt;=0,S710,S710*(D$3/S719))</f>
        <v>14.142135623730947</v>
      </c>
      <c r="T722" s="323">
        <f>IF(T720&lt;=0,T710,T710*(E$3/T719))</f>
        <v>38.631610318358121</v>
      </c>
      <c r="U722" s="323">
        <f>IF(U720&lt;=0,U710,U710*(F$3/U719))</f>
        <v>84.769709297943393</v>
      </c>
      <c r="V722" s="323">
        <f>IF(V720&lt;=0,V710,V710*(G$3/V719))</f>
        <v>122.98373876248843</v>
      </c>
    </row>
    <row r="723" spans="16:22" x14ac:dyDescent="0.25">
      <c r="P723" s="244" t="s">
        <v>159</v>
      </c>
      <c r="Q723" s="244">
        <v>23</v>
      </c>
      <c r="S723" s="323">
        <f>((N_4*F_D*Q)/(nu*SQRT(S722*F_L))*((F_L^2*S722^2)/(N_2*d^4)+1)^0.25)</f>
        <v>11517.562651579427</v>
      </c>
      <c r="T723" s="323">
        <f>((N_4*E$23*E$3)/(E$22*SQRT(T722*E$9))*((E$9^2*T722^2)/(N_2*d^4)+1)^0.25)</f>
        <v>18929.820747268957</v>
      </c>
      <c r="U723" s="323">
        <f>((N_4*F$23*F$3)/(F$22*SQRT(U722*F$9))*((F$9^2*U722^2)/(N_2*d^4)+1)^0.25)</f>
        <v>28828.448537679182</v>
      </c>
      <c r="V723" s="323">
        <f>((N_4*G$23*G$3)/(G$22*SQRT(V722*G$9))*((G$9^2*V722^2)/(N_2*d^4)+1)^0.25)</f>
        <v>34037.670124390759</v>
      </c>
    </row>
    <row r="724" spans="16:22" ht="14.5" x14ac:dyDescent="0.25">
      <c r="P724" s="246" t="s">
        <v>324</v>
      </c>
      <c r="Q724" s="244" t="s">
        <v>162</v>
      </c>
      <c r="S724" s="323">
        <f>N_2/((S722/d^2))^2</f>
        <v>360.45000000000016</v>
      </c>
      <c r="T724" s="323">
        <f>N_2/((T722/d^2))^2</f>
        <v>48.304701448125378</v>
      </c>
      <c r="U724" s="323">
        <f>N_2/((U722/d^2))^2</f>
        <v>10.032141240380263</v>
      </c>
      <c r="V724" s="323">
        <f>N_2/((V722/d^2))^2</f>
        <v>4.7662809917355373</v>
      </c>
    </row>
    <row r="725" spans="16:22" ht="14.5" x14ac:dyDescent="0.25">
      <c r="P725" s="246" t="s">
        <v>325</v>
      </c>
      <c r="Q725" s="244" t="s">
        <v>163</v>
      </c>
      <c r="S725" s="323">
        <f>1+N_32*(S722/d^2)^(2/3)</f>
        <v>23.97720753883284</v>
      </c>
      <c r="T725" s="323">
        <f>1+N_32*(T722/d^2)^(2/3)</f>
        <v>45.900287604253037</v>
      </c>
      <c r="U725" s="323">
        <f>1+N_32*(U722/d^2)^(2/3)</f>
        <v>76.819522382349405</v>
      </c>
      <c r="V725" s="323">
        <f>1+N_32*(V722/d^2)^(2/3)</f>
        <v>98.167055626516756</v>
      </c>
    </row>
    <row r="726" spans="16:22" x14ac:dyDescent="0.25">
      <c r="P726" s="244" t="s">
        <v>168</v>
      </c>
      <c r="S726" s="323">
        <f>IF(RED_TRM="no",S724,S725)</f>
        <v>360.45000000000016</v>
      </c>
      <c r="T726" s="323">
        <f>IF(RED_TRM="no",T724,T725)</f>
        <v>48.304701448125378</v>
      </c>
      <c r="U726" s="323">
        <f>IF(RED_TRM="no",U724,U725)</f>
        <v>10.032141240380263</v>
      </c>
      <c r="V726" s="323">
        <f>IF(RED_TRM="no",V724,V725)</f>
        <v>4.7662809917355373</v>
      </c>
    </row>
    <row r="727" spans="16:22" ht="15.5" x14ac:dyDescent="0.4">
      <c r="P727" s="244" t="s">
        <v>165</v>
      </c>
      <c r="S727" s="323"/>
    </row>
    <row r="728" spans="16:22" ht="15.5" x14ac:dyDescent="0.4">
      <c r="P728" s="244" t="s">
        <v>166</v>
      </c>
      <c r="Q728" s="244" t="s">
        <v>169</v>
      </c>
      <c r="S728" s="323">
        <f>MIN((0.026/F_L)*SQRT(S726*S723),1)</f>
        <v>1</v>
      </c>
      <c r="T728" s="323">
        <f>MIN((0.026/E$9)*SQRT(T726*T723),1)</f>
        <v>1</v>
      </c>
      <c r="U728" s="323">
        <f>MIN((0.026/F$9)*SQRT(U726*U723),1)</f>
        <v>1</v>
      </c>
      <c r="V728" s="323">
        <f>MIN((0.026/G$9)*SQRT(V726*V723),1)</f>
        <v>1</v>
      </c>
    </row>
    <row r="729" spans="16:22" ht="15.5" x14ac:dyDescent="0.4">
      <c r="P729" s="244" t="s">
        <v>167</v>
      </c>
      <c r="Q729" s="244" t="s">
        <v>171</v>
      </c>
      <c r="S729" s="323">
        <f>MIN(1+((0.33*F_L^(1/2))/S726^(1/4)*LOG10(S723/10000)),(0.026/F_L)*SQRT(S726*S723),1)</f>
        <v>1</v>
      </c>
      <c r="T729" s="323">
        <f>MIN(1+((0.33*E$9^(1/2))/T726^(1/4)*LOG10(T723/10000)),(0.026/E$9)*SQRT(T726*T723),1)</f>
        <v>1</v>
      </c>
      <c r="U729" s="323">
        <f>MIN(1+((0.33*F$9^(1/2))/U726^(1/4)*LOG10(U723/10000)),(0.026/F$9)*SQRT(U726*U723),1)</f>
        <v>1</v>
      </c>
      <c r="V729" s="323">
        <f>MIN(1+((0.33*G$9^(1/2))/V726^(1/4)*LOG10(V723/10000)),(0.026/G$9)*SQRT(V726*V723),1)</f>
        <v>1</v>
      </c>
    </row>
    <row r="730" spans="16:22" ht="15.5" x14ac:dyDescent="0.4">
      <c r="P730" s="244" t="s">
        <v>170</v>
      </c>
      <c r="S730" s="323">
        <f>IF(S723&lt;10,S728,S729)</f>
        <v>1</v>
      </c>
      <c r="T730" s="323">
        <f>IF(T723&lt;10,T728,T729)</f>
        <v>1</v>
      </c>
      <c r="U730" s="323">
        <f>IF(U723&lt;10,U728,U729)</f>
        <v>1</v>
      </c>
      <c r="V730" s="323">
        <f>IF(V723&lt;10,V728,V729)</f>
        <v>1</v>
      </c>
    </row>
    <row r="731" spans="16:22" x14ac:dyDescent="0.25">
      <c r="P731" s="244" t="s">
        <v>193</v>
      </c>
      <c r="Q731" s="244" t="s">
        <v>172</v>
      </c>
      <c r="S731" s="324">
        <f>S722*N_1*S730*SQRT(D$5/D$6)</f>
        <v>79.999999999999986</v>
      </c>
      <c r="T731" s="324">
        <f>T722*N_1*T730*SQRT(E$5/E$6)</f>
        <v>212.99999999999997</v>
      </c>
      <c r="U731" s="324">
        <f>U722*N_1*U730*SQRT(F$5/F$6)</f>
        <v>422.99999999999994</v>
      </c>
      <c r="V731" s="324">
        <f>V722*N_1*V730*SQRT(G$5/G$6)</f>
        <v>550</v>
      </c>
    </row>
    <row r="732" spans="16:22" x14ac:dyDescent="0.25">
      <c r="P732" s="244" t="s">
        <v>173</v>
      </c>
      <c r="S732" s="326">
        <f>(S731-S719)/S719</f>
        <v>0</v>
      </c>
      <c r="T732" s="326">
        <f>(T731-T719)/T719</f>
        <v>0</v>
      </c>
      <c r="U732" s="326">
        <f>(U731-U719)/U719</f>
        <v>0</v>
      </c>
      <c r="V732" s="326">
        <f>(V731-V719)/V719</f>
        <v>0</v>
      </c>
    </row>
    <row r="733" spans="16:22" x14ac:dyDescent="0.25">
      <c r="S733" s="323"/>
      <c r="T733" s="327"/>
      <c r="U733" s="323"/>
      <c r="V733" s="323"/>
    </row>
    <row r="734" spans="16:22" x14ac:dyDescent="0.25">
      <c r="P734" s="244" t="s">
        <v>60</v>
      </c>
      <c r="R734" s="323"/>
      <c r="S734" s="323">
        <f>IF(S732&lt;=0,S722,S722*(D$3/S731))</f>
        <v>14.142135623730947</v>
      </c>
      <c r="T734" s="323">
        <f>IF(T732&lt;=0,T722,T722*(E$3/T731))</f>
        <v>38.631610318358121</v>
      </c>
      <c r="U734" s="323">
        <f>IF(U732&lt;=0,U722,U722*(F$3/U731))</f>
        <v>84.769709297943393</v>
      </c>
      <c r="V734" s="323">
        <f>IF(V732&lt;=0,V722,V722*(G$3/V731))</f>
        <v>122.98373876248843</v>
      </c>
    </row>
    <row r="735" spans="16:22" x14ac:dyDescent="0.25">
      <c r="P735" s="244" t="s">
        <v>159</v>
      </c>
      <c r="Q735" s="244">
        <v>23</v>
      </c>
      <c r="S735" s="323">
        <f>((N_4*F_D*Q)/(nu*SQRT(S734*F_L))*((F_L^2*S734^2)/(N_2*d^4)+1)^0.25)</f>
        <v>11517.562651579427</v>
      </c>
      <c r="T735" s="323">
        <f>((N_4*E$23*E$3)/(E$22*SQRT(T734*E$9))*((E$9^2*T734^2)/(N_2*d^4)+1)^0.25)</f>
        <v>18929.820747268957</v>
      </c>
      <c r="U735" s="323">
        <f>((N_4*F$23*F$3)/(F$22*SQRT(U734*F$9))*((F$9^2*U734^2)/(N_2*d^4)+1)^0.25)</f>
        <v>28828.448537679182</v>
      </c>
      <c r="V735" s="323">
        <f>((N_4*G$23*G$3)/(G$22*SQRT(V734*G$9))*((G$9^2*V734^2)/(N_2*d^4)+1)^0.25)</f>
        <v>34037.670124390759</v>
      </c>
    </row>
    <row r="736" spans="16:22" ht="14.5" x14ac:dyDescent="0.25">
      <c r="P736" s="246" t="s">
        <v>324</v>
      </c>
      <c r="Q736" s="244" t="s">
        <v>162</v>
      </c>
      <c r="S736" s="323">
        <f>N_2/((S734/d^2))^2</f>
        <v>360.45000000000016</v>
      </c>
      <c r="T736" s="323">
        <f>N_2/((T734/d^2))^2</f>
        <v>48.304701448125378</v>
      </c>
      <c r="U736" s="323">
        <f>N_2/((U734/d^2))^2</f>
        <v>10.032141240380263</v>
      </c>
      <c r="V736" s="323">
        <f>N_2/((V734/d^2))^2</f>
        <v>4.7662809917355373</v>
      </c>
    </row>
    <row r="737" spans="16:22" ht="14.5" x14ac:dyDescent="0.25">
      <c r="P737" s="246" t="s">
        <v>325</v>
      </c>
      <c r="Q737" s="244" t="s">
        <v>163</v>
      </c>
      <c r="S737" s="323">
        <f>1+N_32*(S734/d^2)^(2/3)</f>
        <v>23.97720753883284</v>
      </c>
      <c r="T737" s="323">
        <f>1+N_32*(T734/d^2)^(2/3)</f>
        <v>45.900287604253037</v>
      </c>
      <c r="U737" s="323">
        <f>1+N_32*(U734/d^2)^(2/3)</f>
        <v>76.819522382349405</v>
      </c>
      <c r="V737" s="323">
        <f>1+N_32*(V734/d^2)^(2/3)</f>
        <v>98.167055626516756</v>
      </c>
    </row>
    <row r="738" spans="16:22" x14ac:dyDescent="0.25">
      <c r="P738" s="244" t="s">
        <v>168</v>
      </c>
      <c r="S738" s="323">
        <f>IF(RED_TRM="no",S736,S737)</f>
        <v>360.45000000000016</v>
      </c>
      <c r="T738" s="323">
        <f>IF(RED_TRM="no",T736,T737)</f>
        <v>48.304701448125378</v>
      </c>
      <c r="U738" s="323">
        <f>IF(RED_TRM="no",U736,U737)</f>
        <v>10.032141240380263</v>
      </c>
      <c r="V738" s="323">
        <f>IF(RED_TRM="no",V736,V737)</f>
        <v>4.7662809917355373</v>
      </c>
    </row>
    <row r="739" spans="16:22" ht="15.5" x14ac:dyDescent="0.4">
      <c r="P739" s="244" t="s">
        <v>165</v>
      </c>
      <c r="S739" s="323"/>
    </row>
    <row r="740" spans="16:22" ht="15.5" x14ac:dyDescent="0.4">
      <c r="P740" s="244" t="s">
        <v>166</v>
      </c>
      <c r="Q740" s="244" t="s">
        <v>169</v>
      </c>
      <c r="S740" s="323">
        <f>MIN((0.026/F_L)*SQRT(S738*S735),1)</f>
        <v>1</v>
      </c>
      <c r="T740" s="323">
        <f>MIN((0.026/E$9)*SQRT(T738*T735),1)</f>
        <v>1</v>
      </c>
      <c r="U740" s="323">
        <f>MIN((0.026/F$9)*SQRT(U738*U735),1)</f>
        <v>1</v>
      </c>
      <c r="V740" s="323">
        <f>MIN((0.026/G$9)*SQRT(V738*V735),1)</f>
        <v>1</v>
      </c>
    </row>
    <row r="741" spans="16:22" ht="15.5" x14ac:dyDescent="0.4">
      <c r="P741" s="244" t="s">
        <v>167</v>
      </c>
      <c r="Q741" s="244" t="s">
        <v>171</v>
      </c>
      <c r="S741" s="323">
        <f>MIN(1+((0.33*F_L^(1/2))/S738^(1/4)*LOG10(S735/10000)),(0.026/F_L)*SQRT(S738*S735),1)</f>
        <v>1</v>
      </c>
      <c r="T741" s="323">
        <f>MIN(1+((0.33*E$9^(1/2))/T738^(1/4)*LOG10(T735/10000)),(0.026/E$9)*SQRT(T738*T735),1)</f>
        <v>1</v>
      </c>
      <c r="U741" s="323">
        <f>MIN(1+((0.33*F$9^(1/2))/U738^(1/4)*LOG10(U735/10000)),(0.026/F$9)*SQRT(U738*U735),1)</f>
        <v>1</v>
      </c>
      <c r="V741" s="323">
        <f>MIN(1+((0.33*G$9^(1/2))/V738^(1/4)*LOG10(V735/10000)),(0.026/G$9)*SQRT(V738*V735),1)</f>
        <v>1</v>
      </c>
    </row>
    <row r="742" spans="16:22" ht="15.5" x14ac:dyDescent="0.4">
      <c r="P742" s="244" t="s">
        <v>170</v>
      </c>
      <c r="S742" s="323">
        <f>IF(S735&lt;10,S740,S741)</f>
        <v>1</v>
      </c>
      <c r="T742" s="323">
        <f>IF(T735&lt;10,T740,T741)</f>
        <v>1</v>
      </c>
      <c r="U742" s="323">
        <f>IF(U735&lt;10,U740,U741)</f>
        <v>1</v>
      </c>
      <c r="V742" s="323">
        <f>IF(V735&lt;10,V740,V741)</f>
        <v>1</v>
      </c>
    </row>
    <row r="743" spans="16:22" x14ac:dyDescent="0.25">
      <c r="P743" s="244" t="s">
        <v>193</v>
      </c>
      <c r="Q743" s="244" t="s">
        <v>172</v>
      </c>
      <c r="S743" s="324">
        <f>S734*N_1*S742*SQRT(D$5/D$6)</f>
        <v>79.999999999999986</v>
      </c>
      <c r="T743" s="324">
        <f>T734*N_1*T742*SQRT(E$5/E$6)</f>
        <v>212.99999999999997</v>
      </c>
      <c r="U743" s="324">
        <f>U734*N_1*U742*SQRT(F$5/F$6)</f>
        <v>422.99999999999994</v>
      </c>
      <c r="V743" s="324">
        <f>V734*N_1*V742*SQRT(G$5/G$6)</f>
        <v>550</v>
      </c>
    </row>
    <row r="744" spans="16:22" x14ac:dyDescent="0.25">
      <c r="P744" s="244" t="s">
        <v>173</v>
      </c>
      <c r="S744" s="326">
        <f>(S743-S731)/S731</f>
        <v>0</v>
      </c>
      <c r="T744" s="326">
        <f>(T743-T731)/T731</f>
        <v>0</v>
      </c>
      <c r="U744" s="326">
        <f>(U743-U731)/U731</f>
        <v>0</v>
      </c>
      <c r="V744" s="326">
        <f>(V743-V731)/V731</f>
        <v>0</v>
      </c>
    </row>
    <row r="745" spans="16:22" x14ac:dyDescent="0.25">
      <c r="T745" s="327"/>
      <c r="U745" s="323"/>
      <c r="V745" s="323"/>
    </row>
    <row r="746" spans="16:22" x14ac:dyDescent="0.25">
      <c r="P746" s="244" t="s">
        <v>60</v>
      </c>
      <c r="R746" s="323"/>
      <c r="S746" s="323">
        <f>IF(S744&lt;=0,S734,S734*(D$3/S743))</f>
        <v>14.142135623730947</v>
      </c>
      <c r="T746" s="323">
        <f>IF(T744&lt;=0,T734,T734*(E$3/T743))</f>
        <v>38.631610318358121</v>
      </c>
      <c r="U746" s="323">
        <f>IF(U744&lt;=0,U734,U734*(F$3/U743))</f>
        <v>84.769709297943393</v>
      </c>
      <c r="V746" s="323">
        <f>IF(V744&lt;=0,V734,V734*(G$3/V743))</f>
        <v>122.98373876248843</v>
      </c>
    </row>
    <row r="747" spans="16:22" x14ac:dyDescent="0.25">
      <c r="P747" s="244" t="s">
        <v>159</v>
      </c>
      <c r="Q747" s="244">
        <v>23</v>
      </c>
      <c r="S747" s="323">
        <f>((N_4*F_D*Q)/(nu*SQRT(S746*F_L))*((F_L^2*S746^2)/(N_2*d^4)+1)^0.25)</f>
        <v>11517.562651579427</v>
      </c>
      <c r="T747" s="323">
        <f>((N_4*E$23*E$3)/(E$22*SQRT(T746*E$9))*((E$9^2*T746^2)/(N_2*d^4)+1)^0.25)</f>
        <v>18929.820747268957</v>
      </c>
      <c r="U747" s="323">
        <f>((N_4*F$23*F$3)/(F$22*SQRT(U746*F$9))*((F$9^2*U746^2)/(N_2*d^4)+1)^0.25)</f>
        <v>28828.448537679182</v>
      </c>
      <c r="V747" s="323">
        <f>((N_4*G$23*G$3)/(G$22*SQRT(V746*G$9))*((G$9^2*V746^2)/(N_2*d^4)+1)^0.25)</f>
        <v>34037.670124390759</v>
      </c>
    </row>
    <row r="748" spans="16:22" ht="14.5" x14ac:dyDescent="0.25">
      <c r="P748" s="246" t="s">
        <v>324</v>
      </c>
      <c r="Q748" s="244" t="s">
        <v>162</v>
      </c>
      <c r="S748" s="323">
        <f>N_2/((S746/d^2))^2</f>
        <v>360.45000000000016</v>
      </c>
      <c r="T748" s="323">
        <f>N_2/((T746/d^2))^2</f>
        <v>48.304701448125378</v>
      </c>
      <c r="U748" s="323">
        <f>N_2/((U746/d^2))^2</f>
        <v>10.032141240380263</v>
      </c>
      <c r="V748" s="323">
        <f>N_2/((V746/d^2))^2</f>
        <v>4.7662809917355373</v>
      </c>
    </row>
    <row r="749" spans="16:22" ht="14.5" x14ac:dyDescent="0.25">
      <c r="P749" s="246" t="s">
        <v>325</v>
      </c>
      <c r="Q749" s="244" t="s">
        <v>163</v>
      </c>
      <c r="S749" s="323">
        <f>1+N_32*(S746/d^2)^(2/3)</f>
        <v>23.97720753883284</v>
      </c>
      <c r="T749" s="323">
        <f>1+N_32*(T746/d^2)^(2/3)</f>
        <v>45.900287604253037</v>
      </c>
      <c r="U749" s="323">
        <f>1+N_32*(U746/d^2)^(2/3)</f>
        <v>76.819522382349405</v>
      </c>
      <c r="V749" s="323">
        <f>1+N_32*(V746/d^2)^(2/3)</f>
        <v>98.167055626516756</v>
      </c>
    </row>
    <row r="750" spans="16:22" x14ac:dyDescent="0.25">
      <c r="P750" s="244" t="s">
        <v>168</v>
      </c>
      <c r="S750" s="323">
        <f>IF(RED_TRM="no",S748,S749)</f>
        <v>360.45000000000016</v>
      </c>
      <c r="T750" s="323">
        <f>IF(RED_TRM="no",T748,T749)</f>
        <v>48.304701448125378</v>
      </c>
      <c r="U750" s="323">
        <f>IF(RED_TRM="no",U748,U749)</f>
        <v>10.032141240380263</v>
      </c>
      <c r="V750" s="323">
        <f>IF(RED_TRM="no",V748,V749)</f>
        <v>4.7662809917355373</v>
      </c>
    </row>
    <row r="751" spans="16:22" ht="15.5" x14ac:dyDescent="0.4">
      <c r="P751" s="244" t="s">
        <v>165</v>
      </c>
      <c r="S751" s="323"/>
    </row>
    <row r="752" spans="16:22" ht="15.5" x14ac:dyDescent="0.4">
      <c r="P752" s="244" t="s">
        <v>166</v>
      </c>
      <c r="Q752" s="244" t="s">
        <v>169</v>
      </c>
      <c r="S752" s="323">
        <f>MIN((0.026/F_L)*SQRT(S750*S747),1)</f>
        <v>1</v>
      </c>
      <c r="T752" s="323">
        <f>MIN((0.026/E$9)*SQRT(T750*T747),1)</f>
        <v>1</v>
      </c>
      <c r="U752" s="323">
        <f>MIN((0.026/F$9)*SQRT(U750*U747),1)</f>
        <v>1</v>
      </c>
      <c r="V752" s="323">
        <f>MIN((0.026/G$9)*SQRT(V750*V747),1)</f>
        <v>1</v>
      </c>
    </row>
    <row r="753" spans="16:22" ht="15.5" x14ac:dyDescent="0.4">
      <c r="P753" s="244" t="s">
        <v>167</v>
      </c>
      <c r="Q753" s="244" t="s">
        <v>171</v>
      </c>
      <c r="S753" s="323">
        <f>MIN(1+((0.33*F_L^(1/2))/S750^(1/4)*LOG10(S747/10000)),(0.026/F_L)*SQRT(S750*S747),1)</f>
        <v>1</v>
      </c>
      <c r="T753" s="323">
        <f>MIN(1+((0.33*E$9^(1/2))/T750^(1/4)*LOG10(T747/10000)),(0.026/E$9)*SQRT(T750*T747),1)</f>
        <v>1</v>
      </c>
      <c r="U753" s="323">
        <f>MIN(1+((0.33*F$9^(1/2))/U750^(1/4)*LOG10(U747/10000)),(0.026/F$9)*SQRT(U750*U747),1)</f>
        <v>1</v>
      </c>
      <c r="V753" s="323">
        <f>MIN(1+((0.33*G$9^(1/2))/V750^(1/4)*LOG10(V747/10000)),(0.026/G$9)*SQRT(V750*V747),1)</f>
        <v>1</v>
      </c>
    </row>
    <row r="754" spans="16:22" ht="15.5" x14ac:dyDescent="0.4">
      <c r="P754" s="244" t="s">
        <v>170</v>
      </c>
      <c r="S754" s="323">
        <f>IF(S747&lt;10,S752,S753)</f>
        <v>1</v>
      </c>
      <c r="T754" s="323">
        <f>IF(T747&lt;10,T752,T753)</f>
        <v>1</v>
      </c>
      <c r="U754" s="323">
        <f>IF(U747&lt;10,U752,U753)</f>
        <v>1</v>
      </c>
      <c r="V754" s="323">
        <f>IF(V747&lt;10,V752,V753)</f>
        <v>1</v>
      </c>
    </row>
    <row r="755" spans="16:22" x14ac:dyDescent="0.25">
      <c r="P755" s="244" t="s">
        <v>193</v>
      </c>
      <c r="Q755" s="244" t="s">
        <v>172</v>
      </c>
      <c r="S755" s="324">
        <f>S746*N_1*S754*SQRT(D$5/D$6)</f>
        <v>79.999999999999986</v>
      </c>
      <c r="T755" s="324">
        <f>T746*N_1*T754*SQRT(E$5/E$6)</f>
        <v>212.99999999999997</v>
      </c>
      <c r="U755" s="324">
        <f>U746*N_1*U754*SQRT(F$5/F$6)</f>
        <v>422.99999999999994</v>
      </c>
      <c r="V755" s="324">
        <f>V746*N_1*V754*SQRT(G$5/G$6)</f>
        <v>550</v>
      </c>
    </row>
    <row r="756" spans="16:22" x14ac:dyDescent="0.25">
      <c r="P756" s="244" t="s">
        <v>173</v>
      </c>
      <c r="S756" s="326">
        <f>(S755-S743)/S743</f>
        <v>0</v>
      </c>
      <c r="T756" s="326">
        <f>(T755-T743)/T743</f>
        <v>0</v>
      </c>
      <c r="U756" s="326">
        <f>(U755-U743)/U743</f>
        <v>0</v>
      </c>
      <c r="V756" s="326">
        <f>(V755-V743)/V743</f>
        <v>0</v>
      </c>
    </row>
    <row r="757" spans="16:22" x14ac:dyDescent="0.25">
      <c r="U757" s="323"/>
      <c r="V757" s="323"/>
    </row>
    <row r="758" spans="16:22" x14ac:dyDescent="0.25">
      <c r="P758" s="244" t="s">
        <v>60</v>
      </c>
      <c r="R758" s="323"/>
      <c r="S758" s="323">
        <f>IF(S756&lt;=0,S746,S746*(D$3/S755))</f>
        <v>14.142135623730947</v>
      </c>
      <c r="T758" s="323">
        <f>IF(T756&lt;=0,T746,T746*(E$3/T755))</f>
        <v>38.631610318358121</v>
      </c>
      <c r="U758" s="323">
        <f>IF(U756&lt;=0,U746,U746*(F$3/U755))</f>
        <v>84.769709297943393</v>
      </c>
      <c r="V758" s="323">
        <f>IF(V756&lt;=0,V746,V746*(G$3/V755))</f>
        <v>122.98373876248843</v>
      </c>
    </row>
    <row r="759" spans="16:22" x14ac:dyDescent="0.25">
      <c r="P759" s="244" t="s">
        <v>159</v>
      </c>
      <c r="Q759" s="244">
        <v>23</v>
      </c>
      <c r="S759" s="323">
        <f>((N_4*F_D*Q)/(nu*SQRT(S758*F_L))*((F_L^2*S758^2)/(N_2*d^4)+1)^0.25)</f>
        <v>11517.562651579427</v>
      </c>
      <c r="T759" s="323">
        <f>((N_4*E$23*E$3)/(E$22*SQRT(T758*E$9))*((E$9^2*T758^2)/(N_2*d^4)+1)^0.25)</f>
        <v>18929.820747268957</v>
      </c>
      <c r="U759" s="323">
        <f>((N_4*F$23*F$3)/(F$22*SQRT(U758*F$9))*((F$9^2*U758^2)/(N_2*d^4)+1)^0.25)</f>
        <v>28828.448537679182</v>
      </c>
      <c r="V759" s="323">
        <f>((N_4*G$23*G$3)/(G$22*SQRT(V758*G$9))*((G$9^2*V758^2)/(N_2*d^4)+1)^0.25)</f>
        <v>34037.670124390759</v>
      </c>
    </row>
    <row r="760" spans="16:22" ht="14.5" x14ac:dyDescent="0.25">
      <c r="P760" s="246" t="s">
        <v>324</v>
      </c>
      <c r="Q760" s="244" t="s">
        <v>162</v>
      </c>
      <c r="S760" s="323">
        <f>N_2/((S758/d^2))^2</f>
        <v>360.45000000000016</v>
      </c>
      <c r="T760" s="323">
        <f>N_2/((T758/d^2))^2</f>
        <v>48.304701448125378</v>
      </c>
      <c r="U760" s="323">
        <f>N_2/((U758/d^2))^2</f>
        <v>10.032141240380263</v>
      </c>
      <c r="V760" s="323">
        <f>N_2/((V758/d^2))^2</f>
        <v>4.7662809917355373</v>
      </c>
    </row>
    <row r="761" spans="16:22" ht="14.5" x14ac:dyDescent="0.25">
      <c r="P761" s="246" t="s">
        <v>325</v>
      </c>
      <c r="Q761" s="244" t="s">
        <v>163</v>
      </c>
      <c r="S761" s="323">
        <f>1+N_32*(S758/d^2)^(2/3)</f>
        <v>23.97720753883284</v>
      </c>
      <c r="T761" s="323">
        <f>1+N_32*(T758/d^2)^(2/3)</f>
        <v>45.900287604253037</v>
      </c>
      <c r="U761" s="323">
        <f>1+N_32*(U758/d^2)^(2/3)</f>
        <v>76.819522382349405</v>
      </c>
      <c r="V761" s="323">
        <f>1+N_32*(V758/d^2)^(2/3)</f>
        <v>98.167055626516756</v>
      </c>
    </row>
    <row r="762" spans="16:22" x14ac:dyDescent="0.25">
      <c r="P762" s="244" t="s">
        <v>168</v>
      </c>
      <c r="S762" s="323">
        <f>IF(RED_TRM="no",S760,S761)</f>
        <v>360.45000000000016</v>
      </c>
      <c r="T762" s="323">
        <f>IF(RED_TRM="no",T760,T761)</f>
        <v>48.304701448125378</v>
      </c>
      <c r="U762" s="323">
        <f>IF(RED_TRM="no",U760,U761)</f>
        <v>10.032141240380263</v>
      </c>
      <c r="V762" s="323">
        <f>IF(RED_TRM="no",V760,V761)</f>
        <v>4.7662809917355373</v>
      </c>
    </row>
    <row r="763" spans="16:22" ht="15.5" x14ac:dyDescent="0.4">
      <c r="P763" s="244" t="s">
        <v>165</v>
      </c>
      <c r="S763" s="323"/>
    </row>
    <row r="764" spans="16:22" ht="15.5" x14ac:dyDescent="0.4">
      <c r="P764" s="244" t="s">
        <v>166</v>
      </c>
      <c r="Q764" s="244" t="s">
        <v>169</v>
      </c>
      <c r="S764" s="323">
        <f>MIN((0.026/F_L)*SQRT(S762*S759),1)</f>
        <v>1</v>
      </c>
      <c r="T764" s="323">
        <f>MIN((0.026/E$9)*SQRT(T762*T759),1)</f>
        <v>1</v>
      </c>
      <c r="U764" s="323">
        <f>MIN((0.026/F$9)*SQRT(U762*U759),1)</f>
        <v>1</v>
      </c>
      <c r="V764" s="323">
        <f>MIN((0.026/G$9)*SQRT(V762*V759),1)</f>
        <v>1</v>
      </c>
    </row>
    <row r="765" spans="16:22" ht="15.5" x14ac:dyDescent="0.4">
      <c r="P765" s="244" t="s">
        <v>167</v>
      </c>
      <c r="Q765" s="244" t="s">
        <v>171</v>
      </c>
      <c r="S765" s="323">
        <f>MIN(1+((0.33*F_L^(1/2))/S762^(1/4)*LOG10(S759/10000)),(0.026/F_L)*SQRT(S762*S759),1)</f>
        <v>1</v>
      </c>
      <c r="T765" s="323">
        <f>MIN(1+((0.33*E$9^(1/2))/T762^(1/4)*LOG10(T759/10000)),(0.026/E$9)*SQRT(T762*T759),1)</f>
        <v>1</v>
      </c>
      <c r="U765" s="323">
        <f>MIN(1+((0.33*F$9^(1/2))/U762^(1/4)*LOG10(U759/10000)),(0.026/F$9)*SQRT(U762*U759),1)</f>
        <v>1</v>
      </c>
      <c r="V765" s="323">
        <f>MIN(1+((0.33*G$9^(1/2))/V762^(1/4)*LOG10(V759/10000)),(0.026/G$9)*SQRT(V762*V759),1)</f>
        <v>1</v>
      </c>
    </row>
    <row r="766" spans="16:22" ht="15.5" x14ac:dyDescent="0.4">
      <c r="P766" s="244" t="s">
        <v>170</v>
      </c>
      <c r="S766" s="323">
        <f>IF(S759&lt;10,S764,S765)</f>
        <v>1</v>
      </c>
      <c r="T766" s="323">
        <f>IF(T759&lt;10,T764,T765)</f>
        <v>1</v>
      </c>
      <c r="U766" s="323">
        <f>IF(U759&lt;10,U764,U765)</f>
        <v>1</v>
      </c>
      <c r="V766" s="323">
        <f>IF(V759&lt;10,V764,V765)</f>
        <v>1</v>
      </c>
    </row>
    <row r="767" spans="16:22" x14ac:dyDescent="0.25">
      <c r="P767" s="244" t="s">
        <v>193</v>
      </c>
      <c r="Q767" s="244" t="s">
        <v>172</v>
      </c>
      <c r="S767" s="324">
        <f>S758*N_1*S766*SQRT(D$5/D$6)</f>
        <v>79.999999999999986</v>
      </c>
      <c r="T767" s="324">
        <f>T758*N_1*T766*SQRT(E$5/E$6)</f>
        <v>212.99999999999997</v>
      </c>
      <c r="U767" s="324">
        <f>U758*N_1*U766*SQRT(F$5/F$6)</f>
        <v>422.99999999999994</v>
      </c>
      <c r="V767" s="324">
        <f>V758*N_1*V766*SQRT(G$5/G$6)</f>
        <v>550</v>
      </c>
    </row>
    <row r="768" spans="16:22" x14ac:dyDescent="0.25">
      <c r="P768" s="244" t="s">
        <v>173</v>
      </c>
      <c r="S768" s="326">
        <f>(S767-S755)/S755</f>
        <v>0</v>
      </c>
      <c r="T768" s="326">
        <f>(T767-T755)/T755</f>
        <v>0</v>
      </c>
      <c r="U768" s="326">
        <f>(U767-U755)/U755</f>
        <v>0</v>
      </c>
      <c r="V768" s="326">
        <f>(V767-V755)/V755</f>
        <v>0</v>
      </c>
    </row>
    <row r="769" spans="16:22" x14ac:dyDescent="0.25">
      <c r="S769" s="323"/>
      <c r="T769" s="327"/>
      <c r="U769" s="323"/>
      <c r="V769" s="323"/>
    </row>
    <row r="770" spans="16:22" x14ac:dyDescent="0.25">
      <c r="P770" s="244" t="s">
        <v>60</v>
      </c>
      <c r="R770" s="323"/>
      <c r="S770" s="323">
        <f>IF(S768&lt;=0,S758,S758*(D$3/S767))</f>
        <v>14.142135623730947</v>
      </c>
      <c r="T770" s="323">
        <f>IF(T768&lt;=0,T758,T758*(E$3/T767))</f>
        <v>38.631610318358121</v>
      </c>
      <c r="U770" s="323">
        <f>IF(U768&lt;=0,U758,U758*(F$3/U767))</f>
        <v>84.769709297943393</v>
      </c>
      <c r="V770" s="323">
        <f>IF(V768&lt;=0,V758,V758*(G$3/V767))</f>
        <v>122.98373876248843</v>
      </c>
    </row>
    <row r="771" spans="16:22" x14ac:dyDescent="0.25">
      <c r="P771" s="244" t="s">
        <v>159</v>
      </c>
      <c r="Q771" s="244">
        <v>23</v>
      </c>
      <c r="S771" s="323">
        <f>((N_4*F_D*Q)/(nu*SQRT(S770*F_L))*((F_L^2*S770^2)/(N_2*d^4)+1)^0.25)</f>
        <v>11517.562651579427</v>
      </c>
      <c r="T771" s="323">
        <f>((N_4*E$23*E$3)/(E$22*SQRT(T770*E$9))*((E$9^2*T770^2)/(N_2*d^4)+1)^0.25)</f>
        <v>18929.820747268957</v>
      </c>
      <c r="U771" s="323">
        <f>((N_4*F$23*F$3)/(F$22*SQRT(U770*F$9))*((F$9^2*U770^2)/(N_2*d^4)+1)^0.25)</f>
        <v>28828.448537679182</v>
      </c>
      <c r="V771" s="323">
        <f>((N_4*G$23*G$3)/(G$22*SQRT(V770*G$9))*((G$9^2*V770^2)/(N_2*d^4)+1)^0.25)</f>
        <v>34037.670124390759</v>
      </c>
    </row>
    <row r="772" spans="16:22" ht="14.5" x14ac:dyDescent="0.25">
      <c r="P772" s="246" t="s">
        <v>324</v>
      </c>
      <c r="Q772" s="244" t="s">
        <v>162</v>
      </c>
      <c r="S772" s="323">
        <f>N_2/((S770/d^2))^2</f>
        <v>360.45000000000016</v>
      </c>
      <c r="T772" s="323">
        <f>N_2/((T770/d^2))^2</f>
        <v>48.304701448125378</v>
      </c>
      <c r="U772" s="323">
        <f>N_2/((U770/d^2))^2</f>
        <v>10.032141240380263</v>
      </c>
      <c r="V772" s="323">
        <f>N_2/((V770/d^2))^2</f>
        <v>4.7662809917355373</v>
      </c>
    </row>
    <row r="773" spans="16:22" ht="14.5" x14ac:dyDescent="0.25">
      <c r="P773" s="246" t="s">
        <v>325</v>
      </c>
      <c r="Q773" s="244" t="s">
        <v>163</v>
      </c>
      <c r="S773" s="323">
        <f>1+N_32*(S770/d^2)^(2/3)</f>
        <v>23.97720753883284</v>
      </c>
      <c r="T773" s="323">
        <f>1+N_32*(T770/d^2)^(2/3)</f>
        <v>45.900287604253037</v>
      </c>
      <c r="U773" s="323">
        <f>1+N_32*(U770/d^2)^(2/3)</f>
        <v>76.819522382349405</v>
      </c>
      <c r="V773" s="323">
        <f>1+N_32*(V770/d^2)^(2/3)</f>
        <v>98.167055626516756</v>
      </c>
    </row>
    <row r="774" spans="16:22" x14ac:dyDescent="0.25">
      <c r="P774" s="244" t="s">
        <v>168</v>
      </c>
      <c r="S774" s="323">
        <f>IF(RED_TRM="no",S772,S773)</f>
        <v>360.45000000000016</v>
      </c>
      <c r="T774" s="323">
        <f>IF(RED_TRM="no",T772,T773)</f>
        <v>48.304701448125378</v>
      </c>
      <c r="U774" s="323">
        <f>IF(RED_TRM="no",U772,U773)</f>
        <v>10.032141240380263</v>
      </c>
      <c r="V774" s="323">
        <f>IF(RED_TRM="no",V772,V773)</f>
        <v>4.7662809917355373</v>
      </c>
    </row>
    <row r="775" spans="16:22" ht="15.5" x14ac:dyDescent="0.4">
      <c r="P775" s="244" t="s">
        <v>165</v>
      </c>
      <c r="S775" s="323"/>
    </row>
    <row r="776" spans="16:22" ht="15.5" x14ac:dyDescent="0.4">
      <c r="P776" s="244" t="s">
        <v>166</v>
      </c>
      <c r="Q776" s="244" t="s">
        <v>169</v>
      </c>
      <c r="S776" s="323">
        <f>MIN((0.026/F_L)*SQRT(S774*S771),1)</f>
        <v>1</v>
      </c>
      <c r="T776" s="323">
        <f>MIN((0.026/E$9)*SQRT(T774*T771),1)</f>
        <v>1</v>
      </c>
      <c r="U776" s="323">
        <f>MIN((0.026/F$9)*SQRT(U774*U771),1)</f>
        <v>1</v>
      </c>
      <c r="V776" s="323">
        <f>MIN((0.026/G$9)*SQRT(V774*V771),1)</f>
        <v>1</v>
      </c>
    </row>
    <row r="777" spans="16:22" ht="15.5" x14ac:dyDescent="0.4">
      <c r="P777" s="244" t="s">
        <v>167</v>
      </c>
      <c r="Q777" s="244" t="s">
        <v>171</v>
      </c>
      <c r="S777" s="323">
        <f>MIN(1+((0.33*F_L^(1/2))/S774^(1/4)*LOG10(S771/10000)),(0.026/F_L)*SQRT(S774*S771),1)</f>
        <v>1</v>
      </c>
      <c r="T777" s="323">
        <f>MIN(1+((0.33*E$9^(1/2))/T774^(1/4)*LOG10(T771/10000)),(0.026/E$9)*SQRT(T774*T771),1)</f>
        <v>1</v>
      </c>
      <c r="U777" s="323">
        <f>MIN(1+((0.33*F$9^(1/2))/U774^(1/4)*LOG10(U771/10000)),(0.026/F$9)*SQRT(U774*U771),1)</f>
        <v>1</v>
      </c>
      <c r="V777" s="323">
        <f>MIN(1+((0.33*G$9^(1/2))/V774^(1/4)*LOG10(V771/10000)),(0.026/G$9)*SQRT(V774*V771),1)</f>
        <v>1</v>
      </c>
    </row>
    <row r="778" spans="16:22" ht="15.5" x14ac:dyDescent="0.4">
      <c r="P778" s="244" t="s">
        <v>170</v>
      </c>
      <c r="S778" s="323">
        <f>IF(S771&lt;10,S776,S777)</f>
        <v>1</v>
      </c>
      <c r="T778" s="323">
        <f>IF(T771&lt;10,T776,T777)</f>
        <v>1</v>
      </c>
      <c r="U778" s="323">
        <f>IF(U771&lt;10,U776,U777)</f>
        <v>1</v>
      </c>
      <c r="V778" s="323">
        <f>IF(V771&lt;10,V776,V777)</f>
        <v>1</v>
      </c>
    </row>
    <row r="779" spans="16:22" x14ac:dyDescent="0.25">
      <c r="P779" s="244" t="s">
        <v>193</v>
      </c>
      <c r="Q779" s="244" t="s">
        <v>172</v>
      </c>
      <c r="S779" s="324">
        <f>S770*N_1*S778*SQRT(D$5/D$6)</f>
        <v>79.999999999999986</v>
      </c>
      <c r="T779" s="324">
        <f>T770*N_1*T778*SQRT(E$5/E$6)</f>
        <v>212.99999999999997</v>
      </c>
      <c r="U779" s="324">
        <f>U770*N_1*U778*SQRT(F$5/F$6)</f>
        <v>422.99999999999994</v>
      </c>
      <c r="V779" s="324">
        <f>V770*N_1*V778*SQRT(G$5/G$6)</f>
        <v>550</v>
      </c>
    </row>
    <row r="780" spans="16:22" x14ac:dyDescent="0.25">
      <c r="P780" s="244" t="s">
        <v>173</v>
      </c>
      <c r="S780" s="326">
        <f>(S779-S767)/S767</f>
        <v>0</v>
      </c>
      <c r="T780" s="326">
        <f>(T779-T767)/T767</f>
        <v>0</v>
      </c>
      <c r="U780" s="326">
        <f>(U779-U767)/U767</f>
        <v>0</v>
      </c>
      <c r="V780" s="326">
        <f>(V779-V767)/V767</f>
        <v>0</v>
      </c>
    </row>
    <row r="781" spans="16:22" ht="13" x14ac:dyDescent="0.3">
      <c r="S781" s="324"/>
      <c r="T781" s="327"/>
      <c r="U781" s="328"/>
      <c r="V781" s="323"/>
    </row>
    <row r="782" spans="16:22" x14ac:dyDescent="0.25">
      <c r="P782" s="244" t="s">
        <v>60</v>
      </c>
      <c r="R782" s="323"/>
      <c r="S782" s="323">
        <f>IF(S780&lt;=0,S770,S770*(D$3/S779))</f>
        <v>14.142135623730947</v>
      </c>
      <c r="T782" s="323">
        <f>IF(T780&lt;=0,T770,T770*(E$3/T779))</f>
        <v>38.631610318358121</v>
      </c>
      <c r="U782" s="323">
        <f>IF(U780&lt;=0,U770,U770*(F$3/U779))</f>
        <v>84.769709297943393</v>
      </c>
      <c r="V782" s="323">
        <f>IF(V780&lt;=0,V770,V770*(G$3/V779))</f>
        <v>122.98373876248843</v>
      </c>
    </row>
    <row r="783" spans="16:22" x14ac:dyDescent="0.25">
      <c r="P783" s="244" t="s">
        <v>159</v>
      </c>
      <c r="Q783" s="244">
        <v>23</v>
      </c>
      <c r="S783" s="323">
        <f>((N_4*F_D*Q)/(nu*SQRT(S782*F_L))*((F_L^2*S782^2)/(N_2*d^4)+1)^0.25)</f>
        <v>11517.562651579427</v>
      </c>
      <c r="T783" s="323">
        <f>((N_4*E$23*E$3)/(E$22*SQRT(T782*E$9))*((E$9^2*T782^2)/(N_2*d^4)+1)^0.25)</f>
        <v>18929.820747268957</v>
      </c>
      <c r="U783" s="323">
        <f>((N_4*F$23*F$3)/(F$22*SQRT(U782*F$9))*((F$9^2*U782^2)/(N_2*d^4)+1)^0.25)</f>
        <v>28828.448537679182</v>
      </c>
      <c r="V783" s="323">
        <f>((N_4*G$23*G$3)/(G$22*SQRT(V782*G$9))*((G$9^2*V782^2)/(N_2*d^4)+1)^0.25)</f>
        <v>34037.670124390759</v>
      </c>
    </row>
    <row r="784" spans="16:22" ht="14.5" x14ac:dyDescent="0.25">
      <c r="P784" s="246" t="s">
        <v>324</v>
      </c>
      <c r="Q784" s="244" t="s">
        <v>162</v>
      </c>
      <c r="S784" s="323">
        <f>N_2/((S782/d^2))^2</f>
        <v>360.45000000000016</v>
      </c>
      <c r="T784" s="323">
        <f>N_2/((T782/d^2))^2</f>
        <v>48.304701448125378</v>
      </c>
      <c r="U784" s="323">
        <f>N_2/((U782/d^2))^2</f>
        <v>10.032141240380263</v>
      </c>
      <c r="V784" s="323">
        <f>N_2/((V782/d^2))^2</f>
        <v>4.7662809917355373</v>
      </c>
    </row>
    <row r="785" spans="16:22" ht="14.5" x14ac:dyDescent="0.25">
      <c r="P785" s="246" t="s">
        <v>325</v>
      </c>
      <c r="Q785" s="244" t="s">
        <v>163</v>
      </c>
      <c r="S785" s="323">
        <f>1+N_32*(S782/d^2)^(2/3)</f>
        <v>23.97720753883284</v>
      </c>
      <c r="T785" s="323">
        <f>1+N_32*(T782/d^2)^(2/3)</f>
        <v>45.900287604253037</v>
      </c>
      <c r="U785" s="323">
        <f>1+N_32*(U782/d^2)^(2/3)</f>
        <v>76.819522382349405</v>
      </c>
      <c r="V785" s="323">
        <f>1+N_32*(V782/d^2)^(2/3)</f>
        <v>98.167055626516756</v>
      </c>
    </row>
    <row r="786" spans="16:22" x14ac:dyDescent="0.25">
      <c r="P786" s="244" t="s">
        <v>168</v>
      </c>
      <c r="S786" s="323">
        <f>IF(RED_TRM="no",S784,S785)</f>
        <v>360.45000000000016</v>
      </c>
      <c r="T786" s="323">
        <f>IF(RED_TRM="no",T784,T785)</f>
        <v>48.304701448125378</v>
      </c>
      <c r="U786" s="323">
        <f>IF(RED_TRM="no",U784,U785)</f>
        <v>10.032141240380263</v>
      </c>
      <c r="V786" s="323">
        <f>IF(RED_TRM="no",V784,V785)</f>
        <v>4.7662809917355373</v>
      </c>
    </row>
    <row r="787" spans="16:22" ht="15.5" x14ac:dyDescent="0.4">
      <c r="P787" s="244" t="s">
        <v>165</v>
      </c>
      <c r="S787" s="323"/>
    </row>
    <row r="788" spans="16:22" ht="15.5" x14ac:dyDescent="0.4">
      <c r="P788" s="244" t="s">
        <v>166</v>
      </c>
      <c r="Q788" s="244" t="s">
        <v>169</v>
      </c>
      <c r="S788" s="323">
        <f>MIN((0.026/F_L)*SQRT(S786*S783),1)</f>
        <v>1</v>
      </c>
      <c r="T788" s="323">
        <f>MIN((0.026/E$9)*SQRT(T786*T783),1)</f>
        <v>1</v>
      </c>
      <c r="U788" s="323">
        <f>MIN((0.026/F$9)*SQRT(U786*U783),1)</f>
        <v>1</v>
      </c>
      <c r="V788" s="323">
        <f>MIN((0.026/G$9)*SQRT(V786*V783),1)</f>
        <v>1</v>
      </c>
    </row>
    <row r="789" spans="16:22" ht="15.5" x14ac:dyDescent="0.4">
      <c r="P789" s="244" t="s">
        <v>167</v>
      </c>
      <c r="Q789" s="244" t="s">
        <v>171</v>
      </c>
      <c r="S789" s="323">
        <f>MIN(1+((0.33*F_L^(1/2))/S786^(1/4)*LOG10(S783/10000)),(0.026/F_L)*SQRT(S786*S783),1)</f>
        <v>1</v>
      </c>
      <c r="T789" s="323">
        <f>MIN(1+((0.33*E$9^(1/2))/T786^(1/4)*LOG10(T783/10000)),(0.026/E$9)*SQRT(T786*T783),1)</f>
        <v>1</v>
      </c>
      <c r="U789" s="323">
        <f>MIN(1+((0.33*F$9^(1/2))/U786^(1/4)*LOG10(U783/10000)),(0.026/F$9)*SQRT(U786*U783),1)</f>
        <v>1</v>
      </c>
      <c r="V789" s="323">
        <f>MIN(1+((0.33*G$9^(1/2))/V786^(1/4)*LOG10(V783/10000)),(0.026/G$9)*SQRT(V786*V783),1)</f>
        <v>1</v>
      </c>
    </row>
    <row r="790" spans="16:22" ht="15.5" x14ac:dyDescent="0.4">
      <c r="P790" s="244" t="s">
        <v>170</v>
      </c>
      <c r="S790" s="323">
        <f>IF(S783&lt;10,S788,S789)</f>
        <v>1</v>
      </c>
      <c r="T790" s="323">
        <f>IF(T783&lt;10,T788,T789)</f>
        <v>1</v>
      </c>
      <c r="U790" s="323">
        <f>IF(U783&lt;10,U788,U789)</f>
        <v>1</v>
      </c>
      <c r="V790" s="323">
        <f>IF(V783&lt;10,V788,V789)</f>
        <v>1</v>
      </c>
    </row>
    <row r="791" spans="16:22" x14ac:dyDescent="0.25">
      <c r="P791" s="244" t="s">
        <v>193</v>
      </c>
      <c r="Q791" s="244" t="s">
        <v>172</v>
      </c>
      <c r="S791" s="324">
        <f>S782*N_1*S790*SQRT(D$5/D$6)</f>
        <v>79.999999999999986</v>
      </c>
      <c r="T791" s="324">
        <f>T782*N_1*T790*SQRT(E$5/E$6)</f>
        <v>212.99999999999997</v>
      </c>
      <c r="U791" s="324">
        <f>U782*N_1*U790*SQRT(F$5/F$6)</f>
        <v>422.99999999999994</v>
      </c>
      <c r="V791" s="324">
        <f>V782*N_1*V790*SQRT(G$5/G$6)</f>
        <v>550</v>
      </c>
    </row>
    <row r="792" spans="16:22" x14ac:dyDescent="0.25">
      <c r="P792" s="244" t="s">
        <v>173</v>
      </c>
      <c r="S792" s="326">
        <f>(S791-S779)/S779</f>
        <v>0</v>
      </c>
      <c r="T792" s="326">
        <f>(T791-T779)/T779</f>
        <v>0</v>
      </c>
      <c r="U792" s="326">
        <f>(U791-U779)/U779</f>
        <v>0</v>
      </c>
      <c r="V792" s="326">
        <f>(V791-V779)/V779</f>
        <v>0</v>
      </c>
    </row>
    <row r="793" spans="16:22" x14ac:dyDescent="0.25">
      <c r="S793" s="325"/>
      <c r="U793" s="323"/>
      <c r="V793" s="323"/>
    </row>
    <row r="794" spans="16:22" x14ac:dyDescent="0.25">
      <c r="P794" s="244" t="s">
        <v>60</v>
      </c>
      <c r="R794" s="323"/>
      <c r="S794" s="323">
        <f>IF(S792&lt;=0,S782,S782*(D$3/S791))</f>
        <v>14.142135623730947</v>
      </c>
      <c r="T794" s="323">
        <f>IF(T792&lt;=0,T782,T782*(E$3/T791))</f>
        <v>38.631610318358121</v>
      </c>
      <c r="U794" s="323">
        <f>IF(U792&lt;=0,U782,U782*(F$3/U791))</f>
        <v>84.769709297943393</v>
      </c>
      <c r="V794" s="323">
        <f>IF(V792&lt;=0,V782,V782*(G$3/V791))</f>
        <v>122.98373876248843</v>
      </c>
    </row>
    <row r="795" spans="16:22" x14ac:dyDescent="0.25">
      <c r="P795" s="329" t="s">
        <v>159</v>
      </c>
      <c r="Q795" s="244">
        <v>23</v>
      </c>
      <c r="S795" s="330">
        <f>((N_4*F_D*Q)/(nu*SQRT(S794*F_L))*((F_L^2*S794^2)/(N_2*d^4)+1)^0.25)</f>
        <v>11517.562651579427</v>
      </c>
      <c r="T795" s="323">
        <f>((N_4*E$23*E$3)/(E$22*SQRT(T794*E$9))*((E$9^2*T794^2)/(N_2*d^4)+1)^0.25)</f>
        <v>18929.820747268957</v>
      </c>
      <c r="U795" s="323">
        <f>((N_4*F$23*F$3)/(F$22*SQRT(U794*F$9))*((F$9^2*U794^2)/(N_2*d^4)+1)^0.25)</f>
        <v>28828.448537679182</v>
      </c>
      <c r="V795" s="330">
        <f>((N_4*G$23*G$3)/(G$22*SQRT(V794*G$9))*((G$9^2*V794^2)/(N_2*d^4)+1)^0.25)</f>
        <v>34037.670124390759</v>
      </c>
    </row>
    <row r="796" spans="16:22" ht="14.5" x14ac:dyDescent="0.25">
      <c r="P796" s="246" t="s">
        <v>324</v>
      </c>
      <c r="Q796" s="244" t="s">
        <v>162</v>
      </c>
      <c r="S796" s="323">
        <f>N_2/((S794/d^2))^2</f>
        <v>360.45000000000016</v>
      </c>
      <c r="T796" s="323">
        <f>N_2/((T794/d^2))^2</f>
        <v>48.304701448125378</v>
      </c>
      <c r="U796" s="323">
        <f>N_2/((U794/d^2))^2</f>
        <v>10.032141240380263</v>
      </c>
      <c r="V796" s="323">
        <f>N_2/((V794/d^2))^2</f>
        <v>4.7662809917355373</v>
      </c>
    </row>
    <row r="797" spans="16:22" ht="14.5" x14ac:dyDescent="0.25">
      <c r="P797" s="246" t="s">
        <v>325</v>
      </c>
      <c r="Q797" s="244" t="s">
        <v>163</v>
      </c>
      <c r="S797" s="323">
        <f>1+N_32*(S794/d^2)^(2/3)</f>
        <v>23.97720753883284</v>
      </c>
      <c r="T797" s="323">
        <f>1+N_32*(T794/d^2)^(2/3)</f>
        <v>45.900287604253037</v>
      </c>
      <c r="U797" s="323">
        <f>1+N_32*(U794/d^2)^(2/3)</f>
        <v>76.819522382349405</v>
      </c>
      <c r="V797" s="323">
        <f>1+N_32*(V794/d^2)^(2/3)</f>
        <v>98.167055626516756</v>
      </c>
    </row>
    <row r="798" spans="16:22" x14ac:dyDescent="0.25">
      <c r="P798" s="244" t="s">
        <v>168</v>
      </c>
      <c r="S798" s="323">
        <f>IF(RED_TRM="no",S796,S797)</f>
        <v>360.45000000000016</v>
      </c>
      <c r="T798" s="323">
        <f>IF(RED_TRM="no",T796,T797)</f>
        <v>48.304701448125378</v>
      </c>
      <c r="U798" s="323">
        <f>IF(RED_TRM="no",U796,U797)</f>
        <v>10.032141240380263</v>
      </c>
      <c r="V798" s="323">
        <f>IF(RED_TRM="no",V796,V797)</f>
        <v>4.7662809917355373</v>
      </c>
    </row>
    <row r="799" spans="16:22" ht="15.5" x14ac:dyDescent="0.4">
      <c r="P799" s="244" t="s">
        <v>165</v>
      </c>
      <c r="S799" s="323"/>
    </row>
    <row r="800" spans="16:22" ht="15.5" x14ac:dyDescent="0.4">
      <c r="P800" s="244" t="s">
        <v>166</v>
      </c>
      <c r="Q800" s="244" t="s">
        <v>169</v>
      </c>
      <c r="S800" s="323">
        <f>MIN((0.026/F_L)*SQRT(S798*S795),1)</f>
        <v>1</v>
      </c>
      <c r="T800" s="323">
        <f>MIN((0.026/E$9)*SQRT(T798*T795),1)</f>
        <v>1</v>
      </c>
      <c r="U800" s="323">
        <f>MIN((0.026/F$9)*SQRT(U798*U795),1)</f>
        <v>1</v>
      </c>
      <c r="V800" s="323">
        <f>MIN((0.026/G$9)*SQRT(V798*V795),1)</f>
        <v>1</v>
      </c>
    </row>
    <row r="801" spans="16:22" ht="15.5" x14ac:dyDescent="0.4">
      <c r="P801" s="244" t="s">
        <v>167</v>
      </c>
      <c r="Q801" s="244" t="s">
        <v>171</v>
      </c>
      <c r="S801" s="323">
        <f>MIN(1+((0.33*F_L^(1/2))/S798^(1/4)*LOG10(S795/10000)),(0.026/F_L)*SQRT(S798*S795),1)</f>
        <v>1</v>
      </c>
      <c r="T801" s="323">
        <f>MIN(1+((0.33*E$9^(1/2))/T798^(1/4)*LOG10(T795/10000)),(0.026/E$9)*SQRT(T798*T795),1)</f>
        <v>1</v>
      </c>
      <c r="U801" s="323">
        <f>MIN(1+((0.33*F$9^(1/2))/U798^(1/4)*LOG10(U795/10000)),(0.026/F$9)*SQRT(U798*U795),1)</f>
        <v>1</v>
      </c>
      <c r="V801" s="323">
        <f>MIN(1+((0.33*G$9^(1/2))/V798^(1/4)*LOG10(V795/10000)),(0.026/G$9)*SQRT(V798*V795),1)</f>
        <v>1</v>
      </c>
    </row>
    <row r="802" spans="16:22" ht="15.5" x14ac:dyDescent="0.4">
      <c r="P802" s="244" t="s">
        <v>170</v>
      </c>
      <c r="S802" s="323">
        <f>IF(S795&lt;10,S800,S801)</f>
        <v>1</v>
      </c>
      <c r="T802" s="323">
        <f>IF(T795&lt;10,T800,T801)</f>
        <v>1</v>
      </c>
      <c r="U802" s="323">
        <f>IF(U795&lt;10,U800,U801)</f>
        <v>1</v>
      </c>
      <c r="V802" s="323">
        <f>IF(V795&lt;10,V800,V801)</f>
        <v>1</v>
      </c>
    </row>
    <row r="803" spans="16:22" x14ac:dyDescent="0.25">
      <c r="P803" s="244" t="s">
        <v>193</v>
      </c>
      <c r="Q803" s="244" t="s">
        <v>172</v>
      </c>
      <c r="S803" s="324">
        <f>S794*N_1*S802*SQRT(D$5/D$6)</f>
        <v>79.999999999999986</v>
      </c>
      <c r="T803" s="324">
        <f>T794*N_1*T802*SQRT(E$5/E$6)</f>
        <v>212.99999999999997</v>
      </c>
      <c r="U803" s="324">
        <f>U794*N_1*U802*SQRT(F$5/F$6)</f>
        <v>422.99999999999994</v>
      </c>
      <c r="V803" s="324">
        <f>V794*N_1*V802*SQRT(G$5/G$6)</f>
        <v>550</v>
      </c>
    </row>
    <row r="804" spans="16:22" x14ac:dyDescent="0.25">
      <c r="P804" s="331" t="s">
        <v>173</v>
      </c>
      <c r="S804" s="326">
        <f>(S803-S791)/S791</f>
        <v>0</v>
      </c>
      <c r="T804" s="326">
        <f>(T803-T791)/T791</f>
        <v>0</v>
      </c>
      <c r="U804" s="326">
        <f>(U803-U791)/U791</f>
        <v>0</v>
      </c>
      <c r="V804" s="326">
        <f>(V803-V791)/V791</f>
        <v>0</v>
      </c>
    </row>
    <row r="807" spans="16:22" x14ac:dyDescent="0.25">
      <c r="P807" s="329" t="s">
        <v>307</v>
      </c>
      <c r="S807" s="329">
        <f>IFERROR(S795,"")</f>
        <v>11517.562651579427</v>
      </c>
      <c r="V807" s="329">
        <f>IFERROR(V795,"")</f>
        <v>34037.670124390759</v>
      </c>
    </row>
    <row r="853" spans="19:22" x14ac:dyDescent="0.25">
      <c r="S853" s="323"/>
      <c r="T853" s="323"/>
      <c r="U853" s="323"/>
      <c r="V853" s="323"/>
    </row>
    <row r="854" spans="19:22" x14ac:dyDescent="0.25">
      <c r="S854" s="323"/>
      <c r="T854" s="323"/>
      <c r="U854" s="323"/>
      <c r="V854" s="323"/>
    </row>
    <row r="855" spans="19:22" x14ac:dyDescent="0.25">
      <c r="S855" s="323"/>
      <c r="T855" s="323"/>
      <c r="U855" s="323"/>
      <c r="V855" s="323"/>
    </row>
    <row r="856" spans="19:22" x14ac:dyDescent="0.25">
      <c r="S856" s="323"/>
      <c r="T856" s="323"/>
      <c r="U856" s="323"/>
      <c r="V856" s="323"/>
    </row>
    <row r="857" spans="19:22" x14ac:dyDescent="0.25">
      <c r="S857" s="323"/>
      <c r="T857" s="323"/>
      <c r="U857" s="323"/>
      <c r="V857" s="323"/>
    </row>
    <row r="858" spans="19:22" x14ac:dyDescent="0.25">
      <c r="S858" s="323"/>
      <c r="T858" s="323"/>
      <c r="U858" s="323"/>
      <c r="V858" s="323"/>
    </row>
    <row r="859" spans="19:22" x14ac:dyDescent="0.25">
      <c r="S859" s="323"/>
      <c r="T859" s="323"/>
      <c r="U859" s="323"/>
      <c r="V859" s="323"/>
    </row>
    <row r="860" spans="19:22" x14ac:dyDescent="0.25">
      <c r="S860" s="323"/>
      <c r="T860" s="323"/>
      <c r="U860" s="323"/>
      <c r="V860" s="323"/>
    </row>
    <row r="861" spans="19:22" x14ac:dyDescent="0.25">
      <c r="S861" s="323"/>
      <c r="T861" s="323"/>
      <c r="U861" s="323"/>
      <c r="V861" s="323"/>
    </row>
    <row r="862" spans="19:22" x14ac:dyDescent="0.25">
      <c r="S862" s="323"/>
      <c r="T862" s="323"/>
      <c r="U862" s="323"/>
      <c r="V862" s="323"/>
    </row>
    <row r="863" spans="19:22" x14ac:dyDescent="0.25">
      <c r="S863" s="323"/>
      <c r="T863" s="323"/>
      <c r="U863" s="323"/>
      <c r="V863" s="323"/>
    </row>
    <row r="864" spans="19:22" x14ac:dyDescent="0.25">
      <c r="S864" s="323"/>
      <c r="T864" s="323"/>
      <c r="U864" s="323"/>
      <c r="V864" s="323"/>
    </row>
    <row r="865" spans="19:22" x14ac:dyDescent="0.25">
      <c r="S865" s="323"/>
      <c r="T865" s="323"/>
      <c r="U865" s="323"/>
      <c r="V865" s="323"/>
    </row>
    <row r="866" spans="19:22" x14ac:dyDescent="0.25">
      <c r="S866" s="323"/>
      <c r="T866" s="323"/>
      <c r="U866" s="323"/>
      <c r="V866" s="323"/>
    </row>
    <row r="867" spans="19:22" x14ac:dyDescent="0.25">
      <c r="S867" s="323"/>
      <c r="T867" s="323"/>
      <c r="U867" s="323"/>
      <c r="V867" s="323"/>
    </row>
    <row r="868" spans="19:22" x14ac:dyDescent="0.25">
      <c r="S868" s="323"/>
      <c r="T868" s="323"/>
      <c r="U868" s="323"/>
      <c r="V868" s="323"/>
    </row>
    <row r="869" spans="19:22" x14ac:dyDescent="0.25">
      <c r="S869" s="323"/>
      <c r="T869" s="323"/>
      <c r="U869" s="323"/>
      <c r="V869" s="323"/>
    </row>
    <row r="870" spans="19:22" x14ac:dyDescent="0.25">
      <c r="S870" s="323"/>
      <c r="T870" s="323"/>
      <c r="U870" s="323"/>
      <c r="V870" s="323"/>
    </row>
    <row r="871" spans="19:22" x14ac:dyDescent="0.25">
      <c r="S871" s="323"/>
      <c r="T871" s="323"/>
      <c r="U871" s="323"/>
      <c r="V871" s="323"/>
    </row>
    <row r="872" spans="19:22" x14ac:dyDescent="0.25">
      <c r="S872" s="323"/>
      <c r="T872" s="323"/>
      <c r="U872" s="323"/>
      <c r="V872" s="323"/>
    </row>
    <row r="873" spans="19:22" x14ac:dyDescent="0.25">
      <c r="S873" s="323"/>
      <c r="T873" s="323"/>
      <c r="U873" s="323"/>
      <c r="V873" s="323"/>
    </row>
    <row r="874" spans="19:22" x14ac:dyDescent="0.25">
      <c r="S874" s="323"/>
      <c r="T874" s="323"/>
      <c r="U874" s="323"/>
      <c r="V874" s="323"/>
    </row>
    <row r="875" spans="19:22" x14ac:dyDescent="0.25">
      <c r="S875" s="323"/>
      <c r="T875" s="323"/>
      <c r="U875" s="323"/>
      <c r="V875" s="323"/>
    </row>
    <row r="876" spans="19:22" x14ac:dyDescent="0.25">
      <c r="S876" s="323"/>
      <c r="T876" s="323"/>
      <c r="U876" s="323"/>
      <c r="V876" s="323"/>
    </row>
    <row r="877" spans="19:22" x14ac:dyDescent="0.25">
      <c r="S877" s="323"/>
      <c r="T877" s="323"/>
      <c r="U877" s="323"/>
      <c r="V877" s="323"/>
    </row>
    <row r="878" spans="19:22" x14ac:dyDescent="0.25">
      <c r="S878" s="323"/>
      <c r="T878" s="323"/>
      <c r="U878" s="323"/>
      <c r="V878" s="323"/>
    </row>
    <row r="879" spans="19:22" x14ac:dyDescent="0.25">
      <c r="S879" s="323"/>
      <c r="T879" s="323"/>
      <c r="U879" s="323"/>
      <c r="V879" s="323"/>
    </row>
    <row r="880" spans="19:22" x14ac:dyDescent="0.25">
      <c r="S880" s="323"/>
      <c r="T880" s="323"/>
      <c r="U880" s="323"/>
      <c r="V880" s="323"/>
    </row>
    <row r="881" spans="19:22" x14ac:dyDescent="0.25">
      <c r="S881" s="323"/>
      <c r="T881" s="323"/>
      <c r="U881" s="323"/>
      <c r="V881" s="323"/>
    </row>
    <row r="882" spans="19:22" x14ac:dyDescent="0.25">
      <c r="S882" s="323"/>
      <c r="T882" s="323"/>
      <c r="U882" s="323"/>
      <c r="V882" s="323"/>
    </row>
    <row r="883" spans="19:22" x14ac:dyDescent="0.25">
      <c r="S883" s="323"/>
      <c r="T883" s="323"/>
      <c r="U883" s="323"/>
      <c r="V883" s="323"/>
    </row>
    <row r="884" spans="19:22" x14ac:dyDescent="0.25">
      <c r="S884" s="323"/>
      <c r="T884" s="323"/>
      <c r="U884" s="323"/>
      <c r="V884" s="323"/>
    </row>
    <row r="885" spans="19:22" x14ac:dyDescent="0.25">
      <c r="S885" s="323"/>
      <c r="T885" s="323"/>
      <c r="U885" s="323"/>
      <c r="V885" s="323"/>
    </row>
    <row r="886" spans="19:22" x14ac:dyDescent="0.25">
      <c r="S886" s="323"/>
      <c r="T886" s="323"/>
      <c r="U886" s="323"/>
      <c r="V886" s="323"/>
    </row>
    <row r="887" spans="19:22" x14ac:dyDescent="0.25">
      <c r="S887" s="323"/>
      <c r="T887" s="323"/>
      <c r="U887" s="323"/>
      <c r="V887" s="323"/>
    </row>
    <row r="888" spans="19:22" x14ac:dyDescent="0.25">
      <c r="S888" s="323"/>
      <c r="T888" s="323"/>
      <c r="U888" s="323"/>
      <c r="V888" s="323"/>
    </row>
    <row r="889" spans="19:22" x14ac:dyDescent="0.25">
      <c r="S889" s="323"/>
      <c r="T889" s="323"/>
      <c r="U889" s="323"/>
      <c r="V889" s="323"/>
    </row>
    <row r="890" spans="19:22" x14ac:dyDescent="0.25">
      <c r="S890" s="323"/>
      <c r="T890" s="323"/>
      <c r="U890" s="323"/>
      <c r="V890" s="323"/>
    </row>
    <row r="891" spans="19:22" x14ac:dyDescent="0.25">
      <c r="S891" s="323"/>
      <c r="T891" s="323"/>
      <c r="U891" s="323"/>
      <c r="V891" s="323"/>
    </row>
    <row r="892" spans="19:22" x14ac:dyDescent="0.25">
      <c r="S892" s="323"/>
      <c r="T892" s="323"/>
      <c r="U892" s="323"/>
      <c r="V892" s="323"/>
    </row>
    <row r="893" spans="19:22" x14ac:dyDescent="0.25">
      <c r="S893" s="323"/>
      <c r="T893" s="323"/>
      <c r="U893" s="323"/>
      <c r="V893" s="323"/>
    </row>
    <row r="894" spans="19:22" x14ac:dyDescent="0.25">
      <c r="S894" s="323"/>
      <c r="T894" s="323"/>
      <c r="U894" s="323"/>
      <c r="V894" s="323"/>
    </row>
    <row r="895" spans="19:22" x14ac:dyDescent="0.25">
      <c r="S895" s="323"/>
      <c r="T895" s="323"/>
      <c r="U895" s="323"/>
      <c r="V895" s="323"/>
    </row>
    <row r="896" spans="19:22" x14ac:dyDescent="0.25">
      <c r="S896" s="323"/>
      <c r="T896" s="323"/>
      <c r="U896" s="323"/>
      <c r="V896" s="323"/>
    </row>
    <row r="897" spans="19:22" x14ac:dyDescent="0.25">
      <c r="S897" s="323"/>
      <c r="T897" s="323"/>
      <c r="U897" s="323"/>
      <c r="V897" s="323"/>
    </row>
    <row r="898" spans="19:22" x14ac:dyDescent="0.25">
      <c r="S898" s="323"/>
      <c r="T898" s="323"/>
      <c r="U898" s="323"/>
      <c r="V898" s="323"/>
    </row>
    <row r="899" spans="19:22" x14ac:dyDescent="0.25">
      <c r="S899" s="323"/>
      <c r="T899" s="323"/>
      <c r="U899" s="323"/>
      <c r="V899" s="323"/>
    </row>
    <row r="900" spans="19:22" x14ac:dyDescent="0.25">
      <c r="S900" s="323"/>
      <c r="T900" s="323"/>
      <c r="U900" s="323"/>
      <c r="V900" s="323"/>
    </row>
    <row r="901" spans="19:22" x14ac:dyDescent="0.25">
      <c r="S901" s="323"/>
      <c r="T901" s="323"/>
      <c r="U901" s="323"/>
      <c r="V901" s="323"/>
    </row>
    <row r="902" spans="19:22" x14ac:dyDescent="0.25">
      <c r="S902" s="323"/>
      <c r="T902" s="323"/>
      <c r="U902" s="323"/>
      <c r="V902" s="323"/>
    </row>
    <row r="903" spans="19:22" x14ac:dyDescent="0.25">
      <c r="S903" s="323"/>
      <c r="T903" s="323"/>
      <c r="U903" s="323"/>
      <c r="V903" s="323"/>
    </row>
    <row r="904" spans="19:22" x14ac:dyDescent="0.25">
      <c r="S904" s="323"/>
      <c r="T904" s="323"/>
      <c r="U904" s="323"/>
      <c r="V904" s="323"/>
    </row>
    <row r="905" spans="19:22" x14ac:dyDescent="0.25">
      <c r="S905" s="323"/>
      <c r="T905" s="323"/>
      <c r="U905" s="323"/>
      <c r="V905" s="323"/>
    </row>
    <row r="906" spans="19:22" x14ac:dyDescent="0.25">
      <c r="S906" s="323"/>
      <c r="T906" s="323"/>
      <c r="U906" s="323"/>
      <c r="V906" s="323"/>
    </row>
    <row r="907" spans="19:22" x14ac:dyDescent="0.25">
      <c r="S907" s="323"/>
      <c r="T907" s="323"/>
      <c r="U907" s="323"/>
      <c r="V907" s="323"/>
    </row>
    <row r="908" spans="19:22" x14ac:dyDescent="0.25">
      <c r="S908" s="323"/>
      <c r="T908" s="323"/>
      <c r="U908" s="323"/>
      <c r="V908" s="323"/>
    </row>
    <row r="909" spans="19:22" x14ac:dyDescent="0.25">
      <c r="S909" s="323"/>
      <c r="T909" s="323"/>
      <c r="U909" s="323"/>
      <c r="V909" s="323"/>
    </row>
    <row r="910" spans="19:22" x14ac:dyDescent="0.25">
      <c r="S910" s="323"/>
      <c r="T910" s="323"/>
      <c r="U910" s="323"/>
      <c r="V910" s="323"/>
    </row>
    <row r="911" spans="19:22" x14ac:dyDescent="0.25">
      <c r="S911" s="323"/>
      <c r="T911" s="323"/>
      <c r="U911" s="323"/>
      <c r="V911" s="323"/>
    </row>
    <row r="912" spans="19:22" x14ac:dyDescent="0.25">
      <c r="S912" s="323"/>
      <c r="T912" s="323"/>
      <c r="U912" s="323"/>
      <c r="V912" s="323"/>
    </row>
    <row r="913" spans="19:22" x14ac:dyDescent="0.25">
      <c r="S913" s="323"/>
      <c r="T913" s="323"/>
      <c r="U913" s="323"/>
      <c r="V913" s="323"/>
    </row>
    <row r="914" spans="19:22" x14ac:dyDescent="0.25">
      <c r="S914" s="323"/>
      <c r="T914" s="323"/>
      <c r="U914" s="323"/>
      <c r="V914" s="323"/>
    </row>
    <row r="915" spans="19:22" x14ac:dyDescent="0.25">
      <c r="S915" s="323"/>
      <c r="T915" s="323"/>
      <c r="U915" s="323"/>
      <c r="V915" s="323"/>
    </row>
    <row r="916" spans="19:22" x14ac:dyDescent="0.25">
      <c r="S916" s="323"/>
      <c r="T916" s="323"/>
      <c r="U916" s="323"/>
      <c r="V916" s="323"/>
    </row>
    <row r="917" spans="19:22" x14ac:dyDescent="0.25">
      <c r="S917" s="323"/>
      <c r="T917" s="323"/>
      <c r="U917" s="323"/>
      <c r="V917" s="323"/>
    </row>
    <row r="918" spans="19:22" x14ac:dyDescent="0.25">
      <c r="S918" s="323"/>
      <c r="T918" s="323"/>
      <c r="U918" s="323"/>
      <c r="V918" s="323"/>
    </row>
    <row r="919" spans="19:22" x14ac:dyDescent="0.25">
      <c r="S919" s="323"/>
      <c r="T919" s="323"/>
      <c r="U919" s="323"/>
      <c r="V919" s="323"/>
    </row>
    <row r="920" spans="19:22" x14ac:dyDescent="0.25">
      <c r="S920" s="323"/>
      <c r="T920" s="323"/>
      <c r="U920" s="323"/>
      <c r="V920" s="323"/>
    </row>
    <row r="921" spans="19:22" x14ac:dyDescent="0.25">
      <c r="S921" s="323"/>
      <c r="T921" s="323"/>
      <c r="U921" s="323"/>
      <c r="V921" s="323"/>
    </row>
    <row r="922" spans="19:22" x14ac:dyDescent="0.25">
      <c r="S922" s="323"/>
      <c r="T922" s="323"/>
      <c r="U922" s="323"/>
      <c r="V922" s="323"/>
    </row>
    <row r="923" spans="19:22" x14ac:dyDescent="0.25">
      <c r="S923" s="323"/>
      <c r="T923" s="323"/>
      <c r="U923" s="323"/>
      <c r="V923" s="323"/>
    </row>
    <row r="924" spans="19:22" x14ac:dyDescent="0.25">
      <c r="S924" s="323"/>
      <c r="T924" s="323"/>
      <c r="U924" s="323"/>
      <c r="V924" s="323"/>
    </row>
    <row r="925" spans="19:22" x14ac:dyDescent="0.25">
      <c r="S925" s="323"/>
      <c r="T925" s="323"/>
      <c r="U925" s="323"/>
      <c r="V925" s="323"/>
    </row>
    <row r="926" spans="19:22" x14ac:dyDescent="0.25">
      <c r="S926" s="323"/>
      <c r="T926" s="323"/>
      <c r="U926" s="323"/>
      <c r="V926" s="323"/>
    </row>
    <row r="927" spans="19:22" x14ac:dyDescent="0.25">
      <c r="S927" s="323"/>
      <c r="T927" s="323"/>
      <c r="U927" s="323"/>
      <c r="V927" s="323"/>
    </row>
    <row r="928" spans="19:22" x14ac:dyDescent="0.25">
      <c r="S928" s="323"/>
      <c r="T928" s="323"/>
      <c r="U928" s="323"/>
      <c r="V928" s="323"/>
    </row>
    <row r="929" spans="19:22" x14ac:dyDescent="0.25">
      <c r="S929" s="323"/>
      <c r="T929" s="323"/>
      <c r="U929" s="323"/>
      <c r="V929" s="323"/>
    </row>
    <row r="930" spans="19:22" x14ac:dyDescent="0.25">
      <c r="S930" s="323"/>
      <c r="T930" s="323"/>
      <c r="U930" s="323"/>
      <c r="V930" s="323"/>
    </row>
    <row r="931" spans="19:22" x14ac:dyDescent="0.25">
      <c r="S931" s="323"/>
      <c r="T931" s="323"/>
      <c r="U931" s="323"/>
      <c r="V931" s="323"/>
    </row>
    <row r="932" spans="19:22" x14ac:dyDescent="0.25">
      <c r="S932" s="323"/>
      <c r="T932" s="323"/>
      <c r="U932" s="323"/>
      <c r="V932" s="323"/>
    </row>
    <row r="933" spans="19:22" x14ac:dyDescent="0.25">
      <c r="S933" s="323"/>
      <c r="T933" s="323"/>
      <c r="U933" s="323"/>
      <c r="V933" s="323"/>
    </row>
    <row r="934" spans="19:22" x14ac:dyDescent="0.25">
      <c r="S934" s="323"/>
      <c r="T934" s="323"/>
      <c r="U934" s="323"/>
      <c r="V934" s="323"/>
    </row>
    <row r="935" spans="19:22" x14ac:dyDescent="0.25">
      <c r="S935" s="323"/>
      <c r="T935" s="323"/>
      <c r="U935" s="323"/>
      <c r="V935" s="323"/>
    </row>
    <row r="936" spans="19:22" x14ac:dyDescent="0.25">
      <c r="S936" s="323"/>
      <c r="T936" s="323"/>
      <c r="U936" s="323"/>
      <c r="V936" s="323"/>
    </row>
    <row r="937" spans="19:22" x14ac:dyDescent="0.25">
      <c r="S937" s="323"/>
      <c r="T937" s="323"/>
      <c r="U937" s="323"/>
      <c r="V937" s="323"/>
    </row>
    <row r="938" spans="19:22" x14ac:dyDescent="0.25">
      <c r="S938" s="323"/>
      <c r="T938" s="323"/>
      <c r="U938" s="323"/>
      <c r="V938" s="323"/>
    </row>
    <row r="939" spans="19:22" x14ac:dyDescent="0.25">
      <c r="S939" s="323"/>
      <c r="T939" s="323"/>
      <c r="U939" s="323"/>
      <c r="V939" s="323"/>
    </row>
    <row r="940" spans="19:22" x14ac:dyDescent="0.25">
      <c r="S940" s="323"/>
      <c r="T940" s="323"/>
      <c r="U940" s="323"/>
      <c r="V940" s="323"/>
    </row>
    <row r="941" spans="19:22" x14ac:dyDescent="0.25">
      <c r="S941" s="323"/>
      <c r="T941" s="323"/>
      <c r="U941" s="323"/>
      <c r="V941" s="323"/>
    </row>
    <row r="942" spans="19:22" x14ac:dyDescent="0.25">
      <c r="S942" s="323"/>
      <c r="T942" s="323"/>
      <c r="U942" s="323"/>
      <c r="V942" s="323"/>
    </row>
    <row r="943" spans="19:22" x14ac:dyDescent="0.25">
      <c r="S943" s="323"/>
      <c r="T943" s="323"/>
      <c r="U943" s="323"/>
      <c r="V943" s="323"/>
    </row>
    <row r="944" spans="19:22" x14ac:dyDescent="0.25">
      <c r="S944" s="323"/>
      <c r="T944" s="323"/>
      <c r="U944" s="323"/>
      <c r="V944" s="323"/>
    </row>
    <row r="945" spans="19:22" x14ac:dyDescent="0.25">
      <c r="S945" s="323"/>
      <c r="T945" s="323"/>
      <c r="U945" s="323"/>
      <c r="V945" s="323"/>
    </row>
    <row r="946" spans="19:22" x14ac:dyDescent="0.25">
      <c r="S946" s="323"/>
      <c r="T946" s="323"/>
      <c r="U946" s="323"/>
      <c r="V946" s="323"/>
    </row>
    <row r="947" spans="19:22" x14ac:dyDescent="0.25">
      <c r="S947" s="323"/>
      <c r="T947" s="323"/>
      <c r="U947" s="323"/>
      <c r="V947" s="323"/>
    </row>
    <row r="948" spans="19:22" x14ac:dyDescent="0.25">
      <c r="S948" s="323"/>
      <c r="T948" s="323"/>
      <c r="U948" s="323"/>
      <c r="V948" s="323"/>
    </row>
    <row r="949" spans="19:22" x14ac:dyDescent="0.25">
      <c r="S949" s="323"/>
      <c r="T949" s="323"/>
      <c r="U949" s="323"/>
      <c r="V949" s="323"/>
    </row>
    <row r="950" spans="19:22" x14ac:dyDescent="0.25">
      <c r="S950" s="323"/>
      <c r="T950" s="323"/>
      <c r="U950" s="323"/>
      <c r="V950" s="323"/>
    </row>
    <row r="951" spans="19:22" x14ac:dyDescent="0.25">
      <c r="S951" s="323"/>
      <c r="T951" s="323"/>
      <c r="U951" s="323"/>
      <c r="V951" s="323"/>
    </row>
    <row r="952" spans="19:22" x14ac:dyDescent="0.25">
      <c r="S952" s="323"/>
      <c r="T952" s="323"/>
      <c r="U952" s="323"/>
      <c r="V952" s="323"/>
    </row>
    <row r="953" spans="19:22" x14ac:dyDescent="0.25">
      <c r="S953" s="323"/>
      <c r="T953" s="323"/>
      <c r="U953" s="323"/>
      <c r="V953" s="323"/>
    </row>
    <row r="954" spans="19:22" x14ac:dyDescent="0.25">
      <c r="S954" s="323"/>
      <c r="T954" s="323"/>
      <c r="U954" s="323"/>
      <c r="V954" s="323"/>
    </row>
    <row r="955" spans="19:22" x14ac:dyDescent="0.25">
      <c r="S955" s="323"/>
      <c r="T955" s="323"/>
      <c r="U955" s="323"/>
      <c r="V955" s="323"/>
    </row>
    <row r="956" spans="19:22" x14ac:dyDescent="0.25">
      <c r="S956" s="323"/>
      <c r="T956" s="323"/>
      <c r="U956" s="323"/>
      <c r="V956" s="323"/>
    </row>
    <row r="957" spans="19:22" x14ac:dyDescent="0.25">
      <c r="S957" s="323"/>
      <c r="T957" s="323"/>
      <c r="U957" s="323"/>
      <c r="V957" s="323"/>
    </row>
    <row r="958" spans="19:22" x14ac:dyDescent="0.25">
      <c r="S958" s="323"/>
      <c r="T958" s="323"/>
      <c r="U958" s="323"/>
      <c r="V958" s="323"/>
    </row>
    <row r="959" spans="19:22" x14ac:dyDescent="0.25">
      <c r="S959" s="323"/>
      <c r="T959" s="323"/>
      <c r="U959" s="323"/>
      <c r="V959" s="323"/>
    </row>
    <row r="960" spans="19:22" x14ac:dyDescent="0.25">
      <c r="S960" s="323"/>
      <c r="T960" s="323"/>
      <c r="U960" s="323"/>
      <c r="V960" s="323"/>
    </row>
    <row r="961" spans="19:22" x14ac:dyDescent="0.25">
      <c r="S961" s="323"/>
      <c r="T961" s="323"/>
      <c r="U961" s="323"/>
      <c r="V961" s="323"/>
    </row>
    <row r="962" spans="19:22" x14ac:dyDescent="0.25">
      <c r="S962" s="323"/>
      <c r="T962" s="323"/>
      <c r="U962" s="323"/>
      <c r="V962" s="323"/>
    </row>
    <row r="963" spans="19:22" x14ac:dyDescent="0.25">
      <c r="S963" s="323"/>
      <c r="T963" s="323"/>
      <c r="U963" s="323"/>
      <c r="V963" s="323"/>
    </row>
    <row r="964" spans="19:22" x14ac:dyDescent="0.25">
      <c r="S964" s="323"/>
      <c r="T964" s="323"/>
      <c r="U964" s="323"/>
      <c r="V964" s="323"/>
    </row>
    <row r="965" spans="19:22" x14ac:dyDescent="0.25">
      <c r="S965" s="323"/>
      <c r="T965" s="323"/>
      <c r="U965" s="323"/>
      <c r="V965" s="323"/>
    </row>
    <row r="966" spans="19:22" x14ac:dyDescent="0.25">
      <c r="S966" s="323"/>
      <c r="T966" s="323"/>
      <c r="U966" s="323"/>
      <c r="V966" s="323"/>
    </row>
    <row r="967" spans="19:22" x14ac:dyDescent="0.25">
      <c r="S967" s="323"/>
      <c r="T967" s="323"/>
      <c r="U967" s="323"/>
      <c r="V967" s="323"/>
    </row>
    <row r="968" spans="19:22" x14ac:dyDescent="0.25">
      <c r="S968" s="323"/>
      <c r="T968" s="323"/>
      <c r="U968" s="323"/>
      <c r="V968" s="323"/>
    </row>
    <row r="969" spans="19:22" x14ac:dyDescent="0.25">
      <c r="S969" s="323"/>
      <c r="T969" s="323"/>
      <c r="U969" s="323"/>
      <c r="V969" s="323"/>
    </row>
    <row r="970" spans="19:22" x14ac:dyDescent="0.25">
      <c r="S970" s="323"/>
      <c r="T970" s="323"/>
      <c r="U970" s="323"/>
      <c r="V970" s="323"/>
    </row>
    <row r="971" spans="19:22" x14ac:dyDescent="0.25">
      <c r="S971" s="323"/>
      <c r="T971" s="323"/>
      <c r="U971" s="323"/>
      <c r="V971" s="323"/>
    </row>
    <row r="972" spans="19:22" x14ac:dyDescent="0.25">
      <c r="S972" s="323"/>
      <c r="T972" s="323"/>
      <c r="U972" s="323"/>
      <c r="V972" s="323"/>
    </row>
    <row r="973" spans="19:22" x14ac:dyDescent="0.25">
      <c r="S973" s="323"/>
      <c r="T973" s="323"/>
      <c r="U973" s="323"/>
      <c r="V973" s="323"/>
    </row>
    <row r="974" spans="19:22" x14ac:dyDescent="0.25">
      <c r="S974" s="323"/>
      <c r="T974" s="323"/>
      <c r="U974" s="323"/>
      <c r="V974" s="323"/>
    </row>
    <row r="975" spans="19:22" x14ac:dyDescent="0.25">
      <c r="S975" s="323"/>
      <c r="T975" s="323"/>
      <c r="U975" s="323"/>
      <c r="V975" s="323"/>
    </row>
    <row r="976" spans="19:22" x14ac:dyDescent="0.25">
      <c r="S976" s="323"/>
      <c r="T976" s="323"/>
      <c r="U976" s="323"/>
      <c r="V976" s="323"/>
    </row>
    <row r="977" spans="19:22" x14ac:dyDescent="0.25">
      <c r="S977" s="323"/>
      <c r="T977" s="323"/>
      <c r="U977" s="323"/>
      <c r="V977" s="323"/>
    </row>
    <row r="978" spans="19:22" x14ac:dyDescent="0.25">
      <c r="S978" s="323"/>
      <c r="T978" s="323"/>
      <c r="U978" s="323"/>
      <c r="V978" s="323"/>
    </row>
    <row r="979" spans="19:22" x14ac:dyDescent="0.25">
      <c r="S979" s="323"/>
      <c r="T979" s="323"/>
      <c r="U979" s="323"/>
      <c r="V979" s="323"/>
    </row>
    <row r="980" spans="19:22" x14ac:dyDescent="0.25">
      <c r="S980" s="323"/>
      <c r="T980" s="323"/>
      <c r="U980" s="323"/>
      <c r="V980" s="323"/>
    </row>
    <row r="981" spans="19:22" x14ac:dyDescent="0.25">
      <c r="S981" s="323"/>
      <c r="T981" s="323"/>
      <c r="U981" s="323"/>
      <c r="V981" s="323"/>
    </row>
    <row r="982" spans="19:22" x14ac:dyDescent="0.25">
      <c r="S982" s="323"/>
      <c r="T982" s="323"/>
      <c r="U982" s="323"/>
      <c r="V982" s="323"/>
    </row>
    <row r="983" spans="19:22" x14ac:dyDescent="0.25">
      <c r="S983" s="323"/>
      <c r="T983" s="323"/>
      <c r="U983" s="323"/>
      <c r="V983" s="323"/>
    </row>
    <row r="984" spans="19:22" x14ac:dyDescent="0.25">
      <c r="S984" s="323"/>
      <c r="T984" s="323"/>
      <c r="U984" s="323"/>
      <c r="V984" s="323"/>
    </row>
    <row r="985" spans="19:22" x14ac:dyDescent="0.25">
      <c r="S985" s="323"/>
      <c r="T985" s="323"/>
      <c r="U985" s="323"/>
      <c r="V985" s="323"/>
    </row>
    <row r="986" spans="19:22" x14ac:dyDescent="0.25">
      <c r="S986" s="323"/>
      <c r="T986" s="323"/>
      <c r="U986" s="323"/>
      <c r="V986" s="323"/>
    </row>
    <row r="987" spans="19:22" x14ac:dyDescent="0.25">
      <c r="S987" s="323"/>
      <c r="T987" s="323"/>
      <c r="U987" s="323"/>
      <c r="V987" s="323"/>
    </row>
    <row r="988" spans="19:22" x14ac:dyDescent="0.25">
      <c r="S988" s="323"/>
      <c r="T988" s="323"/>
      <c r="U988" s="323"/>
      <c r="V988" s="323"/>
    </row>
    <row r="989" spans="19:22" x14ac:dyDescent="0.25">
      <c r="S989" s="323"/>
      <c r="T989" s="323"/>
      <c r="U989" s="323"/>
      <c r="V989" s="323"/>
    </row>
    <row r="990" spans="19:22" x14ac:dyDescent="0.25">
      <c r="S990" s="323"/>
      <c r="T990" s="323"/>
      <c r="U990" s="323"/>
      <c r="V990" s="323"/>
    </row>
    <row r="991" spans="19:22" x14ac:dyDescent="0.25">
      <c r="S991" s="323"/>
      <c r="T991" s="323"/>
      <c r="U991" s="323"/>
      <c r="V991" s="323"/>
    </row>
    <row r="992" spans="19:22" x14ac:dyDescent="0.25">
      <c r="S992" s="323"/>
      <c r="T992" s="323"/>
      <c r="U992" s="323"/>
      <c r="V992" s="323"/>
    </row>
    <row r="993" spans="19:22" x14ac:dyDescent="0.25">
      <c r="S993" s="323"/>
      <c r="T993" s="323"/>
      <c r="U993" s="323"/>
      <c r="V993" s="323"/>
    </row>
    <row r="994" spans="19:22" x14ac:dyDescent="0.25">
      <c r="S994" s="323"/>
      <c r="T994" s="323"/>
      <c r="U994" s="323"/>
      <c r="V994" s="323"/>
    </row>
    <row r="995" spans="19:22" x14ac:dyDescent="0.25">
      <c r="S995" s="323"/>
      <c r="T995" s="323"/>
      <c r="U995" s="323"/>
      <c r="V995" s="323"/>
    </row>
    <row r="996" spans="19:22" x14ac:dyDescent="0.25">
      <c r="S996" s="323"/>
      <c r="T996" s="323"/>
      <c r="U996" s="323"/>
      <c r="V996" s="323"/>
    </row>
    <row r="997" spans="19:22" x14ac:dyDescent="0.25">
      <c r="S997" s="323"/>
      <c r="T997" s="323"/>
      <c r="U997" s="323"/>
      <c r="V997" s="323"/>
    </row>
    <row r="998" spans="19:22" x14ac:dyDescent="0.25">
      <c r="S998" s="323"/>
      <c r="T998" s="323"/>
      <c r="U998" s="323"/>
      <c r="V998" s="323"/>
    </row>
    <row r="999" spans="19:22" x14ac:dyDescent="0.25">
      <c r="S999" s="323"/>
      <c r="T999" s="323"/>
      <c r="U999" s="323"/>
      <c r="V999" s="323"/>
    </row>
    <row r="1000" spans="19:22" x14ac:dyDescent="0.25">
      <c r="S1000" s="323"/>
      <c r="T1000" s="323"/>
      <c r="U1000" s="323"/>
      <c r="V1000" s="323"/>
    </row>
    <row r="1001" spans="19:22" x14ac:dyDescent="0.25">
      <c r="S1001" s="323"/>
      <c r="T1001" s="323"/>
      <c r="U1001" s="323"/>
      <c r="V1001" s="323"/>
    </row>
    <row r="1002" spans="19:22" x14ac:dyDescent="0.25">
      <c r="S1002" s="323"/>
      <c r="T1002" s="323"/>
      <c r="U1002" s="323"/>
      <c r="V1002" s="323"/>
    </row>
    <row r="1003" spans="19:22" x14ac:dyDescent="0.25">
      <c r="S1003" s="323"/>
      <c r="T1003" s="323"/>
      <c r="U1003" s="323"/>
      <c r="V1003" s="323"/>
    </row>
    <row r="1004" spans="19:22" x14ac:dyDescent="0.25">
      <c r="S1004" s="323"/>
      <c r="T1004" s="323"/>
      <c r="U1004" s="323"/>
      <c r="V1004" s="323"/>
    </row>
    <row r="1005" spans="19:22" x14ac:dyDescent="0.25">
      <c r="S1005" s="323"/>
      <c r="T1005" s="323"/>
      <c r="U1005" s="323"/>
      <c r="V1005" s="323"/>
    </row>
    <row r="1006" spans="19:22" x14ac:dyDescent="0.25">
      <c r="S1006" s="323"/>
      <c r="T1006" s="323"/>
      <c r="U1006" s="323"/>
      <c r="V1006" s="323"/>
    </row>
    <row r="1007" spans="19:22" x14ac:dyDescent="0.25">
      <c r="S1007" s="323"/>
      <c r="T1007" s="323"/>
      <c r="U1007" s="323"/>
      <c r="V1007" s="323"/>
    </row>
    <row r="1008" spans="19:22" x14ac:dyDescent="0.25">
      <c r="S1008" s="323"/>
      <c r="T1008" s="323"/>
      <c r="U1008" s="323"/>
      <c r="V1008" s="323"/>
    </row>
    <row r="1009" spans="19:22" x14ac:dyDescent="0.25">
      <c r="S1009" s="323"/>
      <c r="T1009" s="323"/>
      <c r="U1009" s="323"/>
      <c r="V1009" s="323"/>
    </row>
    <row r="1010" spans="19:22" x14ac:dyDescent="0.25">
      <c r="S1010" s="323"/>
      <c r="T1010" s="323"/>
      <c r="U1010" s="323"/>
      <c r="V1010" s="323"/>
    </row>
    <row r="1011" spans="19:22" x14ac:dyDescent="0.25">
      <c r="S1011" s="323"/>
      <c r="T1011" s="323"/>
      <c r="U1011" s="323"/>
      <c r="V1011" s="323"/>
    </row>
    <row r="1012" spans="19:22" x14ac:dyDescent="0.25">
      <c r="S1012" s="323"/>
      <c r="T1012" s="323"/>
      <c r="U1012" s="323"/>
      <c r="V1012" s="323"/>
    </row>
    <row r="1013" spans="19:22" x14ac:dyDescent="0.25">
      <c r="S1013" s="323"/>
      <c r="T1013" s="323"/>
      <c r="U1013" s="323"/>
      <c r="V1013" s="323"/>
    </row>
    <row r="1014" spans="19:22" x14ac:dyDescent="0.25">
      <c r="S1014" s="323"/>
      <c r="T1014" s="323"/>
      <c r="U1014" s="323"/>
      <c r="V1014" s="323"/>
    </row>
    <row r="1015" spans="19:22" x14ac:dyDescent="0.25">
      <c r="S1015" s="323"/>
      <c r="T1015" s="323"/>
      <c r="U1015" s="323"/>
      <c r="V1015" s="323"/>
    </row>
    <row r="1016" spans="19:22" x14ac:dyDescent="0.25">
      <c r="S1016" s="323"/>
      <c r="T1016" s="323"/>
      <c r="U1016" s="323"/>
      <c r="V1016" s="323"/>
    </row>
    <row r="1017" spans="19:22" x14ac:dyDescent="0.25">
      <c r="S1017" s="323"/>
      <c r="T1017" s="323"/>
      <c r="U1017" s="323"/>
      <c r="V1017" s="323"/>
    </row>
    <row r="1018" spans="19:22" x14ac:dyDescent="0.25">
      <c r="S1018" s="323"/>
      <c r="T1018" s="323"/>
      <c r="U1018" s="323"/>
      <c r="V1018" s="323"/>
    </row>
    <row r="1019" spans="19:22" x14ac:dyDescent="0.25">
      <c r="S1019" s="323"/>
      <c r="T1019" s="323"/>
      <c r="U1019" s="323"/>
      <c r="V1019" s="323"/>
    </row>
    <row r="1020" spans="19:22" x14ac:dyDescent="0.25">
      <c r="S1020" s="323"/>
      <c r="T1020" s="323"/>
      <c r="U1020" s="323"/>
      <c r="V1020" s="323"/>
    </row>
    <row r="1021" spans="19:22" x14ac:dyDescent="0.25">
      <c r="S1021" s="323"/>
      <c r="T1021" s="323"/>
      <c r="U1021" s="323"/>
      <c r="V1021" s="323"/>
    </row>
    <row r="1022" spans="19:22" x14ac:dyDescent="0.25">
      <c r="S1022" s="323"/>
      <c r="T1022" s="323"/>
      <c r="U1022" s="323"/>
      <c r="V1022" s="323"/>
    </row>
    <row r="1023" spans="19:22" x14ac:dyDescent="0.25">
      <c r="S1023" s="323"/>
      <c r="T1023" s="323"/>
      <c r="U1023" s="323"/>
      <c r="V1023" s="323"/>
    </row>
    <row r="1024" spans="19:22" x14ac:dyDescent="0.25">
      <c r="S1024" s="323"/>
      <c r="T1024" s="323"/>
      <c r="U1024" s="323"/>
      <c r="V1024" s="323"/>
    </row>
    <row r="1025" spans="19:22" x14ac:dyDescent="0.25">
      <c r="S1025" s="323"/>
      <c r="T1025" s="323"/>
      <c r="U1025" s="323"/>
      <c r="V1025" s="323"/>
    </row>
    <row r="1026" spans="19:22" x14ac:dyDescent="0.25">
      <c r="S1026" s="323"/>
      <c r="T1026" s="323"/>
      <c r="U1026" s="323"/>
      <c r="V1026" s="323"/>
    </row>
    <row r="1027" spans="19:22" x14ac:dyDescent="0.25">
      <c r="S1027" s="323"/>
      <c r="T1027" s="323"/>
      <c r="U1027" s="323"/>
      <c r="V1027" s="323"/>
    </row>
    <row r="1028" spans="19:22" x14ac:dyDescent="0.25">
      <c r="S1028" s="323"/>
      <c r="T1028" s="323"/>
      <c r="U1028" s="323"/>
      <c r="V1028" s="323"/>
    </row>
    <row r="1029" spans="19:22" x14ac:dyDescent="0.25">
      <c r="S1029" s="323"/>
      <c r="T1029" s="323"/>
      <c r="U1029" s="323"/>
      <c r="V1029" s="323"/>
    </row>
    <row r="1030" spans="19:22" x14ac:dyDescent="0.25">
      <c r="S1030" s="323"/>
      <c r="T1030" s="323"/>
      <c r="U1030" s="323"/>
      <c r="V1030" s="323"/>
    </row>
    <row r="1031" spans="19:22" x14ac:dyDescent="0.25">
      <c r="S1031" s="323"/>
      <c r="T1031" s="323"/>
      <c r="U1031" s="323"/>
      <c r="V1031" s="323"/>
    </row>
    <row r="1032" spans="19:22" x14ac:dyDescent="0.25">
      <c r="S1032" s="323"/>
      <c r="T1032" s="323"/>
      <c r="U1032" s="323"/>
      <c r="V1032" s="323"/>
    </row>
    <row r="1033" spans="19:22" x14ac:dyDescent="0.25">
      <c r="S1033" s="323"/>
      <c r="T1033" s="323"/>
      <c r="U1033" s="323"/>
      <c r="V1033" s="323"/>
    </row>
    <row r="1034" spans="19:22" x14ac:dyDescent="0.25">
      <c r="S1034" s="323"/>
      <c r="T1034" s="323"/>
      <c r="U1034" s="323"/>
      <c r="V1034" s="323"/>
    </row>
    <row r="1035" spans="19:22" x14ac:dyDescent="0.25">
      <c r="S1035" s="323"/>
      <c r="T1035" s="323"/>
      <c r="U1035" s="323"/>
      <c r="V1035" s="323"/>
    </row>
    <row r="1036" spans="19:22" x14ac:dyDescent="0.25">
      <c r="S1036" s="323"/>
      <c r="T1036" s="323"/>
      <c r="U1036" s="323"/>
      <c r="V1036" s="323"/>
    </row>
    <row r="1037" spans="19:22" x14ac:dyDescent="0.25">
      <c r="S1037" s="323"/>
      <c r="T1037" s="323"/>
      <c r="U1037" s="323"/>
      <c r="V1037" s="323"/>
    </row>
    <row r="1038" spans="19:22" x14ac:dyDescent="0.25">
      <c r="S1038" s="323"/>
      <c r="T1038" s="323"/>
      <c r="U1038" s="323"/>
      <c r="V1038" s="323"/>
    </row>
    <row r="1039" spans="19:22" x14ac:dyDescent="0.25">
      <c r="S1039" s="323"/>
      <c r="T1039" s="323"/>
      <c r="U1039" s="323"/>
      <c r="V1039" s="323"/>
    </row>
    <row r="1040" spans="19:22" x14ac:dyDescent="0.25">
      <c r="S1040" s="323"/>
      <c r="T1040" s="323"/>
      <c r="U1040" s="323"/>
      <c r="V1040" s="323"/>
    </row>
    <row r="1041" spans="19:22" x14ac:dyDescent="0.25">
      <c r="S1041" s="323"/>
      <c r="T1041" s="323"/>
      <c r="U1041" s="323"/>
      <c r="V1041" s="323"/>
    </row>
    <row r="1042" spans="19:22" x14ac:dyDescent="0.25">
      <c r="S1042" s="323"/>
      <c r="T1042" s="323"/>
      <c r="U1042" s="323"/>
      <c r="V1042" s="323"/>
    </row>
    <row r="1043" spans="19:22" x14ac:dyDescent="0.25">
      <c r="S1043" s="323"/>
      <c r="T1043" s="323"/>
      <c r="U1043" s="323"/>
      <c r="V1043" s="323"/>
    </row>
    <row r="1044" spans="19:22" x14ac:dyDescent="0.25">
      <c r="S1044" s="323"/>
      <c r="T1044" s="323"/>
      <c r="U1044" s="323"/>
      <c r="V1044" s="323"/>
    </row>
    <row r="1045" spans="19:22" x14ac:dyDescent="0.25">
      <c r="S1045" s="323"/>
      <c r="T1045" s="323"/>
      <c r="U1045" s="323"/>
      <c r="V1045" s="323"/>
    </row>
    <row r="1046" spans="19:22" x14ac:dyDescent="0.25">
      <c r="S1046" s="323"/>
      <c r="T1046" s="323"/>
      <c r="U1046" s="323"/>
      <c r="V1046" s="323"/>
    </row>
    <row r="1047" spans="19:22" x14ac:dyDescent="0.25">
      <c r="S1047" s="323"/>
      <c r="T1047" s="323"/>
      <c r="U1047" s="323"/>
      <c r="V1047" s="323"/>
    </row>
    <row r="1048" spans="19:22" x14ac:dyDescent="0.25">
      <c r="S1048" s="323"/>
      <c r="T1048" s="323"/>
      <c r="U1048" s="323"/>
      <c r="V1048" s="323"/>
    </row>
    <row r="1049" spans="19:22" x14ac:dyDescent="0.25">
      <c r="S1049" s="323"/>
      <c r="T1049" s="323"/>
      <c r="U1049" s="323"/>
      <c r="V1049" s="323"/>
    </row>
    <row r="1050" spans="19:22" x14ac:dyDescent="0.25">
      <c r="S1050" s="323"/>
      <c r="T1050" s="323"/>
      <c r="U1050" s="323"/>
      <c r="V1050" s="323"/>
    </row>
    <row r="1051" spans="19:22" x14ac:dyDescent="0.25">
      <c r="S1051" s="323"/>
      <c r="T1051" s="323"/>
      <c r="U1051" s="323"/>
      <c r="V1051" s="323"/>
    </row>
    <row r="1052" spans="19:22" x14ac:dyDescent="0.25">
      <c r="S1052" s="323"/>
      <c r="T1052" s="323"/>
      <c r="U1052" s="323"/>
      <c r="V1052" s="323"/>
    </row>
    <row r="1053" spans="19:22" x14ac:dyDescent="0.25">
      <c r="S1053" s="323"/>
      <c r="T1053" s="323"/>
      <c r="U1053" s="323"/>
      <c r="V1053" s="323"/>
    </row>
    <row r="1054" spans="19:22" x14ac:dyDescent="0.25">
      <c r="S1054" s="323"/>
      <c r="T1054" s="323"/>
      <c r="U1054" s="323"/>
      <c r="V1054" s="323"/>
    </row>
    <row r="1055" spans="19:22" x14ac:dyDescent="0.25">
      <c r="S1055" s="323"/>
      <c r="T1055" s="323"/>
      <c r="U1055" s="323"/>
      <c r="V1055" s="323"/>
    </row>
    <row r="1056" spans="19:22" x14ac:dyDescent="0.25">
      <c r="S1056" s="323"/>
      <c r="T1056" s="323"/>
      <c r="U1056" s="323"/>
      <c r="V1056" s="323"/>
    </row>
    <row r="1057" spans="19:22" x14ac:dyDescent="0.25">
      <c r="S1057" s="323"/>
      <c r="T1057" s="323"/>
      <c r="U1057" s="323"/>
      <c r="V1057" s="323"/>
    </row>
    <row r="1058" spans="19:22" x14ac:dyDescent="0.25">
      <c r="S1058" s="323"/>
      <c r="T1058" s="323"/>
      <c r="U1058" s="323"/>
      <c r="V1058" s="323"/>
    </row>
    <row r="1059" spans="19:22" x14ac:dyDescent="0.25">
      <c r="S1059" s="323"/>
      <c r="T1059" s="323"/>
      <c r="U1059" s="323"/>
      <c r="V1059" s="323"/>
    </row>
    <row r="1060" spans="19:22" x14ac:dyDescent="0.25">
      <c r="S1060" s="323"/>
      <c r="T1060" s="323"/>
      <c r="U1060" s="323"/>
      <c r="V1060" s="323"/>
    </row>
    <row r="1061" spans="19:22" x14ac:dyDescent="0.25">
      <c r="S1061" s="323"/>
      <c r="T1061" s="323"/>
      <c r="U1061" s="323"/>
      <c r="V1061" s="323"/>
    </row>
    <row r="1062" spans="19:22" x14ac:dyDescent="0.25">
      <c r="S1062" s="323"/>
      <c r="T1062" s="323"/>
      <c r="U1062" s="323"/>
      <c r="V1062" s="323"/>
    </row>
    <row r="1063" spans="19:22" x14ac:dyDescent="0.25">
      <c r="S1063" s="323"/>
      <c r="T1063" s="323"/>
      <c r="U1063" s="323"/>
      <c r="V1063" s="323"/>
    </row>
    <row r="1064" spans="19:22" x14ac:dyDescent="0.25">
      <c r="S1064" s="323"/>
      <c r="T1064" s="323"/>
      <c r="U1064" s="323"/>
      <c r="V1064" s="323"/>
    </row>
    <row r="1065" spans="19:22" x14ac:dyDescent="0.25">
      <c r="S1065" s="323"/>
      <c r="T1065" s="323"/>
      <c r="U1065" s="323"/>
      <c r="V1065" s="323"/>
    </row>
    <row r="1066" spans="19:22" x14ac:dyDescent="0.25">
      <c r="S1066" s="323"/>
      <c r="T1066" s="323"/>
      <c r="U1066" s="323"/>
      <c r="V1066" s="323"/>
    </row>
    <row r="1067" spans="19:22" x14ac:dyDescent="0.25">
      <c r="S1067" s="323"/>
      <c r="T1067" s="323"/>
      <c r="U1067" s="323"/>
      <c r="V1067" s="323"/>
    </row>
    <row r="1068" spans="19:22" x14ac:dyDescent="0.25">
      <c r="S1068" s="323"/>
      <c r="T1068" s="323"/>
      <c r="U1068" s="323"/>
      <c r="V1068" s="323"/>
    </row>
    <row r="1069" spans="19:22" x14ac:dyDescent="0.25">
      <c r="S1069" s="323"/>
      <c r="T1069" s="323"/>
      <c r="U1069" s="323"/>
      <c r="V1069" s="323"/>
    </row>
    <row r="1070" spans="19:22" x14ac:dyDescent="0.25">
      <c r="S1070" s="323"/>
      <c r="T1070" s="323"/>
      <c r="U1070" s="323"/>
      <c r="V1070" s="323"/>
    </row>
    <row r="1071" spans="19:22" x14ac:dyDescent="0.25">
      <c r="S1071" s="323"/>
      <c r="T1071" s="323"/>
      <c r="U1071" s="323"/>
      <c r="V1071" s="323"/>
    </row>
    <row r="1072" spans="19:22" x14ac:dyDescent="0.25">
      <c r="S1072" s="323"/>
      <c r="T1072" s="323"/>
      <c r="U1072" s="323"/>
      <c r="V1072" s="323"/>
    </row>
    <row r="1073" spans="19:22" x14ac:dyDescent="0.25">
      <c r="S1073" s="323"/>
      <c r="T1073" s="323"/>
      <c r="U1073" s="323"/>
      <c r="V1073" s="323"/>
    </row>
    <row r="1074" spans="19:22" x14ac:dyDescent="0.25">
      <c r="S1074" s="323"/>
      <c r="T1074" s="323"/>
      <c r="U1074" s="323"/>
      <c r="V1074" s="323"/>
    </row>
    <row r="1075" spans="19:22" x14ac:dyDescent="0.25">
      <c r="S1075" s="323"/>
      <c r="T1075" s="323"/>
      <c r="U1075" s="323"/>
      <c r="V1075" s="323"/>
    </row>
    <row r="1076" spans="19:22" x14ac:dyDescent="0.25">
      <c r="S1076" s="323"/>
      <c r="T1076" s="323"/>
      <c r="U1076" s="323"/>
      <c r="V1076" s="323"/>
    </row>
    <row r="1077" spans="19:22" x14ac:dyDescent="0.25">
      <c r="S1077" s="323"/>
      <c r="T1077" s="323"/>
      <c r="U1077" s="323"/>
      <c r="V1077" s="323"/>
    </row>
    <row r="1078" spans="19:22" x14ac:dyDescent="0.25">
      <c r="S1078" s="323"/>
      <c r="T1078" s="323"/>
      <c r="U1078" s="323"/>
      <c r="V1078" s="323"/>
    </row>
    <row r="1079" spans="19:22" x14ac:dyDescent="0.25">
      <c r="S1079" s="323"/>
      <c r="T1079" s="323"/>
      <c r="U1079" s="323"/>
      <c r="V1079" s="323"/>
    </row>
    <row r="1080" spans="19:22" x14ac:dyDescent="0.25">
      <c r="S1080" s="323"/>
      <c r="T1080" s="323"/>
      <c r="U1080" s="323"/>
      <c r="V1080" s="323"/>
    </row>
    <row r="1081" spans="19:22" x14ac:dyDescent="0.25">
      <c r="S1081" s="323"/>
      <c r="T1081" s="323"/>
      <c r="U1081" s="323"/>
      <c r="V1081" s="323"/>
    </row>
    <row r="1082" spans="19:22" x14ac:dyDescent="0.25">
      <c r="S1082" s="323"/>
      <c r="T1082" s="323"/>
      <c r="U1082" s="323"/>
      <c r="V1082" s="323"/>
    </row>
    <row r="1083" spans="19:22" x14ac:dyDescent="0.25">
      <c r="S1083" s="323"/>
      <c r="T1083" s="323"/>
      <c r="U1083" s="323"/>
      <c r="V1083" s="323"/>
    </row>
    <row r="1084" spans="19:22" x14ac:dyDescent="0.25">
      <c r="S1084" s="323"/>
      <c r="T1084" s="323"/>
      <c r="U1084" s="323"/>
      <c r="V1084" s="323"/>
    </row>
    <row r="1085" spans="19:22" x14ac:dyDescent="0.25">
      <c r="S1085" s="323"/>
      <c r="T1085" s="323"/>
      <c r="U1085" s="323"/>
      <c r="V1085" s="323"/>
    </row>
    <row r="1086" spans="19:22" x14ac:dyDescent="0.25">
      <c r="S1086" s="323"/>
      <c r="T1086" s="323"/>
      <c r="U1086" s="323"/>
      <c r="V1086" s="323"/>
    </row>
    <row r="1087" spans="19:22" x14ac:dyDescent="0.25">
      <c r="S1087" s="323"/>
      <c r="T1087" s="323"/>
      <c r="U1087" s="323"/>
      <c r="V1087" s="323"/>
    </row>
    <row r="1088" spans="19:22" x14ac:dyDescent="0.25">
      <c r="S1088" s="323"/>
      <c r="T1088" s="323"/>
      <c r="U1088" s="323"/>
      <c r="V1088" s="323"/>
    </row>
    <row r="1089" spans="19:22" x14ac:dyDescent="0.25">
      <c r="S1089" s="323"/>
      <c r="T1089" s="323"/>
      <c r="U1089" s="323"/>
      <c r="V1089" s="323"/>
    </row>
    <row r="1090" spans="19:22" x14ac:dyDescent="0.25">
      <c r="S1090" s="323"/>
      <c r="T1090" s="323"/>
      <c r="U1090" s="323"/>
      <c r="V1090" s="323"/>
    </row>
    <row r="1091" spans="19:22" x14ac:dyDescent="0.25">
      <c r="S1091" s="323"/>
      <c r="T1091" s="323"/>
      <c r="U1091" s="323"/>
      <c r="V1091" s="323"/>
    </row>
    <row r="1092" spans="19:22" x14ac:dyDescent="0.25">
      <c r="S1092" s="323"/>
      <c r="T1092" s="323"/>
      <c r="U1092" s="323"/>
      <c r="V1092" s="323"/>
    </row>
    <row r="1093" spans="19:22" x14ac:dyDescent="0.25">
      <c r="S1093" s="323"/>
      <c r="T1093" s="323"/>
      <c r="U1093" s="323"/>
      <c r="V1093" s="323"/>
    </row>
    <row r="1094" spans="19:22" x14ac:dyDescent="0.25">
      <c r="S1094" s="323"/>
      <c r="T1094" s="323"/>
      <c r="U1094" s="323"/>
      <c r="V1094" s="323"/>
    </row>
    <row r="1095" spans="19:22" x14ac:dyDescent="0.25">
      <c r="S1095" s="323"/>
      <c r="T1095" s="323"/>
      <c r="U1095" s="323"/>
      <c r="V1095" s="323"/>
    </row>
    <row r="1096" spans="19:22" x14ac:dyDescent="0.25">
      <c r="S1096" s="323"/>
      <c r="T1096" s="323"/>
      <c r="U1096" s="323"/>
      <c r="V1096" s="323"/>
    </row>
    <row r="1097" spans="19:22" x14ac:dyDescent="0.25">
      <c r="S1097" s="323"/>
      <c r="T1097" s="323"/>
      <c r="U1097" s="323"/>
      <c r="V1097" s="323"/>
    </row>
    <row r="1098" spans="19:22" x14ac:dyDescent="0.25">
      <c r="S1098" s="323"/>
      <c r="T1098" s="323"/>
      <c r="U1098" s="323"/>
      <c r="V1098" s="323"/>
    </row>
    <row r="1099" spans="19:22" x14ac:dyDescent="0.25">
      <c r="S1099" s="323"/>
      <c r="T1099" s="323"/>
      <c r="U1099" s="323"/>
      <c r="V1099" s="323"/>
    </row>
    <row r="1100" spans="19:22" x14ac:dyDescent="0.25">
      <c r="S1100" s="323"/>
      <c r="T1100" s="323"/>
      <c r="U1100" s="323"/>
      <c r="V1100" s="323"/>
    </row>
    <row r="1101" spans="19:22" x14ac:dyDescent="0.25">
      <c r="S1101" s="323"/>
      <c r="T1101" s="323"/>
      <c r="U1101" s="323"/>
      <c r="V1101" s="323"/>
    </row>
    <row r="1102" spans="19:22" x14ac:dyDescent="0.25">
      <c r="S1102" s="323"/>
      <c r="T1102" s="323"/>
      <c r="U1102" s="323"/>
      <c r="V1102" s="323"/>
    </row>
    <row r="1103" spans="19:22" x14ac:dyDescent="0.25">
      <c r="S1103" s="323"/>
      <c r="T1103" s="323"/>
      <c r="U1103" s="323"/>
      <c r="V1103" s="323"/>
    </row>
    <row r="1104" spans="19:22" x14ac:dyDescent="0.25">
      <c r="S1104" s="323"/>
      <c r="T1104" s="323"/>
      <c r="U1104" s="323"/>
      <c r="V1104" s="323"/>
    </row>
    <row r="1105" spans="19:22" x14ac:dyDescent="0.25">
      <c r="S1105" s="323"/>
      <c r="T1105" s="323"/>
      <c r="U1105" s="323"/>
      <c r="V1105" s="323"/>
    </row>
    <row r="1106" spans="19:22" x14ac:dyDescent="0.25">
      <c r="S1106" s="323"/>
      <c r="T1106" s="323"/>
      <c r="U1106" s="323"/>
      <c r="V1106" s="323"/>
    </row>
    <row r="1107" spans="19:22" x14ac:dyDescent="0.25">
      <c r="S1107" s="323"/>
      <c r="T1107" s="323"/>
      <c r="U1107" s="323"/>
      <c r="V1107" s="323"/>
    </row>
    <row r="1108" spans="19:22" x14ac:dyDescent="0.25">
      <c r="S1108" s="323"/>
      <c r="T1108" s="323"/>
      <c r="U1108" s="323"/>
      <c r="V1108" s="323"/>
    </row>
    <row r="1109" spans="19:22" x14ac:dyDescent="0.25">
      <c r="S1109" s="323"/>
      <c r="T1109" s="323"/>
      <c r="U1109" s="323"/>
      <c r="V1109" s="323"/>
    </row>
    <row r="1110" spans="19:22" x14ac:dyDescent="0.25">
      <c r="S1110" s="323"/>
      <c r="T1110" s="323"/>
      <c r="U1110" s="323"/>
      <c r="V1110" s="323"/>
    </row>
    <row r="1111" spans="19:22" x14ac:dyDescent="0.25">
      <c r="S1111" s="323"/>
      <c r="T1111" s="323"/>
      <c r="U1111" s="323"/>
      <c r="V1111" s="323"/>
    </row>
    <row r="1112" spans="19:22" x14ac:dyDescent="0.25">
      <c r="S1112" s="323"/>
      <c r="T1112" s="323"/>
      <c r="U1112" s="323"/>
      <c r="V1112" s="323"/>
    </row>
    <row r="1113" spans="19:22" x14ac:dyDescent="0.25">
      <c r="S1113" s="323"/>
      <c r="T1113" s="323"/>
      <c r="U1113" s="323"/>
      <c r="V1113" s="323"/>
    </row>
    <row r="1114" spans="19:22" x14ac:dyDescent="0.25">
      <c r="S1114" s="323"/>
      <c r="T1114" s="323"/>
      <c r="U1114" s="323"/>
      <c r="V1114" s="323"/>
    </row>
    <row r="1115" spans="19:22" x14ac:dyDescent="0.25">
      <c r="S1115" s="323"/>
      <c r="T1115" s="323"/>
      <c r="U1115" s="323"/>
      <c r="V1115" s="323"/>
    </row>
    <row r="1116" spans="19:22" x14ac:dyDescent="0.25">
      <c r="S1116" s="323"/>
      <c r="T1116" s="323"/>
      <c r="U1116" s="323"/>
      <c r="V1116" s="323"/>
    </row>
    <row r="1117" spans="19:22" x14ac:dyDescent="0.25">
      <c r="S1117" s="323"/>
      <c r="T1117" s="323"/>
      <c r="U1117" s="323"/>
      <c r="V1117" s="323"/>
    </row>
    <row r="1118" spans="19:22" x14ac:dyDescent="0.25">
      <c r="S1118" s="323"/>
      <c r="T1118" s="323"/>
      <c r="U1118" s="323"/>
      <c r="V1118" s="323"/>
    </row>
    <row r="1119" spans="19:22" x14ac:dyDescent="0.25">
      <c r="S1119" s="323"/>
      <c r="T1119" s="323"/>
      <c r="U1119" s="323"/>
      <c r="V1119" s="323"/>
    </row>
    <row r="1120" spans="19:22" x14ac:dyDescent="0.25">
      <c r="S1120" s="323"/>
      <c r="T1120" s="323"/>
      <c r="U1120" s="323"/>
      <c r="V1120" s="323"/>
    </row>
    <row r="1121" spans="19:22" x14ac:dyDescent="0.25">
      <c r="S1121" s="323"/>
      <c r="T1121" s="323"/>
      <c r="U1121" s="323"/>
      <c r="V1121" s="323"/>
    </row>
    <row r="1122" spans="19:22" x14ac:dyDescent="0.25">
      <c r="S1122" s="323"/>
      <c r="T1122" s="323"/>
      <c r="U1122" s="323"/>
      <c r="V1122" s="323"/>
    </row>
    <row r="1123" spans="19:22" x14ac:dyDescent="0.25">
      <c r="S1123" s="323"/>
      <c r="T1123" s="323"/>
      <c r="U1123" s="323"/>
      <c r="V1123" s="323"/>
    </row>
    <row r="1124" spans="19:22" x14ac:dyDescent="0.25">
      <c r="S1124" s="323"/>
      <c r="T1124" s="323"/>
      <c r="U1124" s="323"/>
      <c r="V1124" s="323"/>
    </row>
    <row r="1125" spans="19:22" x14ac:dyDescent="0.25">
      <c r="S1125" s="323"/>
      <c r="T1125" s="323"/>
      <c r="U1125" s="323"/>
      <c r="V1125" s="323"/>
    </row>
    <row r="1126" spans="19:22" x14ac:dyDescent="0.25">
      <c r="S1126" s="323"/>
      <c r="T1126" s="323"/>
      <c r="U1126" s="323"/>
      <c r="V1126" s="323"/>
    </row>
    <row r="1127" spans="19:22" x14ac:dyDescent="0.25">
      <c r="S1127" s="323"/>
      <c r="T1127" s="323"/>
      <c r="U1127" s="323"/>
      <c r="V1127" s="323"/>
    </row>
    <row r="1128" spans="19:22" x14ac:dyDescent="0.25">
      <c r="S1128" s="323"/>
      <c r="T1128" s="323"/>
      <c r="U1128" s="323"/>
      <c r="V1128" s="323"/>
    </row>
    <row r="1129" spans="19:22" x14ac:dyDescent="0.25">
      <c r="S1129" s="323"/>
      <c r="T1129" s="323"/>
      <c r="U1129" s="323"/>
      <c r="V1129" s="323"/>
    </row>
    <row r="1130" spans="19:22" x14ac:dyDescent="0.25">
      <c r="S1130" s="323"/>
      <c r="T1130" s="323"/>
      <c r="U1130" s="323"/>
      <c r="V1130" s="323"/>
    </row>
    <row r="1131" spans="19:22" x14ac:dyDescent="0.25">
      <c r="S1131" s="323"/>
      <c r="T1131" s="323"/>
      <c r="U1131" s="323"/>
      <c r="V1131" s="323"/>
    </row>
    <row r="1132" spans="19:22" x14ac:dyDescent="0.25">
      <c r="S1132" s="323"/>
      <c r="T1132" s="323"/>
      <c r="U1132" s="323"/>
      <c r="V1132" s="323"/>
    </row>
    <row r="1133" spans="19:22" x14ac:dyDescent="0.25">
      <c r="S1133" s="323"/>
      <c r="T1133" s="323"/>
      <c r="U1133" s="323"/>
      <c r="V1133" s="323"/>
    </row>
    <row r="1134" spans="19:22" x14ac:dyDescent="0.25">
      <c r="S1134" s="323"/>
      <c r="T1134" s="323"/>
      <c r="U1134" s="323"/>
      <c r="V1134" s="323"/>
    </row>
    <row r="1135" spans="19:22" x14ac:dyDescent="0.25">
      <c r="S1135" s="323"/>
      <c r="T1135" s="323"/>
      <c r="U1135" s="323"/>
      <c r="V1135" s="323"/>
    </row>
    <row r="1136" spans="19:22" x14ac:dyDescent="0.25">
      <c r="S1136" s="323"/>
      <c r="T1136" s="323"/>
      <c r="U1136" s="323"/>
      <c r="V1136" s="323"/>
    </row>
    <row r="1137" spans="19:22" x14ac:dyDescent="0.25">
      <c r="S1137" s="323"/>
      <c r="T1137" s="323"/>
      <c r="U1137" s="323"/>
      <c r="V1137" s="323"/>
    </row>
    <row r="1138" spans="19:22" x14ac:dyDescent="0.25">
      <c r="S1138" s="323"/>
      <c r="T1138" s="323"/>
      <c r="U1138" s="323"/>
      <c r="V1138" s="323"/>
    </row>
    <row r="1139" spans="19:22" x14ac:dyDescent="0.25">
      <c r="S1139" s="323"/>
      <c r="T1139" s="323"/>
      <c r="U1139" s="323"/>
      <c r="V1139" s="323"/>
    </row>
    <row r="1140" spans="19:22" x14ac:dyDescent="0.25">
      <c r="S1140" s="323"/>
      <c r="T1140" s="323"/>
      <c r="U1140" s="323"/>
      <c r="V1140" s="323"/>
    </row>
    <row r="1141" spans="19:22" x14ac:dyDescent="0.25">
      <c r="S1141" s="323"/>
      <c r="T1141" s="323"/>
      <c r="U1141" s="323"/>
      <c r="V1141" s="323"/>
    </row>
    <row r="1142" spans="19:22" x14ac:dyDescent="0.25">
      <c r="S1142" s="323"/>
      <c r="T1142" s="323"/>
      <c r="U1142" s="323"/>
      <c r="V1142" s="323"/>
    </row>
    <row r="1143" spans="19:22" x14ac:dyDescent="0.25">
      <c r="S1143" s="323"/>
      <c r="T1143" s="323"/>
      <c r="U1143" s="323"/>
      <c r="V1143" s="323"/>
    </row>
    <row r="1144" spans="19:22" x14ac:dyDescent="0.25">
      <c r="S1144" s="323"/>
      <c r="T1144" s="323"/>
      <c r="U1144" s="323"/>
      <c r="V1144" s="323"/>
    </row>
    <row r="1145" spans="19:22" x14ac:dyDescent="0.25">
      <c r="S1145" s="323"/>
      <c r="T1145" s="323"/>
      <c r="U1145" s="323"/>
      <c r="V1145" s="323"/>
    </row>
    <row r="1146" spans="19:22" x14ac:dyDescent="0.25">
      <c r="S1146" s="323"/>
      <c r="T1146" s="323"/>
      <c r="U1146" s="323"/>
      <c r="V1146" s="323"/>
    </row>
    <row r="1147" spans="19:22" x14ac:dyDescent="0.25">
      <c r="S1147" s="323"/>
      <c r="T1147" s="323"/>
      <c r="U1147" s="323"/>
      <c r="V1147" s="323"/>
    </row>
    <row r="1148" spans="19:22" x14ac:dyDescent="0.25">
      <c r="S1148" s="323"/>
      <c r="T1148" s="323"/>
      <c r="U1148" s="323"/>
      <c r="V1148" s="323"/>
    </row>
    <row r="1149" spans="19:22" x14ac:dyDescent="0.25">
      <c r="S1149" s="323"/>
      <c r="T1149" s="323"/>
      <c r="U1149" s="323"/>
      <c r="V1149" s="323"/>
    </row>
    <row r="1150" spans="19:22" x14ac:dyDescent="0.25">
      <c r="S1150" s="323"/>
      <c r="T1150" s="323"/>
      <c r="U1150" s="323"/>
      <c r="V1150" s="323"/>
    </row>
    <row r="1151" spans="19:22" x14ac:dyDescent="0.25">
      <c r="S1151" s="323"/>
      <c r="T1151" s="323"/>
      <c r="U1151" s="323"/>
      <c r="V1151" s="323"/>
    </row>
    <row r="1152" spans="19:22" x14ac:dyDescent="0.25">
      <c r="S1152" s="323"/>
      <c r="T1152" s="323"/>
      <c r="U1152" s="323"/>
      <c r="V1152" s="323"/>
    </row>
    <row r="1153" spans="19:22" x14ac:dyDescent="0.25">
      <c r="S1153" s="323"/>
      <c r="T1153" s="323"/>
      <c r="U1153" s="323"/>
      <c r="V1153" s="323"/>
    </row>
    <row r="1154" spans="19:22" x14ac:dyDescent="0.25">
      <c r="S1154" s="323"/>
      <c r="T1154" s="323"/>
      <c r="U1154" s="323"/>
      <c r="V1154" s="323"/>
    </row>
    <row r="1155" spans="19:22" x14ac:dyDescent="0.25">
      <c r="S1155" s="323"/>
      <c r="T1155" s="323"/>
      <c r="U1155" s="323"/>
      <c r="V1155" s="323"/>
    </row>
    <row r="1156" spans="19:22" x14ac:dyDescent="0.25">
      <c r="S1156" s="323"/>
      <c r="T1156" s="323"/>
      <c r="U1156" s="323"/>
      <c r="V1156" s="323"/>
    </row>
    <row r="1157" spans="19:22" x14ac:dyDescent="0.25">
      <c r="S1157" s="323"/>
      <c r="T1157" s="323"/>
      <c r="U1157" s="323"/>
      <c r="V1157" s="323"/>
    </row>
    <row r="1158" spans="19:22" x14ac:dyDescent="0.25">
      <c r="S1158" s="323"/>
      <c r="T1158" s="323"/>
      <c r="U1158" s="323"/>
      <c r="V1158" s="323"/>
    </row>
    <row r="1159" spans="19:22" x14ac:dyDescent="0.25">
      <c r="S1159" s="323"/>
      <c r="T1159" s="323"/>
      <c r="U1159" s="323"/>
      <c r="V1159" s="323"/>
    </row>
    <row r="1160" spans="19:22" x14ac:dyDescent="0.25">
      <c r="S1160" s="323"/>
      <c r="T1160" s="323"/>
      <c r="U1160" s="323"/>
      <c r="V1160" s="323"/>
    </row>
    <row r="1161" spans="19:22" x14ac:dyDescent="0.25">
      <c r="S1161" s="323"/>
      <c r="T1161" s="323"/>
      <c r="U1161" s="323"/>
      <c r="V1161" s="323"/>
    </row>
    <row r="1162" spans="19:22" x14ac:dyDescent="0.25">
      <c r="S1162" s="323"/>
      <c r="T1162" s="323"/>
      <c r="U1162" s="323"/>
      <c r="V1162" s="323"/>
    </row>
    <row r="1163" spans="19:22" x14ac:dyDescent="0.25">
      <c r="S1163" s="323"/>
      <c r="T1163" s="323"/>
      <c r="U1163" s="323"/>
      <c r="V1163" s="323"/>
    </row>
    <row r="1164" spans="19:22" x14ac:dyDescent="0.25">
      <c r="S1164" s="323"/>
      <c r="T1164" s="323"/>
      <c r="U1164" s="323"/>
      <c r="V1164" s="323"/>
    </row>
    <row r="1165" spans="19:22" x14ac:dyDescent="0.25">
      <c r="S1165" s="323"/>
      <c r="T1165" s="323"/>
      <c r="U1165" s="323"/>
      <c r="V1165" s="323"/>
    </row>
    <row r="1166" spans="19:22" x14ac:dyDescent="0.25">
      <c r="S1166" s="323"/>
      <c r="T1166" s="323"/>
      <c r="U1166" s="323"/>
      <c r="V1166" s="323"/>
    </row>
    <row r="1167" spans="19:22" x14ac:dyDescent="0.25">
      <c r="S1167" s="323"/>
      <c r="T1167" s="323"/>
      <c r="U1167" s="323"/>
      <c r="V1167" s="323"/>
    </row>
    <row r="1168" spans="19:22" x14ac:dyDescent="0.25">
      <c r="S1168" s="323"/>
      <c r="T1168" s="323"/>
      <c r="U1168" s="323"/>
      <c r="V1168" s="323"/>
    </row>
    <row r="1169" spans="19:22" x14ac:dyDescent="0.25">
      <c r="S1169" s="323"/>
      <c r="T1169" s="323"/>
      <c r="U1169" s="323"/>
      <c r="V1169" s="323"/>
    </row>
    <row r="1170" spans="19:22" x14ac:dyDescent="0.25">
      <c r="S1170" s="323"/>
      <c r="T1170" s="323"/>
      <c r="U1170" s="323"/>
      <c r="V1170" s="323"/>
    </row>
    <row r="1171" spans="19:22" x14ac:dyDescent="0.25">
      <c r="S1171" s="323"/>
      <c r="T1171" s="323"/>
      <c r="U1171" s="323"/>
      <c r="V1171" s="323"/>
    </row>
    <row r="1172" spans="19:22" x14ac:dyDescent="0.25">
      <c r="S1172" s="323"/>
      <c r="T1172" s="323"/>
      <c r="U1172" s="323"/>
      <c r="V1172" s="323"/>
    </row>
    <row r="1173" spans="19:22" x14ac:dyDescent="0.25">
      <c r="S1173" s="323"/>
      <c r="T1173" s="323"/>
      <c r="U1173" s="323"/>
      <c r="V1173" s="323"/>
    </row>
    <row r="1174" spans="19:22" x14ac:dyDescent="0.25">
      <c r="S1174" s="323"/>
      <c r="T1174" s="323"/>
      <c r="U1174" s="323"/>
      <c r="V1174" s="323"/>
    </row>
    <row r="1175" spans="19:22" x14ac:dyDescent="0.25">
      <c r="S1175" s="323"/>
      <c r="T1175" s="323"/>
      <c r="U1175" s="323"/>
      <c r="V1175" s="323"/>
    </row>
    <row r="1176" spans="19:22" x14ac:dyDescent="0.25">
      <c r="S1176" s="323"/>
      <c r="T1176" s="323"/>
      <c r="U1176" s="323"/>
      <c r="V1176" s="323"/>
    </row>
    <row r="1177" spans="19:22" x14ac:dyDescent="0.25">
      <c r="S1177" s="323"/>
      <c r="T1177" s="323"/>
      <c r="U1177" s="323"/>
      <c r="V1177" s="323"/>
    </row>
    <row r="1178" spans="19:22" x14ac:dyDescent="0.25">
      <c r="S1178" s="323"/>
      <c r="T1178" s="323"/>
      <c r="U1178" s="323"/>
      <c r="V1178" s="323"/>
    </row>
    <row r="1179" spans="19:22" x14ac:dyDescent="0.25">
      <c r="S1179" s="323"/>
      <c r="T1179" s="323"/>
      <c r="U1179" s="323"/>
      <c r="V1179" s="323"/>
    </row>
    <row r="1180" spans="19:22" x14ac:dyDescent="0.25">
      <c r="S1180" s="323"/>
      <c r="T1180" s="323"/>
      <c r="U1180" s="323"/>
      <c r="V1180" s="323"/>
    </row>
    <row r="1181" spans="19:22" x14ac:dyDescent="0.25">
      <c r="S1181" s="323"/>
      <c r="T1181" s="323"/>
      <c r="U1181" s="323"/>
      <c r="V1181" s="323"/>
    </row>
    <row r="1182" spans="19:22" x14ac:dyDescent="0.25">
      <c r="S1182" s="323"/>
      <c r="T1182" s="323"/>
      <c r="U1182" s="323"/>
      <c r="V1182" s="323"/>
    </row>
    <row r="1183" spans="19:22" x14ac:dyDescent="0.25">
      <c r="S1183" s="323"/>
      <c r="T1183" s="323"/>
      <c r="U1183" s="323"/>
      <c r="V1183" s="323"/>
    </row>
    <row r="1184" spans="19:22" x14ac:dyDescent="0.25">
      <c r="S1184" s="323"/>
      <c r="T1184" s="323"/>
      <c r="U1184" s="323"/>
      <c r="V1184" s="323"/>
    </row>
    <row r="1185" spans="19:22" x14ac:dyDescent="0.25">
      <c r="S1185" s="323"/>
      <c r="T1185" s="323"/>
      <c r="U1185" s="323"/>
      <c r="V1185" s="323"/>
    </row>
    <row r="1186" spans="19:22" x14ac:dyDescent="0.25">
      <c r="S1186" s="323"/>
      <c r="T1186" s="323"/>
      <c r="U1186" s="323"/>
      <c r="V1186" s="323"/>
    </row>
    <row r="1187" spans="19:22" x14ac:dyDescent="0.25">
      <c r="S1187" s="323"/>
      <c r="T1187" s="323"/>
      <c r="U1187" s="323"/>
      <c r="V1187" s="323"/>
    </row>
    <row r="1188" spans="19:22" x14ac:dyDescent="0.25">
      <c r="S1188" s="323"/>
      <c r="T1188" s="323"/>
      <c r="U1188" s="323"/>
      <c r="V1188" s="323"/>
    </row>
    <row r="1189" spans="19:22" x14ac:dyDescent="0.25">
      <c r="S1189" s="323"/>
      <c r="T1189" s="323"/>
      <c r="U1189" s="323"/>
      <c r="V1189" s="323"/>
    </row>
    <row r="1190" spans="19:22" x14ac:dyDescent="0.25">
      <c r="S1190" s="323"/>
      <c r="T1190" s="323"/>
      <c r="U1190" s="323"/>
      <c r="V1190" s="323"/>
    </row>
    <row r="1191" spans="19:22" x14ac:dyDescent="0.25">
      <c r="S1191" s="323"/>
      <c r="T1191" s="323"/>
      <c r="U1191" s="323"/>
      <c r="V1191" s="323"/>
    </row>
    <row r="1192" spans="19:22" x14ac:dyDescent="0.25">
      <c r="S1192" s="323"/>
      <c r="T1192" s="323"/>
      <c r="U1192" s="323"/>
      <c r="V1192" s="323"/>
    </row>
    <row r="1193" spans="19:22" x14ac:dyDescent="0.25">
      <c r="S1193" s="323"/>
      <c r="T1193" s="323"/>
      <c r="U1193" s="323"/>
      <c r="V1193" s="323"/>
    </row>
    <row r="1194" spans="19:22" x14ac:dyDescent="0.25">
      <c r="S1194" s="323"/>
      <c r="T1194" s="323"/>
      <c r="U1194" s="323"/>
      <c r="V1194" s="323"/>
    </row>
    <row r="1195" spans="19:22" x14ac:dyDescent="0.25">
      <c r="S1195" s="323"/>
      <c r="T1195" s="323"/>
      <c r="U1195" s="323"/>
      <c r="V1195" s="323"/>
    </row>
    <row r="1196" spans="19:22" x14ac:dyDescent="0.25">
      <c r="S1196" s="323"/>
      <c r="T1196" s="323"/>
      <c r="U1196" s="323"/>
      <c r="V1196" s="323"/>
    </row>
    <row r="1197" spans="19:22" x14ac:dyDescent="0.25">
      <c r="S1197" s="323"/>
      <c r="T1197" s="323"/>
      <c r="U1197" s="323"/>
      <c r="V1197" s="323"/>
    </row>
    <row r="1198" spans="19:22" x14ac:dyDescent="0.25">
      <c r="S1198" s="323"/>
      <c r="T1198" s="323"/>
      <c r="U1198" s="323"/>
      <c r="V1198" s="323"/>
    </row>
    <row r="1199" spans="19:22" x14ac:dyDescent="0.25">
      <c r="S1199" s="323"/>
      <c r="T1199" s="323"/>
      <c r="U1199" s="323"/>
      <c r="V1199" s="323"/>
    </row>
    <row r="1200" spans="19:22" x14ac:dyDescent="0.25">
      <c r="S1200" s="323"/>
      <c r="T1200" s="323"/>
      <c r="U1200" s="323"/>
      <c r="V1200" s="323"/>
    </row>
    <row r="1201" spans="19:22" x14ac:dyDescent="0.25">
      <c r="S1201" s="323"/>
      <c r="T1201" s="323"/>
      <c r="U1201" s="323"/>
      <c r="V1201" s="323"/>
    </row>
    <row r="1202" spans="19:22" x14ac:dyDescent="0.25">
      <c r="S1202" s="323"/>
      <c r="T1202" s="323"/>
      <c r="U1202" s="323"/>
      <c r="V1202" s="323"/>
    </row>
    <row r="1203" spans="19:22" x14ac:dyDescent="0.25">
      <c r="S1203" s="323"/>
      <c r="T1203" s="323"/>
      <c r="U1203" s="323"/>
      <c r="V1203" s="323"/>
    </row>
    <row r="1204" spans="19:22" x14ac:dyDescent="0.25">
      <c r="S1204" s="323"/>
      <c r="T1204" s="323"/>
      <c r="U1204" s="323"/>
      <c r="V1204" s="323"/>
    </row>
    <row r="1205" spans="19:22" x14ac:dyDescent="0.25">
      <c r="S1205" s="323"/>
      <c r="T1205" s="323"/>
      <c r="U1205" s="323"/>
      <c r="V1205" s="323"/>
    </row>
    <row r="1206" spans="19:22" x14ac:dyDescent="0.25">
      <c r="S1206" s="323"/>
      <c r="T1206" s="323"/>
      <c r="U1206" s="323"/>
      <c r="V1206" s="323"/>
    </row>
    <row r="1207" spans="19:22" x14ac:dyDescent="0.25">
      <c r="S1207" s="323"/>
      <c r="T1207" s="323"/>
      <c r="U1207" s="323"/>
      <c r="V1207" s="323"/>
    </row>
    <row r="1208" spans="19:22" x14ac:dyDescent="0.25">
      <c r="S1208" s="323"/>
      <c r="T1208" s="323"/>
      <c r="U1208" s="323"/>
      <c r="V1208" s="323"/>
    </row>
    <row r="1209" spans="19:22" x14ac:dyDescent="0.25">
      <c r="S1209" s="323"/>
      <c r="T1209" s="323"/>
      <c r="U1209" s="323"/>
      <c r="V1209" s="323"/>
    </row>
    <row r="1210" spans="19:22" x14ac:dyDescent="0.25">
      <c r="S1210" s="323"/>
      <c r="T1210" s="323"/>
      <c r="U1210" s="323"/>
      <c r="V1210" s="323"/>
    </row>
    <row r="1211" spans="19:22" x14ac:dyDescent="0.25">
      <c r="S1211" s="323"/>
      <c r="T1211" s="323"/>
      <c r="U1211" s="323"/>
      <c r="V1211" s="323"/>
    </row>
    <row r="1212" spans="19:22" x14ac:dyDescent="0.25">
      <c r="S1212" s="323"/>
      <c r="T1212" s="323"/>
      <c r="U1212" s="323"/>
      <c r="V1212" s="323"/>
    </row>
    <row r="1213" spans="19:22" x14ac:dyDescent="0.25">
      <c r="S1213" s="323"/>
      <c r="T1213" s="323"/>
      <c r="U1213" s="323"/>
      <c r="V1213" s="323"/>
    </row>
    <row r="1214" spans="19:22" x14ac:dyDescent="0.25">
      <c r="S1214" s="323"/>
      <c r="T1214" s="323"/>
      <c r="U1214" s="323"/>
      <c r="V1214" s="323"/>
    </row>
    <row r="1215" spans="19:22" x14ac:dyDescent="0.25">
      <c r="S1215" s="323"/>
      <c r="T1215" s="323"/>
      <c r="U1215" s="323"/>
      <c r="V1215" s="323"/>
    </row>
    <row r="1216" spans="19:22" x14ac:dyDescent="0.25">
      <c r="S1216" s="323"/>
      <c r="T1216" s="323"/>
      <c r="U1216" s="323"/>
      <c r="V1216" s="323"/>
    </row>
    <row r="1217" spans="19:22" x14ac:dyDescent="0.25">
      <c r="S1217" s="323"/>
      <c r="T1217" s="323"/>
      <c r="U1217" s="323"/>
      <c r="V1217" s="323"/>
    </row>
    <row r="1218" spans="19:22" x14ac:dyDescent="0.25">
      <c r="S1218" s="323"/>
      <c r="T1218" s="323"/>
      <c r="U1218" s="323"/>
      <c r="V1218" s="323"/>
    </row>
    <row r="1219" spans="19:22" x14ac:dyDescent="0.25">
      <c r="S1219" s="323"/>
      <c r="T1219" s="323"/>
      <c r="U1219" s="323"/>
      <c r="V1219" s="323"/>
    </row>
    <row r="1220" spans="19:22" x14ac:dyDescent="0.25">
      <c r="S1220" s="323"/>
      <c r="T1220" s="323"/>
      <c r="U1220" s="323"/>
      <c r="V1220" s="323"/>
    </row>
    <row r="1221" spans="19:22" x14ac:dyDescent="0.25">
      <c r="S1221" s="323"/>
      <c r="T1221" s="323"/>
      <c r="U1221" s="323"/>
      <c r="V1221" s="323"/>
    </row>
    <row r="1222" spans="19:22" x14ac:dyDescent="0.25">
      <c r="S1222" s="323"/>
      <c r="T1222" s="323"/>
      <c r="U1222" s="323"/>
      <c r="V1222" s="323"/>
    </row>
    <row r="1223" spans="19:22" x14ac:dyDescent="0.25">
      <c r="S1223" s="323"/>
      <c r="T1223" s="323"/>
      <c r="U1223" s="323"/>
      <c r="V1223" s="323"/>
    </row>
    <row r="1224" spans="19:22" x14ac:dyDescent="0.25">
      <c r="S1224" s="323"/>
      <c r="T1224" s="323"/>
      <c r="U1224" s="323"/>
      <c r="V1224" s="323"/>
    </row>
    <row r="1225" spans="19:22" x14ac:dyDescent="0.25">
      <c r="S1225" s="323"/>
      <c r="T1225" s="323"/>
      <c r="U1225" s="323"/>
      <c r="V1225" s="323"/>
    </row>
    <row r="1226" spans="19:22" x14ac:dyDescent="0.25">
      <c r="S1226" s="323"/>
      <c r="T1226" s="323"/>
      <c r="U1226" s="323"/>
      <c r="V1226" s="323"/>
    </row>
    <row r="1227" spans="19:22" x14ac:dyDescent="0.25">
      <c r="S1227" s="323"/>
      <c r="T1227" s="323"/>
      <c r="U1227" s="323"/>
      <c r="V1227" s="323"/>
    </row>
    <row r="1228" spans="19:22" x14ac:dyDescent="0.25">
      <c r="S1228" s="323"/>
      <c r="T1228" s="323"/>
      <c r="U1228" s="323"/>
      <c r="V1228" s="323"/>
    </row>
    <row r="1229" spans="19:22" x14ac:dyDescent="0.25">
      <c r="S1229" s="323"/>
      <c r="T1229" s="323"/>
      <c r="U1229" s="323"/>
      <c r="V1229" s="323"/>
    </row>
    <row r="1230" spans="19:22" x14ac:dyDescent="0.25">
      <c r="S1230" s="323"/>
      <c r="T1230" s="323"/>
      <c r="U1230" s="323"/>
      <c r="V1230" s="323"/>
    </row>
    <row r="1231" spans="19:22" x14ac:dyDescent="0.25">
      <c r="S1231" s="323"/>
      <c r="T1231" s="323"/>
      <c r="U1231" s="323"/>
      <c r="V1231" s="323"/>
    </row>
    <row r="1232" spans="19:22" x14ac:dyDescent="0.25">
      <c r="S1232" s="323"/>
      <c r="T1232" s="323"/>
      <c r="U1232" s="323"/>
      <c r="V1232" s="323"/>
    </row>
    <row r="1233" spans="19:22" x14ac:dyDescent="0.25">
      <c r="S1233" s="323"/>
      <c r="T1233" s="323"/>
      <c r="U1233" s="323"/>
      <c r="V1233" s="323"/>
    </row>
    <row r="1234" spans="19:22" x14ac:dyDescent="0.25">
      <c r="S1234" s="323"/>
      <c r="T1234" s="323"/>
      <c r="U1234" s="323"/>
      <c r="V1234" s="323"/>
    </row>
    <row r="1235" spans="19:22" x14ac:dyDescent="0.25">
      <c r="S1235" s="323"/>
      <c r="T1235" s="323"/>
      <c r="U1235" s="323"/>
      <c r="V1235" s="323"/>
    </row>
    <row r="1236" spans="19:22" x14ac:dyDescent="0.25">
      <c r="S1236" s="323"/>
      <c r="T1236" s="323"/>
      <c r="U1236" s="323"/>
      <c r="V1236" s="323"/>
    </row>
    <row r="1237" spans="19:22" x14ac:dyDescent="0.25">
      <c r="S1237" s="323"/>
      <c r="T1237" s="323"/>
      <c r="U1237" s="323"/>
      <c r="V1237" s="323"/>
    </row>
    <row r="1238" spans="19:22" x14ac:dyDescent="0.25">
      <c r="S1238" s="323"/>
      <c r="T1238" s="323"/>
      <c r="U1238" s="323"/>
      <c r="V1238" s="323"/>
    </row>
    <row r="1239" spans="19:22" x14ac:dyDescent="0.25">
      <c r="S1239" s="323"/>
      <c r="T1239" s="323"/>
      <c r="U1239" s="323"/>
      <c r="V1239" s="323"/>
    </row>
    <row r="1240" spans="19:22" x14ac:dyDescent="0.25">
      <c r="S1240" s="323"/>
      <c r="T1240" s="323"/>
      <c r="U1240" s="323"/>
      <c r="V1240" s="323"/>
    </row>
    <row r="1241" spans="19:22" x14ac:dyDescent="0.25">
      <c r="S1241" s="323"/>
      <c r="T1241" s="323"/>
      <c r="U1241" s="323"/>
      <c r="V1241" s="323"/>
    </row>
    <row r="1242" spans="19:22" x14ac:dyDescent="0.25">
      <c r="S1242" s="323"/>
      <c r="T1242" s="323"/>
      <c r="U1242" s="323"/>
      <c r="V1242" s="323"/>
    </row>
    <row r="1243" spans="19:22" x14ac:dyDescent="0.25">
      <c r="S1243" s="323"/>
      <c r="T1243" s="323"/>
      <c r="U1243" s="323"/>
      <c r="V1243" s="323"/>
    </row>
    <row r="1244" spans="19:22" x14ac:dyDescent="0.25">
      <c r="S1244" s="323"/>
      <c r="T1244" s="323"/>
      <c r="U1244" s="323"/>
      <c r="V1244" s="323"/>
    </row>
    <row r="1245" spans="19:22" x14ac:dyDescent="0.25">
      <c r="S1245" s="323"/>
      <c r="T1245" s="323"/>
      <c r="U1245" s="323"/>
      <c r="V1245" s="323"/>
    </row>
    <row r="1246" spans="19:22" x14ac:dyDescent="0.25">
      <c r="S1246" s="323"/>
      <c r="T1246" s="323"/>
      <c r="U1246" s="323"/>
      <c r="V1246" s="323"/>
    </row>
    <row r="1247" spans="19:22" x14ac:dyDescent="0.25">
      <c r="S1247" s="323"/>
      <c r="T1247" s="323"/>
      <c r="U1247" s="323"/>
      <c r="V1247" s="323"/>
    </row>
    <row r="1248" spans="19:22" x14ac:dyDescent="0.25">
      <c r="S1248" s="323"/>
      <c r="T1248" s="323"/>
      <c r="U1248" s="323"/>
      <c r="V1248" s="323"/>
    </row>
    <row r="1249" spans="19:22" x14ac:dyDescent="0.25">
      <c r="S1249" s="323"/>
      <c r="T1249" s="323"/>
      <c r="U1249" s="323"/>
      <c r="V1249" s="323"/>
    </row>
    <row r="1250" spans="19:22" x14ac:dyDescent="0.25">
      <c r="S1250" s="323"/>
      <c r="T1250" s="323"/>
      <c r="U1250" s="323"/>
      <c r="V1250" s="323"/>
    </row>
    <row r="1251" spans="19:22" x14ac:dyDescent="0.25">
      <c r="S1251" s="323"/>
      <c r="T1251" s="323"/>
      <c r="U1251" s="323"/>
      <c r="V1251" s="323"/>
    </row>
    <row r="1252" spans="19:22" x14ac:dyDescent="0.25">
      <c r="S1252" s="323"/>
      <c r="T1252" s="323"/>
      <c r="U1252" s="323"/>
      <c r="V1252" s="323"/>
    </row>
    <row r="1253" spans="19:22" x14ac:dyDescent="0.25">
      <c r="S1253" s="323"/>
      <c r="T1253" s="323"/>
      <c r="U1253" s="323"/>
      <c r="V1253" s="323"/>
    </row>
    <row r="1254" spans="19:22" x14ac:dyDescent="0.25">
      <c r="S1254" s="323"/>
      <c r="T1254" s="323"/>
      <c r="U1254" s="323"/>
      <c r="V1254" s="323"/>
    </row>
    <row r="1255" spans="19:22" x14ac:dyDescent="0.25">
      <c r="S1255" s="323"/>
      <c r="T1255" s="323"/>
      <c r="U1255" s="323"/>
      <c r="V1255" s="323"/>
    </row>
    <row r="1256" spans="19:22" x14ac:dyDescent="0.25">
      <c r="S1256" s="323"/>
      <c r="T1256" s="323"/>
      <c r="U1256" s="323"/>
      <c r="V1256" s="323"/>
    </row>
    <row r="1257" spans="19:22" x14ac:dyDescent="0.25">
      <c r="S1257" s="323"/>
      <c r="T1257" s="323"/>
      <c r="U1257" s="323"/>
      <c r="V1257" s="323"/>
    </row>
    <row r="1258" spans="19:22" x14ac:dyDescent="0.25">
      <c r="S1258" s="323"/>
      <c r="T1258" s="323"/>
      <c r="U1258" s="323"/>
      <c r="V1258" s="323"/>
    </row>
    <row r="1259" spans="19:22" x14ac:dyDescent="0.25">
      <c r="S1259" s="323"/>
      <c r="T1259" s="323"/>
      <c r="U1259" s="323"/>
      <c r="V1259" s="323"/>
    </row>
    <row r="1260" spans="19:22" x14ac:dyDescent="0.25">
      <c r="S1260" s="323"/>
      <c r="T1260" s="323"/>
      <c r="U1260" s="323"/>
      <c r="V1260" s="323"/>
    </row>
    <row r="1261" spans="19:22" x14ac:dyDescent="0.25">
      <c r="S1261" s="323"/>
      <c r="T1261" s="323"/>
      <c r="U1261" s="323"/>
      <c r="V1261" s="323"/>
    </row>
    <row r="1262" spans="19:22" x14ac:dyDescent="0.25">
      <c r="S1262" s="323"/>
      <c r="T1262" s="323"/>
      <c r="U1262" s="323"/>
      <c r="V1262" s="323"/>
    </row>
    <row r="1263" spans="19:22" x14ac:dyDescent="0.25">
      <c r="S1263" s="323"/>
      <c r="T1263" s="323"/>
      <c r="U1263" s="323"/>
      <c r="V1263" s="323"/>
    </row>
    <row r="1264" spans="19:22" x14ac:dyDescent="0.25">
      <c r="S1264" s="323"/>
      <c r="T1264" s="323"/>
      <c r="U1264" s="323"/>
      <c r="V1264" s="323"/>
    </row>
    <row r="1265" spans="19:22" x14ac:dyDescent="0.25">
      <c r="S1265" s="323"/>
      <c r="T1265" s="323"/>
      <c r="U1265" s="323"/>
      <c r="V1265" s="323"/>
    </row>
    <row r="1266" spans="19:22" x14ac:dyDescent="0.25">
      <c r="S1266" s="323"/>
      <c r="T1266" s="323"/>
      <c r="U1266" s="323"/>
      <c r="V1266" s="323"/>
    </row>
    <row r="1267" spans="19:22" x14ac:dyDescent="0.25">
      <c r="S1267" s="323"/>
      <c r="T1267" s="323"/>
      <c r="U1267" s="323"/>
      <c r="V1267" s="323"/>
    </row>
    <row r="1268" spans="19:22" x14ac:dyDescent="0.25">
      <c r="S1268" s="323"/>
      <c r="T1268" s="323"/>
      <c r="U1268" s="323"/>
      <c r="V1268" s="323"/>
    </row>
    <row r="1269" spans="19:22" x14ac:dyDescent="0.25">
      <c r="S1269" s="323"/>
      <c r="T1269" s="323"/>
      <c r="U1269" s="323"/>
      <c r="V1269" s="323"/>
    </row>
    <row r="1270" spans="19:22" x14ac:dyDescent="0.25">
      <c r="S1270" s="323"/>
      <c r="T1270" s="323"/>
      <c r="U1270" s="323"/>
      <c r="V1270" s="323"/>
    </row>
    <row r="1271" spans="19:22" x14ac:dyDescent="0.25">
      <c r="S1271" s="323"/>
      <c r="T1271" s="323"/>
      <c r="U1271" s="323"/>
      <c r="V1271" s="323"/>
    </row>
    <row r="1272" spans="19:22" x14ac:dyDescent="0.25">
      <c r="S1272" s="323"/>
      <c r="T1272" s="323"/>
      <c r="U1272" s="323"/>
      <c r="V1272" s="323"/>
    </row>
    <row r="1273" spans="19:22" x14ac:dyDescent="0.25">
      <c r="S1273" s="323"/>
      <c r="T1273" s="323"/>
      <c r="U1273" s="323"/>
      <c r="V1273" s="323"/>
    </row>
    <row r="1274" spans="19:22" x14ac:dyDescent="0.25">
      <c r="S1274" s="323"/>
      <c r="T1274" s="323"/>
      <c r="U1274" s="323"/>
      <c r="V1274" s="323"/>
    </row>
    <row r="1275" spans="19:22" x14ac:dyDescent="0.25">
      <c r="S1275" s="323"/>
      <c r="T1275" s="323"/>
      <c r="U1275" s="323"/>
      <c r="V1275" s="323"/>
    </row>
    <row r="1276" spans="19:22" x14ac:dyDescent="0.25">
      <c r="S1276" s="323"/>
      <c r="T1276" s="323"/>
      <c r="U1276" s="323"/>
      <c r="V1276" s="323"/>
    </row>
    <row r="1277" spans="19:22" x14ac:dyDescent="0.25">
      <c r="S1277" s="323"/>
      <c r="T1277" s="323"/>
      <c r="U1277" s="323"/>
      <c r="V1277" s="323"/>
    </row>
    <row r="1278" spans="19:22" x14ac:dyDescent="0.25">
      <c r="S1278" s="323"/>
      <c r="T1278" s="323"/>
      <c r="U1278" s="323"/>
      <c r="V1278" s="323"/>
    </row>
    <row r="1279" spans="19:22" x14ac:dyDescent="0.25">
      <c r="S1279" s="323"/>
      <c r="T1279" s="323"/>
      <c r="U1279" s="323"/>
      <c r="V1279" s="323"/>
    </row>
    <row r="1280" spans="19:22" x14ac:dyDescent="0.25">
      <c r="S1280" s="323"/>
      <c r="T1280" s="323"/>
      <c r="U1280" s="323"/>
      <c r="V1280" s="323"/>
    </row>
    <row r="1281" spans="19:22" x14ac:dyDescent="0.25">
      <c r="S1281" s="323"/>
      <c r="T1281" s="323"/>
      <c r="U1281" s="323"/>
      <c r="V1281" s="323"/>
    </row>
    <row r="1282" spans="19:22" x14ac:dyDescent="0.25">
      <c r="S1282" s="323"/>
      <c r="T1282" s="323"/>
      <c r="U1282" s="323"/>
      <c r="V1282" s="323"/>
    </row>
    <row r="1283" spans="19:22" x14ac:dyDescent="0.25">
      <c r="S1283" s="323"/>
      <c r="T1283" s="323"/>
      <c r="U1283" s="323"/>
      <c r="V1283" s="323"/>
    </row>
    <row r="1284" spans="19:22" x14ac:dyDescent="0.25">
      <c r="S1284" s="323"/>
      <c r="T1284" s="323"/>
      <c r="U1284" s="323"/>
      <c r="V1284" s="323"/>
    </row>
    <row r="1285" spans="19:22" x14ac:dyDescent="0.25">
      <c r="S1285" s="323"/>
      <c r="T1285" s="323"/>
      <c r="U1285" s="323"/>
      <c r="V1285" s="323"/>
    </row>
    <row r="1286" spans="19:22" x14ac:dyDescent="0.25">
      <c r="S1286" s="323"/>
      <c r="T1286" s="323"/>
      <c r="U1286" s="323"/>
      <c r="V1286" s="323"/>
    </row>
    <row r="1287" spans="19:22" x14ac:dyDescent="0.25">
      <c r="S1287" s="323"/>
      <c r="T1287" s="323"/>
      <c r="U1287" s="323"/>
      <c r="V1287" s="323"/>
    </row>
    <row r="1288" spans="19:22" x14ac:dyDescent="0.25">
      <c r="S1288" s="323"/>
      <c r="T1288" s="323"/>
      <c r="U1288" s="323"/>
      <c r="V1288" s="323"/>
    </row>
    <row r="1289" spans="19:22" x14ac:dyDescent="0.25">
      <c r="S1289" s="323"/>
      <c r="T1289" s="323"/>
      <c r="U1289" s="323"/>
      <c r="V1289" s="323"/>
    </row>
    <row r="1290" spans="19:22" x14ac:dyDescent="0.25">
      <c r="S1290" s="323"/>
      <c r="T1290" s="323"/>
      <c r="U1290" s="323"/>
      <c r="V1290" s="323"/>
    </row>
    <row r="1291" spans="19:22" x14ac:dyDescent="0.25">
      <c r="S1291" s="323"/>
      <c r="T1291" s="323"/>
      <c r="U1291" s="323"/>
      <c r="V1291" s="323"/>
    </row>
    <row r="1292" spans="19:22" x14ac:dyDescent="0.25">
      <c r="S1292" s="323"/>
      <c r="T1292" s="323"/>
      <c r="U1292" s="323"/>
      <c r="V1292" s="323"/>
    </row>
    <row r="1293" spans="19:22" x14ac:dyDescent="0.25">
      <c r="S1293" s="323"/>
      <c r="T1293" s="323"/>
      <c r="U1293" s="323"/>
      <c r="V1293" s="323"/>
    </row>
    <row r="1294" spans="19:22" x14ac:dyDescent="0.25">
      <c r="S1294" s="323"/>
      <c r="T1294" s="323"/>
      <c r="U1294" s="323"/>
      <c r="V1294" s="323"/>
    </row>
    <row r="1295" spans="19:22" x14ac:dyDescent="0.25">
      <c r="S1295" s="323"/>
      <c r="T1295" s="323"/>
      <c r="U1295" s="323"/>
      <c r="V1295" s="323"/>
    </row>
    <row r="1296" spans="19:22" x14ac:dyDescent="0.25">
      <c r="S1296" s="323"/>
      <c r="T1296" s="323"/>
      <c r="U1296" s="323"/>
      <c r="V1296" s="323"/>
    </row>
    <row r="1297" spans="19:22" x14ac:dyDescent="0.25">
      <c r="S1297" s="323"/>
      <c r="T1297" s="323"/>
      <c r="U1297" s="323"/>
      <c r="V1297" s="323"/>
    </row>
    <row r="1298" spans="19:22" x14ac:dyDescent="0.25">
      <c r="S1298" s="323"/>
      <c r="T1298" s="323"/>
      <c r="U1298" s="323"/>
      <c r="V1298" s="323"/>
    </row>
    <row r="1299" spans="19:22" x14ac:dyDescent="0.25">
      <c r="S1299" s="323"/>
      <c r="T1299" s="323"/>
      <c r="U1299" s="323"/>
      <c r="V1299" s="323"/>
    </row>
    <row r="1300" spans="19:22" x14ac:dyDescent="0.25">
      <c r="S1300" s="323"/>
      <c r="T1300" s="323"/>
      <c r="U1300" s="323"/>
      <c r="V1300" s="323"/>
    </row>
    <row r="1301" spans="19:22" x14ac:dyDescent="0.25">
      <c r="S1301" s="323"/>
      <c r="T1301" s="323"/>
      <c r="U1301" s="323"/>
      <c r="V1301" s="323"/>
    </row>
    <row r="1302" spans="19:22" x14ac:dyDescent="0.25">
      <c r="S1302" s="323"/>
      <c r="T1302" s="323"/>
      <c r="U1302" s="323"/>
      <c r="V1302" s="323"/>
    </row>
    <row r="1303" spans="19:22" x14ac:dyDescent="0.25">
      <c r="S1303" s="323"/>
      <c r="T1303" s="323"/>
      <c r="U1303" s="323"/>
      <c r="V1303" s="323"/>
    </row>
    <row r="1304" spans="19:22" x14ac:dyDescent="0.25">
      <c r="S1304" s="323"/>
      <c r="T1304" s="323"/>
      <c r="U1304" s="323"/>
      <c r="V1304" s="323"/>
    </row>
    <row r="1305" spans="19:22" x14ac:dyDescent="0.25">
      <c r="S1305" s="323"/>
      <c r="T1305" s="323"/>
      <c r="U1305" s="323"/>
      <c r="V1305" s="323"/>
    </row>
    <row r="1306" spans="19:22" x14ac:dyDescent="0.25">
      <c r="S1306" s="323"/>
      <c r="T1306" s="323"/>
      <c r="U1306" s="323"/>
      <c r="V1306" s="323"/>
    </row>
    <row r="1307" spans="19:22" x14ac:dyDescent="0.25">
      <c r="S1307" s="323"/>
      <c r="T1307" s="323"/>
      <c r="U1307" s="323"/>
      <c r="V1307" s="323"/>
    </row>
    <row r="1308" spans="19:22" x14ac:dyDescent="0.25">
      <c r="S1308" s="323"/>
      <c r="T1308" s="323"/>
      <c r="U1308" s="323"/>
      <c r="V1308" s="323"/>
    </row>
    <row r="1309" spans="19:22" x14ac:dyDescent="0.25">
      <c r="S1309" s="323"/>
      <c r="T1309" s="323"/>
      <c r="U1309" s="323"/>
      <c r="V1309" s="323"/>
    </row>
    <row r="1310" spans="19:22" x14ac:dyDescent="0.25">
      <c r="S1310" s="323"/>
      <c r="T1310" s="323"/>
      <c r="U1310" s="323"/>
      <c r="V1310" s="323"/>
    </row>
    <row r="1311" spans="19:22" x14ac:dyDescent="0.25">
      <c r="S1311" s="323"/>
      <c r="T1311" s="323"/>
      <c r="U1311" s="323"/>
      <c r="V1311" s="323"/>
    </row>
    <row r="1312" spans="19:22" x14ac:dyDescent="0.25">
      <c r="S1312" s="323"/>
      <c r="T1312" s="323"/>
      <c r="U1312" s="323"/>
      <c r="V1312" s="323"/>
    </row>
    <row r="1313" spans="19:22" x14ac:dyDescent="0.25">
      <c r="S1313" s="323"/>
      <c r="T1313" s="323"/>
      <c r="U1313" s="323"/>
      <c r="V1313" s="323"/>
    </row>
    <row r="1314" spans="19:22" x14ac:dyDescent="0.25">
      <c r="S1314" s="323"/>
      <c r="T1314" s="323"/>
      <c r="U1314" s="323"/>
      <c r="V1314" s="323"/>
    </row>
    <row r="1315" spans="19:22" x14ac:dyDescent="0.25">
      <c r="S1315" s="323"/>
      <c r="T1315" s="323"/>
      <c r="U1315" s="323"/>
      <c r="V1315" s="323"/>
    </row>
    <row r="1316" spans="19:22" x14ac:dyDescent="0.25">
      <c r="S1316" s="323"/>
      <c r="T1316" s="323"/>
      <c r="U1316" s="323"/>
      <c r="V1316" s="323"/>
    </row>
    <row r="1317" spans="19:22" x14ac:dyDescent="0.25">
      <c r="S1317" s="323"/>
      <c r="T1317" s="323"/>
      <c r="U1317" s="323"/>
      <c r="V1317" s="323"/>
    </row>
    <row r="1318" spans="19:22" x14ac:dyDescent="0.25">
      <c r="S1318" s="323"/>
      <c r="T1318" s="323"/>
      <c r="U1318" s="323"/>
      <c r="V1318" s="323"/>
    </row>
    <row r="1319" spans="19:22" x14ac:dyDescent="0.25">
      <c r="S1319" s="323"/>
      <c r="T1319" s="323"/>
      <c r="U1319" s="323"/>
      <c r="V1319" s="323"/>
    </row>
    <row r="1320" spans="19:22" x14ac:dyDescent="0.25">
      <c r="S1320" s="323"/>
      <c r="T1320" s="323"/>
      <c r="U1320" s="323"/>
      <c r="V1320" s="323"/>
    </row>
    <row r="1321" spans="19:22" x14ac:dyDescent="0.25">
      <c r="S1321" s="323"/>
      <c r="T1321" s="323"/>
      <c r="U1321" s="323"/>
      <c r="V1321" s="323"/>
    </row>
    <row r="1322" spans="19:22" x14ac:dyDescent="0.25">
      <c r="S1322" s="323"/>
      <c r="T1322" s="323"/>
      <c r="U1322" s="323"/>
      <c r="V1322" s="323"/>
    </row>
    <row r="1323" spans="19:22" x14ac:dyDescent="0.25">
      <c r="S1323" s="323"/>
      <c r="T1323" s="323"/>
      <c r="U1323" s="323"/>
      <c r="V1323" s="323"/>
    </row>
    <row r="1324" spans="19:22" x14ac:dyDescent="0.25">
      <c r="S1324" s="323"/>
      <c r="T1324" s="323"/>
      <c r="U1324" s="323"/>
      <c r="V1324" s="323"/>
    </row>
    <row r="1325" spans="19:22" x14ac:dyDescent="0.25">
      <c r="S1325" s="323"/>
      <c r="T1325" s="323"/>
      <c r="U1325" s="323"/>
      <c r="V1325" s="323"/>
    </row>
    <row r="1326" spans="19:22" x14ac:dyDescent="0.25">
      <c r="S1326" s="323"/>
      <c r="T1326" s="323"/>
      <c r="U1326" s="323"/>
      <c r="V1326" s="323"/>
    </row>
    <row r="1327" spans="19:22" x14ac:dyDescent="0.25">
      <c r="S1327" s="323"/>
      <c r="T1327" s="323"/>
      <c r="U1327" s="323"/>
      <c r="V1327" s="323"/>
    </row>
    <row r="1328" spans="19:22" x14ac:dyDescent="0.25">
      <c r="S1328" s="323"/>
      <c r="T1328" s="323"/>
      <c r="U1328" s="323"/>
      <c r="V1328" s="323"/>
    </row>
    <row r="1329" spans="19:22" x14ac:dyDescent="0.25">
      <c r="S1329" s="323"/>
      <c r="T1329" s="323"/>
      <c r="U1329" s="323"/>
      <c r="V1329" s="323"/>
    </row>
    <row r="1330" spans="19:22" x14ac:dyDescent="0.25">
      <c r="S1330" s="323"/>
      <c r="T1330" s="323"/>
      <c r="U1330" s="323"/>
      <c r="V1330" s="323"/>
    </row>
    <row r="1331" spans="19:22" x14ac:dyDescent="0.25">
      <c r="S1331" s="323"/>
      <c r="T1331" s="323"/>
      <c r="U1331" s="323"/>
      <c r="V1331" s="323"/>
    </row>
    <row r="1332" spans="19:22" x14ac:dyDescent="0.25">
      <c r="S1332" s="323"/>
      <c r="T1332" s="323"/>
      <c r="U1332" s="323"/>
      <c r="V1332" s="323"/>
    </row>
    <row r="1333" spans="19:22" x14ac:dyDescent="0.25">
      <c r="S1333" s="323"/>
      <c r="T1333" s="323"/>
      <c r="U1333" s="323"/>
      <c r="V1333" s="323"/>
    </row>
    <row r="1334" spans="19:22" x14ac:dyDescent="0.25">
      <c r="S1334" s="323"/>
      <c r="T1334" s="323"/>
      <c r="U1334" s="323"/>
      <c r="V1334" s="323"/>
    </row>
    <row r="1335" spans="19:22" x14ac:dyDescent="0.25">
      <c r="S1335" s="323"/>
      <c r="T1335" s="323"/>
      <c r="U1335" s="323"/>
      <c r="V1335" s="323"/>
    </row>
    <row r="1336" spans="19:22" x14ac:dyDescent="0.25">
      <c r="S1336" s="323"/>
      <c r="T1336" s="323"/>
      <c r="U1336" s="323"/>
      <c r="V1336" s="323"/>
    </row>
    <row r="1337" spans="19:22" x14ac:dyDescent="0.25">
      <c r="S1337" s="323"/>
      <c r="T1337" s="323"/>
      <c r="U1337" s="323"/>
      <c r="V1337" s="323"/>
    </row>
    <row r="1338" spans="19:22" x14ac:dyDescent="0.25">
      <c r="S1338" s="323"/>
      <c r="T1338" s="323"/>
      <c r="U1338" s="323"/>
      <c r="V1338" s="323"/>
    </row>
    <row r="1339" spans="19:22" x14ac:dyDescent="0.25">
      <c r="S1339" s="323"/>
      <c r="T1339" s="323"/>
      <c r="U1339" s="323"/>
      <c r="V1339" s="323"/>
    </row>
    <row r="1340" spans="19:22" x14ac:dyDescent="0.25">
      <c r="S1340" s="323"/>
      <c r="T1340" s="323"/>
      <c r="U1340" s="323"/>
      <c r="V1340" s="323"/>
    </row>
    <row r="1341" spans="19:22" x14ac:dyDescent="0.25">
      <c r="S1341" s="323"/>
      <c r="T1341" s="323"/>
      <c r="U1341" s="323"/>
      <c r="V1341" s="323"/>
    </row>
    <row r="1342" spans="19:22" x14ac:dyDescent="0.25">
      <c r="S1342" s="323"/>
      <c r="T1342" s="323"/>
      <c r="U1342" s="323"/>
      <c r="V1342" s="323"/>
    </row>
    <row r="1343" spans="19:22" x14ac:dyDescent="0.25">
      <c r="S1343" s="323"/>
      <c r="T1343" s="323"/>
      <c r="U1343" s="323"/>
      <c r="V1343" s="323"/>
    </row>
    <row r="1344" spans="19:22" x14ac:dyDescent="0.25">
      <c r="S1344" s="323"/>
      <c r="T1344" s="323"/>
      <c r="U1344" s="323"/>
      <c r="V1344" s="323"/>
    </row>
    <row r="1345" spans="19:22" x14ac:dyDescent="0.25">
      <c r="S1345" s="323"/>
      <c r="T1345" s="323"/>
      <c r="U1345" s="323"/>
      <c r="V1345" s="323"/>
    </row>
    <row r="1346" spans="19:22" x14ac:dyDescent="0.25">
      <c r="S1346" s="323"/>
      <c r="T1346" s="323"/>
      <c r="U1346" s="323"/>
      <c r="V1346" s="323"/>
    </row>
    <row r="1347" spans="19:22" x14ac:dyDescent="0.25">
      <c r="S1347" s="323"/>
      <c r="T1347" s="323"/>
      <c r="U1347" s="323"/>
      <c r="V1347" s="323"/>
    </row>
    <row r="1348" spans="19:22" x14ac:dyDescent="0.25">
      <c r="S1348" s="323"/>
      <c r="T1348" s="323"/>
      <c r="U1348" s="323"/>
      <c r="V1348" s="323"/>
    </row>
    <row r="1349" spans="19:22" x14ac:dyDescent="0.25">
      <c r="S1349" s="323"/>
      <c r="T1349" s="323"/>
      <c r="U1349" s="323"/>
      <c r="V1349" s="323"/>
    </row>
    <row r="1350" spans="19:22" x14ac:dyDescent="0.25">
      <c r="S1350" s="323"/>
      <c r="T1350" s="323"/>
      <c r="U1350" s="323"/>
      <c r="V1350" s="323"/>
    </row>
    <row r="1351" spans="19:22" x14ac:dyDescent="0.25">
      <c r="S1351" s="323"/>
      <c r="T1351" s="323"/>
      <c r="U1351" s="323"/>
      <c r="V1351" s="323"/>
    </row>
    <row r="1352" spans="19:22" x14ac:dyDescent="0.25">
      <c r="S1352" s="323"/>
      <c r="T1352" s="323"/>
      <c r="U1352" s="323"/>
      <c r="V1352" s="323"/>
    </row>
    <row r="1353" spans="19:22" x14ac:dyDescent="0.25">
      <c r="S1353" s="323"/>
      <c r="T1353" s="323"/>
      <c r="U1353" s="323"/>
      <c r="V1353" s="323"/>
    </row>
    <row r="1354" spans="19:22" x14ac:dyDescent="0.25">
      <c r="S1354" s="323"/>
      <c r="T1354" s="323"/>
      <c r="U1354" s="323"/>
      <c r="V1354" s="323"/>
    </row>
    <row r="1355" spans="19:22" x14ac:dyDescent="0.25">
      <c r="S1355" s="323"/>
      <c r="T1355" s="323"/>
      <c r="U1355" s="323"/>
      <c r="V1355" s="323"/>
    </row>
    <row r="1356" spans="19:22" x14ac:dyDescent="0.25">
      <c r="S1356" s="323"/>
      <c r="T1356" s="323"/>
      <c r="U1356" s="323"/>
      <c r="V1356" s="323"/>
    </row>
    <row r="1357" spans="19:22" x14ac:dyDescent="0.25">
      <c r="S1357" s="323"/>
      <c r="T1357" s="323"/>
      <c r="U1357" s="323"/>
      <c r="V1357" s="323"/>
    </row>
    <row r="1358" spans="19:22" x14ac:dyDescent="0.25">
      <c r="S1358" s="323"/>
      <c r="T1358" s="323"/>
      <c r="U1358" s="323"/>
      <c r="V1358" s="323"/>
    </row>
    <row r="1359" spans="19:22" x14ac:dyDescent="0.25">
      <c r="S1359" s="323"/>
      <c r="T1359" s="323"/>
      <c r="U1359" s="323"/>
      <c r="V1359" s="323"/>
    </row>
    <row r="1360" spans="19:22" x14ac:dyDescent="0.25">
      <c r="S1360" s="323"/>
      <c r="T1360" s="323"/>
      <c r="U1360" s="323"/>
      <c r="V1360" s="323"/>
    </row>
    <row r="1361" spans="19:22" x14ac:dyDescent="0.25">
      <c r="S1361" s="323"/>
      <c r="T1361" s="323"/>
      <c r="U1361" s="323"/>
      <c r="V1361" s="323"/>
    </row>
    <row r="1362" spans="19:22" x14ac:dyDescent="0.25">
      <c r="S1362" s="323"/>
      <c r="T1362" s="323"/>
      <c r="U1362" s="323"/>
      <c r="V1362" s="323"/>
    </row>
    <row r="1363" spans="19:22" x14ac:dyDescent="0.25">
      <c r="S1363" s="323"/>
      <c r="T1363" s="323"/>
      <c r="U1363" s="323"/>
      <c r="V1363" s="323"/>
    </row>
    <row r="1364" spans="19:22" x14ac:dyDescent="0.25">
      <c r="S1364" s="323"/>
      <c r="T1364" s="323"/>
      <c r="U1364" s="323"/>
      <c r="V1364" s="323"/>
    </row>
    <row r="1365" spans="19:22" x14ac:dyDescent="0.25">
      <c r="S1365" s="323"/>
      <c r="T1365" s="323"/>
      <c r="U1365" s="323"/>
      <c r="V1365" s="323"/>
    </row>
    <row r="1366" spans="19:22" x14ac:dyDescent="0.25">
      <c r="S1366" s="323"/>
      <c r="T1366" s="323"/>
      <c r="U1366" s="323"/>
      <c r="V1366" s="323"/>
    </row>
    <row r="1367" spans="19:22" x14ac:dyDescent="0.25">
      <c r="S1367" s="323"/>
      <c r="T1367" s="323"/>
      <c r="U1367" s="323"/>
      <c r="V1367" s="323"/>
    </row>
    <row r="1368" spans="19:22" x14ac:dyDescent="0.25">
      <c r="S1368" s="323"/>
      <c r="T1368" s="323"/>
      <c r="U1368" s="323"/>
      <c r="V1368" s="323"/>
    </row>
    <row r="1369" spans="19:22" x14ac:dyDescent="0.25">
      <c r="S1369" s="323"/>
      <c r="T1369" s="323"/>
      <c r="U1369" s="323"/>
      <c r="V1369" s="323"/>
    </row>
    <row r="1370" spans="19:22" x14ac:dyDescent="0.25">
      <c r="S1370" s="323"/>
      <c r="T1370" s="323"/>
      <c r="U1370" s="323"/>
      <c r="V1370" s="323"/>
    </row>
    <row r="1371" spans="19:22" x14ac:dyDescent="0.25">
      <c r="S1371" s="323"/>
      <c r="T1371" s="323"/>
      <c r="U1371" s="323"/>
      <c r="V1371" s="323"/>
    </row>
    <row r="1372" spans="19:22" x14ac:dyDescent="0.25">
      <c r="S1372" s="323"/>
      <c r="T1372" s="323"/>
      <c r="U1372" s="323"/>
      <c r="V1372" s="323"/>
    </row>
    <row r="1373" spans="19:22" x14ac:dyDescent="0.25">
      <c r="S1373" s="323"/>
      <c r="T1373" s="323"/>
      <c r="U1373" s="323"/>
      <c r="V1373" s="323"/>
    </row>
    <row r="1374" spans="19:22" x14ac:dyDescent="0.25">
      <c r="S1374" s="323"/>
      <c r="T1374" s="323"/>
      <c r="U1374" s="323"/>
      <c r="V1374" s="323"/>
    </row>
    <row r="1375" spans="19:22" x14ac:dyDescent="0.25">
      <c r="S1375" s="323"/>
      <c r="T1375" s="323"/>
      <c r="U1375" s="323"/>
      <c r="V1375" s="323"/>
    </row>
    <row r="1376" spans="19:22" x14ac:dyDescent="0.25">
      <c r="S1376" s="323"/>
      <c r="T1376" s="323"/>
      <c r="U1376" s="323"/>
      <c r="V1376" s="323"/>
    </row>
    <row r="1377" spans="19:22" x14ac:dyDescent="0.25">
      <c r="S1377" s="323"/>
      <c r="T1377" s="323"/>
      <c r="U1377" s="323"/>
      <c r="V1377" s="323"/>
    </row>
    <row r="1378" spans="19:22" x14ac:dyDescent="0.25">
      <c r="S1378" s="323"/>
      <c r="T1378" s="323"/>
      <c r="U1378" s="323"/>
      <c r="V1378" s="323"/>
    </row>
    <row r="1379" spans="19:22" x14ac:dyDescent="0.25">
      <c r="S1379" s="323"/>
      <c r="T1379" s="323"/>
      <c r="U1379" s="323"/>
      <c r="V1379" s="323"/>
    </row>
    <row r="1380" spans="19:22" x14ac:dyDescent="0.25">
      <c r="S1380" s="323"/>
      <c r="T1380" s="323"/>
      <c r="U1380" s="323"/>
      <c r="V1380" s="323"/>
    </row>
    <row r="1381" spans="19:22" x14ac:dyDescent="0.25">
      <c r="S1381" s="323"/>
      <c r="T1381" s="323"/>
      <c r="U1381" s="323"/>
      <c r="V1381" s="323"/>
    </row>
    <row r="1382" spans="19:22" x14ac:dyDescent="0.25">
      <c r="S1382" s="323"/>
      <c r="T1382" s="323"/>
      <c r="U1382" s="323"/>
      <c r="V1382" s="323"/>
    </row>
    <row r="1383" spans="19:22" x14ac:dyDescent="0.25">
      <c r="S1383" s="323"/>
      <c r="T1383" s="323"/>
      <c r="U1383" s="323"/>
      <c r="V1383" s="323"/>
    </row>
    <row r="1384" spans="19:22" x14ac:dyDescent="0.25">
      <c r="S1384" s="323"/>
      <c r="T1384" s="323"/>
      <c r="U1384" s="323"/>
      <c r="V1384" s="323"/>
    </row>
    <row r="1385" spans="19:22" x14ac:dyDescent="0.25">
      <c r="S1385" s="323"/>
      <c r="T1385" s="323"/>
      <c r="U1385" s="323"/>
      <c r="V1385" s="323"/>
    </row>
    <row r="1386" spans="19:22" x14ac:dyDescent="0.25">
      <c r="S1386" s="323"/>
      <c r="T1386" s="323"/>
      <c r="U1386" s="323"/>
      <c r="V1386" s="323"/>
    </row>
    <row r="1387" spans="19:22" x14ac:dyDescent="0.25">
      <c r="S1387" s="323"/>
      <c r="T1387" s="323"/>
      <c r="U1387" s="323"/>
      <c r="V1387" s="323"/>
    </row>
    <row r="1388" spans="19:22" x14ac:dyDescent="0.25">
      <c r="S1388" s="323"/>
      <c r="T1388" s="323"/>
      <c r="U1388" s="323"/>
      <c r="V1388" s="323"/>
    </row>
    <row r="1389" spans="19:22" x14ac:dyDescent="0.25">
      <c r="S1389" s="323"/>
      <c r="T1389" s="323"/>
      <c r="U1389" s="323"/>
      <c r="V1389" s="323"/>
    </row>
    <row r="1390" spans="19:22" x14ac:dyDescent="0.25">
      <c r="S1390" s="323"/>
      <c r="T1390" s="323"/>
      <c r="U1390" s="323"/>
      <c r="V1390" s="323"/>
    </row>
    <row r="1391" spans="19:22" x14ac:dyDescent="0.25">
      <c r="S1391" s="323"/>
      <c r="T1391" s="323"/>
      <c r="U1391" s="323"/>
      <c r="V1391" s="323"/>
    </row>
    <row r="1392" spans="19:22" x14ac:dyDescent="0.25">
      <c r="S1392" s="323"/>
      <c r="T1392" s="323"/>
      <c r="U1392" s="323"/>
      <c r="V1392" s="323"/>
    </row>
    <row r="1393" spans="19:22" x14ac:dyDescent="0.25">
      <c r="S1393" s="323"/>
      <c r="T1393" s="323"/>
      <c r="U1393" s="323"/>
      <c r="V1393" s="323"/>
    </row>
  </sheetData>
  <sheetProtection sheet="1" formatCells="0" formatColumns="0"/>
  <mergeCells count="3">
    <mergeCell ref="E2:F2"/>
    <mergeCell ref="O1:O2"/>
    <mergeCell ref="I24:M26"/>
  </mergeCells>
  <phoneticPr fontId="0" type="noConversion"/>
  <conditionalFormatting sqref="D16 F16:G16">
    <cfRule type="expression" dxfId="2" priority="9">
      <formula>S621&lt;0.98*D3</formula>
    </cfRule>
  </conditionalFormatting>
  <conditionalFormatting sqref="E16">
    <cfRule type="expression" dxfId="1" priority="11">
      <formula>T621&lt;0.98*E3</formula>
    </cfRule>
  </conditionalFormatting>
  <conditionalFormatting sqref="D27:G27">
    <cfRule type="expression" dxfId="0" priority="12">
      <formula>S803&lt;0.98*D3</formula>
    </cfRule>
  </conditionalFormatting>
  <printOptions headings="1" gridLines="1"/>
  <pageMargins left="0.75" right="0.75" top="1" bottom="1" header="0.5" footer="0.5"/>
  <pageSetup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V5956"/>
  <sheetViews>
    <sheetView topLeftCell="A3" zoomScale="80" zoomScaleNormal="80" workbookViewId="0">
      <selection activeCell="AG361" sqref="A361:XFD361"/>
    </sheetView>
  </sheetViews>
  <sheetFormatPr defaultRowHeight="12.5" x14ac:dyDescent="0.25"/>
  <cols>
    <col min="1" max="1" width="34.1796875" customWidth="1"/>
    <col min="2" max="11" width="8.7265625" customWidth="1"/>
    <col min="12" max="12" width="1.1796875" customWidth="1"/>
    <col min="13" max="13" width="65.453125" customWidth="1"/>
    <col min="14" max="14" width="63.54296875" customWidth="1"/>
    <col min="15" max="15" width="48.453125" customWidth="1"/>
    <col min="16" max="16" width="4.81640625" customWidth="1"/>
    <col min="17" max="17" width="29.26953125" customWidth="1"/>
    <col min="18" max="18" width="17.81640625" customWidth="1"/>
    <col min="19" max="47" width="23" customWidth="1"/>
  </cols>
  <sheetData>
    <row r="1" spans="1:22" ht="27" customHeight="1" thickBot="1" x14ac:dyDescent="0.35">
      <c r="K1" s="22"/>
      <c r="N1" s="118"/>
      <c r="O1" s="2" t="s">
        <v>199</v>
      </c>
      <c r="P1" s="1"/>
      <c r="Q1" s="1"/>
      <c r="R1" s="3"/>
    </row>
    <row r="2" spans="1:22" ht="12.75" customHeight="1" thickTop="1" thickBot="1" x14ac:dyDescent="0.35">
      <c r="A2" s="188" t="s">
        <v>259</v>
      </c>
      <c r="B2" s="143" t="s">
        <v>283</v>
      </c>
      <c r="C2" s="35"/>
      <c r="D2" s="35"/>
      <c r="E2" s="35"/>
      <c r="F2" s="35"/>
      <c r="G2" s="35"/>
      <c r="H2" s="35"/>
      <c r="I2" s="35"/>
      <c r="J2" s="35"/>
      <c r="K2" s="36"/>
      <c r="M2" s="118" t="s">
        <v>271</v>
      </c>
      <c r="N2" s="118"/>
      <c r="O2" s="1" t="s">
        <v>3</v>
      </c>
      <c r="P2" s="1" t="s">
        <v>148</v>
      </c>
      <c r="Q2" s="1" t="s">
        <v>4</v>
      </c>
      <c r="R2" s="3" t="s">
        <v>5</v>
      </c>
    </row>
    <row r="3" spans="1:22" ht="12.75" customHeight="1" thickTop="1" thickBot="1" x14ac:dyDescent="0.35">
      <c r="A3" s="126" t="s">
        <v>270</v>
      </c>
      <c r="B3" s="374" t="s">
        <v>301</v>
      </c>
      <c r="C3" s="375"/>
      <c r="D3" s="11"/>
      <c r="E3" s="11"/>
      <c r="F3" s="11"/>
      <c r="G3" s="11"/>
      <c r="H3" s="11"/>
      <c r="I3" s="11"/>
      <c r="J3" s="11"/>
      <c r="K3" s="25"/>
      <c r="M3" s="118" t="s">
        <v>272</v>
      </c>
      <c r="O3" s="4" t="s">
        <v>198</v>
      </c>
      <c r="P3" s="4"/>
      <c r="Q3" s="4" t="s">
        <v>198</v>
      </c>
      <c r="R3" s="5"/>
    </row>
    <row r="4" spans="1:22" ht="12.75" customHeight="1" thickTop="1" thickBot="1" x14ac:dyDescent="0.35">
      <c r="A4" s="37" t="s">
        <v>33</v>
      </c>
      <c r="B4" s="159" t="s">
        <v>302</v>
      </c>
      <c r="C4" s="11"/>
      <c r="D4" s="11"/>
      <c r="E4" s="11"/>
      <c r="F4" s="11"/>
      <c r="G4" s="11"/>
      <c r="H4" s="11"/>
      <c r="I4" s="11"/>
      <c r="J4" s="11"/>
      <c r="K4" s="25"/>
    </row>
    <row r="5" spans="1:22" ht="12.75" customHeight="1" thickTop="1" thickBot="1" x14ac:dyDescent="0.35">
      <c r="A5" s="27" t="s">
        <v>256</v>
      </c>
      <c r="B5" s="31">
        <v>0.1</v>
      </c>
      <c r="C5" s="32">
        <v>0.2</v>
      </c>
      <c r="D5" s="32">
        <v>0.3</v>
      </c>
      <c r="E5" s="32">
        <v>0.4</v>
      </c>
      <c r="F5" s="32">
        <v>0.5</v>
      </c>
      <c r="G5" s="32">
        <v>0.6</v>
      </c>
      <c r="H5" s="33">
        <v>0.7</v>
      </c>
      <c r="I5" s="34">
        <v>0.8</v>
      </c>
      <c r="J5" s="30">
        <v>0.9</v>
      </c>
      <c r="K5" s="26">
        <v>1</v>
      </c>
      <c r="O5" s="23" t="s">
        <v>236</v>
      </c>
    </row>
    <row r="6" spans="1:22" ht="12.75" customHeight="1" x14ac:dyDescent="0.3">
      <c r="A6" s="28" t="s">
        <v>257</v>
      </c>
      <c r="B6" s="144">
        <v>5</v>
      </c>
      <c r="C6" s="145">
        <v>12</v>
      </c>
      <c r="D6" s="145">
        <v>23</v>
      </c>
      <c r="E6" s="145">
        <v>39</v>
      </c>
      <c r="F6" s="145">
        <v>61</v>
      </c>
      <c r="G6" s="145">
        <v>88</v>
      </c>
      <c r="H6" s="145">
        <v>121</v>
      </c>
      <c r="I6" s="146">
        <v>165</v>
      </c>
      <c r="J6" s="147">
        <v>246</v>
      </c>
      <c r="K6" s="148">
        <v>420</v>
      </c>
      <c r="O6" s="6" t="s">
        <v>200</v>
      </c>
      <c r="P6" s="6"/>
      <c r="Q6" s="6" t="s">
        <v>201</v>
      </c>
      <c r="R6" s="6">
        <f>Q</f>
        <v>80</v>
      </c>
      <c r="S6" s="6"/>
    </row>
    <row r="7" spans="1:22" ht="12.75" customHeight="1" thickBot="1" x14ac:dyDescent="0.45">
      <c r="A7" s="29" t="s">
        <v>258</v>
      </c>
      <c r="B7" s="149">
        <v>0.91</v>
      </c>
      <c r="C7" s="150">
        <v>0.91</v>
      </c>
      <c r="D7" s="150">
        <v>0.9</v>
      </c>
      <c r="E7" s="150">
        <v>0.88</v>
      </c>
      <c r="F7" s="150">
        <v>0.85</v>
      </c>
      <c r="G7" s="150">
        <v>0.8</v>
      </c>
      <c r="H7" s="150">
        <v>0.75</v>
      </c>
      <c r="I7" s="151">
        <v>0.66</v>
      </c>
      <c r="J7" s="152">
        <v>0.55000000000000004</v>
      </c>
      <c r="K7" s="153">
        <v>0.44</v>
      </c>
      <c r="O7" s="6" t="s">
        <v>202</v>
      </c>
      <c r="P7" s="6"/>
      <c r="Q7" s="9" t="s">
        <v>203</v>
      </c>
      <c r="R7" s="6">
        <f>'Valve Sizing'!G3</f>
        <v>550</v>
      </c>
      <c r="S7" s="6"/>
    </row>
    <row r="8" spans="1:22" ht="12.75" customHeight="1" thickTop="1" x14ac:dyDescent="0.25">
      <c r="A8" s="119"/>
      <c r="B8" s="119"/>
      <c r="C8" s="119"/>
      <c r="D8" s="119"/>
      <c r="E8" s="119"/>
      <c r="F8" s="119"/>
      <c r="G8" s="119"/>
      <c r="H8" s="119"/>
      <c r="O8" s="6" t="s">
        <v>210</v>
      </c>
      <c r="P8" s="6"/>
      <c r="Q8" s="9" t="s">
        <v>204</v>
      </c>
      <c r="R8" s="6">
        <f>P_1</f>
        <v>56.7</v>
      </c>
      <c r="S8" s="6"/>
      <c r="T8" s="6"/>
    </row>
    <row r="9" spans="1:22" ht="12.75" customHeight="1" x14ac:dyDescent="0.3">
      <c r="A9" s="119"/>
      <c r="B9" s="119"/>
      <c r="C9" s="119"/>
      <c r="D9" s="119"/>
      <c r="E9" s="119"/>
      <c r="F9" s="119"/>
      <c r="G9" s="119"/>
      <c r="H9" s="119"/>
      <c r="M9" s="7" t="s">
        <v>290</v>
      </c>
      <c r="N9" s="6"/>
      <c r="O9" s="6" t="s">
        <v>211</v>
      </c>
      <c r="P9" s="6"/>
      <c r="Q9" s="9" t="s">
        <v>205</v>
      </c>
      <c r="R9" s="6">
        <f>'Valve Sizing'!G4</f>
        <v>46.7</v>
      </c>
      <c r="S9" s="6"/>
      <c r="T9" s="6"/>
    </row>
    <row r="10" spans="1:22" ht="12.75" customHeight="1" x14ac:dyDescent="0.5">
      <c r="A10" s="119"/>
      <c r="B10" s="119"/>
      <c r="C10" s="119"/>
      <c r="D10" s="119"/>
      <c r="E10" s="119"/>
      <c r="F10" s="119"/>
      <c r="G10" s="119"/>
      <c r="H10" s="119"/>
      <c r="M10" s="343" t="s">
        <v>372</v>
      </c>
      <c r="N10" s="6"/>
      <c r="O10" s="6" t="s">
        <v>206</v>
      </c>
      <c r="P10" s="6"/>
      <c r="Q10" s="9" t="s">
        <v>208</v>
      </c>
      <c r="R10" s="6">
        <f>DELTA_P</f>
        <v>32</v>
      </c>
      <c r="S10" s="6"/>
      <c r="T10" s="6"/>
    </row>
    <row r="11" spans="1:22" ht="12.75" customHeight="1" x14ac:dyDescent="0.3">
      <c r="A11" s="119"/>
      <c r="B11" s="119"/>
      <c r="C11" s="119"/>
      <c r="D11" s="119"/>
      <c r="E11" s="119"/>
      <c r="F11" s="119"/>
      <c r="G11" s="119"/>
      <c r="H11" s="376" t="str">
        <f>B3</f>
        <v>Neles RE</v>
      </c>
      <c r="I11" s="376"/>
      <c r="M11" s="7" t="s">
        <v>291</v>
      </c>
      <c r="N11" s="13"/>
      <c r="O11" s="6" t="s">
        <v>207</v>
      </c>
      <c r="P11" s="6"/>
      <c r="Q11" s="9" t="s">
        <v>209</v>
      </c>
      <c r="R11" s="6">
        <f>'Valve Sizing'!G5</f>
        <v>20</v>
      </c>
      <c r="S11" s="6"/>
      <c r="T11" s="6"/>
    </row>
    <row r="12" spans="1:22" ht="12.75" customHeight="1" x14ac:dyDescent="0.3">
      <c r="A12" s="119"/>
      <c r="B12" s="119"/>
      <c r="C12" s="119"/>
      <c r="D12" s="119"/>
      <c r="E12" s="119"/>
      <c r="F12" s="119"/>
      <c r="G12" s="119"/>
      <c r="H12" s="169" t="str">
        <f>B4</f>
        <v>3 inch</v>
      </c>
      <c r="L12" s="117"/>
      <c r="M12" s="344" t="s">
        <v>292</v>
      </c>
      <c r="N12" s="117"/>
      <c r="O12" s="6" t="s">
        <v>212</v>
      </c>
      <c r="P12" s="6"/>
      <c r="Q12" s="9" t="s">
        <v>214</v>
      </c>
      <c r="R12" s="6">
        <f>P_1_minQ-DELTA_P_minQ</f>
        <v>24.700000000000003</v>
      </c>
      <c r="S12" s="6"/>
      <c r="T12" s="6"/>
    </row>
    <row r="13" spans="1:22" ht="12.75" customHeight="1" x14ac:dyDescent="0.25">
      <c r="A13" s="127"/>
      <c r="B13" s="128"/>
      <c r="C13" s="128"/>
      <c r="D13" s="128"/>
      <c r="E13" s="128"/>
      <c r="F13" s="128"/>
      <c r="G13" s="128"/>
      <c r="H13" s="191" t="str">
        <f>'Valve Sizing'!E2</f>
        <v>PV123</v>
      </c>
      <c r="I13" s="191"/>
      <c r="J13" s="191"/>
      <c r="O13" s="6" t="s">
        <v>213</v>
      </c>
      <c r="P13" s="6"/>
      <c r="Q13" s="9" t="s">
        <v>215</v>
      </c>
      <c r="R13" s="6">
        <f>'Valve Sizing'!G4-'Valve Sizing'!G5</f>
        <v>26.700000000000003</v>
      </c>
      <c r="S13" s="6"/>
      <c r="T13" s="6"/>
    </row>
    <row r="14" spans="1:22" ht="12.75" customHeight="1" thickBot="1" x14ac:dyDescent="0.3">
      <c r="A14" s="129"/>
      <c r="B14" s="119"/>
      <c r="C14" s="128"/>
      <c r="D14" s="130"/>
      <c r="E14" s="128"/>
      <c r="F14" s="128"/>
      <c r="G14" s="119"/>
      <c r="O14" s="6" t="s">
        <v>216</v>
      </c>
      <c r="P14" s="6"/>
      <c r="Q14" s="9" t="s">
        <v>217</v>
      </c>
      <c r="R14" s="6">
        <f>P_1_minQ-P_1_maxQ</f>
        <v>10</v>
      </c>
      <c r="S14" s="6"/>
      <c r="T14" s="6"/>
    </row>
    <row r="15" spans="1:22" ht="12.75" customHeight="1" thickTop="1" x14ac:dyDescent="0.45">
      <c r="A15" s="119"/>
      <c r="B15" s="119"/>
      <c r="C15" s="119"/>
      <c r="D15" s="119"/>
      <c r="E15" s="128"/>
      <c r="F15" s="128"/>
      <c r="G15" s="119"/>
      <c r="H15" s="154" t="s">
        <v>273</v>
      </c>
      <c r="I15" s="155"/>
      <c r="J15" s="156"/>
      <c r="M15" s="184" t="s">
        <v>289</v>
      </c>
      <c r="N15" s="180"/>
      <c r="O15" s="7" t="s">
        <v>218</v>
      </c>
      <c r="P15" s="6"/>
      <c r="Q15" s="10" t="s">
        <v>219</v>
      </c>
      <c r="R15" s="7">
        <f>dp_up/(Q_max^2-Q_min^2)</f>
        <v>3.3772374197906115E-5</v>
      </c>
      <c r="S15" s="6"/>
      <c r="T15" s="19" t="s">
        <v>254</v>
      </c>
      <c r="U15" s="11"/>
      <c r="V15" s="15"/>
    </row>
    <row r="16" spans="1:22" ht="12.75" customHeight="1" thickBot="1" x14ac:dyDescent="0.4">
      <c r="A16" s="131"/>
      <c r="B16" s="132"/>
      <c r="C16" s="129"/>
      <c r="D16" s="133"/>
      <c r="E16" s="128"/>
      <c r="F16" s="128"/>
      <c r="G16" s="119"/>
      <c r="H16" s="157" t="s">
        <v>296</v>
      </c>
      <c r="I16" s="192">
        <f>IF(AND(M17="",M18="",M19="",M20=""),AU19,"NOT VALID")</f>
        <v>746.19593464138279</v>
      </c>
      <c r="J16" s="197"/>
      <c r="M16" s="199" t="s">
        <v>297</v>
      </c>
      <c r="N16" s="13"/>
      <c r="O16" s="6" t="s">
        <v>221</v>
      </c>
      <c r="P16" s="6"/>
      <c r="Q16" s="9" t="s">
        <v>220</v>
      </c>
      <c r="R16" s="6">
        <f>P_2_maxQ-P_2_minQ</f>
        <v>2</v>
      </c>
      <c r="S16" s="6"/>
      <c r="T16" s="20"/>
      <c r="U16" s="12"/>
      <c r="V16" s="21"/>
    </row>
    <row r="17" spans="1:48" ht="12.75" customHeight="1" thickTop="1" x14ac:dyDescent="0.3">
      <c r="A17" s="134"/>
      <c r="B17" s="128"/>
      <c r="C17" s="128"/>
      <c r="D17" s="128"/>
      <c r="E17" s="128"/>
      <c r="F17" s="128"/>
      <c r="G17" s="119"/>
      <c r="M17" s="194" t="str">
        <f>IF(Q_max&lt;=Q_min,"ERROR! Flow in G2 must be greater than Flow in D2 on the Valve Sizing tab","")</f>
        <v/>
      </c>
      <c r="N17" s="181"/>
      <c r="O17" s="87" t="s">
        <v>222</v>
      </c>
      <c r="P17" s="60"/>
      <c r="Q17" s="10" t="s">
        <v>223</v>
      </c>
      <c r="R17" s="87">
        <f>dp_dn/(Q_max^2-Q_min^2)</f>
        <v>6.7544748395812223E-6</v>
      </c>
      <c r="S17" s="88" t="s">
        <v>253</v>
      </c>
      <c r="T17" s="89">
        <v>0.1</v>
      </c>
      <c r="U17" s="90"/>
      <c r="V17" s="90"/>
      <c r="W17" s="89">
        <v>0.2</v>
      </c>
      <c r="X17" s="90"/>
      <c r="Y17" s="90"/>
      <c r="Z17" s="89">
        <v>0.3</v>
      </c>
      <c r="AA17" s="90"/>
      <c r="AB17" s="90"/>
      <c r="AC17" s="90">
        <v>0.4</v>
      </c>
      <c r="AD17" s="88"/>
      <c r="AE17" s="90"/>
      <c r="AF17" s="90">
        <v>0.5</v>
      </c>
      <c r="AG17" s="88"/>
      <c r="AH17" s="90"/>
      <c r="AI17" s="90">
        <v>0.6</v>
      </c>
      <c r="AJ17" s="88"/>
      <c r="AK17" s="90"/>
      <c r="AL17" s="90">
        <v>0.7</v>
      </c>
      <c r="AM17" s="88"/>
      <c r="AN17" s="90"/>
      <c r="AO17" s="90">
        <v>0.8</v>
      </c>
      <c r="AP17" s="88"/>
      <c r="AQ17" s="90"/>
      <c r="AR17" s="90">
        <v>0.9</v>
      </c>
      <c r="AS17" s="88"/>
      <c r="AT17" s="90"/>
      <c r="AU17" s="90">
        <v>1</v>
      </c>
      <c r="AV17" s="82"/>
    </row>
    <row r="18" spans="1:48" ht="12.75" customHeight="1" x14ac:dyDescent="0.3">
      <c r="A18" s="134"/>
      <c r="B18" s="128"/>
      <c r="C18" s="128"/>
      <c r="D18" s="128"/>
      <c r="E18" s="128"/>
      <c r="F18" s="128"/>
      <c r="G18" s="119"/>
      <c r="I18" s="190"/>
      <c r="M18" s="195" t="str">
        <f>IF(P_1_maxQ&gt;P_1_minQ,"ERROR! P1 must be constant or decreasing with increasing flow","")</f>
        <v/>
      </c>
      <c r="N18" s="181"/>
      <c r="O18" s="91" t="s">
        <v>226</v>
      </c>
      <c r="P18" s="60"/>
      <c r="Q18" s="92" t="s">
        <v>224</v>
      </c>
      <c r="R18" s="93">
        <f>R_up*Q_min^2</f>
        <v>0.21614319486659914</v>
      </c>
      <c r="S18" s="94" t="s">
        <v>249</v>
      </c>
      <c r="T18" s="76">
        <f>MIN(S42:S4662)</f>
        <v>2.1776374739969739E-2</v>
      </c>
      <c r="U18" s="44"/>
      <c r="V18" s="40"/>
      <c r="W18" s="76">
        <f>MIN(V42:V4662)</f>
        <v>1.3340790643020739E-2</v>
      </c>
      <c r="X18" s="44"/>
      <c r="Y18" s="40"/>
      <c r="Z18" s="76">
        <f>MIN(Y42:Y4662)</f>
        <v>0.11679851228239713</v>
      </c>
      <c r="AA18" s="44"/>
      <c r="AB18" s="40"/>
      <c r="AC18" s="40">
        <f>MIN(AB42:AB4662)</f>
        <v>4.1201074972157414E-2</v>
      </c>
      <c r="AD18" s="95"/>
      <c r="AE18" s="40"/>
      <c r="AF18" s="40">
        <f>MIN(AE42:AE4662)</f>
        <v>1.9778946304292333E-2</v>
      </c>
      <c r="AG18" s="95"/>
      <c r="AH18" s="40"/>
      <c r="AI18" s="40">
        <f>MIN(AH42:AH4662)</f>
        <v>0.38773100816266037</v>
      </c>
      <c r="AJ18" s="95"/>
      <c r="AK18" s="40"/>
      <c r="AL18" s="40">
        <f>MIN(AK42:AK4662)</f>
        <v>0.34093275148708813</v>
      </c>
      <c r="AM18" s="95"/>
      <c r="AN18" s="40"/>
      <c r="AO18" s="40">
        <f>MIN(AN42:AN4662)</f>
        <v>1.3454785440413843</v>
      </c>
      <c r="AP18" s="95"/>
      <c r="AQ18" s="40"/>
      <c r="AR18" s="40">
        <f>MIN(AQ42:AQ4662)</f>
        <v>2.339760762627094</v>
      </c>
      <c r="AS18" s="95"/>
      <c r="AT18" s="40"/>
      <c r="AU18" s="40">
        <f>MIN(AT42:AT4662)</f>
        <v>0.43828783712996255</v>
      </c>
      <c r="AV18" s="39"/>
    </row>
    <row r="19" spans="1:48" ht="12.75" customHeight="1" x14ac:dyDescent="0.35">
      <c r="A19" s="377"/>
      <c r="B19" s="378"/>
      <c r="C19" s="378"/>
      <c r="D19" s="135"/>
      <c r="E19" s="128"/>
      <c r="F19" s="128"/>
      <c r="G19" s="119"/>
      <c r="H19" s="190"/>
      <c r="J19" s="61"/>
      <c r="M19" s="196" t="str">
        <f>IF(P_2_maxQ&lt;P_2_minQ,"ERROR! P2 must be constant or increasing with increasing flow","")</f>
        <v/>
      </c>
      <c r="N19" s="182"/>
      <c r="O19" s="91" t="s">
        <v>227</v>
      </c>
      <c r="P19" s="60"/>
      <c r="Q19" s="92" t="s">
        <v>225</v>
      </c>
      <c r="R19" s="93">
        <f>R_dn*Q_min^2</f>
        <v>4.322863897331982E-2</v>
      </c>
      <c r="S19" s="96" t="s">
        <v>251</v>
      </c>
      <c r="T19" s="97">
        <f>VLOOKUP(T18,S42:T4662,2,FALSE)</f>
        <v>28.256665085591433</v>
      </c>
      <c r="U19" s="44"/>
      <c r="V19" s="98"/>
      <c r="W19" s="97">
        <f>VLOOKUP(W18,V42:W4662,2,FALSE)</f>
        <v>67.826873252796943</v>
      </c>
      <c r="X19" s="44"/>
      <c r="Y19" s="98"/>
      <c r="Z19" s="97">
        <f>VLOOKUP(Z18,Y42:Z4662,2,FALSE)</f>
        <v>129.50635878653966</v>
      </c>
      <c r="AA19" s="44"/>
      <c r="AB19" s="98"/>
      <c r="AC19" s="98">
        <f>VLOOKUP(AC18,AB42:AC4662,2,FALSE)</f>
        <v>212.99027879147425</v>
      </c>
      <c r="AD19" s="95"/>
      <c r="AE19" s="98"/>
      <c r="AF19" s="98">
        <f>VLOOKUP(AF18,AE42:AF4662,2,FALSE)</f>
        <v>317.11350169947065</v>
      </c>
      <c r="AG19" s="95"/>
      <c r="AH19" s="98"/>
      <c r="AI19" s="98">
        <f>VLOOKUP(AI18,AH42:AI4662,2,FALSE)</f>
        <v>423.18919732975365</v>
      </c>
      <c r="AJ19" s="95"/>
      <c r="AK19" s="98"/>
      <c r="AL19" s="98">
        <f>VLOOKUP(AL18,AK42:AL4662,2,FALSE)</f>
        <v>516.37124359534027</v>
      </c>
      <c r="AM19" s="95"/>
      <c r="AN19" s="98"/>
      <c r="AO19" s="98">
        <f>VLOOKUP(AO18,AN42:AO4662,2,FALSE)</f>
        <v>599.49098325998943</v>
      </c>
      <c r="AP19" s="95"/>
      <c r="AQ19" s="98"/>
      <c r="AR19" s="98">
        <f>VLOOKUP(AR18,AQ42:AR4662,2,FALSE)</f>
        <v>682.27665972853958</v>
      </c>
      <c r="AS19" s="95"/>
      <c r="AT19" s="98"/>
      <c r="AU19" s="98">
        <f>VLOOKUP(AU18,AT42:AU4662,2,FALSE)</f>
        <v>746.19593464138279</v>
      </c>
      <c r="AV19" s="39"/>
    </row>
    <row r="20" spans="1:48" ht="13.5" customHeight="1" thickBot="1" x14ac:dyDescent="0.3">
      <c r="A20" s="128"/>
      <c r="B20" s="128"/>
      <c r="C20" s="128"/>
      <c r="D20" s="131"/>
      <c r="E20" s="128"/>
      <c r="F20" s="128"/>
      <c r="G20" s="119"/>
      <c r="H20" s="123" t="s">
        <v>294</v>
      </c>
      <c r="I20" s="193"/>
      <c r="J20" s="61"/>
      <c r="M20" s="212" t="str">
        <f>IFERROR(M36,"")</f>
        <v/>
      </c>
      <c r="N20" s="61"/>
      <c r="O20" s="60"/>
      <c r="P20" s="60"/>
      <c r="Q20" s="60"/>
      <c r="R20" s="60"/>
      <c r="S20" s="99" t="s">
        <v>265</v>
      </c>
      <c r="T20" s="100">
        <f>MATCH(T18,S42:S4662,0)+41</f>
        <v>2022</v>
      </c>
      <c r="U20" s="101"/>
      <c r="V20" s="102"/>
      <c r="W20" s="100">
        <f>MATCH(W18,V42:V4662,0)+41</f>
        <v>1010</v>
      </c>
      <c r="X20" s="101"/>
      <c r="Y20" s="102"/>
      <c r="Z20" s="100">
        <f>MATCH(Z18,Y42:Y4662,0)+41</f>
        <v>757</v>
      </c>
      <c r="AA20" s="101"/>
      <c r="AB20" s="102"/>
      <c r="AC20" s="102">
        <f>MATCH(AC18,AB42:AB4662,0)+41</f>
        <v>592</v>
      </c>
      <c r="AD20" s="103"/>
      <c r="AE20" s="102"/>
      <c r="AF20" s="102">
        <f>MATCH(AF18,AE42:AE4662,0)+41</f>
        <v>482</v>
      </c>
      <c r="AG20" s="103"/>
      <c r="AH20" s="102"/>
      <c r="AI20" s="102">
        <f>MATCH(AI18,AH42:AH4662,0)+41</f>
        <v>361</v>
      </c>
      <c r="AJ20" s="103"/>
      <c r="AK20" s="102"/>
      <c r="AL20" s="102">
        <f>MATCH(AL18,AK42:AK4662,0)+41</f>
        <v>262</v>
      </c>
      <c r="AM20" s="103"/>
      <c r="AN20" s="102"/>
      <c r="AO20" s="102">
        <f>MATCH(AO18,AN42:AN4662,0)+41</f>
        <v>207</v>
      </c>
      <c r="AP20" s="103"/>
      <c r="AQ20" s="102"/>
      <c r="AR20" s="102">
        <f>MATCH(AR18,AQ42:AQ4662,0)+41</f>
        <v>185</v>
      </c>
      <c r="AS20" s="103"/>
      <c r="AT20" s="102"/>
      <c r="AU20" s="102">
        <f>MATCH(AU18,AT42:AT4662,0)+41</f>
        <v>141</v>
      </c>
      <c r="AV20" s="39"/>
    </row>
    <row r="21" spans="1:48" ht="12.75" customHeight="1" thickTop="1" x14ac:dyDescent="0.35">
      <c r="A21" s="136"/>
      <c r="B21" s="128"/>
      <c r="C21" s="128"/>
      <c r="D21" s="128"/>
      <c r="E21" s="128"/>
      <c r="F21" s="128"/>
      <c r="G21" s="119"/>
      <c r="H21" s="193"/>
      <c r="I21" s="189" t="s">
        <v>293</v>
      </c>
      <c r="J21" s="168">
        <f>Q_max</f>
        <v>550</v>
      </c>
      <c r="L21" s="61"/>
      <c r="M21" s="61"/>
      <c r="N21" s="61"/>
      <c r="O21" s="61"/>
      <c r="P21" s="61"/>
      <c r="Q21" s="61"/>
      <c r="R21" s="104"/>
      <c r="S21" s="105"/>
      <c r="T21" s="106"/>
      <c r="U21" s="107"/>
      <c r="V21" s="108"/>
      <c r="W21" s="109"/>
      <c r="X21" s="107"/>
      <c r="Y21" s="108"/>
      <c r="Z21" s="109"/>
      <c r="AA21" s="107"/>
      <c r="AB21" s="108"/>
      <c r="AC21" s="110"/>
      <c r="AD21" s="111"/>
      <c r="AE21" s="108"/>
      <c r="AF21" s="110"/>
      <c r="AG21" s="111"/>
      <c r="AH21" s="108"/>
      <c r="AI21" s="110"/>
      <c r="AJ21" s="111"/>
      <c r="AK21" s="108"/>
      <c r="AL21" s="110"/>
      <c r="AM21" s="111"/>
      <c r="AN21" s="108"/>
      <c r="AO21" s="110"/>
      <c r="AP21" s="111"/>
      <c r="AQ21" s="108"/>
      <c r="AR21" s="110"/>
      <c r="AS21" s="111"/>
      <c r="AT21" s="108"/>
      <c r="AU21" s="110"/>
      <c r="AV21" s="83"/>
    </row>
    <row r="22" spans="1:48" ht="12.75" customHeight="1" x14ac:dyDescent="0.3">
      <c r="A22" s="136"/>
      <c r="B22" s="128"/>
      <c r="C22" s="128"/>
      <c r="D22" s="128"/>
      <c r="E22" s="128"/>
      <c r="F22" s="128"/>
      <c r="G22" s="119"/>
      <c r="H22" s="61"/>
      <c r="I22" s="61"/>
      <c r="J22" s="61"/>
      <c r="L22" s="201"/>
      <c r="N22" s="61"/>
      <c r="O22" s="8" t="s">
        <v>284</v>
      </c>
      <c r="P22" s="61"/>
      <c r="Q22" s="61"/>
      <c r="R22" s="55"/>
      <c r="S22" s="49"/>
      <c r="T22" s="77"/>
      <c r="U22" s="44"/>
      <c r="V22" s="113"/>
      <c r="W22" s="72"/>
      <c r="X22" s="44"/>
      <c r="Y22" s="113"/>
      <c r="Z22" s="72"/>
      <c r="AA22" s="44"/>
      <c r="AB22" s="113"/>
      <c r="AC22" s="61"/>
      <c r="AD22" s="95"/>
      <c r="AE22" s="113"/>
      <c r="AF22" s="61"/>
      <c r="AG22" s="95"/>
      <c r="AH22" s="113"/>
      <c r="AI22" s="61"/>
      <c r="AJ22" s="95"/>
      <c r="AK22" s="113"/>
      <c r="AL22" s="61"/>
      <c r="AM22" s="95"/>
      <c r="AN22" s="113"/>
      <c r="AO22" s="61"/>
      <c r="AP22" s="95"/>
      <c r="AQ22" s="113"/>
      <c r="AR22" s="61"/>
      <c r="AS22" s="95"/>
      <c r="AT22" s="113"/>
      <c r="AU22" s="61"/>
      <c r="AV22" s="39"/>
    </row>
    <row r="23" spans="1:48" ht="12.75" customHeight="1" x14ac:dyDescent="0.25">
      <c r="A23" s="131"/>
      <c r="B23" s="128"/>
      <c r="C23" s="137"/>
      <c r="D23" s="138"/>
      <c r="E23" s="139"/>
      <c r="F23" s="128"/>
      <c r="G23" s="119"/>
      <c r="H23" s="193"/>
      <c r="I23" s="193"/>
      <c r="J23" s="125"/>
      <c r="L23" s="201"/>
      <c r="M23" s="187"/>
      <c r="N23" s="61"/>
      <c r="O23" s="60" t="s">
        <v>255</v>
      </c>
      <c r="P23" s="60"/>
      <c r="Q23" s="60" t="s">
        <v>252</v>
      </c>
      <c r="R23" s="48">
        <f>B6</f>
        <v>5</v>
      </c>
      <c r="S23" s="49"/>
      <c r="T23" s="50"/>
      <c r="U23" s="48">
        <f>C6</f>
        <v>12</v>
      </c>
      <c r="V23" s="49"/>
      <c r="W23" s="50"/>
      <c r="X23" s="48">
        <f>D6</f>
        <v>23</v>
      </c>
      <c r="Y23" s="49"/>
      <c r="Z23" s="50"/>
      <c r="AA23" s="48">
        <f>E6</f>
        <v>39</v>
      </c>
      <c r="AB23" s="49"/>
      <c r="AC23" s="50"/>
      <c r="AD23" s="48">
        <f>F6</f>
        <v>61</v>
      </c>
      <c r="AE23" s="49"/>
      <c r="AF23" s="50"/>
      <c r="AG23" s="48">
        <f>G6</f>
        <v>88</v>
      </c>
      <c r="AH23" s="49"/>
      <c r="AI23" s="50"/>
      <c r="AJ23" s="48">
        <f>H6</f>
        <v>121</v>
      </c>
      <c r="AK23" s="49"/>
      <c r="AL23" s="50"/>
      <c r="AM23" s="48">
        <f>I6</f>
        <v>165</v>
      </c>
      <c r="AN23" s="49"/>
      <c r="AO23" s="50"/>
      <c r="AP23" s="48">
        <f>J6</f>
        <v>246</v>
      </c>
      <c r="AQ23" s="49"/>
      <c r="AR23" s="50"/>
      <c r="AS23" s="48">
        <f>K6</f>
        <v>420</v>
      </c>
      <c r="AT23" s="49"/>
      <c r="AU23" s="72"/>
    </row>
    <row r="24" spans="1:48" ht="12.75" customHeight="1" x14ac:dyDescent="0.25">
      <c r="A24" s="131"/>
      <c r="B24" s="128"/>
      <c r="C24" s="128"/>
      <c r="D24" s="128"/>
      <c r="E24" s="140"/>
      <c r="F24" s="128"/>
      <c r="G24" s="119"/>
      <c r="H24" s="193"/>
      <c r="I24" s="193"/>
      <c r="L24" s="201"/>
      <c r="M24" s="61"/>
      <c r="N24" s="61"/>
      <c r="O24" s="60"/>
      <c r="P24" s="60"/>
      <c r="Q24" s="60"/>
      <c r="R24" s="51"/>
      <c r="S24" s="49"/>
      <c r="T24" s="50"/>
      <c r="U24" s="51"/>
      <c r="V24" s="49"/>
      <c r="W24" s="50"/>
      <c r="X24" s="51"/>
      <c r="Y24" s="49"/>
      <c r="Z24" s="50"/>
      <c r="AA24" s="51"/>
      <c r="AB24" s="49"/>
      <c r="AC24" s="50"/>
      <c r="AD24" s="51"/>
      <c r="AE24" s="49"/>
      <c r="AF24" s="50"/>
      <c r="AG24" s="51"/>
      <c r="AH24" s="49"/>
      <c r="AI24" s="50"/>
      <c r="AJ24" s="51"/>
      <c r="AK24" s="49"/>
      <c r="AL24" s="50"/>
      <c r="AM24" s="51"/>
      <c r="AN24" s="49"/>
      <c r="AO24" s="50"/>
      <c r="AP24" s="51"/>
      <c r="AQ24" s="49"/>
      <c r="AR24" s="50"/>
      <c r="AS24" s="51"/>
      <c r="AT24" s="49"/>
      <c r="AU24" s="72"/>
    </row>
    <row r="25" spans="1:48" ht="12.75" customHeight="1" x14ac:dyDescent="0.25">
      <c r="A25" s="119"/>
      <c r="B25" s="119"/>
      <c r="C25" s="119"/>
      <c r="D25" s="119"/>
      <c r="E25" s="119"/>
      <c r="F25" s="128"/>
      <c r="G25" s="119"/>
      <c r="H25" s="123" t="s">
        <v>295</v>
      </c>
      <c r="I25" s="193"/>
      <c r="J25" s="125"/>
      <c r="L25" s="201"/>
      <c r="N25" s="61"/>
      <c r="O25" s="61"/>
      <c r="P25" s="61"/>
      <c r="Q25" s="60"/>
      <c r="R25" s="52"/>
      <c r="S25" s="49"/>
      <c r="T25" s="50"/>
      <c r="U25" s="52"/>
      <c r="V25" s="49"/>
      <c r="W25" s="50"/>
      <c r="X25" s="52"/>
      <c r="Y25" s="49"/>
      <c r="Z25" s="50"/>
      <c r="AA25" s="52"/>
      <c r="AB25" s="49"/>
      <c r="AC25" s="50"/>
      <c r="AD25" s="52"/>
      <c r="AE25" s="49"/>
      <c r="AF25" s="50"/>
      <c r="AG25" s="52"/>
      <c r="AH25" s="49"/>
      <c r="AI25" s="50"/>
      <c r="AJ25" s="52"/>
      <c r="AK25" s="49"/>
      <c r="AL25" s="50"/>
      <c r="AM25" s="52"/>
      <c r="AN25" s="49"/>
      <c r="AO25" s="50"/>
      <c r="AP25" s="52"/>
      <c r="AQ25" s="49"/>
      <c r="AR25" s="50"/>
      <c r="AS25" s="52"/>
      <c r="AT25" s="49"/>
      <c r="AU25" s="72"/>
    </row>
    <row r="26" spans="1:48" ht="12.75" customHeight="1" x14ac:dyDescent="0.3">
      <c r="A26" s="119"/>
      <c r="B26" s="119"/>
      <c r="C26" s="119"/>
      <c r="D26" s="119"/>
      <c r="E26" s="119"/>
      <c r="F26" s="119"/>
      <c r="G26" s="119"/>
      <c r="H26" s="193"/>
      <c r="I26" s="189" t="s">
        <v>293</v>
      </c>
      <c r="J26" s="121">
        <f>Q_min</f>
        <v>80</v>
      </c>
      <c r="M26" s="61"/>
      <c r="N26" s="61"/>
      <c r="O26" s="112" t="s">
        <v>285</v>
      </c>
      <c r="P26" s="61"/>
      <c r="Q26" s="60"/>
      <c r="R26" s="52"/>
      <c r="S26" s="49"/>
      <c r="T26" s="50"/>
      <c r="U26" s="52"/>
      <c r="V26" s="49"/>
      <c r="W26" s="50"/>
      <c r="X26" s="52"/>
      <c r="Y26" s="49"/>
      <c r="Z26" s="50"/>
      <c r="AA26" s="52"/>
      <c r="AB26" s="49"/>
      <c r="AC26" s="50"/>
      <c r="AD26" s="52"/>
      <c r="AE26" s="49"/>
      <c r="AF26" s="50"/>
      <c r="AG26" s="52"/>
      <c r="AH26" s="49"/>
      <c r="AI26" s="50"/>
      <c r="AJ26" s="52"/>
      <c r="AK26" s="49"/>
      <c r="AL26" s="50"/>
      <c r="AM26" s="52"/>
      <c r="AN26" s="49"/>
      <c r="AO26" s="50"/>
      <c r="AP26" s="52"/>
      <c r="AQ26" s="49"/>
      <c r="AR26" s="50"/>
      <c r="AS26" s="52"/>
      <c r="AT26" s="49"/>
      <c r="AU26" s="72"/>
    </row>
    <row r="27" spans="1:48" ht="12.75" customHeight="1" x14ac:dyDescent="0.25">
      <c r="A27" s="119"/>
      <c r="B27" s="119"/>
      <c r="C27" s="119"/>
      <c r="D27" s="119"/>
      <c r="E27" s="119"/>
      <c r="F27" s="119"/>
      <c r="G27" s="119"/>
      <c r="J27" s="61"/>
      <c r="L27" s="61"/>
      <c r="M27" s="61"/>
      <c r="N27" s="61"/>
      <c r="O27" s="60" t="s">
        <v>260</v>
      </c>
      <c r="P27" s="60">
        <v>15</v>
      </c>
      <c r="Q27" s="60" t="s">
        <v>262</v>
      </c>
      <c r="R27" s="53">
        <f>1/(SQRT(1+(SIGMA_ZETA/N_2)*(C_h/d^2)^2))</f>
        <v>0.99985373060023852</v>
      </c>
      <c r="S27" s="49"/>
      <c r="T27" s="50"/>
      <c r="U27" s="53">
        <f>1/(SQRT(1+(SIGMA_ZETA/N_2)*(U23/d^2)^2))</f>
        <v>0.99915836708332639</v>
      </c>
      <c r="V27" s="49"/>
      <c r="W27" s="50"/>
      <c r="X27" s="53">
        <f>1/(SQRT(1+(SIGMA_ZETA/N_2)*(X23/d^2)^2))</f>
        <v>0.996918561934801</v>
      </c>
      <c r="Y27" s="49"/>
      <c r="Z27" s="50"/>
      <c r="AA27" s="53">
        <f>1/(SQRT(1+(SIGMA_ZETA/N_2)*(AA23/d^2)^2))</f>
        <v>0.99121612212769239</v>
      </c>
      <c r="AB27" s="49"/>
      <c r="AC27" s="50"/>
      <c r="AD27" s="53">
        <f>1/(SQRT(1+(SIGMA_ZETA/N_2)*(AD23/d^2)^2))</f>
        <v>0.97891087779046448</v>
      </c>
      <c r="AE27" s="49"/>
      <c r="AF27" s="50"/>
      <c r="AG27" s="53">
        <f>1/(SQRT(1+(SIGMA_ZETA/N_2)*(AG23/d^2)^2))</f>
        <v>0.95754665912194814</v>
      </c>
      <c r="AH27" s="49"/>
      <c r="AI27" s="50"/>
      <c r="AJ27" s="53">
        <f>1/(SQRT(1+(SIGMA_ZETA/N_2)*(AJ23/d^2)^2))</f>
        <v>0.92396347120335021</v>
      </c>
      <c r="AK27" s="49"/>
      <c r="AL27" s="50"/>
      <c r="AM27" s="53">
        <f>1/(SQRT(1+(SIGMA_ZETA/N_2)*(AM23/d^2)^2))</f>
        <v>0.87083546868902117</v>
      </c>
      <c r="AN27" s="49"/>
      <c r="AO27" s="50"/>
      <c r="AP27" s="53">
        <f>1/(SQRT(1+(SIGMA_ZETA/N_2)*(AP23/d^2)^2))</f>
        <v>0.76510253947679263</v>
      </c>
      <c r="AQ27" s="49"/>
      <c r="AR27" s="50"/>
      <c r="AS27" s="53">
        <f>1/(SQRT(1+(SIGMA_ZETA/N_2)*(AS23/d^2)^2))</f>
        <v>0.57123212545768454</v>
      </c>
      <c r="AT27" s="49"/>
      <c r="AU27" s="72"/>
    </row>
    <row r="28" spans="1:48" ht="12.75" customHeight="1" x14ac:dyDescent="0.25">
      <c r="A28" s="119"/>
      <c r="B28" s="119"/>
      <c r="C28" s="119"/>
      <c r="D28" s="119"/>
      <c r="E28" s="119"/>
      <c r="F28" s="119"/>
      <c r="G28" s="119"/>
      <c r="J28" s="61"/>
      <c r="K28" s="61"/>
      <c r="M28" s="61"/>
      <c r="N28" s="61"/>
      <c r="O28" s="60" t="s">
        <v>228</v>
      </c>
      <c r="P28" s="60"/>
      <c r="Q28" s="60"/>
      <c r="R28" s="48"/>
      <c r="S28" s="49"/>
      <c r="T28" s="50"/>
      <c r="U28" s="48"/>
      <c r="V28" s="49"/>
      <c r="W28" s="50"/>
      <c r="X28" s="48"/>
      <c r="Y28" s="49"/>
      <c r="Z28" s="50"/>
      <c r="AA28" s="48"/>
      <c r="AB28" s="49"/>
      <c r="AC28" s="50"/>
      <c r="AD28" s="48"/>
      <c r="AE28" s="49"/>
      <c r="AF28" s="50"/>
      <c r="AG28" s="48"/>
      <c r="AH28" s="49"/>
      <c r="AI28" s="50"/>
      <c r="AJ28" s="48"/>
      <c r="AK28" s="49"/>
      <c r="AL28" s="50"/>
      <c r="AM28" s="48"/>
      <c r="AN28" s="49"/>
      <c r="AO28" s="50"/>
      <c r="AP28" s="48"/>
      <c r="AQ28" s="49"/>
      <c r="AR28" s="50"/>
      <c r="AS28" s="48"/>
      <c r="AT28" s="49"/>
      <c r="AU28" s="72"/>
    </row>
    <row r="29" spans="1:48" ht="12.75" customHeight="1" x14ac:dyDescent="0.3">
      <c r="A29" s="119"/>
      <c r="B29" s="119"/>
      <c r="C29" s="119"/>
      <c r="D29" s="119"/>
      <c r="E29" s="119"/>
      <c r="F29" s="119"/>
      <c r="G29" s="119"/>
      <c r="I29" s="189" t="s">
        <v>286</v>
      </c>
      <c r="J29" s="61" t="str">
        <f>'Valve Sizing'!B3</f>
        <v>gpm</v>
      </c>
      <c r="K29" s="61"/>
      <c r="L29" s="61"/>
      <c r="M29" s="61"/>
      <c r="N29" s="61"/>
      <c r="O29" s="60" t="s">
        <v>261</v>
      </c>
      <c r="P29" s="60">
        <v>21</v>
      </c>
      <c r="Q29" s="60" t="s">
        <v>263</v>
      </c>
      <c r="R29" s="53">
        <f>B7/SQRT(1+((B7^2/N_2)*SIGMA_ZETA_1*(C_h/d^2)^2))</f>
        <v>0.9098407938608285</v>
      </c>
      <c r="S29" s="54"/>
      <c r="T29" s="50"/>
      <c r="U29" s="53">
        <f>C7/SQRT(1+((C7^2/N_2)*SIGMA_ZETA_1*(U23/d^2)^2))</f>
        <v>0.90908411649428189</v>
      </c>
      <c r="V29" s="54"/>
      <c r="W29" s="50"/>
      <c r="X29" s="53">
        <f>D7/SQRT(1+((D7^2/N_2)*SIGMA_ZETA_1*(X23/d^2)^2))</f>
        <v>0.89675779049956539</v>
      </c>
      <c r="Y29" s="54"/>
      <c r="Z29" s="50"/>
      <c r="AA29" s="53">
        <f>E7/SQRT(1+((E7^2/N_2)*SIGMA_ZETA_1*(AA23/d^2)^2))</f>
        <v>0.87136704944896348</v>
      </c>
      <c r="AB29" s="54"/>
      <c r="AC29" s="50"/>
      <c r="AD29" s="53">
        <f>F7/SQRT(1+((F7^2/N_2)*SIGMA_ZETA_1*(AD23/d^2)^2))</f>
        <v>0.83131807229177079</v>
      </c>
      <c r="AE29" s="54"/>
      <c r="AF29" s="50"/>
      <c r="AG29" s="53">
        <f>G7/SQRT(1+((G7^2/N_2)*SIGMA_ZETA_1*(AG23/d^2)^2))</f>
        <v>0.76845368622797428</v>
      </c>
      <c r="AH29" s="54"/>
      <c r="AI29" s="50"/>
      <c r="AJ29" s="53">
        <f>H7/SQRT(1+((H7^2/N_2)*SIGMA_ZETA_1*(AJ23/d^2)^2))</f>
        <v>0.70267670156318451</v>
      </c>
      <c r="AK29" s="54"/>
      <c r="AL29" s="50"/>
      <c r="AM29" s="53">
        <f>I7/SQRT(1+((I7^2/N_2)*SIGMA_ZETA_1*(AM23/d^2)^2))</f>
        <v>0.60237153499708873</v>
      </c>
      <c r="AN29" s="54"/>
      <c r="AO29" s="50"/>
      <c r="AP29" s="53">
        <f>J7/SQRT(1+((J7^2/N_2)*SIGMA_ZETA_1*(AP23/d^2)^2))</f>
        <v>0.48063229227500137</v>
      </c>
      <c r="AQ29" s="54"/>
      <c r="AR29" s="50"/>
      <c r="AS29" s="53">
        <f>K7/SQRT(1+((K7^2/N_2)*SIGMA_ZETA_1*(AS23/d^2)^2))</f>
        <v>0.35033848069396906</v>
      </c>
      <c r="AT29" s="54"/>
      <c r="AU29" s="72"/>
    </row>
    <row r="30" spans="1:48" ht="12.75" customHeight="1" x14ac:dyDescent="0.25">
      <c r="A30" s="119"/>
      <c r="B30" s="119"/>
      <c r="C30" s="119"/>
      <c r="D30" s="119"/>
      <c r="E30" s="119"/>
      <c r="F30" s="119"/>
      <c r="G30" s="119"/>
      <c r="H30" s="141"/>
      <c r="I30" s="61"/>
      <c r="J30" s="61"/>
      <c r="K30" s="61"/>
      <c r="L30" s="61"/>
      <c r="M30" s="61"/>
      <c r="N30" s="61"/>
      <c r="O30" s="61"/>
      <c r="P30" s="61"/>
      <c r="Q30" s="61"/>
      <c r="R30" s="55"/>
      <c r="S30" s="56"/>
      <c r="T30" s="57"/>
      <c r="U30" s="55"/>
      <c r="V30" s="56"/>
      <c r="W30" s="57"/>
      <c r="X30" s="55"/>
      <c r="Y30" s="56"/>
      <c r="Z30" s="57"/>
      <c r="AA30" s="55"/>
      <c r="AB30" s="56"/>
      <c r="AC30" s="57"/>
      <c r="AD30" s="55"/>
      <c r="AE30" s="56"/>
      <c r="AF30" s="57"/>
      <c r="AG30" s="55"/>
      <c r="AH30" s="56"/>
      <c r="AI30" s="57"/>
      <c r="AJ30" s="55"/>
      <c r="AK30" s="56"/>
      <c r="AL30" s="57"/>
      <c r="AM30" s="55"/>
      <c r="AN30" s="56"/>
      <c r="AO30" s="57"/>
      <c r="AP30" s="55"/>
      <c r="AQ30" s="56"/>
      <c r="AR30" s="57"/>
      <c r="AS30" s="55"/>
      <c r="AT30" s="56"/>
      <c r="AU30" s="77"/>
    </row>
    <row r="31" spans="1:48" ht="12.75" customHeight="1" x14ac:dyDescent="0.3">
      <c r="H31" s="114"/>
      <c r="I31" s="61"/>
      <c r="J31" s="61"/>
      <c r="K31" s="61"/>
      <c r="L31" s="61"/>
      <c r="M31" s="61"/>
      <c r="N31" s="61"/>
      <c r="O31" s="9" t="s">
        <v>248</v>
      </c>
      <c r="P31" s="61"/>
      <c r="Q31" s="61"/>
      <c r="R31" s="24"/>
      <c r="S31" s="56"/>
      <c r="T31" s="50"/>
      <c r="U31" s="24"/>
      <c r="V31" s="56"/>
      <c r="W31" s="50"/>
      <c r="X31" s="24"/>
      <c r="Y31" s="56"/>
      <c r="Z31" s="50"/>
      <c r="AA31" s="24"/>
      <c r="AB31" s="56"/>
      <c r="AC31" s="50"/>
      <c r="AD31" s="24"/>
      <c r="AE31" s="56"/>
      <c r="AF31" s="50"/>
      <c r="AG31" s="24"/>
      <c r="AH31" s="56"/>
      <c r="AI31" s="50"/>
      <c r="AJ31" s="24"/>
      <c r="AK31" s="56"/>
      <c r="AL31" s="50"/>
      <c r="AM31" s="24"/>
      <c r="AN31" s="56"/>
      <c r="AO31" s="50"/>
      <c r="AP31" s="24"/>
      <c r="AQ31" s="56"/>
      <c r="AR31" s="50"/>
      <c r="AS31" s="24"/>
      <c r="AT31" s="56"/>
      <c r="AU31" s="72"/>
    </row>
    <row r="32" spans="1:48" ht="12.75" customHeight="1" x14ac:dyDescent="0.25">
      <c r="H32" s="114"/>
      <c r="I32" s="61"/>
      <c r="J32" s="61"/>
      <c r="K32" s="61"/>
      <c r="L32" s="61"/>
      <c r="M32" s="61"/>
      <c r="N32" s="61"/>
      <c r="O32" s="60"/>
      <c r="P32" s="60"/>
      <c r="Q32" s="60"/>
      <c r="R32" s="48"/>
      <c r="S32" s="56"/>
      <c r="T32" s="57"/>
      <c r="U32" s="48"/>
      <c r="V32" s="56"/>
      <c r="W32" s="57"/>
      <c r="X32" s="48"/>
      <c r="Y32" s="56"/>
      <c r="Z32" s="57"/>
      <c r="AA32" s="48"/>
      <c r="AB32" s="56"/>
      <c r="AC32" s="57"/>
      <c r="AD32" s="48"/>
      <c r="AE32" s="56"/>
      <c r="AF32" s="57"/>
      <c r="AG32" s="48"/>
      <c r="AH32" s="56"/>
      <c r="AI32" s="57"/>
      <c r="AJ32" s="48"/>
      <c r="AK32" s="56"/>
      <c r="AL32" s="57"/>
      <c r="AM32" s="48"/>
      <c r="AN32" s="56"/>
      <c r="AO32" s="57"/>
      <c r="AP32" s="48"/>
      <c r="AQ32" s="56"/>
      <c r="AR32" s="57"/>
      <c r="AS32" s="48"/>
      <c r="AT32" s="56"/>
      <c r="AU32" s="77"/>
    </row>
    <row r="33" spans="1:48" ht="14.5" thickBot="1" x14ac:dyDescent="0.35">
      <c r="H33" s="114"/>
      <c r="I33" s="61"/>
      <c r="J33" s="61"/>
      <c r="K33" s="61"/>
      <c r="L33" s="61"/>
      <c r="M33" s="61"/>
      <c r="N33" s="61"/>
      <c r="O33" s="112" t="s">
        <v>229</v>
      </c>
      <c r="P33" s="60"/>
      <c r="Q33" s="60" t="s">
        <v>230</v>
      </c>
      <c r="R33" s="53">
        <f>Q_min/100</f>
        <v>0.8</v>
      </c>
      <c r="S33" s="58" t="s">
        <v>238</v>
      </c>
      <c r="T33" s="59" t="s">
        <v>241</v>
      </c>
      <c r="U33" s="53">
        <f>T19</f>
        <v>28.256665085591433</v>
      </c>
      <c r="V33" s="58" t="s">
        <v>238</v>
      </c>
      <c r="W33" s="59" t="s">
        <v>241</v>
      </c>
      <c r="X33" s="53">
        <f>W19</f>
        <v>67.826873252796943</v>
      </c>
      <c r="Y33" s="58" t="s">
        <v>238</v>
      </c>
      <c r="Z33" s="59" t="s">
        <v>241</v>
      </c>
      <c r="AA33" s="53">
        <f>Z19</f>
        <v>129.50635878653966</v>
      </c>
      <c r="AB33" s="58" t="s">
        <v>238</v>
      </c>
      <c r="AC33" s="59" t="s">
        <v>241</v>
      </c>
      <c r="AD33" s="53">
        <f>AC19</f>
        <v>212.99027879147425</v>
      </c>
      <c r="AE33" s="58" t="s">
        <v>238</v>
      </c>
      <c r="AF33" s="59" t="s">
        <v>241</v>
      </c>
      <c r="AG33" s="53">
        <f>AF19</f>
        <v>317.11350169947065</v>
      </c>
      <c r="AH33" s="58" t="s">
        <v>238</v>
      </c>
      <c r="AI33" s="59" t="s">
        <v>241</v>
      </c>
      <c r="AJ33" s="53">
        <f>AI19</f>
        <v>423.18919732975365</v>
      </c>
      <c r="AK33" s="58" t="s">
        <v>238</v>
      </c>
      <c r="AL33" s="59" t="s">
        <v>241</v>
      </c>
      <c r="AM33" s="53">
        <f>AL19</f>
        <v>516.37124359534027</v>
      </c>
      <c r="AN33" s="58" t="s">
        <v>238</v>
      </c>
      <c r="AO33" s="59" t="s">
        <v>241</v>
      </c>
      <c r="AP33" s="53">
        <f>AO19</f>
        <v>599.49098325998943</v>
      </c>
      <c r="AQ33" s="58" t="s">
        <v>238</v>
      </c>
      <c r="AR33" s="59" t="s">
        <v>241</v>
      </c>
      <c r="AS33" s="53">
        <f>AR19</f>
        <v>682.27665972853958</v>
      </c>
      <c r="AT33" s="58" t="s">
        <v>238</v>
      </c>
      <c r="AU33" s="73" t="s">
        <v>241</v>
      </c>
    </row>
    <row r="34" spans="1:48" ht="14.5" thickTop="1" x14ac:dyDescent="0.3">
      <c r="A34" s="171" t="s">
        <v>266</v>
      </c>
      <c r="B34" s="172">
        <v>0</v>
      </c>
      <c r="C34" s="172">
        <v>0.1</v>
      </c>
      <c r="D34" s="172">
        <v>0.2</v>
      </c>
      <c r="E34" s="172">
        <v>0.3</v>
      </c>
      <c r="F34" s="172">
        <v>0.4</v>
      </c>
      <c r="G34" s="172">
        <v>0.5</v>
      </c>
      <c r="H34" s="172">
        <v>0.6</v>
      </c>
      <c r="I34" s="173">
        <v>0.7</v>
      </c>
      <c r="J34" s="173">
        <v>0.8</v>
      </c>
      <c r="K34" s="173">
        <v>0.9</v>
      </c>
      <c r="L34" s="185">
        <v>1</v>
      </c>
      <c r="M34" s="6" t="s">
        <v>308</v>
      </c>
      <c r="N34" s="61"/>
      <c r="O34" s="60"/>
      <c r="P34" s="60"/>
      <c r="Q34" s="60"/>
      <c r="R34" s="62"/>
      <c r="S34" s="63" t="s">
        <v>250</v>
      </c>
      <c r="T34" s="71" t="s">
        <v>242</v>
      </c>
      <c r="U34" s="61"/>
      <c r="V34" s="63" t="s">
        <v>250</v>
      </c>
      <c r="W34" s="71" t="s">
        <v>242</v>
      </c>
      <c r="X34" s="61"/>
      <c r="Y34" s="63" t="s">
        <v>250</v>
      </c>
      <c r="Z34" s="71" t="s">
        <v>242</v>
      </c>
      <c r="AA34" s="61"/>
      <c r="AB34" s="63" t="s">
        <v>250</v>
      </c>
      <c r="AC34" s="71" t="s">
        <v>242</v>
      </c>
      <c r="AD34" s="61"/>
      <c r="AE34" s="63" t="s">
        <v>250</v>
      </c>
      <c r="AF34" s="71" t="s">
        <v>242</v>
      </c>
      <c r="AG34" s="61"/>
      <c r="AH34" s="63" t="s">
        <v>250</v>
      </c>
      <c r="AI34" s="71" t="s">
        <v>242</v>
      </c>
      <c r="AJ34" s="61"/>
      <c r="AK34" s="63" t="s">
        <v>250</v>
      </c>
      <c r="AL34" s="71" t="s">
        <v>242</v>
      </c>
      <c r="AM34" s="61"/>
      <c r="AN34" s="63" t="s">
        <v>250</v>
      </c>
      <c r="AO34" s="71" t="s">
        <v>242</v>
      </c>
      <c r="AP34" s="61"/>
      <c r="AQ34" s="63" t="s">
        <v>250</v>
      </c>
      <c r="AR34" s="71" t="s">
        <v>242</v>
      </c>
      <c r="AS34" s="61"/>
      <c r="AT34" s="63" t="s">
        <v>250</v>
      </c>
      <c r="AU34" s="71" t="s">
        <v>242</v>
      </c>
    </row>
    <row r="35" spans="1:48" x14ac:dyDescent="0.25">
      <c r="A35" s="174" t="s">
        <v>267</v>
      </c>
      <c r="B35" s="175">
        <v>0</v>
      </c>
      <c r="C35" s="175">
        <f>T19/Qf</f>
        <v>3.7867621322771494E-2</v>
      </c>
      <c r="D35" s="175">
        <f>W19/Qf</f>
        <v>9.0896867838598086E-2</v>
      </c>
      <c r="E35" s="175">
        <f>Z19/Qf</f>
        <v>0.17355543333103204</v>
      </c>
      <c r="F35" s="175">
        <f>AC19/Qf</f>
        <v>0.28543478851011977</v>
      </c>
      <c r="G35" s="175">
        <f>AF19/Qf</f>
        <v>0.42497350491714142</v>
      </c>
      <c r="H35" s="175">
        <f>AI19/Qf</f>
        <v>0.56712878975028969</v>
      </c>
      <c r="I35" s="175">
        <f>AL19/Qf</f>
        <v>0.69200490062104825</v>
      </c>
      <c r="J35" s="175">
        <f>AO19/Qf</f>
        <v>0.80339620658493827</v>
      </c>
      <c r="K35" s="175">
        <f>AR19/Qf</f>
        <v>0.914339824239913</v>
      </c>
      <c r="L35" s="176">
        <f>AU19/Qf</f>
        <v>1</v>
      </c>
      <c r="M35" s="6" t="s">
        <v>309</v>
      </c>
      <c r="N35" s="61"/>
      <c r="O35" s="60" t="s">
        <v>231</v>
      </c>
      <c r="P35" s="60"/>
      <c r="Q35" s="60" t="s">
        <v>232</v>
      </c>
      <c r="R35" s="53">
        <f>P_1_minQ-(Q_i^2*R_up)+dpup_minQ</f>
        <v>56.916121580547113</v>
      </c>
      <c r="S35" s="56"/>
      <c r="T35" s="72"/>
      <c r="U35" s="53">
        <f>P_1_minQ-(U33^2*R_up)+dpup_minQ</f>
        <v>56.8891780100723</v>
      </c>
      <c r="V35" s="61"/>
      <c r="W35" s="72"/>
      <c r="X35" s="53">
        <f>P_1_minQ-(X33^2*R_up)+dpup_minQ</f>
        <v>56.760773902895949</v>
      </c>
      <c r="Y35" s="61"/>
      <c r="Z35" s="72"/>
      <c r="AA35" s="53">
        <f>P_1_minQ-(AA33^2*R_up)+dpup_minQ</f>
        <v>56.349716414517125</v>
      </c>
      <c r="AB35" s="61"/>
      <c r="AC35" s="72"/>
      <c r="AD35" s="53">
        <f>P_1_minQ-(AD33^2*R_up)+dpup_minQ</f>
        <v>55.384064206022629</v>
      </c>
      <c r="AE35" s="61"/>
      <c r="AF35" s="72"/>
      <c r="AG35" s="53">
        <f>P_1_minQ-(AG33^2*R_up)+dpup_minQ</f>
        <v>53.519960386352579</v>
      </c>
      <c r="AH35" s="61"/>
      <c r="AI35" s="72"/>
      <c r="AJ35" s="53">
        <f>P_1_minQ-(AJ33^2*R_up)+dpup_minQ</f>
        <v>50.867879205113098</v>
      </c>
      <c r="AK35" s="61"/>
      <c r="AL35" s="72"/>
      <c r="AM35" s="53">
        <f>P_1_minQ-(AM33^2*R_up)+dpup_minQ</f>
        <v>47.911102289355007</v>
      </c>
      <c r="AN35" s="61"/>
      <c r="AO35" s="72"/>
      <c r="AP35" s="53">
        <f>P_1_minQ-(AP33^2*R_up)+dpup_minQ</f>
        <v>44.778708577844341</v>
      </c>
      <c r="AQ35" s="61"/>
      <c r="AR35" s="72"/>
      <c r="AS35" s="53">
        <f>P_1_minQ-(AS33^2*R_up)+dpup_minQ</f>
        <v>41.195054359664525</v>
      </c>
      <c r="AT35" s="61"/>
      <c r="AU35" s="72"/>
    </row>
    <row r="36" spans="1:48" x14ac:dyDescent="0.25">
      <c r="A36" s="163" t="s">
        <v>268</v>
      </c>
      <c r="B36" s="177">
        <f t="shared" ref="B36:K36" si="0">Q_min/Qf</f>
        <v>0.10721044739870837</v>
      </c>
      <c r="C36" s="177">
        <f t="shared" si="0"/>
        <v>0.10721044739870837</v>
      </c>
      <c r="D36" s="177">
        <f t="shared" si="0"/>
        <v>0.10721044739870837</v>
      </c>
      <c r="E36" s="177">
        <f t="shared" si="0"/>
        <v>0.10721044739870837</v>
      </c>
      <c r="F36" s="177">
        <f t="shared" si="0"/>
        <v>0.10721044739870837</v>
      </c>
      <c r="G36" s="177">
        <f t="shared" si="0"/>
        <v>0.10721044739870837</v>
      </c>
      <c r="H36" s="177">
        <f t="shared" si="0"/>
        <v>0.10721044739870837</v>
      </c>
      <c r="I36" s="177">
        <f t="shared" si="0"/>
        <v>0.10721044739870837</v>
      </c>
      <c r="J36" s="177">
        <f t="shared" si="0"/>
        <v>0.10721044739870837</v>
      </c>
      <c r="K36" s="177">
        <f t="shared" si="0"/>
        <v>0.10721044739870837</v>
      </c>
      <c r="L36" s="213">
        <f>Q_min/Qf</f>
        <v>0.10721044739870837</v>
      </c>
      <c r="M36" s="214" t="str">
        <f>IF(OR('Valve Sizing'!V807&lt;10000,'Valve Sizing'!S807&lt;10000),"NOTE! Flow is Non-turbulent. Graphs and Qf are only available for Turbulent flow.","")</f>
        <v/>
      </c>
      <c r="N36" s="61"/>
      <c r="O36" s="60" t="s">
        <v>233</v>
      </c>
      <c r="P36" s="60"/>
      <c r="Q36" s="60" t="s">
        <v>234</v>
      </c>
      <c r="R36" s="53">
        <f>P_2_minQ+(Q_i^2*R_dn)-dpdn_minQ</f>
        <v>24.656775683890579</v>
      </c>
      <c r="S36" s="49"/>
      <c r="T36" s="72"/>
      <c r="U36" s="53">
        <f>P_2_minQ+(U33^2*R_dn)-dpdn_minQ</f>
        <v>24.662164397985542</v>
      </c>
      <c r="V36" s="61"/>
      <c r="W36" s="72"/>
      <c r="X36" s="53">
        <f>P_2_minQ+(X33^2*R_dn)-dpdn_minQ</f>
        <v>24.687845219420812</v>
      </c>
      <c r="Y36" s="61"/>
      <c r="Z36" s="72"/>
      <c r="AA36" s="53">
        <f>P_2_minQ+(AA33^2*R_dn)-dpdn_minQ</f>
        <v>24.770056717096576</v>
      </c>
      <c r="AB36" s="61"/>
      <c r="AC36" s="72"/>
      <c r="AD36" s="53">
        <f>P_2_minQ+(AD33^2*R_dn)-dpdn_minQ</f>
        <v>24.963187158795474</v>
      </c>
      <c r="AE36" s="61"/>
      <c r="AF36" s="72"/>
      <c r="AG36" s="53">
        <f>P_2_minQ+(AG33^2*R_dn)-dpdn_minQ</f>
        <v>25.336007922729486</v>
      </c>
      <c r="AH36" s="61"/>
      <c r="AI36" s="72"/>
      <c r="AJ36" s="53">
        <f>P_2_minQ+(AJ33^2*R_dn)-dpdn_minQ</f>
        <v>25.866424158977381</v>
      </c>
      <c r="AK36" s="61"/>
      <c r="AL36" s="72"/>
      <c r="AM36" s="53">
        <f>P_2_minQ+(AM33^2*R_dn)-dpdn_minQ</f>
        <v>26.457779542129</v>
      </c>
      <c r="AN36" s="61"/>
      <c r="AO36" s="72"/>
      <c r="AP36" s="53">
        <f>P_2_minQ+(AP33^2*R_dn)-dpdn_minQ</f>
        <v>27.084258284431133</v>
      </c>
      <c r="AQ36" s="61"/>
      <c r="AR36" s="72"/>
      <c r="AS36" s="53">
        <f>P_2_minQ+(AS33^2*R_dn)-dpdn_minQ</f>
        <v>27.800989128067098</v>
      </c>
      <c r="AT36" s="61"/>
      <c r="AU36" s="72"/>
    </row>
    <row r="37" spans="1:48" ht="13.5" thickBot="1" x14ac:dyDescent="0.3">
      <c r="A37" s="178" t="s">
        <v>269</v>
      </c>
      <c r="B37" s="179">
        <f t="shared" ref="B37:K37" si="1">Q_max/Qf</f>
        <v>0.73707182586612008</v>
      </c>
      <c r="C37" s="179">
        <f t="shared" si="1"/>
        <v>0.73707182586612008</v>
      </c>
      <c r="D37" s="179">
        <f t="shared" si="1"/>
        <v>0.73707182586612008</v>
      </c>
      <c r="E37" s="179">
        <f t="shared" si="1"/>
        <v>0.73707182586612008</v>
      </c>
      <c r="F37" s="179">
        <f t="shared" si="1"/>
        <v>0.73707182586612008</v>
      </c>
      <c r="G37" s="179">
        <f t="shared" si="1"/>
        <v>0.73707182586612008</v>
      </c>
      <c r="H37" s="179">
        <f t="shared" si="1"/>
        <v>0.73707182586612008</v>
      </c>
      <c r="I37" s="179">
        <f t="shared" si="1"/>
        <v>0.73707182586612008</v>
      </c>
      <c r="J37" s="179">
        <f t="shared" si="1"/>
        <v>0.73707182586612008</v>
      </c>
      <c r="K37" s="179">
        <f t="shared" si="1"/>
        <v>0.73707182586612008</v>
      </c>
      <c r="L37" s="186">
        <f>Q_max/Qf</f>
        <v>0.73707182586612008</v>
      </c>
      <c r="M37" s="61"/>
      <c r="N37" s="61"/>
      <c r="O37" s="60" t="s">
        <v>243</v>
      </c>
      <c r="P37" s="61"/>
      <c r="Q37" s="60" t="s">
        <v>244</v>
      </c>
      <c r="R37" s="64">
        <f>P1_Qi-P2_Qi</f>
        <v>32.259345896656534</v>
      </c>
      <c r="S37" s="58"/>
      <c r="T37" s="73"/>
      <c r="U37" s="64">
        <f>U35-U36</f>
        <v>32.227013612086758</v>
      </c>
      <c r="V37" s="41"/>
      <c r="W37" s="73"/>
      <c r="X37" s="64">
        <f>X35-X36</f>
        <v>32.072928683475141</v>
      </c>
      <c r="Y37" s="41"/>
      <c r="Z37" s="73"/>
      <c r="AA37" s="64">
        <f>AA35-AA36</f>
        <v>31.579659697420549</v>
      </c>
      <c r="AB37" s="41"/>
      <c r="AC37" s="73"/>
      <c r="AD37" s="64">
        <f>AD35-AD36</f>
        <v>30.420877047227155</v>
      </c>
      <c r="AE37" s="41"/>
      <c r="AF37" s="73"/>
      <c r="AG37" s="64">
        <f>AG35-AG36</f>
        <v>28.183952463623093</v>
      </c>
      <c r="AH37" s="41"/>
      <c r="AI37" s="73"/>
      <c r="AJ37" s="64">
        <f>AJ35-AJ36</f>
        <v>25.001455046135717</v>
      </c>
      <c r="AK37" s="41"/>
      <c r="AL37" s="73"/>
      <c r="AM37" s="64">
        <f>AM35-AM36</f>
        <v>21.453322747226007</v>
      </c>
      <c r="AN37" s="41"/>
      <c r="AO37" s="73"/>
      <c r="AP37" s="64">
        <f>AP35-AP36</f>
        <v>17.694450293413208</v>
      </c>
      <c r="AQ37" s="41"/>
      <c r="AR37" s="73"/>
      <c r="AS37" s="64">
        <f>AS35-AS36</f>
        <v>13.394065231597427</v>
      </c>
      <c r="AT37" s="41"/>
      <c r="AU37" s="73"/>
    </row>
    <row r="38" spans="1:48" ht="13.5" thickTop="1" x14ac:dyDescent="0.25">
      <c r="L38" s="61"/>
      <c r="M38" s="61"/>
      <c r="N38" s="61"/>
      <c r="O38" s="60" t="s">
        <v>75</v>
      </c>
      <c r="P38" s="60">
        <v>3</v>
      </c>
      <c r="Q38" s="65" t="s">
        <v>247</v>
      </c>
      <c r="R38" s="53">
        <f>(F_LP_h/F_P_h)^2*(P1_Qi-('Valve Sizing'!$V$4*'Valve Sizing'!$G$7))</f>
        <v>46.765145343926186</v>
      </c>
      <c r="S38" s="58"/>
      <c r="T38" s="73"/>
      <c r="U38" s="53">
        <f>(U$29/U$27)^2*(U35-('Valve Sizing'!$V$4*'Valve Sizing'!$G$7))</f>
        <v>46.73009448758441</v>
      </c>
      <c r="V38" s="41"/>
      <c r="W38" s="73"/>
      <c r="X38" s="53">
        <f>(X$29/X$27)^2*(X35-('Valve Sizing'!$V$4*'Valve Sizing'!$G$7))</f>
        <v>45.572108317769633</v>
      </c>
      <c r="Y38" s="41"/>
      <c r="Z38" s="73"/>
      <c r="AA38" s="53">
        <f>(AA$29/AA$27)^2*(AA35-('Valve Sizing'!$V$4*'Valve Sizing'!$G$7))</f>
        <v>43.206828925380144</v>
      </c>
      <c r="AB38" s="41"/>
      <c r="AC38" s="73"/>
      <c r="AD38" s="53">
        <f>(AD$29/AD$27)^2*(AD35-('Valve Sizing'!$V$4*'Valve Sizing'!$G$7))</f>
        <v>39.624925614308481</v>
      </c>
      <c r="AE38" s="41"/>
      <c r="AF38" s="73"/>
      <c r="AG38" s="53">
        <f>(AG$29/AG$27)^2*(AG35-('Valve Sizing'!$V$4*'Valve Sizing'!$G$7))</f>
        <v>34.185790274524201</v>
      </c>
      <c r="AH38" s="41"/>
      <c r="AI38" s="73"/>
      <c r="AJ38" s="53">
        <f>(AJ$29/AJ$27)^2*(AJ35-('Valve Sizing'!$V$4*'Valve Sizing'!$G$7))</f>
        <v>29.165653484706475</v>
      </c>
      <c r="AK38" s="41"/>
      <c r="AL38" s="73"/>
      <c r="AM38" s="53">
        <f>(AM$29/AM$27)^2*(AM35-('Valve Sizing'!$V$4*'Valve Sizing'!$G$7))</f>
        <v>22.713572749251192</v>
      </c>
      <c r="AN38" s="41"/>
      <c r="AO38" s="73"/>
      <c r="AP38" s="53">
        <f>(AP$29/AP$27)^2*(AP35-('Valve Sizing'!$V$4*'Valve Sizing'!$G$7))</f>
        <v>17.497221137524704</v>
      </c>
      <c r="AQ38" s="41"/>
      <c r="AR38" s="73"/>
      <c r="AS38" s="53">
        <f>(AS$29/AS$27)^2*(AS35-('Valve Sizing'!$V$4*'Valve Sizing'!$G$7))</f>
        <v>15.32961681894019</v>
      </c>
      <c r="AT38" s="41"/>
      <c r="AU38" s="73"/>
    </row>
    <row r="39" spans="1:48" x14ac:dyDescent="0.25">
      <c r="L39" s="61"/>
      <c r="M39" s="61"/>
      <c r="N39" s="61"/>
      <c r="O39" s="65" t="s">
        <v>69</v>
      </c>
      <c r="P39" s="115">
        <v>7</v>
      </c>
      <c r="Q39" s="65" t="s">
        <v>245</v>
      </c>
      <c r="R39" s="64">
        <f>(Q_i/(N_1*F_P_h))*SQRT('Valve Sizing'!$G$6/DELTA_P_Qi)</f>
        <v>0.14087234272162516</v>
      </c>
      <c r="S39" s="66"/>
      <c r="T39" s="74"/>
      <c r="U39" s="64">
        <f>(U33/(N_1*U$27))*SQRT('Valve Sizing'!$G$6/U37)</f>
        <v>4.9816882162618956</v>
      </c>
      <c r="V39" s="45"/>
      <c r="W39" s="74"/>
      <c r="X39" s="64">
        <f>(X33/(N_1*X$27))*SQRT('Valve Sizing'!$G$6/X37)</f>
        <v>12.013589975856732</v>
      </c>
      <c r="Y39" s="45"/>
      <c r="Z39" s="74"/>
      <c r="AA39" s="64">
        <f>(AA33/(N_1*AA$27))*SQRT('Valve Sizing'!$G$6/AA37)</f>
        <v>23.249788835085443</v>
      </c>
      <c r="AB39" s="45"/>
      <c r="AC39" s="74"/>
      <c r="AD39" s="64">
        <f>(AD33/(N_1*AD$27))*SQRT('Valve Sizing'!$G$6/AD37)</f>
        <v>39.448524344097109</v>
      </c>
      <c r="AE39" s="45"/>
      <c r="AF39" s="74"/>
      <c r="AG39" s="64">
        <f>(AG33/(N_1*AG$27))*SQRT('Valve Sizing'!$G$6/AG37)</f>
        <v>62.381216415794071</v>
      </c>
      <c r="AH39" s="45"/>
      <c r="AI39" s="74"/>
      <c r="AJ39" s="64">
        <f>(AJ33/(N_1*AJ$27))*SQRT('Valve Sizing'!$G$6/AJ37)</f>
        <v>91.60034911770731</v>
      </c>
      <c r="AK39" s="45"/>
      <c r="AL39" s="74"/>
      <c r="AM39" s="64">
        <f>(AM33/(N_1*AM$27))*SQRT('Valve Sizing'!$G$6/AM37)</f>
        <v>128.02024563253758</v>
      </c>
      <c r="AN39" s="45"/>
      <c r="AO39" s="74"/>
      <c r="AP39" s="64">
        <f>(AP33/(N_1*AP$27))*SQRT('Valve Sizing'!$G$6/AP37)</f>
        <v>186.27066901729981</v>
      </c>
      <c r="AQ39" s="45"/>
      <c r="AR39" s="74"/>
      <c r="AS39" s="64">
        <f>(AS33/(N_1*AS$27))*SQRT('Valve Sizing'!$G$6/AS37)</f>
        <v>326.3560635016259</v>
      </c>
      <c r="AT39" s="45"/>
      <c r="AU39" s="74"/>
      <c r="AV39" s="61"/>
    </row>
    <row r="40" spans="1:48" ht="15" thickBot="1" x14ac:dyDescent="0.4">
      <c r="A40" s="183"/>
      <c r="B40" s="167"/>
      <c r="C40" s="167"/>
      <c r="D40" s="167"/>
      <c r="E40" s="167"/>
      <c r="F40" s="167"/>
      <c r="G40" s="167"/>
      <c r="H40" s="167"/>
      <c r="I40" s="167"/>
      <c r="J40" s="167"/>
      <c r="K40" s="61"/>
      <c r="L40" s="61"/>
      <c r="M40" s="13"/>
      <c r="N40" s="61"/>
      <c r="O40" s="65" t="s">
        <v>72</v>
      </c>
      <c r="P40" s="115">
        <v>7</v>
      </c>
      <c r="Q40" s="65" t="s">
        <v>23</v>
      </c>
      <c r="R40" s="67">
        <f>(Q_i/(N_1*F_P_h))*SQRT('Valve Sizing'!G6/DELTA_P_CH_W_Reducers)</f>
        <v>0.11700175373147997</v>
      </c>
      <c r="S40" s="56"/>
      <c r="T40" s="72"/>
      <c r="U40" s="85">
        <f>(U33/(N_1*U$27))*SQRT('Valve Sizing'!$G$6/U38)</f>
        <v>4.1370259492372998</v>
      </c>
      <c r="V40" s="44"/>
      <c r="W40" s="72"/>
      <c r="X40" s="85">
        <f>(X33/(N_1*X$27))*SQRT('Valve Sizing'!$G$6/X38)</f>
        <v>10.078422352115954</v>
      </c>
      <c r="Y40" s="44"/>
      <c r="Z40" s="72"/>
      <c r="AA40" s="85">
        <f>(AA33/(N_1*AA$27))*SQRT('Valve Sizing'!$G$6/AA38)</f>
        <v>19.876803254354506</v>
      </c>
      <c r="AB40" s="44"/>
      <c r="AC40" s="72"/>
      <c r="AD40" s="85">
        <f>(AD33/(N_1*AD$27))*SQRT('Valve Sizing'!$G$6/AD38)</f>
        <v>34.564668621205044</v>
      </c>
      <c r="AE40" s="44"/>
      <c r="AF40" s="72"/>
      <c r="AG40" s="85">
        <f>(AG33/(N_1*AG$27))*SQRT('Valve Sizing'!$G$6/AG38)</f>
        <v>56.641138733364549</v>
      </c>
      <c r="AH40" s="44"/>
      <c r="AI40" s="72"/>
      <c r="AJ40" s="85">
        <f>(AJ33/(N_1*AJ$27))*SQRT('Valve Sizing'!$G$6/AJ38)</f>
        <v>84.809385293023965</v>
      </c>
      <c r="AK40" s="44"/>
      <c r="AL40" s="72"/>
      <c r="AM40" s="85">
        <f>(AM33/(N_1*AM$27))*SQRT('Valve Sizing'!$G$6/AM38)</f>
        <v>124.41799924247566</v>
      </c>
      <c r="AN40" s="44"/>
      <c r="AO40" s="72"/>
      <c r="AP40" s="85">
        <f>(AP33/(N_1*AP$27))*SQRT('Valve Sizing'!$G$6/AP38)</f>
        <v>187.31755120450072</v>
      </c>
      <c r="AQ40" s="44"/>
      <c r="AR40" s="72"/>
      <c r="AS40" s="85">
        <f>(AS33/(N_1*AS$27))*SQRT('Valve Sizing'!$G$6/AS38)</f>
        <v>305.05787538544342</v>
      </c>
      <c r="AT40" s="44"/>
      <c r="AU40" s="72"/>
      <c r="AV40" s="61"/>
    </row>
    <row r="41" spans="1:48" ht="12.75" customHeight="1" thickTop="1" x14ac:dyDescent="0.25">
      <c r="A41" s="365" t="s">
        <v>298</v>
      </c>
      <c r="B41" s="366"/>
      <c r="C41" s="366"/>
      <c r="D41" s="366"/>
      <c r="E41" s="366"/>
      <c r="F41" s="366"/>
      <c r="G41" s="366"/>
      <c r="H41" s="367"/>
      <c r="I41" s="166"/>
      <c r="J41" s="166"/>
      <c r="K41" s="142"/>
      <c r="L41" s="61"/>
      <c r="M41" s="6"/>
      <c r="N41" s="61"/>
      <c r="O41" s="65" t="s">
        <v>246</v>
      </c>
      <c r="P41" s="116"/>
      <c r="Q41" s="65" t="s">
        <v>61</v>
      </c>
      <c r="R41" s="64">
        <f>IF(DELTA_P_Qi&lt;DELTA_P_CH_W_Reducers,C_N_Ch,C_Ch)</f>
        <v>0.14087234272162516</v>
      </c>
      <c r="S41" s="58"/>
      <c r="T41" s="73"/>
      <c r="U41" s="64">
        <f>IF(U37&lt;U38,U39,U40)</f>
        <v>4.9816882162618956</v>
      </c>
      <c r="V41" s="41"/>
      <c r="W41" s="73"/>
      <c r="X41" s="64">
        <f>IF(X37&lt;X38,X39,X40)</f>
        <v>12.013589975856732</v>
      </c>
      <c r="Y41" s="41"/>
      <c r="Z41" s="73"/>
      <c r="AA41" s="64">
        <f>IF(AA37&lt;AA38,AA39,AA40)</f>
        <v>23.249788835085443</v>
      </c>
      <c r="AB41" s="41"/>
      <c r="AC41" s="73"/>
      <c r="AD41" s="64">
        <f>IF(AD37&lt;AD38,AD39,AD40)</f>
        <v>39.448524344097109</v>
      </c>
      <c r="AE41" s="41"/>
      <c r="AF41" s="73"/>
      <c r="AG41" s="64">
        <f>IF(AG37&lt;AG38,AG39,AG40)</f>
        <v>62.381216415794071</v>
      </c>
      <c r="AH41" s="41"/>
      <c r="AI41" s="73"/>
      <c r="AJ41" s="64">
        <f>IF(AJ37&lt;AJ38,AJ39,AJ40)</f>
        <v>91.60034911770731</v>
      </c>
      <c r="AK41" s="41"/>
      <c r="AL41" s="73"/>
      <c r="AM41" s="64">
        <f>IF(AM37&lt;AM38,AM39,AM40)</f>
        <v>128.02024563253758</v>
      </c>
      <c r="AN41" s="41"/>
      <c r="AO41" s="73"/>
      <c r="AP41" s="64">
        <f>IF(AP37&lt;AP38,AP39,AP40)</f>
        <v>187.31755120450072</v>
      </c>
      <c r="AQ41" s="41"/>
      <c r="AR41" s="73"/>
      <c r="AS41" s="64">
        <f>IF(AS37&lt;AS38,AS39,AS40)</f>
        <v>326.3560635016259</v>
      </c>
      <c r="AT41" s="41"/>
      <c r="AU41" s="73"/>
      <c r="AV41" s="61"/>
    </row>
    <row r="42" spans="1:48" ht="13" x14ac:dyDescent="0.3">
      <c r="A42" s="368"/>
      <c r="B42" s="369"/>
      <c r="C42" s="369"/>
      <c r="D42" s="369"/>
      <c r="E42" s="369"/>
      <c r="F42" s="369"/>
      <c r="G42" s="369"/>
      <c r="H42" s="370"/>
      <c r="I42" s="166"/>
      <c r="J42" s="166"/>
      <c r="K42" s="142"/>
      <c r="L42" s="61"/>
      <c r="M42" s="61"/>
      <c r="N42" s="61"/>
      <c r="O42" s="87" t="s">
        <v>264</v>
      </c>
      <c r="P42" s="61"/>
      <c r="Q42" s="61"/>
      <c r="R42" s="68"/>
      <c r="S42" s="69">
        <f>ABS(C_h-C_i)</f>
        <v>4.8591276572783748</v>
      </c>
      <c r="T42" s="75">
        <f>Q_i</f>
        <v>0.8</v>
      </c>
      <c r="U42" s="61"/>
      <c r="V42" s="69">
        <f>ABS(U$23-U41)</f>
        <v>7.0183117837381044</v>
      </c>
      <c r="W42" s="75">
        <f>U33</f>
        <v>28.256665085591433</v>
      </c>
      <c r="X42" s="61"/>
      <c r="Y42" s="69">
        <f>ABS(X$23-X41)</f>
        <v>10.986410024143268</v>
      </c>
      <c r="Z42" s="75">
        <f>X33</f>
        <v>67.826873252796943</v>
      </c>
      <c r="AA42" s="61"/>
      <c r="AB42" s="69">
        <f>ABS(AA$23-AA41)</f>
        <v>15.750211164914557</v>
      </c>
      <c r="AC42" s="75">
        <f>AA33</f>
        <v>129.50635878653966</v>
      </c>
      <c r="AD42" s="61"/>
      <c r="AE42" s="69">
        <f>ABS(AD$23-AD41)</f>
        <v>21.551475655902891</v>
      </c>
      <c r="AF42" s="75">
        <f>AD33</f>
        <v>212.99027879147425</v>
      </c>
      <c r="AG42" s="61"/>
      <c r="AH42" s="69">
        <f>ABS(AG$23-AG41)</f>
        <v>25.618783584205929</v>
      </c>
      <c r="AI42" s="75">
        <f>AG33</f>
        <v>317.11350169947065</v>
      </c>
      <c r="AJ42" s="61"/>
      <c r="AK42" s="69">
        <f>ABS(AJ$23-AJ41)</f>
        <v>29.39965088229269</v>
      </c>
      <c r="AL42" s="75">
        <f>AJ33</f>
        <v>423.18919732975365</v>
      </c>
      <c r="AM42" s="61"/>
      <c r="AN42" s="69">
        <f>ABS(AM$23-AM41)</f>
        <v>36.979754367462419</v>
      </c>
      <c r="AO42" s="75">
        <f>AM33</f>
        <v>516.37124359534027</v>
      </c>
      <c r="AP42" s="61"/>
      <c r="AQ42" s="69">
        <f>ABS(AP$23-AP41)</f>
        <v>58.682448795499283</v>
      </c>
      <c r="AR42" s="75">
        <f>AP33</f>
        <v>599.49098325998943</v>
      </c>
      <c r="AS42" s="61"/>
      <c r="AT42" s="69">
        <f>ABS(AS$23-AS41)</f>
        <v>93.643936498374103</v>
      </c>
      <c r="AU42" s="75">
        <f>AS33</f>
        <v>682.27665972853958</v>
      </c>
      <c r="AV42" s="61"/>
    </row>
    <row r="43" spans="1:48" x14ac:dyDescent="0.25">
      <c r="A43" s="368"/>
      <c r="B43" s="369"/>
      <c r="C43" s="369"/>
      <c r="D43" s="369"/>
      <c r="E43" s="369"/>
      <c r="F43" s="369"/>
      <c r="G43" s="369"/>
      <c r="H43" s="370"/>
      <c r="I43" s="166"/>
      <c r="J43" s="166"/>
      <c r="K43" s="158"/>
      <c r="L43" s="61"/>
      <c r="M43" s="61"/>
      <c r="N43" s="61"/>
      <c r="O43" s="61"/>
      <c r="P43" s="61"/>
      <c r="Q43" s="61"/>
      <c r="R43" s="55"/>
      <c r="S43" s="56"/>
      <c r="T43" s="72"/>
      <c r="U43" s="55"/>
      <c r="V43" s="44"/>
      <c r="W43" s="72"/>
      <c r="X43" s="55"/>
      <c r="Y43" s="44"/>
      <c r="Z43" s="72"/>
      <c r="AA43" s="55"/>
      <c r="AB43" s="44"/>
      <c r="AC43" s="72"/>
      <c r="AD43" s="55"/>
      <c r="AE43" s="44"/>
      <c r="AF43" s="72"/>
      <c r="AG43" s="55"/>
      <c r="AH43" s="44"/>
      <c r="AI43" s="72"/>
      <c r="AJ43" s="55"/>
      <c r="AK43" s="44"/>
      <c r="AL43" s="72"/>
      <c r="AM43" s="55"/>
      <c r="AN43" s="44"/>
      <c r="AO43" s="72"/>
      <c r="AP43" s="55"/>
      <c r="AQ43" s="44"/>
      <c r="AR43" s="72"/>
      <c r="AS43" s="55"/>
      <c r="AT43" s="44"/>
      <c r="AU43" s="72"/>
      <c r="AV43" s="61"/>
    </row>
    <row r="44" spans="1:48" ht="14" x14ac:dyDescent="0.3">
      <c r="A44" s="368"/>
      <c r="B44" s="369"/>
      <c r="C44" s="369"/>
      <c r="D44" s="369"/>
      <c r="E44" s="369"/>
      <c r="F44" s="369"/>
      <c r="G44" s="369"/>
      <c r="H44" s="370"/>
      <c r="I44" s="166"/>
      <c r="J44" s="166"/>
      <c r="K44" s="142"/>
      <c r="O44" s="8" t="s">
        <v>235</v>
      </c>
      <c r="P44" s="6"/>
      <c r="Q44" s="60"/>
      <c r="R44" s="53">
        <f>R33*1.02</f>
        <v>0.81600000000000006</v>
      </c>
      <c r="S44" s="58" t="s">
        <v>238</v>
      </c>
      <c r="T44" s="73" t="s">
        <v>241</v>
      </c>
      <c r="U44" s="84">
        <f>U33*1.01</f>
        <v>28.539231736447348</v>
      </c>
      <c r="V44" s="58" t="s">
        <v>238</v>
      </c>
      <c r="W44" s="73" t="s">
        <v>241</v>
      </c>
      <c r="X44" s="84">
        <f>X33*1.01</f>
        <v>68.505141985324912</v>
      </c>
      <c r="Y44" s="58" t="s">
        <v>238</v>
      </c>
      <c r="Z44" s="73" t="s">
        <v>241</v>
      </c>
      <c r="AA44" s="84">
        <f>AA33*1.01</f>
        <v>130.80142237440506</v>
      </c>
      <c r="AB44" s="58" t="s">
        <v>238</v>
      </c>
      <c r="AC44" s="73" t="s">
        <v>241</v>
      </c>
      <c r="AD44" s="84">
        <f>AD33*1.01</f>
        <v>215.120181579389</v>
      </c>
      <c r="AE44" s="58" t="s">
        <v>238</v>
      </c>
      <c r="AF44" s="73" t="s">
        <v>241</v>
      </c>
      <c r="AG44" s="84">
        <f>AG33*1.01</f>
        <v>320.28463671646534</v>
      </c>
      <c r="AH44" s="58" t="s">
        <v>238</v>
      </c>
      <c r="AI44" s="73" t="s">
        <v>241</v>
      </c>
      <c r="AJ44" s="84">
        <f>AJ33*1.01</f>
        <v>427.42108930305119</v>
      </c>
      <c r="AK44" s="58" t="s">
        <v>238</v>
      </c>
      <c r="AL44" s="73" t="s">
        <v>241</v>
      </c>
      <c r="AM44" s="84">
        <f>AM33*1.01</f>
        <v>521.53495603129363</v>
      </c>
      <c r="AN44" s="58" t="s">
        <v>238</v>
      </c>
      <c r="AO44" s="73" t="s">
        <v>241</v>
      </c>
      <c r="AP44" s="84">
        <f>AP33*1.01</f>
        <v>605.48589309258932</v>
      </c>
      <c r="AQ44" s="58" t="s">
        <v>238</v>
      </c>
      <c r="AR44" s="73" t="s">
        <v>241</v>
      </c>
      <c r="AS44" s="84">
        <f>AS33*1.01</f>
        <v>689.09942632582499</v>
      </c>
      <c r="AT44" s="58" t="s">
        <v>238</v>
      </c>
      <c r="AU44" s="73" t="s">
        <v>241</v>
      </c>
      <c r="AV44" s="61"/>
    </row>
    <row r="45" spans="1:48" ht="13" x14ac:dyDescent="0.25">
      <c r="A45" s="368"/>
      <c r="B45" s="369"/>
      <c r="C45" s="369"/>
      <c r="D45" s="369"/>
      <c r="E45" s="369"/>
      <c r="F45" s="369"/>
      <c r="G45" s="369"/>
      <c r="H45" s="370"/>
      <c r="I45" s="166"/>
      <c r="J45" s="166"/>
      <c r="K45" s="142"/>
      <c r="O45" s="6"/>
      <c r="P45" s="6"/>
      <c r="Q45" s="60"/>
      <c r="R45" s="70"/>
      <c r="S45" s="63" t="s">
        <v>250</v>
      </c>
      <c r="T45" s="71" t="s">
        <v>242</v>
      </c>
      <c r="U45" s="61"/>
      <c r="V45" s="63" t="s">
        <v>250</v>
      </c>
      <c r="W45" s="71" t="s">
        <v>242</v>
      </c>
      <c r="X45" s="61"/>
      <c r="Y45" s="63" t="s">
        <v>250</v>
      </c>
      <c r="Z45" s="71" t="s">
        <v>242</v>
      </c>
      <c r="AA45" s="61"/>
      <c r="AB45" s="63" t="s">
        <v>250</v>
      </c>
      <c r="AC45" s="71" t="s">
        <v>242</v>
      </c>
      <c r="AD45" s="61"/>
      <c r="AE45" s="63" t="s">
        <v>250</v>
      </c>
      <c r="AF45" s="71" t="s">
        <v>242</v>
      </c>
      <c r="AG45" s="61"/>
      <c r="AH45" s="63" t="s">
        <v>250</v>
      </c>
      <c r="AI45" s="71" t="s">
        <v>242</v>
      </c>
      <c r="AJ45" s="61"/>
      <c r="AK45" s="63" t="s">
        <v>250</v>
      </c>
      <c r="AL45" s="71" t="s">
        <v>242</v>
      </c>
      <c r="AM45" s="61"/>
      <c r="AN45" s="63" t="s">
        <v>250</v>
      </c>
      <c r="AO45" s="71" t="s">
        <v>242</v>
      </c>
      <c r="AP45" s="61"/>
      <c r="AQ45" s="63" t="s">
        <v>250</v>
      </c>
      <c r="AR45" s="71" t="s">
        <v>242</v>
      </c>
      <c r="AS45" s="61"/>
      <c r="AT45" s="63" t="s">
        <v>250</v>
      </c>
      <c r="AU45" s="71" t="s">
        <v>242</v>
      </c>
      <c r="AV45" s="61"/>
    </row>
    <row r="46" spans="1:48" ht="13" x14ac:dyDescent="0.3">
      <c r="A46" s="368"/>
      <c r="B46" s="369"/>
      <c r="C46" s="369"/>
      <c r="D46" s="369"/>
      <c r="E46" s="369"/>
      <c r="F46" s="369"/>
      <c r="G46" s="369"/>
      <c r="H46" s="370"/>
      <c r="I46" s="166"/>
      <c r="J46" s="166"/>
      <c r="K46" s="142"/>
      <c r="O46" s="6" t="s">
        <v>231</v>
      </c>
      <c r="P46" s="6"/>
      <c r="Q46" s="60"/>
      <c r="R46" s="85">
        <f>P_1_minQ-(R44^2*R_up)+dpup_minQ</f>
        <v>56.916120707328602</v>
      </c>
      <c r="S46" s="56"/>
      <c r="T46" s="72"/>
      <c r="U46" s="53">
        <f>P_1_minQ-(U44^2*R_up)+dpup_minQ</f>
        <v>56.888636009857933</v>
      </c>
      <c r="V46" s="44"/>
      <c r="W46" s="72"/>
      <c r="X46" s="53">
        <f>P_1_minQ-(X44^2*R_up)+dpup_minQ</f>
        <v>56.757650980127337</v>
      </c>
      <c r="Y46" s="44"/>
      <c r="Z46" s="72"/>
      <c r="AA46" s="53">
        <f>P_1_minQ-(AA44^2*R_up)+dpup_minQ</f>
        <v>56.338331236232101</v>
      </c>
      <c r="AB46" s="44"/>
      <c r="AC46" s="72"/>
      <c r="AD46" s="53">
        <f>P_1_minQ-(AD44^2*R_up)+dpup_minQ</f>
        <v>55.353269418346869</v>
      </c>
      <c r="AE46" s="44"/>
      <c r="AF46" s="72"/>
      <c r="AG46" s="53">
        <f>P_1_minQ-(AG44^2*R_up)+dpup_minQ</f>
        <v>53.451697111901446</v>
      </c>
      <c r="AH46" s="44"/>
      <c r="AI46" s="72"/>
      <c r="AJ46" s="53">
        <f>P_1_minQ-(AJ44^2*R_up)+dpup_minQ</f>
        <v>50.746309098919049</v>
      </c>
      <c r="AK46" s="44"/>
      <c r="AL46" s="72"/>
      <c r="AM46" s="53">
        <f>P_1_minQ-(AM44^2*R_up)+dpup_minQ</f>
        <v>47.730100967154222</v>
      </c>
      <c r="AN46" s="44"/>
      <c r="AO46" s="72"/>
      <c r="AP46" s="53">
        <f>P_1_minQ-(AP44^2*R_up)+dpup_minQ</f>
        <v>44.534746142042195</v>
      </c>
      <c r="AQ46" s="44"/>
      <c r="AR46" s="72"/>
      <c r="AS46" s="53">
        <f>P_1_minQ-(AS44^2*R_up)+dpup_minQ</f>
        <v>40.879060474076965</v>
      </c>
      <c r="AT46" s="44"/>
      <c r="AU46" s="72"/>
      <c r="AV46" s="61"/>
    </row>
    <row r="47" spans="1:48" ht="13" x14ac:dyDescent="0.3">
      <c r="A47" s="368"/>
      <c r="B47" s="369"/>
      <c r="C47" s="369"/>
      <c r="D47" s="369"/>
      <c r="E47" s="369"/>
      <c r="F47" s="369"/>
      <c r="G47" s="369"/>
      <c r="H47" s="370"/>
      <c r="I47" s="166"/>
      <c r="J47" s="166"/>
      <c r="K47" s="142"/>
      <c r="O47" s="6" t="s">
        <v>233</v>
      </c>
      <c r="P47" s="6"/>
      <c r="Q47" s="60"/>
      <c r="R47" s="85">
        <f>P_2_minQ+(R44^2*R_dn)-dpdn_minQ</f>
        <v>24.656775858534282</v>
      </c>
      <c r="S47" s="66"/>
      <c r="T47" s="74"/>
      <c r="U47" s="53">
        <f>P_2_minQ+(U44^2*R_dn)-dpdn_minQ</f>
        <v>24.662272798028415</v>
      </c>
      <c r="V47" s="45"/>
      <c r="W47" s="74"/>
      <c r="X47" s="53">
        <f>P_2_minQ+(X44^2*R_dn)-dpdn_minQ</f>
        <v>24.688469803974534</v>
      </c>
      <c r="Y47" s="45"/>
      <c r="Z47" s="74"/>
      <c r="AA47" s="53">
        <f>P_2_minQ+(AA44^2*R_dn)-dpdn_minQ</f>
        <v>24.772333752753582</v>
      </c>
      <c r="AB47" s="45"/>
      <c r="AC47" s="74"/>
      <c r="AD47" s="53">
        <f>P_2_minQ+(AD44^2*R_dn)-dpdn_minQ</f>
        <v>24.969346116330627</v>
      </c>
      <c r="AE47" s="45"/>
      <c r="AF47" s="74"/>
      <c r="AG47" s="53">
        <f>P_2_minQ+(AG44^2*R_dn)-dpdn_minQ</f>
        <v>25.349660577619712</v>
      </c>
      <c r="AH47" s="45"/>
      <c r="AI47" s="74"/>
      <c r="AJ47" s="53">
        <f>P_2_minQ+(AJ44^2*R_dn)-dpdn_minQ</f>
        <v>25.890738180216189</v>
      </c>
      <c r="AK47" s="45"/>
      <c r="AL47" s="74"/>
      <c r="AM47" s="53">
        <f>P_2_minQ+(AM44^2*R_dn)-dpdn_minQ</f>
        <v>26.493979806569158</v>
      </c>
      <c r="AN47" s="45"/>
      <c r="AO47" s="74"/>
      <c r="AP47" s="53">
        <f>P_2_minQ+(AP44^2*R_dn)-dpdn_minQ</f>
        <v>27.133050771591563</v>
      </c>
      <c r="AQ47" s="45"/>
      <c r="AR47" s="74"/>
      <c r="AS47" s="53">
        <f>P_2_minQ+(AS44^2*R_dn)-dpdn_minQ</f>
        <v>27.864187905184608</v>
      </c>
      <c r="AT47" s="45"/>
      <c r="AU47" s="74"/>
      <c r="AV47" s="61"/>
    </row>
    <row r="48" spans="1:48" x14ac:dyDescent="0.25">
      <c r="A48" s="368"/>
      <c r="B48" s="369"/>
      <c r="C48" s="369"/>
      <c r="D48" s="369"/>
      <c r="E48" s="369"/>
      <c r="F48" s="369"/>
      <c r="G48" s="369"/>
      <c r="H48" s="370"/>
      <c r="I48" s="166"/>
      <c r="J48" s="166"/>
      <c r="K48" s="142"/>
      <c r="O48" s="6" t="s">
        <v>243</v>
      </c>
      <c r="Q48" s="60"/>
      <c r="R48" s="53">
        <f>R46-R47</f>
        <v>32.259344848794321</v>
      </c>
      <c r="S48" s="56"/>
      <c r="T48" s="72"/>
      <c r="U48" s="64">
        <f>U46-U47</f>
        <v>32.226363211829522</v>
      </c>
      <c r="V48" s="44"/>
      <c r="W48" s="72"/>
      <c r="X48" s="64">
        <f>X46-X47</f>
        <v>32.069181176152803</v>
      </c>
      <c r="Y48" s="44"/>
      <c r="Z48" s="72"/>
      <c r="AA48" s="64">
        <f>AA46-AA47</f>
        <v>31.565997483478519</v>
      </c>
      <c r="AB48" s="44"/>
      <c r="AC48" s="72"/>
      <c r="AD48" s="64">
        <f>AD46-AD47</f>
        <v>30.383923302016242</v>
      </c>
      <c r="AE48" s="44"/>
      <c r="AF48" s="72"/>
      <c r="AG48" s="64">
        <f>AG46-AG47</f>
        <v>28.102036534281734</v>
      </c>
      <c r="AH48" s="44"/>
      <c r="AI48" s="72"/>
      <c r="AJ48" s="64">
        <f>AJ46-AJ47</f>
        <v>24.85557091870286</v>
      </c>
      <c r="AK48" s="44"/>
      <c r="AL48" s="72"/>
      <c r="AM48" s="64">
        <f>AM46-AM47</f>
        <v>21.236121160585064</v>
      </c>
      <c r="AN48" s="44"/>
      <c r="AO48" s="72"/>
      <c r="AP48" s="64">
        <f>AP46-AP47</f>
        <v>17.401695370450632</v>
      </c>
      <c r="AQ48" s="44"/>
      <c r="AR48" s="72"/>
      <c r="AS48" s="64">
        <f>AS46-AS47</f>
        <v>13.014872568892358</v>
      </c>
      <c r="AT48" s="44"/>
      <c r="AU48" s="72"/>
      <c r="AV48" s="61"/>
    </row>
    <row r="49" spans="1:48" ht="13" x14ac:dyDescent="0.3">
      <c r="A49" s="368"/>
      <c r="B49" s="369"/>
      <c r="C49" s="369"/>
      <c r="D49" s="369"/>
      <c r="E49" s="369"/>
      <c r="F49" s="369"/>
      <c r="G49" s="369"/>
      <c r="H49" s="370"/>
      <c r="I49" s="166"/>
      <c r="J49" s="166"/>
      <c r="K49" s="142"/>
      <c r="O49" s="6" t="s">
        <v>75</v>
      </c>
      <c r="P49" s="6">
        <v>3</v>
      </c>
      <c r="Q49" s="65"/>
      <c r="R49" s="85">
        <f>(F_LP_h/F_P_h)^2*(R46-('Valve Sizing'!$V$4*'Valve Sizing'!$G$7))</f>
        <v>46.765144620855423</v>
      </c>
      <c r="S49" s="58"/>
      <c r="T49" s="73"/>
      <c r="U49" s="53">
        <f>(U$29/U$27)^2*(U46-('Valve Sizing'!$V$4*'Valve Sizing'!$G$7))</f>
        <v>46.729645805282956</v>
      </c>
      <c r="V49" s="41"/>
      <c r="W49" s="73"/>
      <c r="X49" s="53">
        <f>(X$29/X$27)^2*(X46-('Valve Sizing'!$V$4*'Valve Sizing'!$G$7))</f>
        <v>45.56958139367854</v>
      </c>
      <c r="Y49" s="41"/>
      <c r="Z49" s="73"/>
      <c r="AA49" s="53">
        <f>(AA$29/AA$27)^2*(AA46-('Valve Sizing'!$V$4*'Valve Sizing'!$G$7))</f>
        <v>43.198030491236864</v>
      </c>
      <c r="AB49" s="41"/>
      <c r="AC49" s="73"/>
      <c r="AD49" s="53">
        <f>(AD$29/AD$27)^2*(AD46-('Valve Sizing'!$V$4*'Valve Sizing'!$G$7))</f>
        <v>39.602716801230073</v>
      </c>
      <c r="AE49" s="41"/>
      <c r="AF49" s="73"/>
      <c r="AG49" s="53">
        <f>(AG$29/AG$27)^2*(AG46-('Valve Sizing'!$V$4*'Valve Sizing'!$G$7))</f>
        <v>34.141825725525997</v>
      </c>
      <c r="AH49" s="41"/>
      <c r="AI49" s="73"/>
      <c r="AJ49" s="53">
        <f>(AJ$29/AJ$27)^2*(AJ46-('Valve Sizing'!$V$4*'Valve Sizing'!$G$7))</f>
        <v>29.095341671042018</v>
      </c>
      <c r="AK49" s="41"/>
      <c r="AL49" s="73"/>
      <c r="AM49" s="53">
        <f>(AM$29/AM$27)^2*(AM46-('Valve Sizing'!$V$4*'Valve Sizing'!$G$7))</f>
        <v>22.626968657590822</v>
      </c>
      <c r="AN49" s="41"/>
      <c r="AO49" s="73"/>
      <c r="AP49" s="53">
        <f>(AP$29/AP$27)^2*(AP46-('Valve Sizing'!$V$4*'Valve Sizing'!$G$7))</f>
        <v>17.400947015489475</v>
      </c>
      <c r="AQ49" s="41"/>
      <c r="AR49" s="73"/>
      <c r="AS49" s="53">
        <f>(AS$29/AS$27)^2*(AS46-('Valve Sizing'!$V$4*'Valve Sizing'!$G$7))</f>
        <v>15.210758627883333</v>
      </c>
      <c r="AT49" s="41"/>
      <c r="AU49" s="73"/>
      <c r="AV49" s="61"/>
    </row>
    <row r="50" spans="1:48" ht="13" x14ac:dyDescent="0.25">
      <c r="A50" s="368"/>
      <c r="B50" s="369"/>
      <c r="C50" s="369"/>
      <c r="D50" s="369"/>
      <c r="E50" s="369"/>
      <c r="F50" s="369"/>
      <c r="G50" s="369"/>
      <c r="H50" s="370"/>
      <c r="I50" s="166"/>
      <c r="J50" s="166"/>
      <c r="K50" s="142"/>
      <c r="O50" s="1" t="s">
        <v>69</v>
      </c>
      <c r="P50" s="17">
        <v>7</v>
      </c>
      <c r="Q50" s="65"/>
      <c r="R50" s="53">
        <f>(R44/(N_1*F_P_h))*SQRT('Valve Sizing'!$G$6/R48)</f>
        <v>0.14368979190975509</v>
      </c>
      <c r="S50" s="58"/>
      <c r="T50" s="73"/>
      <c r="U50" s="64">
        <f>(U44/(N_1*U$27))*SQRT('Valve Sizing'!$G$6/U48)</f>
        <v>5.0315558716947928</v>
      </c>
      <c r="V50" s="41"/>
      <c r="W50" s="73"/>
      <c r="X50" s="64">
        <f>(X44/(N_1*X$27))*SQRT('Valve Sizing'!$G$6/X48)</f>
        <v>12.134434810121398</v>
      </c>
      <c r="Y50" s="41"/>
      <c r="Z50" s="73"/>
      <c r="AA50" s="64">
        <f>(AA44/(N_1*AA$27))*SQRT('Valve Sizing'!$G$6/AA48)</f>
        <v>23.487367908006359</v>
      </c>
      <c r="AB50" s="41"/>
      <c r="AC50" s="73"/>
      <c r="AD50" s="64">
        <f>(AD44/(N_1*AD$27))*SQRT('Valve Sizing'!$G$6/AD48)</f>
        <v>39.867231295259799</v>
      </c>
      <c r="AE50" s="41"/>
      <c r="AF50" s="73"/>
      <c r="AG50" s="64">
        <f>(AG44/(N_1*AG$27))*SQRT('Valve Sizing'!$G$6/AG48)</f>
        <v>63.09678989840738</v>
      </c>
      <c r="AH50" s="41"/>
      <c r="AI50" s="73"/>
      <c r="AJ50" s="64">
        <f>(AJ44/(N_1*AJ$27))*SQRT('Valve Sizing'!$G$6/AJ48)</f>
        <v>92.787457252121385</v>
      </c>
      <c r="AK50" s="41"/>
      <c r="AL50" s="73"/>
      <c r="AM50" s="64">
        <f>(AM44/(N_1*AM$27))*SQRT('Valve Sizing'!$G$6/AM48)</f>
        <v>129.96000395121138</v>
      </c>
      <c r="AN50" s="41"/>
      <c r="AO50" s="73"/>
      <c r="AP50" s="64">
        <f>(AP44/(N_1*AP$27))*SQRT('Valve Sizing'!$G$6/AP48)</f>
        <v>189.70929271254244</v>
      </c>
      <c r="AQ50" s="41"/>
      <c r="AR50" s="73"/>
      <c r="AS50" s="64">
        <f>(AS44/(N_1*AS$27))*SQRT('Valve Sizing'!$G$6/AS48)</f>
        <v>334.38693808734234</v>
      </c>
      <c r="AT50" s="41"/>
      <c r="AU50" s="73"/>
      <c r="AV50" s="61"/>
    </row>
    <row r="51" spans="1:48" ht="15" customHeight="1" x14ac:dyDescent="0.3">
      <c r="A51" s="368"/>
      <c r="B51" s="369"/>
      <c r="C51" s="369"/>
      <c r="D51" s="369"/>
      <c r="E51" s="369"/>
      <c r="F51" s="369"/>
      <c r="G51" s="369"/>
      <c r="H51" s="370"/>
      <c r="I51" s="166"/>
      <c r="J51" s="166"/>
      <c r="K51" s="142"/>
      <c r="O51" s="1" t="s">
        <v>72</v>
      </c>
      <c r="P51" s="17">
        <v>7</v>
      </c>
      <c r="Q51" s="65"/>
      <c r="R51" s="53">
        <f>(R44/(N_1*F_P_h))*SQRT('Valve Sizing'!$G$6/R49)</f>
        <v>0.11934178972872575</v>
      </c>
      <c r="S51" s="56"/>
      <c r="T51" s="72"/>
      <c r="U51" s="85">
        <f>(U44/(N_1*U$27))*SQRT('Valve Sizing'!$G$6/U49)</f>
        <v>4.1784162684572275</v>
      </c>
      <c r="V51" s="44"/>
      <c r="W51" s="72"/>
      <c r="X51" s="85">
        <f>(X44/(N_1*X$27))*SQRT('Valve Sizing'!$G$6/X49)</f>
        <v>10.179488800368638</v>
      </c>
      <c r="Y51" s="44"/>
      <c r="Z51" s="72"/>
      <c r="AA51" s="85">
        <f>(AA44/(N_1*AA$27))*SQRT('Valve Sizing'!$G$6/AA49)</f>
        <v>20.077615646290429</v>
      </c>
      <c r="AB51" s="44"/>
      <c r="AC51" s="72"/>
      <c r="AD51" s="85">
        <f>(AD44/(N_1*AD$27))*SQRT('Valve Sizing'!$G$6/AD49)</f>
        <v>34.920102615748036</v>
      </c>
      <c r="AE51" s="44"/>
      <c r="AF51" s="72"/>
      <c r="AG51" s="85">
        <f>(AG44/(N_1*AG$27))*SQRT('Valve Sizing'!$G$6/AG49)</f>
        <v>57.244371452462097</v>
      </c>
      <c r="AH51" s="44"/>
      <c r="AI51" s="72"/>
      <c r="AJ51" s="85">
        <f>(AJ44/(N_1*AJ$27))*SQRT('Valve Sizing'!$G$6/AJ49)</f>
        <v>85.760916640109244</v>
      </c>
      <c r="AK51" s="44"/>
      <c r="AL51" s="72"/>
      <c r="AM51" s="85">
        <f>(AM44/(N_1*AM$27))*SQRT('Valve Sizing'!$G$6/AM49)</f>
        <v>125.90243380621658</v>
      </c>
      <c r="AN51" s="44"/>
      <c r="AO51" s="72"/>
      <c r="AP51" s="85">
        <f>(AP44/(N_1*AP$27))*SQRT('Valve Sizing'!$G$6/AP49)</f>
        <v>189.71337204120991</v>
      </c>
      <c r="AQ51" s="44"/>
      <c r="AR51" s="72"/>
      <c r="AS51" s="85">
        <f>(AS44/(N_1*AS$27))*SQRT('Valve Sizing'!$G$6/AS49)</f>
        <v>309.30990477759462</v>
      </c>
      <c r="AT51" s="44"/>
      <c r="AU51" s="72"/>
      <c r="AV51" s="61"/>
    </row>
    <row r="52" spans="1:48" x14ac:dyDescent="0.25">
      <c r="A52" s="368"/>
      <c r="B52" s="369"/>
      <c r="C52" s="369"/>
      <c r="D52" s="369"/>
      <c r="E52" s="369"/>
      <c r="F52" s="369"/>
      <c r="G52" s="369"/>
      <c r="H52" s="370"/>
      <c r="I52" s="166"/>
      <c r="J52" s="166"/>
      <c r="K52" s="142"/>
      <c r="O52" s="1" t="s">
        <v>246</v>
      </c>
      <c r="P52" s="18"/>
      <c r="Q52" s="65"/>
      <c r="R52" s="53">
        <f>IF(R48&lt;R49,R50,R51)</f>
        <v>0.14368979190975509</v>
      </c>
      <c r="S52" s="49"/>
      <c r="T52" s="72"/>
      <c r="U52" s="64">
        <f>IF(U48&lt;U49,U50,U51)</f>
        <v>5.0315558716947928</v>
      </c>
      <c r="V52" s="44"/>
      <c r="W52" s="72"/>
      <c r="X52" s="64">
        <f>IF(X48&lt;X49,X50,X51)</f>
        <v>12.134434810121398</v>
      </c>
      <c r="Y52" s="44"/>
      <c r="Z52" s="72"/>
      <c r="AA52" s="64">
        <f>IF(AA48&lt;AA49,AA50,AA51)</f>
        <v>23.487367908006359</v>
      </c>
      <c r="AB52" s="44"/>
      <c r="AC52" s="72"/>
      <c r="AD52" s="64">
        <f>IF(AD48&lt;AD49,AD50,AD51)</f>
        <v>39.867231295259799</v>
      </c>
      <c r="AE52" s="44"/>
      <c r="AF52" s="72"/>
      <c r="AG52" s="64">
        <f>IF(AG48&lt;AG49,AG50,AG51)</f>
        <v>63.09678989840738</v>
      </c>
      <c r="AH52" s="44"/>
      <c r="AI52" s="72"/>
      <c r="AJ52" s="64">
        <f>IF(AJ48&lt;AJ49,AJ50,AJ51)</f>
        <v>92.787457252121385</v>
      </c>
      <c r="AK52" s="44"/>
      <c r="AL52" s="72"/>
      <c r="AM52" s="64">
        <f>IF(AM48&lt;AM49,AM50,AM51)</f>
        <v>129.96000395121138</v>
      </c>
      <c r="AN52" s="44"/>
      <c r="AO52" s="72"/>
      <c r="AP52" s="64">
        <f>IF(AP48&lt;AP49,AP50,AP51)</f>
        <v>189.71337204120991</v>
      </c>
      <c r="AQ52" s="44"/>
      <c r="AR52" s="72"/>
      <c r="AS52" s="64">
        <f>IF(AS48&lt;AS49,AS50,AS51)</f>
        <v>334.38693808734234</v>
      </c>
      <c r="AT52" s="44"/>
      <c r="AU52" s="72"/>
      <c r="AV52" s="61"/>
    </row>
    <row r="53" spans="1:48" ht="13" x14ac:dyDescent="0.3">
      <c r="A53" s="368"/>
      <c r="B53" s="369"/>
      <c r="C53" s="369"/>
      <c r="D53" s="369"/>
      <c r="E53" s="369"/>
      <c r="F53" s="369"/>
      <c r="G53" s="369"/>
      <c r="H53" s="370"/>
      <c r="I53" s="166"/>
      <c r="J53" s="166"/>
      <c r="K53" s="142"/>
      <c r="O53" s="7" t="s">
        <v>264</v>
      </c>
      <c r="Q53" s="61"/>
      <c r="R53" s="53"/>
      <c r="S53" s="69">
        <f>IFERROR(ABS(C_h-R52),Q_max*10)</f>
        <v>4.8563102080902452</v>
      </c>
      <c r="T53" s="76">
        <f>R44</f>
        <v>0.81600000000000006</v>
      </c>
      <c r="U53" s="61"/>
      <c r="V53" s="69">
        <f>IFERROR(ABS(U$23-U52),Q_max*10)</f>
        <v>6.9684441283052072</v>
      </c>
      <c r="W53" s="75">
        <f>U44</f>
        <v>28.539231736447348</v>
      </c>
      <c r="X53" s="61"/>
      <c r="Y53" s="69">
        <f>IFERROR(ABS(X$23-X52),Q_max*10)</f>
        <v>10.865565189878602</v>
      </c>
      <c r="Z53" s="75">
        <f>X44</f>
        <v>68.505141985324912</v>
      </c>
      <c r="AA53" s="61"/>
      <c r="AB53" s="69">
        <f>IFERROR(ABS(AA$23-AA52),Q_max*10)</f>
        <v>15.512632091993641</v>
      </c>
      <c r="AC53" s="75">
        <f>AA44</f>
        <v>130.80142237440506</v>
      </c>
      <c r="AD53" s="61"/>
      <c r="AE53" s="69">
        <f>IFERROR(ABS(AD$23-AD52),Q_max*10)</f>
        <v>21.132768704740201</v>
      </c>
      <c r="AF53" s="75">
        <f>AD44</f>
        <v>215.120181579389</v>
      </c>
      <c r="AG53" s="61"/>
      <c r="AH53" s="69">
        <f>IFERROR(ABS(AG$23-AG52),Q_max*10)</f>
        <v>24.90321010159262</v>
      </c>
      <c r="AI53" s="75">
        <f>AG44</f>
        <v>320.28463671646534</v>
      </c>
      <c r="AJ53" s="61"/>
      <c r="AK53" s="69">
        <f>IFERROR(ABS(AJ$23-AJ52),Q_max*10)</f>
        <v>28.212542747878615</v>
      </c>
      <c r="AL53" s="75">
        <f>AJ44</f>
        <v>427.42108930305119</v>
      </c>
      <c r="AM53" s="61"/>
      <c r="AN53" s="69">
        <f>IFERROR(ABS(AM$23-AM52),Q_max*10)</f>
        <v>35.039996048788623</v>
      </c>
      <c r="AO53" s="75">
        <f>AM44</f>
        <v>521.53495603129363</v>
      </c>
      <c r="AP53" s="61"/>
      <c r="AQ53" s="69">
        <f>IFERROR(ABS(AP$23-AP52),Q_max*10)</f>
        <v>56.286627958790092</v>
      </c>
      <c r="AR53" s="75">
        <f>AP44</f>
        <v>605.48589309258932</v>
      </c>
      <c r="AS53" s="61"/>
      <c r="AT53" s="69">
        <f>IFERROR(ABS(AS$23-AS52),Q_max*10)</f>
        <v>85.613061912657656</v>
      </c>
      <c r="AU53" s="75">
        <f>AS44</f>
        <v>689.09942632582499</v>
      </c>
      <c r="AV53" s="61"/>
    </row>
    <row r="54" spans="1:48" ht="14.5" x14ac:dyDescent="0.35">
      <c r="A54" s="368"/>
      <c r="B54" s="369"/>
      <c r="C54" s="369"/>
      <c r="D54" s="369"/>
      <c r="E54" s="369"/>
      <c r="F54" s="369"/>
      <c r="G54" s="369"/>
      <c r="H54" s="370"/>
      <c r="I54" s="166"/>
      <c r="J54" s="166"/>
      <c r="K54" s="142"/>
      <c r="O54" s="6"/>
      <c r="P54" s="6"/>
      <c r="Q54" s="60"/>
      <c r="R54" s="67"/>
      <c r="S54" s="56"/>
      <c r="T54" s="72"/>
      <c r="U54" s="61"/>
      <c r="V54" s="44"/>
      <c r="W54" s="72"/>
      <c r="Y54" s="11"/>
      <c r="Z54" s="38"/>
      <c r="AB54" s="11"/>
      <c r="AC54" s="38"/>
      <c r="AE54" s="11"/>
      <c r="AF54" s="38"/>
      <c r="AH54" s="11"/>
      <c r="AI54" s="38"/>
      <c r="AK54" s="11"/>
      <c r="AL54" s="38"/>
      <c r="AN54" s="11"/>
      <c r="AO54" s="38"/>
      <c r="AQ54" s="11"/>
      <c r="AR54" s="38"/>
      <c r="AT54" s="11"/>
      <c r="AU54" s="38"/>
    </row>
    <row r="55" spans="1:48" ht="14" x14ac:dyDescent="0.3">
      <c r="A55" s="368"/>
      <c r="B55" s="369"/>
      <c r="C55" s="369"/>
      <c r="D55" s="369"/>
      <c r="E55" s="369"/>
      <c r="F55" s="369"/>
      <c r="G55" s="369"/>
      <c r="H55" s="370"/>
      <c r="I55" s="166"/>
      <c r="J55" s="166"/>
      <c r="K55" s="142"/>
      <c r="O55" s="8" t="s">
        <v>235</v>
      </c>
      <c r="P55" s="6"/>
      <c r="Q55" s="60"/>
      <c r="R55" s="53">
        <f>R44*1.02</f>
        <v>0.83232000000000006</v>
      </c>
      <c r="S55" s="58" t="s">
        <v>238</v>
      </c>
      <c r="T55" s="73" t="s">
        <v>241</v>
      </c>
      <c r="U55" s="84">
        <f>U44*1.01</f>
        <v>28.824624053811821</v>
      </c>
      <c r="V55" s="58" t="s">
        <v>238</v>
      </c>
      <c r="W55" s="73" t="s">
        <v>241</v>
      </c>
      <c r="X55" s="84">
        <f>X44*1.01</f>
        <v>69.190193405178164</v>
      </c>
      <c r="Y55" s="58" t="s">
        <v>238</v>
      </c>
      <c r="Z55" s="73" t="s">
        <v>241</v>
      </c>
      <c r="AA55" s="84">
        <f>AA44*1.01</f>
        <v>132.1094365981491</v>
      </c>
      <c r="AB55" s="58" t="s">
        <v>238</v>
      </c>
      <c r="AC55" s="73" t="s">
        <v>241</v>
      </c>
      <c r="AD55" s="84">
        <f>AD44*1.01</f>
        <v>217.27138339518288</v>
      </c>
      <c r="AE55" s="58" t="s">
        <v>238</v>
      </c>
      <c r="AF55" s="73" t="s">
        <v>241</v>
      </c>
      <c r="AG55" s="84">
        <f>AG44*1.01</f>
        <v>323.48748308363002</v>
      </c>
      <c r="AH55" s="58" t="s">
        <v>238</v>
      </c>
      <c r="AI55" s="73" t="s">
        <v>241</v>
      </c>
      <c r="AJ55" s="84">
        <f>AJ44*1.01</f>
        <v>431.69530019608169</v>
      </c>
      <c r="AK55" s="58" t="s">
        <v>238</v>
      </c>
      <c r="AL55" s="73" t="s">
        <v>241</v>
      </c>
      <c r="AM55" s="84">
        <f>AM44*1.01</f>
        <v>526.75030559160655</v>
      </c>
      <c r="AN55" s="58" t="s">
        <v>238</v>
      </c>
      <c r="AO55" s="73" t="s">
        <v>241</v>
      </c>
      <c r="AP55" s="84">
        <f>AP44*1.01</f>
        <v>611.54075202351521</v>
      </c>
      <c r="AQ55" s="58" t="s">
        <v>238</v>
      </c>
      <c r="AR55" s="73" t="s">
        <v>241</v>
      </c>
      <c r="AS55" s="84">
        <f>AS44*1.01</f>
        <v>695.99042058908321</v>
      </c>
      <c r="AT55" s="58" t="s">
        <v>238</v>
      </c>
      <c r="AU55" s="73" t="s">
        <v>241</v>
      </c>
    </row>
    <row r="56" spans="1:48" ht="13" x14ac:dyDescent="0.25">
      <c r="A56" s="368"/>
      <c r="B56" s="369"/>
      <c r="C56" s="369"/>
      <c r="D56" s="369"/>
      <c r="E56" s="369"/>
      <c r="F56" s="369"/>
      <c r="G56" s="369"/>
      <c r="H56" s="370"/>
      <c r="I56" s="166"/>
      <c r="J56" s="166"/>
      <c r="K56" s="142"/>
      <c r="O56" s="6"/>
      <c r="P56" s="6"/>
      <c r="Q56" s="60"/>
      <c r="R56" s="70"/>
      <c r="S56" s="63" t="s">
        <v>250</v>
      </c>
      <c r="T56" s="71" t="s">
        <v>242</v>
      </c>
      <c r="U56" s="61"/>
      <c r="V56" s="63" t="s">
        <v>250</v>
      </c>
      <c r="W56" s="71" t="s">
        <v>242</v>
      </c>
      <c r="X56" s="61"/>
      <c r="Y56" s="63" t="s">
        <v>250</v>
      </c>
      <c r="Z56" s="71" t="s">
        <v>242</v>
      </c>
      <c r="AA56" s="61"/>
      <c r="AB56" s="63" t="s">
        <v>250</v>
      </c>
      <c r="AC56" s="71" t="s">
        <v>242</v>
      </c>
      <c r="AD56" s="61"/>
      <c r="AE56" s="63" t="s">
        <v>250</v>
      </c>
      <c r="AF56" s="71" t="s">
        <v>242</v>
      </c>
      <c r="AG56" s="61"/>
      <c r="AH56" s="63" t="s">
        <v>250</v>
      </c>
      <c r="AI56" s="71" t="s">
        <v>242</v>
      </c>
      <c r="AJ56" s="61"/>
      <c r="AK56" s="63" t="s">
        <v>250</v>
      </c>
      <c r="AL56" s="71" t="s">
        <v>242</v>
      </c>
      <c r="AM56" s="61"/>
      <c r="AN56" s="63" t="s">
        <v>250</v>
      </c>
      <c r="AO56" s="71" t="s">
        <v>242</v>
      </c>
      <c r="AP56" s="61"/>
      <c r="AQ56" s="63" t="s">
        <v>250</v>
      </c>
      <c r="AR56" s="71" t="s">
        <v>242</v>
      </c>
      <c r="AS56" s="61"/>
      <c r="AT56" s="63" t="s">
        <v>250</v>
      </c>
      <c r="AU56" s="71" t="s">
        <v>242</v>
      </c>
    </row>
    <row r="57" spans="1:48" ht="13" x14ac:dyDescent="0.3">
      <c r="A57" s="368"/>
      <c r="B57" s="369"/>
      <c r="C57" s="369"/>
      <c r="D57" s="369"/>
      <c r="E57" s="369"/>
      <c r="F57" s="369"/>
      <c r="G57" s="369"/>
      <c r="H57" s="370"/>
      <c r="I57" s="166"/>
      <c r="J57" s="166"/>
      <c r="K57" s="142"/>
      <c r="O57" s="6" t="s">
        <v>231</v>
      </c>
      <c r="P57" s="6"/>
      <c r="Q57" s="60"/>
      <c r="R57" s="85">
        <f>P_1_minQ-(R55^2*R_up)+dpup_minQ</f>
        <v>56.916119798832071</v>
      </c>
      <c r="S57" s="56"/>
      <c r="T57" s="72"/>
      <c r="U57" s="53">
        <f>P_1_minQ-(U55^2*R_up)+dpup_minQ</f>
        <v>56.888083115439258</v>
      </c>
      <c r="V57" s="44"/>
      <c r="W57" s="72"/>
      <c r="X57" s="53">
        <f>P_1_minQ-(X55^2*R_up)+dpup_minQ</f>
        <v>56.754465286611079</v>
      </c>
      <c r="Y57" s="44"/>
      <c r="Z57" s="72"/>
      <c r="AA57" s="53">
        <f>P_1_minQ-(AA55^2*R_up)+dpup_minQ</f>
        <v>56.326717215863546</v>
      </c>
      <c r="AB57" s="44"/>
      <c r="AC57" s="72"/>
      <c r="AD57" s="53">
        <f>P_1_minQ-(AD55^2*R_up)+dpup_minQ</f>
        <v>55.321855655438817</v>
      </c>
      <c r="AE57" s="44"/>
      <c r="AF57" s="72"/>
      <c r="AG57" s="53">
        <f>P_1_minQ-(AG55^2*R_up)+dpup_minQ</f>
        <v>53.382061745633848</v>
      </c>
      <c r="AH57" s="44"/>
      <c r="AI57" s="72"/>
      <c r="AJ57" s="53">
        <f>P_1_minQ-(AJ55^2*R_up)+dpup_minQ</f>
        <v>50.622295433590509</v>
      </c>
      <c r="AK57" s="44"/>
      <c r="AL57" s="72"/>
      <c r="AM57" s="53">
        <f>P_1_minQ-(AM55^2*R_up)+dpup_minQ</f>
        <v>47.545461518377209</v>
      </c>
      <c r="AN57" s="44"/>
      <c r="AO57" s="72"/>
      <c r="AP57" s="53">
        <f>P_1_minQ-(AP55^2*R_up)+dpup_minQ</f>
        <v>44.28588006128043</v>
      </c>
      <c r="AQ57" s="44"/>
      <c r="AR57" s="72"/>
      <c r="AS57" s="53">
        <f>P_1_minQ-(AS55^2*R_up)+dpup_minQ</f>
        <v>40.556715111389089</v>
      </c>
      <c r="AT57" s="44"/>
      <c r="AU57" s="72"/>
    </row>
    <row r="58" spans="1:48" ht="12.75" customHeight="1" x14ac:dyDescent="0.3">
      <c r="A58" s="368"/>
      <c r="B58" s="369"/>
      <c r="C58" s="369"/>
      <c r="D58" s="369"/>
      <c r="E58" s="369"/>
      <c r="F58" s="369"/>
      <c r="G58" s="369"/>
      <c r="H58" s="370"/>
      <c r="I58" s="166"/>
      <c r="J58" s="166"/>
      <c r="K58" s="142"/>
      <c r="O58" s="6" t="s">
        <v>233</v>
      </c>
      <c r="P58" s="6"/>
      <c r="Q58" s="60"/>
      <c r="R58" s="85">
        <f>P_2_minQ+(R55^2*R_dn)-dpdn_minQ</f>
        <v>24.656776040233588</v>
      </c>
      <c r="S58" s="66"/>
      <c r="T58" s="74"/>
      <c r="U58" s="53">
        <f>P_2_minQ+(U55^2*R_dn)-dpdn_minQ</f>
        <v>24.66238337691215</v>
      </c>
      <c r="V58" s="45"/>
      <c r="W58" s="74"/>
      <c r="X58" s="53">
        <f>P_2_minQ+(X55^2*R_dn)-dpdn_minQ</f>
        <v>24.689106942677785</v>
      </c>
      <c r="Y58" s="45"/>
      <c r="Z58" s="74"/>
      <c r="AA58" s="53">
        <f>P_2_minQ+(AA55^2*R_dn)-dpdn_minQ</f>
        <v>24.774656556827292</v>
      </c>
      <c r="AB58" s="45"/>
      <c r="AC58" s="74"/>
      <c r="AD58" s="53">
        <f>P_2_minQ+(AD55^2*R_dn)-dpdn_minQ</f>
        <v>24.975628868912239</v>
      </c>
      <c r="AE58" s="45"/>
      <c r="AF58" s="74"/>
      <c r="AG58" s="53">
        <f>P_2_minQ+(AG55^2*R_dn)-dpdn_minQ</f>
        <v>25.363587650873232</v>
      </c>
      <c r="AH58" s="45"/>
      <c r="AI58" s="74"/>
      <c r="AJ58" s="53">
        <f>P_2_minQ+(AJ55^2*R_dn)-dpdn_minQ</f>
        <v>25.915540913281898</v>
      </c>
      <c r="AK58" s="45"/>
      <c r="AL58" s="74"/>
      <c r="AM58" s="53">
        <f>P_2_minQ+(AM55^2*R_dn)-dpdn_minQ</f>
        <v>26.530907696324558</v>
      </c>
      <c r="AN58" s="45"/>
      <c r="AO58" s="74"/>
      <c r="AP58" s="53">
        <f>P_2_minQ+(AP55^2*R_dn)-dpdn_minQ</f>
        <v>27.182823987743916</v>
      </c>
      <c r="AQ58" s="45"/>
      <c r="AR58" s="74"/>
      <c r="AS58" s="53">
        <f>P_2_minQ+(AS55^2*R_dn)-dpdn_minQ</f>
        <v>27.928656977722181</v>
      </c>
      <c r="AT58" s="45"/>
      <c r="AU58" s="74"/>
    </row>
    <row r="59" spans="1:48" x14ac:dyDescent="0.25">
      <c r="A59" s="368"/>
      <c r="B59" s="369"/>
      <c r="C59" s="369"/>
      <c r="D59" s="369"/>
      <c r="E59" s="369"/>
      <c r="F59" s="369"/>
      <c r="G59" s="369"/>
      <c r="H59" s="370"/>
      <c r="I59" s="166"/>
      <c r="J59" s="166"/>
      <c r="K59" s="142"/>
      <c r="O59" s="6" t="s">
        <v>243</v>
      </c>
      <c r="Q59" s="60"/>
      <c r="R59" s="53">
        <f>R57-R58</f>
        <v>32.259343758598483</v>
      </c>
      <c r="S59" s="56"/>
      <c r="T59" s="72"/>
      <c r="U59" s="64">
        <f>U57-U58</f>
        <v>32.225699738527112</v>
      </c>
      <c r="V59" s="44"/>
      <c r="W59" s="72"/>
      <c r="X59" s="64">
        <f>X57-X58</f>
        <v>32.065358343933298</v>
      </c>
      <c r="Y59" s="44"/>
      <c r="Z59" s="72"/>
      <c r="AA59" s="64">
        <f>AA57-AA58</f>
        <v>31.552060659036254</v>
      </c>
      <c r="AB59" s="44"/>
      <c r="AC59" s="72"/>
      <c r="AD59" s="64">
        <f>AD57-AD58</f>
        <v>30.346226786526579</v>
      </c>
      <c r="AE59" s="44"/>
      <c r="AF59" s="72"/>
      <c r="AG59" s="64">
        <f>AG57-AG58</f>
        <v>28.018474094760617</v>
      </c>
      <c r="AH59" s="44"/>
      <c r="AI59" s="72"/>
      <c r="AJ59" s="64">
        <f>AJ57-AJ58</f>
        <v>24.706754520308611</v>
      </c>
      <c r="AK59" s="44"/>
      <c r="AL59" s="72"/>
      <c r="AM59" s="64">
        <f>AM57-AM58</f>
        <v>21.014553822052651</v>
      </c>
      <c r="AN59" s="44"/>
      <c r="AO59" s="72"/>
      <c r="AP59" s="64">
        <f>AP57-AP58</f>
        <v>17.103056073536514</v>
      </c>
      <c r="AQ59" s="44"/>
      <c r="AR59" s="72"/>
      <c r="AS59" s="64">
        <f>AS57-AS58</f>
        <v>12.628058133666908</v>
      </c>
      <c r="AT59" s="44"/>
      <c r="AU59" s="72"/>
    </row>
    <row r="60" spans="1:48" ht="12.75" customHeight="1" x14ac:dyDescent="0.3">
      <c r="A60" s="368"/>
      <c r="B60" s="369"/>
      <c r="C60" s="369"/>
      <c r="D60" s="369"/>
      <c r="E60" s="369"/>
      <c r="F60" s="369"/>
      <c r="G60" s="369"/>
      <c r="H60" s="370"/>
      <c r="I60" s="166"/>
      <c r="J60" s="166"/>
      <c r="K60" s="142"/>
      <c r="O60" s="6" t="s">
        <v>75</v>
      </c>
      <c r="P60" s="6">
        <v>3</v>
      </c>
      <c r="Q60" s="65"/>
      <c r="R60" s="85">
        <f>(F_LP_h/F_P_h)^2*(R57-('Valve Sizing'!$V$4*'Valve Sizing'!$G$7))</f>
        <v>46.765143868572608</v>
      </c>
      <c r="S60" s="58"/>
      <c r="T60" s="73"/>
      <c r="U60" s="53">
        <f>(U$29/U$27)^2*(U57-('Valve Sizing'!$V$4*'Valve Sizing'!$G$7))</f>
        <v>46.729188104467248</v>
      </c>
      <c r="V60" s="41"/>
      <c r="W60" s="73"/>
      <c r="X60" s="53">
        <f>(X$29/X$27)^2*(X57-('Valve Sizing'!$V$4*'Valve Sizing'!$G$7))</f>
        <v>45.567003678413215</v>
      </c>
      <c r="Y60" s="41"/>
      <c r="Z60" s="73"/>
      <c r="AA60" s="53">
        <f>(AA$29/AA$27)^2*(AA57-('Valve Sizing'!$V$4*'Valve Sizing'!$G$7))</f>
        <v>43.189055208567304</v>
      </c>
      <c r="AB60" s="41"/>
      <c r="AC60" s="73"/>
      <c r="AD60" s="53">
        <f>(AD$29/AD$27)^2*(AD57-('Valve Sizing'!$V$4*'Valve Sizing'!$G$7))</f>
        <v>39.580061591008786</v>
      </c>
      <c r="AE60" s="41"/>
      <c r="AF60" s="73"/>
      <c r="AG60" s="53">
        <f>(AG$29/AG$27)^2*(AG57-('Valve Sizing'!$V$4*'Valve Sizing'!$G$7))</f>
        <v>34.096977489092929</v>
      </c>
      <c r="AH60" s="41"/>
      <c r="AI60" s="73"/>
      <c r="AJ60" s="53">
        <f>(AJ$29/AJ$27)^2*(AJ57-('Valve Sizing'!$V$4*'Valve Sizing'!$G$7))</f>
        <v>29.023616589922906</v>
      </c>
      <c r="AK60" s="41"/>
      <c r="AL60" s="73"/>
      <c r="AM60" s="53">
        <f>(AM$29/AM$27)^2*(AM57-('Valve Sizing'!$V$4*'Valve Sizing'!$G$7))</f>
        <v>22.538623823688081</v>
      </c>
      <c r="AN60" s="41"/>
      <c r="AO60" s="73"/>
      <c r="AP60" s="53">
        <f>(AP$29/AP$27)^2*(AP57-('Valve Sizing'!$V$4*'Valve Sizing'!$G$7))</f>
        <v>17.302737783601341</v>
      </c>
      <c r="AQ60" s="41"/>
      <c r="AR60" s="73"/>
      <c r="AS60" s="53">
        <f>(AS$29/AS$27)^2*(AS57-('Valve Sizing'!$V$4*'Valve Sizing'!$G$7))</f>
        <v>15.089511387186231</v>
      </c>
      <c r="AT60" s="41"/>
      <c r="AU60" s="73"/>
    </row>
    <row r="61" spans="1:48" ht="13" x14ac:dyDescent="0.25">
      <c r="A61" s="368"/>
      <c r="B61" s="369"/>
      <c r="C61" s="369"/>
      <c r="D61" s="369"/>
      <c r="E61" s="369"/>
      <c r="F61" s="369"/>
      <c r="G61" s="369"/>
      <c r="H61" s="370"/>
      <c r="I61" s="166"/>
      <c r="J61" s="166"/>
      <c r="K61" s="142"/>
      <c r="O61" s="1" t="s">
        <v>69</v>
      </c>
      <c r="P61" s="17">
        <v>7</v>
      </c>
      <c r="Q61" s="65"/>
      <c r="R61" s="53">
        <f>(R55/(N_1*F_P_h))*SQRT('Valve Sizing'!$G$6/R59)</f>
        <v>0.14656359022448867</v>
      </c>
      <c r="S61" s="58"/>
      <c r="T61" s="73"/>
      <c r="U61" s="64">
        <f>(U55/(N_1*U$27))*SQRT('Valve Sizing'!$G$6/U59)</f>
        <v>5.0819237437624762</v>
      </c>
      <c r="V61" s="41"/>
      <c r="W61" s="73"/>
      <c r="X61" s="64">
        <f>(X55/(N_1*X$27))*SQRT('Valve Sizing'!$G$6/X59)</f>
        <v>12.256509703482772</v>
      </c>
      <c r="Y61" s="41"/>
      <c r="Z61" s="73"/>
      <c r="AA61" s="64">
        <f>(AA55/(N_1*AA$27))*SQRT('Valve Sizing'!$G$6/AA59)</f>
        <v>23.727480170698581</v>
      </c>
      <c r="AB61" s="41"/>
      <c r="AC61" s="73"/>
      <c r="AD61" s="64">
        <f>(AD55/(N_1*AD$27))*SQRT('Valve Sizing'!$G$6/AD59)</f>
        <v>40.290905285981658</v>
      </c>
      <c r="AE61" s="41"/>
      <c r="AF61" s="73"/>
      <c r="AG61" s="64">
        <f>(AG55/(N_1*AG$27))*SQRT('Valve Sizing'!$G$6/AG59)</f>
        <v>63.822718041973793</v>
      </c>
      <c r="AH61" s="41"/>
      <c r="AI61" s="73"/>
      <c r="AJ61" s="64">
        <f>(AJ55/(N_1*AJ$27))*SQRT('Valve Sizing'!$G$6/AJ59)</f>
        <v>93.997146263716459</v>
      </c>
      <c r="AK61" s="41"/>
      <c r="AL61" s="73"/>
      <c r="AM61" s="64">
        <f>(AM55/(N_1*AM$27))*SQRT('Valve Sizing'!$G$6/AM59)</f>
        <v>131.94975863243832</v>
      </c>
      <c r="AN61" s="41"/>
      <c r="AO61" s="73"/>
      <c r="AP61" s="64">
        <f>(AP55/(N_1*AP$27))*SQRT('Valve Sizing'!$G$6/AP59)</f>
        <v>193.27198172156272</v>
      </c>
      <c r="AQ61" s="41"/>
      <c r="AR61" s="73"/>
      <c r="AS61" s="64">
        <f>(AS55/(N_1*AS$27))*SQRT('Valve Sizing'!$G$6/AS59)</f>
        <v>342.86436686776324</v>
      </c>
      <c r="AT61" s="41"/>
      <c r="AU61" s="73"/>
    </row>
    <row r="62" spans="1:48" ht="13" x14ac:dyDescent="0.3">
      <c r="A62" s="368"/>
      <c r="B62" s="369"/>
      <c r="C62" s="369"/>
      <c r="D62" s="369"/>
      <c r="E62" s="369"/>
      <c r="F62" s="369"/>
      <c r="G62" s="369"/>
      <c r="H62" s="370"/>
      <c r="I62" s="166"/>
      <c r="J62" s="166"/>
      <c r="K62" s="142"/>
      <c r="O62" s="1" t="s">
        <v>72</v>
      </c>
      <c r="P62" s="17">
        <v>7</v>
      </c>
      <c r="Q62" s="65"/>
      <c r="R62" s="53">
        <f>(R55/(N_1*F_P_h))*SQRT('Valve Sizing'!$G$6/R60)</f>
        <v>0.12172862650238794</v>
      </c>
      <c r="S62" s="56"/>
      <c r="T62" s="72"/>
      <c r="U62" s="85">
        <f>(U55/(N_1*U$27))*SQRT('Valve Sizing'!$G$6/U60)</f>
        <v>4.2202210989998159</v>
      </c>
      <c r="V62" s="44"/>
      <c r="W62" s="72"/>
      <c r="X62" s="85">
        <f>(X55/(N_1*X$27))*SQRT('Valve Sizing'!$G$6/X60)</f>
        <v>10.281574489225745</v>
      </c>
      <c r="Y62" s="44"/>
      <c r="Z62" s="72"/>
      <c r="AA62" s="85">
        <f>(AA55/(N_1*AA$27))*SQRT('Valve Sizing'!$G$6/AA60)</f>
        <v>20.280498758356611</v>
      </c>
      <c r="AB62" s="44"/>
      <c r="AC62" s="72"/>
      <c r="AD62" s="85">
        <f>(AD55/(N_1*AD$27))*SQRT('Valve Sizing'!$G$6/AD60)</f>
        <v>35.279396086805484</v>
      </c>
      <c r="AE62" s="44"/>
      <c r="AF62" s="72"/>
      <c r="AG62" s="85">
        <f>(AG55/(N_1*AG$27))*SQRT('Valve Sizing'!$G$6/AG60)</f>
        <v>57.854826309044711</v>
      </c>
      <c r="AH62" s="44"/>
      <c r="AI62" s="72"/>
      <c r="AJ62" s="85">
        <f>(AJ55/(N_1*AJ$27))*SQRT('Valve Sizing'!$G$6/AJ60)</f>
        <v>86.725488479209247</v>
      </c>
      <c r="AK62" s="44"/>
      <c r="AL62" s="72"/>
      <c r="AM62" s="85">
        <f>(AM55/(N_1*AM$27))*SQRT('Valve Sizing'!$G$6/AM60)</f>
        <v>127.41043232635312</v>
      </c>
      <c r="AN62" s="44"/>
      <c r="AO62" s="72"/>
      <c r="AP62" s="85">
        <f>(AP55/(N_1*AP$27))*SQRT('Valve Sizing'!$G$6/AP60)</f>
        <v>192.15352080386626</v>
      </c>
      <c r="AQ62" s="44"/>
      <c r="AR62" s="72"/>
      <c r="AS62" s="85">
        <f>(AS55/(N_1*AS$27))*SQRT('Valve Sizing'!$G$6/AS60)</f>
        <v>313.65560293441825</v>
      </c>
      <c r="AT62" s="44"/>
      <c r="AU62" s="72"/>
    </row>
    <row r="63" spans="1:48" x14ac:dyDescent="0.25">
      <c r="A63" s="368"/>
      <c r="B63" s="369"/>
      <c r="C63" s="369"/>
      <c r="D63" s="369"/>
      <c r="E63" s="369"/>
      <c r="F63" s="369"/>
      <c r="G63" s="369"/>
      <c r="H63" s="370"/>
      <c r="K63" s="142"/>
      <c r="O63" s="1" t="s">
        <v>246</v>
      </c>
      <c r="P63" s="18"/>
      <c r="Q63" s="65"/>
      <c r="R63" s="53">
        <f>IF(R59&lt;R60,R61,R62)</f>
        <v>0.14656359022448867</v>
      </c>
      <c r="S63" s="49"/>
      <c r="T63" s="72"/>
      <c r="U63" s="64">
        <f>IF(U59&lt;U60,U61,U62)</f>
        <v>5.0819237437624762</v>
      </c>
      <c r="V63" s="44"/>
      <c r="W63" s="72"/>
      <c r="X63" s="64">
        <f>IF(X59&lt;X60,X61,X62)</f>
        <v>12.256509703482772</v>
      </c>
      <c r="Y63" s="44"/>
      <c r="Z63" s="72"/>
      <c r="AA63" s="64">
        <f>IF(AA59&lt;AA60,AA61,AA62)</f>
        <v>23.727480170698581</v>
      </c>
      <c r="AB63" s="44"/>
      <c r="AC63" s="72"/>
      <c r="AD63" s="64">
        <f>IF(AD59&lt;AD60,AD61,AD62)</f>
        <v>40.290905285981658</v>
      </c>
      <c r="AE63" s="44"/>
      <c r="AF63" s="72"/>
      <c r="AG63" s="64">
        <f>IF(AG59&lt;AG60,AG61,AG62)</f>
        <v>63.822718041973793</v>
      </c>
      <c r="AH63" s="44"/>
      <c r="AI63" s="72"/>
      <c r="AJ63" s="64">
        <f>IF(AJ59&lt;AJ60,AJ61,AJ62)</f>
        <v>93.997146263716459</v>
      </c>
      <c r="AK63" s="44"/>
      <c r="AL63" s="72"/>
      <c r="AM63" s="64">
        <f>IF(AM59&lt;AM60,AM61,AM62)</f>
        <v>131.94975863243832</v>
      </c>
      <c r="AN63" s="44"/>
      <c r="AO63" s="72"/>
      <c r="AP63" s="64">
        <f>IF(AP59&lt;AP60,AP61,AP62)</f>
        <v>193.27198172156272</v>
      </c>
      <c r="AQ63" s="44"/>
      <c r="AR63" s="72"/>
      <c r="AS63" s="64">
        <f>IF(AS59&lt;AS60,AS61,AS62)</f>
        <v>342.86436686776324</v>
      </c>
      <c r="AT63" s="44"/>
      <c r="AU63" s="72"/>
    </row>
    <row r="64" spans="1:48" ht="13" x14ac:dyDescent="0.3">
      <c r="A64" s="368"/>
      <c r="B64" s="369"/>
      <c r="C64" s="369"/>
      <c r="D64" s="369"/>
      <c r="E64" s="369"/>
      <c r="F64" s="369"/>
      <c r="G64" s="369"/>
      <c r="H64" s="370"/>
      <c r="K64" s="142"/>
      <c r="O64" s="7" t="s">
        <v>264</v>
      </c>
      <c r="Q64" s="61"/>
      <c r="R64" s="53"/>
      <c r="S64" s="69">
        <f>IFERROR(ABS(C_h-R63),Q_max*10)</f>
        <v>4.8534364097755116</v>
      </c>
      <c r="T64" s="76">
        <f>R55</f>
        <v>0.83232000000000006</v>
      </c>
      <c r="U64" s="61"/>
      <c r="V64" s="69">
        <f>IFERROR(ABS(U$23-U63),Q_max*10)</f>
        <v>6.9180762562375238</v>
      </c>
      <c r="W64" s="75">
        <f>U55</f>
        <v>28.824624053811821</v>
      </c>
      <c r="X64" s="61"/>
      <c r="Y64" s="69">
        <f>IFERROR(ABS(X$23-X63),Q_max*10)</f>
        <v>10.743490296517228</v>
      </c>
      <c r="Z64" s="75">
        <f>X55</f>
        <v>69.190193405178164</v>
      </c>
      <c r="AA64" s="61"/>
      <c r="AB64" s="69">
        <f>IFERROR(ABS(AA$23-AA63),Q_max*10)</f>
        <v>15.272519829301419</v>
      </c>
      <c r="AC64" s="75">
        <f>AA55</f>
        <v>132.1094365981491</v>
      </c>
      <c r="AD64" s="61"/>
      <c r="AE64" s="69">
        <f>IFERROR(ABS(AD$23-AD63),Q_max*10)</f>
        <v>20.709094714018342</v>
      </c>
      <c r="AF64" s="75">
        <f>AD55</f>
        <v>217.27138339518288</v>
      </c>
      <c r="AG64" s="61"/>
      <c r="AH64" s="69">
        <f>IFERROR(ABS(AG$23-AG63),Q_max*10)</f>
        <v>24.177281958026207</v>
      </c>
      <c r="AI64" s="75">
        <f>AG55</f>
        <v>323.48748308363002</v>
      </c>
      <c r="AJ64" s="61"/>
      <c r="AK64" s="69">
        <f>IFERROR(ABS(AJ$23-AJ63),Q_max*10)</f>
        <v>27.002853736283541</v>
      </c>
      <c r="AL64" s="75">
        <f>AJ55</f>
        <v>431.69530019608169</v>
      </c>
      <c r="AM64" s="61"/>
      <c r="AN64" s="69">
        <f>IFERROR(ABS(AM$23-AM63),Q_max*10)</f>
        <v>33.050241367561682</v>
      </c>
      <c r="AO64" s="75">
        <f>AM55</f>
        <v>526.75030559160655</v>
      </c>
      <c r="AP64" s="61"/>
      <c r="AQ64" s="69">
        <f>IFERROR(ABS(AP$23-AP63),Q_max*10)</f>
        <v>52.728018278437276</v>
      </c>
      <c r="AR64" s="75">
        <f>AP55</f>
        <v>611.54075202351521</v>
      </c>
      <c r="AS64" s="61"/>
      <c r="AT64" s="69">
        <f>IFERROR(ABS(AS$23-AS63),Q_max*10)</f>
        <v>77.135633132236762</v>
      </c>
      <c r="AU64" s="75">
        <f>AS55</f>
        <v>695.99042058908321</v>
      </c>
    </row>
    <row r="65" spans="1:47" ht="14.5" x14ac:dyDescent="0.35">
      <c r="A65" s="368"/>
      <c r="B65" s="369"/>
      <c r="C65" s="369"/>
      <c r="D65" s="369"/>
      <c r="E65" s="369"/>
      <c r="F65" s="369"/>
      <c r="G65" s="369"/>
      <c r="H65" s="370"/>
      <c r="K65" s="142"/>
      <c r="O65" s="8"/>
      <c r="P65" s="6"/>
      <c r="Q65" s="60"/>
      <c r="R65" s="67"/>
      <c r="S65" s="58"/>
      <c r="T65" s="73"/>
      <c r="V65" s="11"/>
      <c r="W65" s="38"/>
      <c r="Y65" s="11"/>
      <c r="Z65" s="38"/>
      <c r="AB65" s="11"/>
      <c r="AC65" s="38"/>
      <c r="AE65" s="11"/>
      <c r="AF65" s="38"/>
      <c r="AH65" s="11"/>
      <c r="AI65" s="38"/>
      <c r="AK65" s="11"/>
      <c r="AL65" s="38"/>
      <c r="AN65" s="11"/>
      <c r="AO65" s="38"/>
      <c r="AQ65" s="11"/>
      <c r="AR65" s="38"/>
      <c r="AT65" s="11"/>
      <c r="AU65" s="38"/>
    </row>
    <row r="66" spans="1:47" ht="14" x14ac:dyDescent="0.3">
      <c r="A66" s="368"/>
      <c r="B66" s="369"/>
      <c r="C66" s="369"/>
      <c r="D66" s="369"/>
      <c r="E66" s="369"/>
      <c r="F66" s="369"/>
      <c r="G66" s="369"/>
      <c r="H66" s="370"/>
      <c r="K66" s="142"/>
      <c r="O66" s="8" t="s">
        <v>235</v>
      </c>
      <c r="P66" s="6"/>
      <c r="Q66" s="60"/>
      <c r="R66" s="53">
        <f>R55*1.02</f>
        <v>0.84896640000000012</v>
      </c>
      <c r="S66" s="58" t="s">
        <v>238</v>
      </c>
      <c r="T66" s="73" t="s">
        <v>241</v>
      </c>
      <c r="U66" s="84">
        <f>U55*1.01</f>
        <v>29.112870294349939</v>
      </c>
      <c r="V66" s="58" t="s">
        <v>238</v>
      </c>
      <c r="W66" s="73" t="s">
        <v>241</v>
      </c>
      <c r="X66" s="84">
        <f>X55*1.01</f>
        <v>69.882095339229949</v>
      </c>
      <c r="Y66" s="58" t="s">
        <v>238</v>
      </c>
      <c r="Z66" s="73" t="s">
        <v>241</v>
      </c>
      <c r="AA66" s="84">
        <f>AA55*1.01</f>
        <v>133.43053096413058</v>
      </c>
      <c r="AB66" s="58" t="s">
        <v>238</v>
      </c>
      <c r="AC66" s="73" t="s">
        <v>241</v>
      </c>
      <c r="AD66" s="84">
        <f>AD55*1.01</f>
        <v>219.44409722913471</v>
      </c>
      <c r="AE66" s="58" t="s">
        <v>238</v>
      </c>
      <c r="AF66" s="73" t="s">
        <v>241</v>
      </c>
      <c r="AG66" s="84">
        <f>AG55*1.01</f>
        <v>326.72235791446633</v>
      </c>
      <c r="AH66" s="58" t="s">
        <v>238</v>
      </c>
      <c r="AI66" s="73" t="s">
        <v>241</v>
      </c>
      <c r="AJ66" s="84">
        <f>AJ55*1.01</f>
        <v>436.01225319804252</v>
      </c>
      <c r="AK66" s="58" t="s">
        <v>238</v>
      </c>
      <c r="AL66" s="73" t="s">
        <v>241</v>
      </c>
      <c r="AM66" s="84">
        <f>AM55*1.01</f>
        <v>532.01780864752266</v>
      </c>
      <c r="AN66" s="58" t="s">
        <v>238</v>
      </c>
      <c r="AO66" s="73" t="s">
        <v>241</v>
      </c>
      <c r="AP66" s="84">
        <f>AP55*1.01</f>
        <v>617.65615954375039</v>
      </c>
      <c r="AQ66" s="58" t="s">
        <v>238</v>
      </c>
      <c r="AR66" s="73" t="s">
        <v>241</v>
      </c>
      <c r="AS66" s="84">
        <f>AS55*1.01</f>
        <v>702.95032479497411</v>
      </c>
      <c r="AT66" s="58" t="s">
        <v>238</v>
      </c>
      <c r="AU66" s="73" t="s">
        <v>241</v>
      </c>
    </row>
    <row r="67" spans="1:47" ht="13" x14ac:dyDescent="0.25">
      <c r="A67" s="368"/>
      <c r="B67" s="369"/>
      <c r="C67" s="369"/>
      <c r="D67" s="369"/>
      <c r="E67" s="369"/>
      <c r="F67" s="369"/>
      <c r="G67" s="369"/>
      <c r="H67" s="370"/>
      <c r="K67" s="142"/>
      <c r="O67" s="6"/>
      <c r="P67" s="6"/>
      <c r="Q67" s="60"/>
      <c r="R67" s="70"/>
      <c r="S67" s="63" t="s">
        <v>250</v>
      </c>
      <c r="T67" s="71" t="s">
        <v>242</v>
      </c>
      <c r="U67" s="61"/>
      <c r="V67" s="63" t="s">
        <v>250</v>
      </c>
      <c r="W67" s="71" t="s">
        <v>242</v>
      </c>
      <c r="X67" s="61"/>
      <c r="Y67" s="63" t="s">
        <v>250</v>
      </c>
      <c r="Z67" s="71" t="s">
        <v>242</v>
      </c>
      <c r="AA67" s="61"/>
      <c r="AB67" s="63" t="s">
        <v>250</v>
      </c>
      <c r="AC67" s="71" t="s">
        <v>242</v>
      </c>
      <c r="AD67" s="61"/>
      <c r="AE67" s="63" t="s">
        <v>250</v>
      </c>
      <c r="AF67" s="71" t="s">
        <v>242</v>
      </c>
      <c r="AG67" s="61"/>
      <c r="AH67" s="63" t="s">
        <v>250</v>
      </c>
      <c r="AI67" s="71" t="s">
        <v>242</v>
      </c>
      <c r="AJ67" s="61"/>
      <c r="AK67" s="63" t="s">
        <v>250</v>
      </c>
      <c r="AL67" s="71" t="s">
        <v>242</v>
      </c>
      <c r="AM67" s="61"/>
      <c r="AN67" s="63" t="s">
        <v>250</v>
      </c>
      <c r="AO67" s="71" t="s">
        <v>242</v>
      </c>
      <c r="AP67" s="61"/>
      <c r="AQ67" s="63" t="s">
        <v>250</v>
      </c>
      <c r="AR67" s="71" t="s">
        <v>242</v>
      </c>
      <c r="AS67" s="61"/>
      <c r="AT67" s="63" t="s">
        <v>250</v>
      </c>
      <c r="AU67" s="71" t="s">
        <v>242</v>
      </c>
    </row>
    <row r="68" spans="1:47" ht="13.5" thickBot="1" x14ac:dyDescent="0.35">
      <c r="A68" s="371"/>
      <c r="B68" s="372"/>
      <c r="C68" s="372"/>
      <c r="D68" s="372"/>
      <c r="E68" s="372"/>
      <c r="F68" s="372"/>
      <c r="G68" s="372"/>
      <c r="H68" s="373"/>
      <c r="K68" s="142"/>
      <c r="O68" s="6" t="s">
        <v>231</v>
      </c>
      <c r="P68" s="6"/>
      <c r="Q68" s="60"/>
      <c r="R68" s="85">
        <f>P_1_minQ-(R66^2*R_up)+dpup_minQ</f>
        <v>56.916118853632277</v>
      </c>
      <c r="S68" s="56"/>
      <c r="T68" s="72"/>
      <c r="U68" s="53">
        <f>P_1_minQ-(U66^2*R_up)+dpup_minQ</f>
        <v>56.88751910784277</v>
      </c>
      <c r="V68" s="44"/>
      <c r="W68" s="72"/>
      <c r="X68" s="53">
        <f>P_1_minQ-(X66^2*R_up)+dpup_minQ</f>
        <v>56.75121556065514</v>
      </c>
      <c r="Y68" s="44"/>
      <c r="Z68" s="72"/>
      <c r="AA68" s="53">
        <f>P_1_minQ-(AA66^2*R_up)+dpup_minQ</f>
        <v>56.314869753685585</v>
      </c>
      <c r="AB68" s="44"/>
      <c r="AC68" s="72"/>
      <c r="AD68" s="53">
        <f>P_1_minQ-(AD66^2*R_up)+dpup_minQ</f>
        <v>55.289810475896324</v>
      </c>
      <c r="AE68" s="44"/>
      <c r="AF68" s="72"/>
      <c r="AG68" s="53">
        <f>P_1_minQ-(AG66^2*R_up)+dpup_minQ</f>
        <v>53.311026708504265</v>
      </c>
      <c r="AH68" s="44"/>
      <c r="AI68" s="72"/>
      <c r="AJ68" s="53">
        <f>P_1_minQ-(AJ66^2*R_up)+dpup_minQ</f>
        <v>50.495789093588854</v>
      </c>
      <c r="AK68" s="44"/>
      <c r="AL68" s="72"/>
      <c r="AM68" s="53">
        <f>P_1_minQ-(AM66^2*R_up)+dpup_minQ</f>
        <v>47.357110816679771</v>
      </c>
      <c r="AN68" s="44"/>
      <c r="AO68" s="72"/>
      <c r="AP68" s="53">
        <f>P_1_minQ-(AP66^2*R_up)+dpup_minQ</f>
        <v>44.032011772295341</v>
      </c>
      <c r="AQ68" s="44"/>
      <c r="AR68" s="72"/>
      <c r="AS68" s="53">
        <f>P_1_minQ-(AS66^2*R_up)+dpup_minQ</f>
        <v>40.227890606911195</v>
      </c>
      <c r="AT68" s="44"/>
      <c r="AU68" s="72"/>
    </row>
    <row r="69" spans="1:47" ht="13.5" thickTop="1" x14ac:dyDescent="0.3">
      <c r="O69" s="6" t="s">
        <v>233</v>
      </c>
      <c r="P69" s="6"/>
      <c r="Q69" s="60"/>
      <c r="R69" s="85">
        <f>P_2_minQ+(R66^2*R_dn)-dpdn_minQ</f>
        <v>24.656776229273547</v>
      </c>
      <c r="S69" s="66"/>
      <c r="T69" s="74"/>
      <c r="U69" s="53">
        <f>P_2_minQ+(U66^2*R_dn)-dpdn_minQ</f>
        <v>24.662496178431446</v>
      </c>
      <c r="V69" s="45"/>
      <c r="W69" s="74"/>
      <c r="X69" s="53">
        <f>P_2_minQ+(X66^2*R_dn)-dpdn_minQ</f>
        <v>24.689756887868974</v>
      </c>
      <c r="Y69" s="45"/>
      <c r="Z69" s="74"/>
      <c r="AA69" s="53">
        <f>P_2_minQ+(AA66^2*R_dn)-dpdn_minQ</f>
        <v>24.777026049262883</v>
      </c>
      <c r="AB69" s="45"/>
      <c r="AC69" s="74"/>
      <c r="AD69" s="53">
        <f>P_2_minQ+(AD66^2*R_dn)-dpdn_minQ</f>
        <v>24.982037904820736</v>
      </c>
      <c r="AE69" s="45"/>
      <c r="AF69" s="74"/>
      <c r="AG69" s="53">
        <f>P_2_minQ+(AG66^2*R_dn)-dpdn_minQ</f>
        <v>25.377794658299148</v>
      </c>
      <c r="AH69" s="45"/>
      <c r="AI69" s="74"/>
      <c r="AJ69" s="53">
        <f>P_2_minQ+(AJ66^2*R_dn)-dpdn_minQ</f>
        <v>25.940842181282228</v>
      </c>
      <c r="AK69" s="45"/>
      <c r="AL69" s="74"/>
      <c r="AM69" s="53">
        <f>P_2_minQ+(AM66^2*R_dn)-dpdn_minQ</f>
        <v>26.568577836664048</v>
      </c>
      <c r="AN69" s="45"/>
      <c r="AO69" s="74"/>
      <c r="AP69" s="53">
        <f>P_2_minQ+(AP66^2*R_dn)-dpdn_minQ</f>
        <v>27.233597645540932</v>
      </c>
      <c r="AQ69" s="45"/>
      <c r="AR69" s="74"/>
      <c r="AS69" s="53">
        <f>P_2_minQ+(AS66^2*R_dn)-dpdn_minQ</f>
        <v>27.994421878617761</v>
      </c>
      <c r="AT69" s="45"/>
      <c r="AU69" s="74"/>
    </row>
    <row r="70" spans="1:47" x14ac:dyDescent="0.25">
      <c r="O70" s="6" t="s">
        <v>243</v>
      </c>
      <c r="Q70" s="60"/>
      <c r="R70" s="53">
        <f>R68-R69</f>
        <v>32.25934262435873</v>
      </c>
      <c r="S70" s="56"/>
      <c r="T70" s="72"/>
      <c r="U70" s="64">
        <f>U68-U69</f>
        <v>32.225022929411324</v>
      </c>
      <c r="V70" s="44"/>
      <c r="W70" s="72"/>
      <c r="X70" s="64">
        <f>X68-X69</f>
        <v>32.061458672786166</v>
      </c>
      <c r="Y70" s="44"/>
      <c r="Z70" s="72"/>
      <c r="AA70" s="64">
        <f>AA68-AA69</f>
        <v>31.537843704422702</v>
      </c>
      <c r="AB70" s="44"/>
      <c r="AC70" s="72"/>
      <c r="AD70" s="64">
        <f>AD68-AD69</f>
        <v>30.307772571075589</v>
      </c>
      <c r="AE70" s="44"/>
      <c r="AF70" s="72"/>
      <c r="AG70" s="64">
        <f>AG68-AG69</f>
        <v>27.933232050205117</v>
      </c>
      <c r="AH70" s="44"/>
      <c r="AI70" s="72"/>
      <c r="AJ70" s="64">
        <f>AJ68-AJ69</f>
        <v>24.554946912306626</v>
      </c>
      <c r="AK70" s="44"/>
      <c r="AL70" s="72"/>
      <c r="AM70" s="64">
        <f>AM68-AM69</f>
        <v>20.788532980015724</v>
      </c>
      <c r="AN70" s="44"/>
      <c r="AO70" s="72"/>
      <c r="AP70" s="64">
        <f>AP68-AP69</f>
        <v>16.798414126754409</v>
      </c>
      <c r="AQ70" s="44"/>
      <c r="AR70" s="72"/>
      <c r="AS70" s="64">
        <f>AS68-AS69</f>
        <v>12.233468728293435</v>
      </c>
      <c r="AT70" s="44"/>
      <c r="AU70" s="72"/>
    </row>
    <row r="71" spans="1:47" ht="13" x14ac:dyDescent="0.3">
      <c r="O71" s="6" t="s">
        <v>75</v>
      </c>
      <c r="P71" s="6">
        <v>3</v>
      </c>
      <c r="Q71" s="65"/>
      <c r="R71" s="85">
        <f>(F_LP_h/F_P_h)^2*(R68-('Valve Sizing'!$V$4*'Valve Sizing'!$G$7))</f>
        <v>46.765143085897563</v>
      </c>
      <c r="S71" s="58"/>
      <c r="T71" s="73"/>
      <c r="U71" s="53">
        <f>(U$29/U$27)^2*(U68-('Valve Sizing'!$V$4*'Valve Sizing'!$G$7))</f>
        <v>46.728721203865142</v>
      </c>
      <c r="V71" s="41"/>
      <c r="W71" s="73"/>
      <c r="X71" s="53">
        <f>(X$29/X$27)^2*(X68-('Valve Sizing'!$V$4*'Valve Sizing'!$G$7))</f>
        <v>45.564374151071057</v>
      </c>
      <c r="Y71" s="41"/>
      <c r="Z71" s="73"/>
      <c r="AA71" s="53">
        <f>(AA$29/AA$27)^2*(AA68-('Valve Sizing'!$V$4*'Valve Sizing'!$G$7))</f>
        <v>43.179899522716084</v>
      </c>
      <c r="AB71" s="41"/>
      <c r="AC71" s="73"/>
      <c r="AD71" s="53">
        <f>(AD$29/AD$27)^2*(AD68-('Valve Sizing'!$V$4*'Valve Sizing'!$G$7))</f>
        <v>39.556951011062054</v>
      </c>
      <c r="AE71" s="41"/>
      <c r="AF71" s="73"/>
      <c r="AG71" s="53">
        <f>(AG$29/AG$27)^2*(AG68-('Valve Sizing'!$V$4*'Valve Sizing'!$G$7))</f>
        <v>34.051227803107558</v>
      </c>
      <c r="AH71" s="41"/>
      <c r="AI71" s="73"/>
      <c r="AJ71" s="53">
        <f>(AJ$29/AJ$27)^2*(AJ68-('Valve Sizing'!$V$4*'Valve Sizing'!$G$7))</f>
        <v>28.950449834673297</v>
      </c>
      <c r="AK71" s="41"/>
      <c r="AL71" s="73"/>
      <c r="AM71" s="53">
        <f>(AM$29/AM$27)^2*(AM68-('Valve Sizing'!$V$4*'Valve Sizing'!$G$7))</f>
        <v>22.448503258623894</v>
      </c>
      <c r="AN71" s="41"/>
      <c r="AO71" s="73"/>
      <c r="AP71" s="53">
        <f>(AP$29/AP$27)^2*(AP68-('Valve Sizing'!$V$4*'Valve Sizing'!$G$7))</f>
        <v>17.20255454615225</v>
      </c>
      <c r="AQ71" s="41"/>
      <c r="AR71" s="73"/>
      <c r="AS71" s="53">
        <f>(AS$29/AS$27)^2*(AS68-('Valve Sizing'!$V$4*'Valve Sizing'!$G$7))</f>
        <v>14.965827076951122</v>
      </c>
      <c r="AT71" s="41"/>
      <c r="AU71" s="73"/>
    </row>
    <row r="72" spans="1:47" ht="13" x14ac:dyDescent="0.25">
      <c r="O72" s="1" t="s">
        <v>69</v>
      </c>
      <c r="P72" s="17">
        <v>7</v>
      </c>
      <c r="Q72" s="65"/>
      <c r="R72" s="53">
        <f>(R66/(N_1*F_P_h))*SQRT('Valve Sizing'!$G$6/R70)</f>
        <v>0.14949486465710105</v>
      </c>
      <c r="S72" s="58"/>
      <c r="T72" s="73"/>
      <c r="U72" s="64">
        <f>(U66/(N_1*U$27))*SQRT('Valve Sizing'!$G$6/U70)</f>
        <v>5.132796881378952</v>
      </c>
      <c r="V72" s="41"/>
      <c r="W72" s="73"/>
      <c r="X72" s="64">
        <f>(X66/(N_1*X$27))*SQRT('Valve Sizing'!$G$6/X70)</f>
        <v>12.379827617996909</v>
      </c>
      <c r="Y72" s="41"/>
      <c r="Z72" s="73"/>
      <c r="AA72" s="64">
        <f>(AA66/(N_1*AA$27))*SQRT('Valve Sizing'!$G$6/AA70)</f>
        <v>23.970155903567651</v>
      </c>
      <c r="AB72" s="41"/>
      <c r="AC72" s="73"/>
      <c r="AD72" s="64">
        <f>(AD66/(N_1*AD$27))*SQRT('Valve Sizing'!$G$6/AD70)</f>
        <v>40.71962211882218</v>
      </c>
      <c r="AE72" s="41"/>
      <c r="AF72" s="73"/>
      <c r="AG72" s="64">
        <f>(AG66/(N_1*AG$27))*SQRT('Valve Sizing'!$G$6/AG70)</f>
        <v>64.559225956973691</v>
      </c>
      <c r="AH72" s="41"/>
      <c r="AI72" s="73"/>
      <c r="AJ72" s="64">
        <f>(AJ66/(N_1*AJ$27))*SQRT('Valve Sizing'!$G$6/AJ70)</f>
        <v>95.230133428388328</v>
      </c>
      <c r="AK72" s="41"/>
      <c r="AL72" s="73"/>
      <c r="AM72" s="64">
        <f>(AM66/(N_1*AM$27))*SQRT('Valve Sizing'!$G$6/AM70)</f>
        <v>133.99177468989106</v>
      </c>
      <c r="AN72" s="41"/>
      <c r="AO72" s="73"/>
      <c r="AP72" s="64">
        <f>(AP66/(N_1*AP$27))*SQRT('Valve Sizing'!$G$6/AP70)</f>
        <v>196.96678288386559</v>
      </c>
      <c r="AQ72" s="41"/>
      <c r="AR72" s="73"/>
      <c r="AS72" s="64">
        <f>(AS66/(N_1*AS$27))*SQRT('Valve Sizing'!$G$6/AS70)</f>
        <v>351.83351256507302</v>
      </c>
      <c r="AT72" s="41"/>
      <c r="AU72" s="73"/>
    </row>
    <row r="73" spans="1:47" ht="13" x14ac:dyDescent="0.3">
      <c r="O73" s="1" t="s">
        <v>72</v>
      </c>
      <c r="P73" s="17">
        <v>7</v>
      </c>
      <c r="Q73" s="65"/>
      <c r="R73" s="53">
        <f>(R66/(N_1*F_P_h))*SQRT('Valve Sizing'!$G$6/R71)</f>
        <v>0.12416320007145143</v>
      </c>
      <c r="S73" s="56"/>
      <c r="T73" s="72"/>
      <c r="U73" s="85">
        <f>(U66/(N_1*U$27))*SQRT('Valve Sizing'!$G$6/U71)</f>
        <v>4.2624446044205992</v>
      </c>
      <c r="V73" s="44"/>
      <c r="W73" s="72"/>
      <c r="X73" s="85">
        <f>(X66/(N_1*X$27))*SQRT('Valve Sizing'!$G$6/X71)</f>
        <v>10.384689872208217</v>
      </c>
      <c r="Y73" s="44"/>
      <c r="Z73" s="72"/>
      <c r="AA73" s="85">
        <f>(AA66/(N_1*AA$27))*SQRT('Valve Sizing'!$G$6/AA71)</f>
        <v>20.485475227997668</v>
      </c>
      <c r="AB73" s="44"/>
      <c r="AC73" s="72"/>
      <c r="AD73" s="85">
        <f>(AD66/(N_1*AD$27))*SQRT('Valve Sizing'!$G$6/AD71)</f>
        <v>35.642597325208584</v>
      </c>
      <c r="AE73" s="44"/>
      <c r="AF73" s="72"/>
      <c r="AG73" s="85">
        <f>(AG66/(N_1*AG$27))*SQRT('Valve Sizing'!$G$6/AG71)</f>
        <v>58.472615612456217</v>
      </c>
      <c r="AH73" s="44"/>
      <c r="AI73" s="72"/>
      <c r="AJ73" s="85">
        <f>(AJ66/(N_1*AJ$27))*SQRT('Valve Sizing'!$G$6/AJ71)</f>
        <v>87.703360516006043</v>
      </c>
      <c r="AK73" s="44"/>
      <c r="AL73" s="72"/>
      <c r="AM73" s="85">
        <f>(AM66/(N_1*AM$27))*SQRT('Valve Sizing'!$G$6/AM71)</f>
        <v>128.94258296635846</v>
      </c>
      <c r="AN73" s="44"/>
      <c r="AO73" s="72"/>
      <c r="AP73" s="85">
        <f>(AP66/(N_1*AP$27))*SQRT('Valve Sizing'!$G$6/AP71)</f>
        <v>194.63935713490883</v>
      </c>
      <c r="AQ73" s="44"/>
      <c r="AR73" s="72"/>
      <c r="AS73" s="85">
        <f>(AS66/(N_1*AS$27))*SQRT('Valve Sizing'!$G$6/AS71)</f>
        <v>318.09852169977358</v>
      </c>
      <c r="AT73" s="44"/>
      <c r="AU73" s="72"/>
    </row>
    <row r="74" spans="1:47" x14ac:dyDescent="0.25">
      <c r="O74" s="1" t="s">
        <v>246</v>
      </c>
      <c r="P74" s="18"/>
      <c r="Q74" s="65"/>
      <c r="R74" s="53">
        <f>IF(R70&lt;R71,R72,R73)</f>
        <v>0.14949486465710105</v>
      </c>
      <c r="S74" s="49"/>
      <c r="T74" s="72"/>
      <c r="U74" s="64">
        <f>IF(U70&lt;U71,U72,U73)</f>
        <v>5.132796881378952</v>
      </c>
      <c r="V74" s="44"/>
      <c r="W74" s="72"/>
      <c r="X74" s="64">
        <f>IF(X70&lt;X71,X72,X73)</f>
        <v>12.379827617996909</v>
      </c>
      <c r="Y74" s="44"/>
      <c r="Z74" s="72"/>
      <c r="AA74" s="64">
        <f>IF(AA70&lt;AA71,AA72,AA73)</f>
        <v>23.970155903567651</v>
      </c>
      <c r="AB74" s="44"/>
      <c r="AC74" s="72"/>
      <c r="AD74" s="64">
        <f>IF(AD70&lt;AD71,AD72,AD73)</f>
        <v>40.71962211882218</v>
      </c>
      <c r="AE74" s="44"/>
      <c r="AF74" s="72"/>
      <c r="AG74" s="64">
        <f>IF(AG70&lt;AG71,AG72,AG73)</f>
        <v>64.559225956973691</v>
      </c>
      <c r="AH74" s="44"/>
      <c r="AI74" s="72"/>
      <c r="AJ74" s="64">
        <f>IF(AJ70&lt;AJ71,AJ72,AJ73)</f>
        <v>95.230133428388328</v>
      </c>
      <c r="AK74" s="44"/>
      <c r="AL74" s="72"/>
      <c r="AM74" s="64">
        <f>IF(AM70&lt;AM71,AM72,AM73)</f>
        <v>133.99177468989106</v>
      </c>
      <c r="AN74" s="44"/>
      <c r="AO74" s="72"/>
      <c r="AP74" s="64">
        <f>IF(AP70&lt;AP71,AP72,AP73)</f>
        <v>196.96678288386559</v>
      </c>
      <c r="AQ74" s="44"/>
      <c r="AR74" s="72"/>
      <c r="AS74" s="64">
        <f>IF(AS70&lt;AS71,AS72,AS73)</f>
        <v>351.83351256507302</v>
      </c>
      <c r="AT74" s="44"/>
      <c r="AU74" s="72"/>
    </row>
    <row r="75" spans="1:47" ht="13" x14ac:dyDescent="0.3">
      <c r="O75" s="7" t="s">
        <v>264</v>
      </c>
      <c r="Q75" s="61"/>
      <c r="R75" s="53"/>
      <c r="S75" s="69">
        <f>IFERROR(ABS(C_h-R74),Q_max*10)</f>
        <v>4.8505051353428987</v>
      </c>
      <c r="T75" s="76">
        <f>R66</f>
        <v>0.84896640000000012</v>
      </c>
      <c r="U75" s="61"/>
      <c r="V75" s="69">
        <f>IFERROR(ABS(U$23-U74),Q_max*10)</f>
        <v>6.867203118621048</v>
      </c>
      <c r="W75" s="75">
        <f>U66</f>
        <v>29.112870294349939</v>
      </c>
      <c r="X75" s="61"/>
      <c r="Y75" s="69">
        <f>IFERROR(ABS(X$23-X74),Q_max*10)</f>
        <v>10.620172382003091</v>
      </c>
      <c r="Z75" s="75">
        <f>X66</f>
        <v>69.882095339229949</v>
      </c>
      <c r="AA75" s="61"/>
      <c r="AB75" s="69">
        <f>IFERROR(ABS(AA$23-AA74),Q_max*10)</f>
        <v>15.029844096432349</v>
      </c>
      <c r="AC75" s="75">
        <f>AA66</f>
        <v>133.43053096413058</v>
      </c>
      <c r="AD75" s="61"/>
      <c r="AE75" s="69">
        <f>IFERROR(ABS(AD$23-AD74),Q_max*10)</f>
        <v>20.28037788117782</v>
      </c>
      <c r="AF75" s="75">
        <f>AD66</f>
        <v>219.44409722913471</v>
      </c>
      <c r="AG75" s="61"/>
      <c r="AH75" s="69">
        <f>IFERROR(ABS(AG$23-AG74),Q_max*10)</f>
        <v>23.440774043026309</v>
      </c>
      <c r="AI75" s="75">
        <f>AG66</f>
        <v>326.72235791446633</v>
      </c>
      <c r="AJ75" s="61"/>
      <c r="AK75" s="69">
        <f>IFERROR(ABS(AJ$23-AJ74),Q_max*10)</f>
        <v>25.769866571611672</v>
      </c>
      <c r="AL75" s="75">
        <f>AJ66</f>
        <v>436.01225319804252</v>
      </c>
      <c r="AM75" s="61"/>
      <c r="AN75" s="69">
        <f>IFERROR(ABS(AM$23-AM74),Q_max*10)</f>
        <v>31.008225310108941</v>
      </c>
      <c r="AO75" s="75">
        <f>AM66</f>
        <v>532.01780864752266</v>
      </c>
      <c r="AP75" s="61"/>
      <c r="AQ75" s="69">
        <f>IFERROR(ABS(AP$23-AP74),Q_max*10)</f>
        <v>49.033217116134409</v>
      </c>
      <c r="AR75" s="75">
        <f>AP66</f>
        <v>617.65615954375039</v>
      </c>
      <c r="AS75" s="61"/>
      <c r="AT75" s="69">
        <f>IFERROR(ABS(AS$23-AS74),Q_max*10)</f>
        <v>68.166487434926978</v>
      </c>
      <c r="AU75" s="75">
        <f>AS66</f>
        <v>702.95032479497411</v>
      </c>
    </row>
    <row r="76" spans="1:47" ht="14.5" x14ac:dyDescent="0.35">
      <c r="O76" s="6"/>
      <c r="P76" s="6"/>
      <c r="Q76" s="60"/>
      <c r="R76" s="67"/>
      <c r="S76" s="56"/>
      <c r="T76" s="72"/>
      <c r="V76" s="11"/>
      <c r="W76" s="38"/>
      <c r="Y76" s="11"/>
      <c r="Z76" s="38"/>
      <c r="AB76" s="11"/>
      <c r="AC76" s="38"/>
      <c r="AE76" s="11"/>
      <c r="AF76" s="38"/>
      <c r="AH76" s="11"/>
      <c r="AI76" s="38"/>
      <c r="AK76" s="11"/>
      <c r="AL76" s="38"/>
      <c r="AN76" s="11"/>
      <c r="AO76" s="38"/>
      <c r="AQ76" s="11"/>
      <c r="AR76" s="38"/>
      <c r="AT76" s="11"/>
      <c r="AU76" s="38"/>
    </row>
    <row r="77" spans="1:47" ht="14" x14ac:dyDescent="0.3">
      <c r="O77" s="8" t="s">
        <v>235</v>
      </c>
      <c r="P77" s="6"/>
      <c r="Q77" s="60"/>
      <c r="R77" s="53">
        <f>R66*1.02</f>
        <v>0.86594572800000014</v>
      </c>
      <c r="S77" s="58" t="s">
        <v>238</v>
      </c>
      <c r="T77" s="73" t="s">
        <v>241</v>
      </c>
      <c r="U77" s="84">
        <f>U66*1.01</f>
        <v>29.403998997293439</v>
      </c>
      <c r="V77" s="58" t="s">
        <v>238</v>
      </c>
      <c r="W77" s="73" t="s">
        <v>241</v>
      </c>
      <c r="X77" s="84">
        <f>X66*1.01</f>
        <v>70.580916292622248</v>
      </c>
      <c r="Y77" s="58" t="s">
        <v>238</v>
      </c>
      <c r="Z77" s="73" t="s">
        <v>241</v>
      </c>
      <c r="AA77" s="84">
        <f>AA66*1.01</f>
        <v>134.76483627377189</v>
      </c>
      <c r="AB77" s="58" t="s">
        <v>238</v>
      </c>
      <c r="AC77" s="73" t="s">
        <v>241</v>
      </c>
      <c r="AD77" s="84">
        <f>AD66*1.01</f>
        <v>221.63853820142606</v>
      </c>
      <c r="AE77" s="58" t="s">
        <v>238</v>
      </c>
      <c r="AF77" s="73" t="s">
        <v>241</v>
      </c>
      <c r="AG77" s="84">
        <f>AG66*1.01</f>
        <v>329.98958149361101</v>
      </c>
      <c r="AH77" s="58" t="s">
        <v>238</v>
      </c>
      <c r="AI77" s="73" t="s">
        <v>241</v>
      </c>
      <c r="AJ77" s="84">
        <f>AJ66*1.01</f>
        <v>440.37237573002295</v>
      </c>
      <c r="AK77" s="58" t="s">
        <v>238</v>
      </c>
      <c r="AL77" s="73" t="s">
        <v>241</v>
      </c>
      <c r="AM77" s="84">
        <f>AM66*1.01</f>
        <v>537.33798673399792</v>
      </c>
      <c r="AN77" s="58" t="s">
        <v>238</v>
      </c>
      <c r="AO77" s="73" t="s">
        <v>241</v>
      </c>
      <c r="AP77" s="84">
        <f>AP66*1.01</f>
        <v>623.83272113918792</v>
      </c>
      <c r="AQ77" s="58" t="s">
        <v>238</v>
      </c>
      <c r="AR77" s="73" t="s">
        <v>241</v>
      </c>
      <c r="AS77" s="84">
        <f>AS66*1.01</f>
        <v>709.97982804292383</v>
      </c>
      <c r="AT77" s="58" t="s">
        <v>238</v>
      </c>
      <c r="AU77" s="73" t="s">
        <v>241</v>
      </c>
    </row>
    <row r="78" spans="1:47" ht="13" x14ac:dyDescent="0.25">
      <c r="O78" s="6"/>
      <c r="P78" s="6"/>
      <c r="Q78" s="60"/>
      <c r="R78" s="70"/>
      <c r="S78" s="63" t="s">
        <v>250</v>
      </c>
      <c r="T78" s="71" t="s">
        <v>242</v>
      </c>
      <c r="U78" s="61"/>
      <c r="V78" s="63" t="s">
        <v>250</v>
      </c>
      <c r="W78" s="71" t="s">
        <v>242</v>
      </c>
      <c r="X78" s="61"/>
      <c r="Y78" s="63" t="s">
        <v>250</v>
      </c>
      <c r="Z78" s="71" t="s">
        <v>242</v>
      </c>
      <c r="AA78" s="61"/>
      <c r="AB78" s="63" t="s">
        <v>250</v>
      </c>
      <c r="AC78" s="71" t="s">
        <v>242</v>
      </c>
      <c r="AD78" s="61"/>
      <c r="AE78" s="63" t="s">
        <v>250</v>
      </c>
      <c r="AF78" s="71" t="s">
        <v>242</v>
      </c>
      <c r="AG78" s="61"/>
      <c r="AH78" s="63" t="s">
        <v>250</v>
      </c>
      <c r="AI78" s="71" t="s">
        <v>242</v>
      </c>
      <c r="AJ78" s="61"/>
      <c r="AK78" s="63" t="s">
        <v>250</v>
      </c>
      <c r="AL78" s="71" t="s">
        <v>242</v>
      </c>
      <c r="AM78" s="61"/>
      <c r="AN78" s="63" t="s">
        <v>250</v>
      </c>
      <c r="AO78" s="71" t="s">
        <v>242</v>
      </c>
      <c r="AP78" s="61"/>
      <c r="AQ78" s="63" t="s">
        <v>250</v>
      </c>
      <c r="AR78" s="71" t="s">
        <v>242</v>
      </c>
      <c r="AS78" s="61"/>
      <c r="AT78" s="63" t="s">
        <v>250</v>
      </c>
      <c r="AU78" s="71" t="s">
        <v>242</v>
      </c>
    </row>
    <row r="79" spans="1:47" ht="13" x14ac:dyDescent="0.3">
      <c r="O79" s="6" t="s">
        <v>231</v>
      </c>
      <c r="P79" s="6"/>
      <c r="Q79" s="60"/>
      <c r="R79" s="85">
        <f>P_1_minQ-(R77^2*R_up)+dpup_minQ</f>
        <v>56.91611787024641</v>
      </c>
      <c r="S79" s="56"/>
      <c r="T79" s="72"/>
      <c r="U79" s="53">
        <f>P_1_minQ-(U77^2*R_up)+dpup_minQ</f>
        <v>56.886943763693587</v>
      </c>
      <c r="V79" s="44"/>
      <c r="W79" s="72"/>
      <c r="X79" s="53">
        <f>P_1_minQ-(X77^2*R_up)+dpup_minQ</f>
        <v>56.74790051520749</v>
      </c>
      <c r="Y79" s="44"/>
      <c r="Z79" s="72"/>
      <c r="AA79" s="53">
        <f>P_1_minQ-(AA77^2*R_up)+dpup_minQ</f>
        <v>56.302784157517848</v>
      </c>
      <c r="AB79" s="44"/>
      <c r="AC79" s="72"/>
      <c r="AD79" s="53">
        <f>P_1_minQ-(AD77^2*R_up)+dpup_minQ</f>
        <v>55.257121188245016</v>
      </c>
      <c r="AE79" s="44"/>
      <c r="AF79" s="72"/>
      <c r="AG79" s="53">
        <f>P_1_minQ-(AG77^2*R_up)+dpup_minQ</f>
        <v>53.238563867128384</v>
      </c>
      <c r="AH79" s="44"/>
      <c r="AI79" s="72"/>
      <c r="AJ79" s="53">
        <f>P_1_minQ-(AJ77^2*R_up)+dpup_minQ</f>
        <v>50.366739976153177</v>
      </c>
      <c r="AK79" s="44"/>
      <c r="AL79" s="72"/>
      <c r="AM79" s="53">
        <f>P_1_minQ-(AM77^2*R_up)+dpup_minQ</f>
        <v>47.164974265878207</v>
      </c>
      <c r="AN79" s="44"/>
      <c r="AO79" s="72"/>
      <c r="AP79" s="53">
        <f>P_1_minQ-(AP77^2*R_up)+dpup_minQ</f>
        <v>43.773040730701659</v>
      </c>
      <c r="AQ79" s="44"/>
      <c r="AR79" s="72"/>
      <c r="AS79" s="53">
        <f>P_1_minQ-(AS77^2*R_up)+dpup_minQ</f>
        <v>39.89245672989329</v>
      </c>
      <c r="AT79" s="44"/>
      <c r="AU79" s="72"/>
    </row>
    <row r="80" spans="1:47" ht="13" x14ac:dyDescent="0.3">
      <c r="A80" s="170"/>
      <c r="B80" s="170"/>
      <c r="C80" s="170"/>
      <c r="D80" s="170"/>
      <c r="E80" s="170"/>
      <c r="F80" s="170"/>
      <c r="G80" s="170"/>
      <c r="O80" s="6" t="s">
        <v>233</v>
      </c>
      <c r="P80" s="6"/>
      <c r="Q80" s="60"/>
      <c r="R80" s="85">
        <f>P_2_minQ+(R77^2*R_dn)-dpdn_minQ</f>
        <v>24.656776425950721</v>
      </c>
      <c r="S80" s="66"/>
      <c r="T80" s="74"/>
      <c r="U80" s="53">
        <f>P_2_minQ+(U77^2*R_dn)-dpdn_minQ</f>
        <v>24.662611247261282</v>
      </c>
      <c r="V80" s="45"/>
      <c r="W80" s="74"/>
      <c r="X80" s="53">
        <f>P_2_minQ+(X77^2*R_dn)-dpdn_minQ</f>
        <v>24.690419896958502</v>
      </c>
      <c r="Y80" s="45"/>
      <c r="Z80" s="74"/>
      <c r="AA80" s="53">
        <f>P_2_minQ+(AA77^2*R_dn)-dpdn_minQ</f>
        <v>24.779443168496432</v>
      </c>
      <c r="AB80" s="45"/>
      <c r="AC80" s="74"/>
      <c r="AD80" s="53">
        <f>P_2_minQ+(AD77^2*R_dn)-dpdn_minQ</f>
        <v>24.988575762350997</v>
      </c>
      <c r="AE80" s="45"/>
      <c r="AF80" s="74"/>
      <c r="AG80" s="53">
        <f>P_2_minQ+(AG77^2*R_dn)-dpdn_minQ</f>
        <v>25.392287226574325</v>
      </c>
      <c r="AH80" s="45"/>
      <c r="AI80" s="74"/>
      <c r="AJ80" s="53">
        <f>P_2_minQ+(AJ77^2*R_dn)-dpdn_minQ</f>
        <v>25.966652004769365</v>
      </c>
      <c r="AK80" s="45"/>
      <c r="AL80" s="74"/>
      <c r="AM80" s="53">
        <f>P_2_minQ+(AM77^2*R_dn)-dpdn_minQ</f>
        <v>26.60700514682436</v>
      </c>
      <c r="AN80" s="45"/>
      <c r="AO80" s="74"/>
      <c r="AP80" s="53">
        <f>P_2_minQ+(AP77^2*R_dn)-dpdn_minQ</f>
        <v>27.285391853859668</v>
      </c>
      <c r="AQ80" s="45"/>
      <c r="AR80" s="74"/>
      <c r="AS80" s="53">
        <f>P_2_minQ+(AS77^2*R_dn)-dpdn_minQ</f>
        <v>28.061508654021342</v>
      </c>
      <c r="AT80" s="45"/>
      <c r="AU80" s="74"/>
    </row>
    <row r="81" spans="1:47" x14ac:dyDescent="0.25">
      <c r="A81" s="170"/>
      <c r="B81" s="170"/>
      <c r="C81" s="170"/>
      <c r="D81" s="170"/>
      <c r="E81" s="170"/>
      <c r="F81" s="170"/>
      <c r="G81" s="170"/>
      <c r="O81" s="6" t="s">
        <v>243</v>
      </c>
      <c r="Q81" s="60"/>
      <c r="R81" s="53">
        <f>R79-R80</f>
        <v>32.259341444295686</v>
      </c>
      <c r="S81" s="56"/>
      <c r="T81" s="72"/>
      <c r="U81" s="64">
        <f>U79-U80</f>
        <v>32.224332516432305</v>
      </c>
      <c r="V81" s="44"/>
      <c r="W81" s="72"/>
      <c r="X81" s="64">
        <f>X79-X80</f>
        <v>32.057480618248988</v>
      </c>
      <c r="Y81" s="44"/>
      <c r="Z81" s="72"/>
      <c r="AA81" s="64">
        <f>AA79-AA80</f>
        <v>31.523340989021417</v>
      </c>
      <c r="AB81" s="44"/>
      <c r="AC81" s="72"/>
      <c r="AD81" s="64">
        <f>AD79-AD80</f>
        <v>30.268545425894018</v>
      </c>
      <c r="AE81" s="44"/>
      <c r="AF81" s="72"/>
      <c r="AG81" s="64">
        <f>AG79-AG80</f>
        <v>27.846276640554059</v>
      </c>
      <c r="AH81" s="44"/>
      <c r="AI81" s="72"/>
      <c r="AJ81" s="64">
        <f>AJ79-AJ80</f>
        <v>24.400087971383812</v>
      </c>
      <c r="AK81" s="44"/>
      <c r="AL81" s="72"/>
      <c r="AM81" s="64">
        <f>AM79-AM80</f>
        <v>20.557969119053848</v>
      </c>
      <c r="AN81" s="44"/>
      <c r="AO81" s="72"/>
      <c r="AP81" s="64">
        <f>AP79-AP80</f>
        <v>16.487648876841991</v>
      </c>
      <c r="AQ81" s="44"/>
      <c r="AR81" s="72"/>
      <c r="AS81" s="64">
        <f>AS79-AS80</f>
        <v>11.830948075871948</v>
      </c>
      <c r="AT81" s="44"/>
      <c r="AU81" s="72"/>
    </row>
    <row r="82" spans="1:47" ht="13" x14ac:dyDescent="0.3">
      <c r="A82" s="170"/>
      <c r="B82" s="170"/>
      <c r="C82" s="170"/>
      <c r="D82" s="170"/>
      <c r="E82" s="170"/>
      <c r="F82" s="170"/>
      <c r="G82" s="170"/>
      <c r="O82" s="6" t="s">
        <v>75</v>
      </c>
      <c r="P82" s="6">
        <v>3</v>
      </c>
      <c r="Q82" s="65"/>
      <c r="R82" s="85">
        <f>(F_LP_h/F_P_h)^2*(R79-('Valve Sizing'!$V$4*'Valve Sizing'!$G$7))</f>
        <v>46.76514227160245</v>
      </c>
      <c r="S82" s="58"/>
      <c r="T82" s="73"/>
      <c r="U82" s="53">
        <f>(U$29/U$27)^2*(U79-('Valve Sizing'!$V$4*'Valve Sizing'!$G$7))</f>
        <v>46.728244918560932</v>
      </c>
      <c r="V82" s="41"/>
      <c r="W82" s="73"/>
      <c r="X82" s="53">
        <f>(X$29/X$27)^2*(X79-('Valve Sizing'!$V$4*'Valve Sizing'!$G$7))</f>
        <v>45.561691770229324</v>
      </c>
      <c r="Y82" s="41"/>
      <c r="Z82" s="73"/>
      <c r="AA82" s="53">
        <f>(AA$29/AA$27)^2*(AA79-('Valve Sizing'!$V$4*'Valve Sizing'!$G$7))</f>
        <v>43.170559807579259</v>
      </c>
      <c r="AB82" s="41"/>
      <c r="AC82" s="73"/>
      <c r="AD82" s="53">
        <f>(AD$29/AD$27)^2*(AD79-('Valve Sizing'!$V$4*'Valve Sizing'!$G$7))</f>
        <v>39.533375908458389</v>
      </c>
      <c r="AE82" s="41"/>
      <c r="AF82" s="73"/>
      <c r="AG82" s="53">
        <f>(AG$29/AG$27)^2*(AG79-('Valve Sizing'!$V$4*'Valve Sizing'!$G$7))</f>
        <v>34.004558548433877</v>
      </c>
      <c r="AH82" s="41"/>
      <c r="AI82" s="73"/>
      <c r="AJ82" s="53">
        <f>(AJ$29/AJ$27)^2*(AJ79-('Valve Sizing'!$V$4*'Valve Sizing'!$G$7))</f>
        <v>28.875812427643176</v>
      </c>
      <c r="AK82" s="41"/>
      <c r="AL82" s="73"/>
      <c r="AM82" s="53">
        <f>(AM$29/AM$27)^2*(AM79-('Valve Sizing'!$V$4*'Valve Sizing'!$G$7))</f>
        <v>22.356571270201915</v>
      </c>
      <c r="AN82" s="41"/>
      <c r="AO82" s="73"/>
      <c r="AP82" s="53">
        <f>(AP$29/AP$27)^2*(AP79-('Valve Sizing'!$V$4*'Valve Sizing'!$G$7))</f>
        <v>17.100357625630437</v>
      </c>
      <c r="AQ82" s="41"/>
      <c r="AR82" s="73"/>
      <c r="AS82" s="53">
        <f>(AS$29/AS$27)^2*(AS79-('Valve Sizing'!$V$4*'Valve Sizing'!$G$7))</f>
        <v>14.839656712080284</v>
      </c>
      <c r="AT82" s="41"/>
      <c r="AU82" s="73"/>
    </row>
    <row r="83" spans="1:47" ht="13" x14ac:dyDescent="0.25">
      <c r="A83" s="170"/>
      <c r="B83" s="170"/>
      <c r="C83" s="170"/>
      <c r="D83" s="170"/>
      <c r="E83" s="170"/>
      <c r="F83" s="170"/>
      <c r="G83" s="170"/>
      <c r="O83" s="1" t="s">
        <v>69</v>
      </c>
      <c r="P83" s="17">
        <v>7</v>
      </c>
      <c r="Q83" s="65"/>
      <c r="R83" s="53">
        <f>(R77/(N_1*F_P_h))*SQRT('Valve Sizing'!$G$6/R81)</f>
        <v>0.15248476473922795</v>
      </c>
      <c r="S83" s="58"/>
      <c r="T83" s="73"/>
      <c r="U83" s="64">
        <f>(U77/(N_1*U$27))*SQRT('Valve Sizing'!$G$6/U81)</f>
        <v>5.184180385368041</v>
      </c>
      <c r="V83" s="41"/>
      <c r="W83" s="73"/>
      <c r="X83" s="64">
        <f>(X77/(N_1*X$27))*SQRT('Valve Sizing'!$G$6/X81)</f>
        <v>12.504401665725005</v>
      </c>
      <c r="Y83" s="41"/>
      <c r="Z83" s="73"/>
      <c r="AA83" s="64">
        <f>(AA77/(N_1*AA$27))*SQRT('Valve Sizing'!$G$6/AA81)</f>
        <v>24.215425849201189</v>
      </c>
      <c r="AB83" s="41"/>
      <c r="AC83" s="73"/>
      <c r="AD83" s="64">
        <f>(AD77/(N_1*AD$27))*SQRT('Valve Sizing'!$G$6/AD81)</f>
        <v>41.153459285193918</v>
      </c>
      <c r="AE83" s="41"/>
      <c r="AF83" s="73"/>
      <c r="AG83" s="64">
        <f>(AG77/(N_1*AG$27))*SQRT('Valve Sizing'!$G$6/AG81)</f>
        <v>65.30654621953191</v>
      </c>
      <c r="AH83" s="41"/>
      <c r="AI83" s="73"/>
      <c r="AJ83" s="64">
        <f>(AJ77/(N_1*AJ$27))*SQRT('Valve Sizing'!$G$6/AJ81)</f>
        <v>96.487170380888728</v>
      </c>
      <c r="AK83" s="41"/>
      <c r="AL83" s="73"/>
      <c r="AM83" s="64">
        <f>(AM77/(N_1*AM$27))*SQRT('Valve Sizing'!$G$6/AM81)</f>
        <v>136.08846947715813</v>
      </c>
      <c r="AN83" s="41"/>
      <c r="AO83" s="73"/>
      <c r="AP83" s="64">
        <f>(AP77/(N_1*AP$27))*SQRT('Valve Sizing'!$G$6/AP81)</f>
        <v>200.80251228092737</v>
      </c>
      <c r="AQ83" s="41"/>
      <c r="AR83" s="73"/>
      <c r="AS83" s="64">
        <f>(AS77/(N_1*AS$27))*SQRT('Valve Sizing'!$G$6/AS81)</f>
        <v>361.34629978234511</v>
      </c>
      <c r="AT83" s="41"/>
      <c r="AU83" s="73"/>
    </row>
    <row r="84" spans="1:47" ht="13" x14ac:dyDescent="0.3">
      <c r="A84" s="170"/>
      <c r="B84" s="170"/>
      <c r="C84" s="170"/>
      <c r="D84" s="170"/>
      <c r="E84" s="170"/>
      <c r="F84" s="170"/>
      <c r="G84" s="170"/>
      <c r="O84" s="1" t="s">
        <v>72</v>
      </c>
      <c r="P84" s="17">
        <v>7</v>
      </c>
      <c r="Q84" s="65"/>
      <c r="R84" s="53">
        <f>(R77/(N_1*F_P_h))*SQRT('Valve Sizing'!$G$6/R82)</f>
        <v>0.12664646517549227</v>
      </c>
      <c r="S84" s="56"/>
      <c r="T84" s="72"/>
      <c r="U84" s="85">
        <f>(U77/(N_1*U$27))*SQRT('Valve Sizing'!$G$6/U82)</f>
        <v>4.3050909904702674</v>
      </c>
      <c r="V84" s="44"/>
      <c r="W84" s="72"/>
      <c r="X84" s="85">
        <f>(X77/(N_1*X$27))*SQRT('Valve Sizing'!$G$6/X82)</f>
        <v>10.488845515348251</v>
      </c>
      <c r="Y84" s="44"/>
      <c r="Z84" s="72"/>
      <c r="AA84" s="85">
        <f>(AA77/(N_1*AA$27))*SQRT('Valve Sizing'!$G$6/AA82)</f>
        <v>20.692567979256495</v>
      </c>
      <c r="AB84" s="44"/>
      <c r="AC84" s="72"/>
      <c r="AD84" s="85">
        <f>(AD77/(N_1*AD$27))*SQRT('Valve Sizing'!$G$6/AD82)</f>
        <v>36.009755422416518</v>
      </c>
      <c r="AE84" s="44"/>
      <c r="AF84" s="72"/>
      <c r="AG84" s="85">
        <f>(AG77/(N_1*AG$27))*SQRT('Valve Sizing'!$G$6/AG82)</f>
        <v>59.097854235464318</v>
      </c>
      <c r="AH84" s="44"/>
      <c r="AI84" s="72"/>
      <c r="AJ84" s="85">
        <f>(AJ77/(N_1*AJ$27))*SQRT('Valve Sizing'!$G$6/AJ82)</f>
        <v>88.694800325521427</v>
      </c>
      <c r="AK84" s="44"/>
      <c r="AL84" s="72"/>
      <c r="AM84" s="85">
        <f>(AM77/(N_1*AM$27))*SQRT('Valve Sizing'!$G$6/AM82)</f>
        <v>130.4994962534513</v>
      </c>
      <c r="AN84" s="44"/>
      <c r="AO84" s="72"/>
      <c r="AP84" s="85">
        <f>(AP77/(N_1*AP$27))*SQRT('Valve Sizing'!$G$6/AP82)</f>
        <v>197.17230367413617</v>
      </c>
      <c r="AQ84" s="44"/>
      <c r="AR84" s="72"/>
      <c r="AS84" s="85">
        <f>(AS77/(N_1*AS$27))*SQRT('Valve Sizing'!$G$6/AS82)</f>
        <v>322.6424142979385</v>
      </c>
      <c r="AT84" s="44"/>
      <c r="AU84" s="72"/>
    </row>
    <row r="85" spans="1:47" x14ac:dyDescent="0.25">
      <c r="A85" s="170"/>
      <c r="B85" s="170"/>
      <c r="C85" s="170"/>
      <c r="D85" s="170"/>
      <c r="E85" s="170"/>
      <c r="F85" s="170"/>
      <c r="G85" s="170"/>
      <c r="O85" s="1" t="s">
        <v>246</v>
      </c>
      <c r="P85" s="18"/>
      <c r="Q85" s="65"/>
      <c r="R85" s="53">
        <f>IF(R81&lt;R82,R83,R84)</f>
        <v>0.15248476473922795</v>
      </c>
      <c r="S85" s="49"/>
      <c r="T85" s="72"/>
      <c r="U85" s="64">
        <f>IF(U81&lt;U82,U83,U84)</f>
        <v>5.184180385368041</v>
      </c>
      <c r="V85" s="44"/>
      <c r="W85" s="72"/>
      <c r="X85" s="64">
        <f>IF(X81&lt;X82,X83,X84)</f>
        <v>12.504401665725005</v>
      </c>
      <c r="Y85" s="44"/>
      <c r="Z85" s="72"/>
      <c r="AA85" s="64">
        <f>IF(AA81&lt;AA82,AA83,AA84)</f>
        <v>24.215425849201189</v>
      </c>
      <c r="AB85" s="44"/>
      <c r="AC85" s="72"/>
      <c r="AD85" s="64">
        <f>IF(AD81&lt;AD82,AD83,AD84)</f>
        <v>41.153459285193918</v>
      </c>
      <c r="AE85" s="44"/>
      <c r="AF85" s="72"/>
      <c r="AG85" s="64">
        <f>IF(AG81&lt;AG82,AG83,AG84)</f>
        <v>65.30654621953191</v>
      </c>
      <c r="AH85" s="44"/>
      <c r="AI85" s="72"/>
      <c r="AJ85" s="64">
        <f>IF(AJ81&lt;AJ82,AJ83,AJ84)</f>
        <v>96.487170380888728</v>
      </c>
      <c r="AK85" s="44"/>
      <c r="AL85" s="72"/>
      <c r="AM85" s="64">
        <f>IF(AM81&lt;AM82,AM83,AM84)</f>
        <v>136.08846947715813</v>
      </c>
      <c r="AN85" s="44"/>
      <c r="AO85" s="72"/>
      <c r="AP85" s="64">
        <f>IF(AP81&lt;AP82,AP83,AP84)</f>
        <v>200.80251228092737</v>
      </c>
      <c r="AQ85" s="44"/>
      <c r="AR85" s="72"/>
      <c r="AS85" s="64">
        <f>IF(AS81&lt;AS82,AS83,AS84)</f>
        <v>361.34629978234511</v>
      </c>
      <c r="AT85" s="44"/>
      <c r="AU85" s="72"/>
    </row>
    <row r="86" spans="1:47" ht="13" x14ac:dyDescent="0.3">
      <c r="A86" s="170"/>
      <c r="B86" s="170"/>
      <c r="C86" s="170"/>
      <c r="D86" s="170"/>
      <c r="E86" s="170"/>
      <c r="F86" s="170"/>
      <c r="G86" s="170"/>
      <c r="O86" s="7" t="s">
        <v>264</v>
      </c>
      <c r="Q86" s="61"/>
      <c r="R86" s="53"/>
      <c r="S86" s="69">
        <f>IFERROR(ABS(C_h-R85),Q_max*10)</f>
        <v>4.8475152352607722</v>
      </c>
      <c r="T86" s="76">
        <f>R77</f>
        <v>0.86594572800000014</v>
      </c>
      <c r="U86" s="61"/>
      <c r="V86" s="69">
        <f>IFERROR(ABS(U$23-U85),Q_max*10)</f>
        <v>6.815819614631959</v>
      </c>
      <c r="W86" s="75">
        <f>U77</f>
        <v>29.403998997293439</v>
      </c>
      <c r="X86" s="61"/>
      <c r="Y86" s="69">
        <f>IFERROR(ABS(X$23-X85),Q_max*10)</f>
        <v>10.495598334274995</v>
      </c>
      <c r="Z86" s="75">
        <f>X77</f>
        <v>70.580916292622248</v>
      </c>
      <c r="AA86" s="61"/>
      <c r="AB86" s="69">
        <f>IFERROR(ABS(AA$23-AA85),Q_max*10)</f>
        <v>14.784574150798811</v>
      </c>
      <c r="AC86" s="75">
        <f>AA77</f>
        <v>134.76483627377189</v>
      </c>
      <c r="AD86" s="61"/>
      <c r="AE86" s="69">
        <f>IFERROR(ABS(AD$23-AD85),Q_max*10)</f>
        <v>19.846540714806082</v>
      </c>
      <c r="AF86" s="75">
        <f>AD77</f>
        <v>221.63853820142606</v>
      </c>
      <c r="AG86" s="61"/>
      <c r="AH86" s="69">
        <f>IFERROR(ABS(AG$23-AG85),Q_max*10)</f>
        <v>22.69345378046809</v>
      </c>
      <c r="AI86" s="75">
        <f>AG77</f>
        <v>329.98958149361101</v>
      </c>
      <c r="AJ86" s="61"/>
      <c r="AK86" s="69">
        <f>IFERROR(ABS(AJ$23-AJ85),Q_max*10)</f>
        <v>24.512829619111272</v>
      </c>
      <c r="AL86" s="75">
        <f>AJ77</f>
        <v>440.37237573002295</v>
      </c>
      <c r="AM86" s="61"/>
      <c r="AN86" s="69">
        <f>IFERROR(ABS(AM$23-AM85),Q_max*10)</f>
        <v>28.911530522841872</v>
      </c>
      <c r="AO86" s="75">
        <f>AM77</f>
        <v>537.33798673399792</v>
      </c>
      <c r="AP86" s="61"/>
      <c r="AQ86" s="69">
        <f>IFERROR(ABS(AP$23-AP85),Q_max*10)</f>
        <v>45.197487719072626</v>
      </c>
      <c r="AR86" s="75">
        <f>AP77</f>
        <v>623.83272113918792</v>
      </c>
      <c r="AS86" s="61"/>
      <c r="AT86" s="69">
        <f>IFERROR(ABS(AS$23-AS85),Q_max*10)</f>
        <v>58.653700217654887</v>
      </c>
      <c r="AU86" s="75">
        <f>AS77</f>
        <v>709.97982804292383</v>
      </c>
    </row>
    <row r="87" spans="1:47" ht="14.5" x14ac:dyDescent="0.35">
      <c r="A87" s="170"/>
      <c r="B87" s="170"/>
      <c r="C87" s="170"/>
      <c r="D87" s="170"/>
      <c r="E87" s="170"/>
      <c r="F87" s="170"/>
      <c r="G87" s="170"/>
      <c r="O87" s="8"/>
      <c r="P87" s="6"/>
      <c r="Q87" s="60"/>
      <c r="R87" s="67"/>
      <c r="S87" s="66"/>
      <c r="T87" s="74"/>
      <c r="V87" s="11"/>
      <c r="W87" s="38"/>
      <c r="Y87" s="11"/>
      <c r="Z87" s="38"/>
      <c r="AB87" s="11"/>
      <c r="AC87" s="38"/>
      <c r="AE87" s="11"/>
      <c r="AF87" s="38"/>
      <c r="AH87" s="11"/>
      <c r="AI87" s="38"/>
      <c r="AK87" s="11"/>
      <c r="AL87" s="38"/>
      <c r="AN87" s="11"/>
      <c r="AO87" s="38"/>
      <c r="AQ87" s="11"/>
      <c r="AR87" s="38"/>
      <c r="AT87" s="11"/>
      <c r="AU87" s="38"/>
    </row>
    <row r="88" spans="1:47" ht="14" x14ac:dyDescent="0.3">
      <c r="O88" s="8" t="s">
        <v>235</v>
      </c>
      <c r="P88" s="6"/>
      <c r="Q88" s="60"/>
      <c r="R88" s="53">
        <f>R77*1.02</f>
        <v>0.88326464256000015</v>
      </c>
      <c r="S88" s="58" t="s">
        <v>238</v>
      </c>
      <c r="T88" s="73" t="s">
        <v>241</v>
      </c>
      <c r="U88" s="84">
        <f>U77*1.01</f>
        <v>29.698038987266372</v>
      </c>
      <c r="V88" s="58" t="s">
        <v>238</v>
      </c>
      <c r="W88" s="73" t="s">
        <v>241</v>
      </c>
      <c r="X88" s="84">
        <f>X77*1.01</f>
        <v>71.286725455548478</v>
      </c>
      <c r="Y88" s="58" t="s">
        <v>238</v>
      </c>
      <c r="Z88" s="73" t="s">
        <v>241</v>
      </c>
      <c r="AA88" s="84">
        <f>AA77*1.01</f>
        <v>136.11248463650961</v>
      </c>
      <c r="AB88" s="58" t="s">
        <v>238</v>
      </c>
      <c r="AC88" s="73" t="s">
        <v>241</v>
      </c>
      <c r="AD88" s="84">
        <f>AD77*1.01</f>
        <v>223.85492358344032</v>
      </c>
      <c r="AE88" s="58" t="s">
        <v>238</v>
      </c>
      <c r="AF88" s="73" t="s">
        <v>241</v>
      </c>
      <c r="AG88" s="84">
        <f>AG77*1.01</f>
        <v>333.28947730854713</v>
      </c>
      <c r="AH88" s="58" t="s">
        <v>238</v>
      </c>
      <c r="AI88" s="73" t="s">
        <v>241</v>
      </c>
      <c r="AJ88" s="84">
        <f>AJ77*1.01</f>
        <v>444.77609948732317</v>
      </c>
      <c r="AK88" s="58" t="s">
        <v>238</v>
      </c>
      <c r="AL88" s="73" t="s">
        <v>241</v>
      </c>
      <c r="AM88" s="84">
        <f>AM77*1.01</f>
        <v>542.71136660133789</v>
      </c>
      <c r="AN88" s="58" t="s">
        <v>238</v>
      </c>
      <c r="AO88" s="73" t="s">
        <v>241</v>
      </c>
      <c r="AP88" s="84">
        <f>AP77*1.01</f>
        <v>630.07104835057976</v>
      </c>
      <c r="AQ88" s="58" t="s">
        <v>238</v>
      </c>
      <c r="AR88" s="73" t="s">
        <v>241</v>
      </c>
      <c r="AS88" s="84">
        <f>AS77*1.01</f>
        <v>717.07962632335307</v>
      </c>
      <c r="AT88" s="58" t="s">
        <v>238</v>
      </c>
      <c r="AU88" s="73" t="s">
        <v>241</v>
      </c>
    </row>
    <row r="89" spans="1:47" ht="13" x14ac:dyDescent="0.25">
      <c r="O89" s="6"/>
      <c r="P89" s="6"/>
      <c r="Q89" s="60"/>
      <c r="R89" s="70"/>
      <c r="S89" s="63" t="s">
        <v>250</v>
      </c>
      <c r="T89" s="71" t="s">
        <v>242</v>
      </c>
      <c r="U89" s="61"/>
      <c r="V89" s="63" t="s">
        <v>250</v>
      </c>
      <c r="W89" s="71" t="s">
        <v>242</v>
      </c>
      <c r="X89" s="61"/>
      <c r="Y89" s="63" t="s">
        <v>250</v>
      </c>
      <c r="Z89" s="71" t="s">
        <v>242</v>
      </c>
      <c r="AA89" s="61"/>
      <c r="AB89" s="63" t="s">
        <v>250</v>
      </c>
      <c r="AC89" s="71" t="s">
        <v>242</v>
      </c>
      <c r="AD89" s="61"/>
      <c r="AE89" s="63" t="s">
        <v>250</v>
      </c>
      <c r="AF89" s="71" t="s">
        <v>242</v>
      </c>
      <c r="AG89" s="61"/>
      <c r="AH89" s="63" t="s">
        <v>250</v>
      </c>
      <c r="AI89" s="71" t="s">
        <v>242</v>
      </c>
      <c r="AJ89" s="61"/>
      <c r="AK89" s="63" t="s">
        <v>250</v>
      </c>
      <c r="AL89" s="71" t="s">
        <v>242</v>
      </c>
      <c r="AM89" s="61"/>
      <c r="AN89" s="63" t="s">
        <v>250</v>
      </c>
      <c r="AO89" s="71" t="s">
        <v>242</v>
      </c>
      <c r="AP89" s="61"/>
      <c r="AQ89" s="63" t="s">
        <v>250</v>
      </c>
      <c r="AR89" s="71" t="s">
        <v>242</v>
      </c>
      <c r="AS89" s="61"/>
      <c r="AT89" s="63" t="s">
        <v>250</v>
      </c>
      <c r="AU89" s="71" t="s">
        <v>242</v>
      </c>
    </row>
    <row r="90" spans="1:47" ht="13" x14ac:dyDescent="0.3">
      <c r="O90" s="6" t="s">
        <v>231</v>
      </c>
      <c r="P90" s="6"/>
      <c r="Q90" s="60"/>
      <c r="R90" s="85">
        <f>P_1_minQ-(R88^2*R_up)+dpup_minQ</f>
        <v>56.916116847131754</v>
      </c>
      <c r="S90" s="56"/>
      <c r="T90" s="72"/>
      <c r="U90" s="53">
        <f>P_1_minQ-(U88^2*R_up)+dpup_minQ</f>
        <v>56.886356855127012</v>
      </c>
      <c r="V90" s="44"/>
      <c r="W90" s="72"/>
      <c r="X90" s="53">
        <f>P_1_minQ-(X88^2*R_up)+dpup_minQ</f>
        <v>56.744518837346341</v>
      </c>
      <c r="Y90" s="44"/>
      <c r="Z90" s="72"/>
      <c r="AA90" s="53">
        <f>P_1_minQ-(AA88^2*R_up)+dpup_minQ</f>
        <v>56.290455640867137</v>
      </c>
      <c r="AB90" s="44"/>
      <c r="AC90" s="72"/>
      <c r="AD90" s="53">
        <f>P_1_minQ-(AD88^2*R_up)+dpup_minQ</f>
        <v>55.223774845911926</v>
      </c>
      <c r="AE90" s="44"/>
      <c r="AF90" s="72"/>
      <c r="AG90" s="53">
        <f>P_1_minQ-(AG88^2*R_up)+dpup_minQ</f>
        <v>53.164644522640849</v>
      </c>
      <c r="AH90" s="44"/>
      <c r="AI90" s="72"/>
      <c r="AJ90" s="53">
        <f>P_1_minQ-(AJ88^2*R_up)+dpup_minQ</f>
        <v>50.235096971457033</v>
      </c>
      <c r="AK90" s="44"/>
      <c r="AL90" s="72"/>
      <c r="AM90" s="53">
        <f>P_1_minQ-(AM88^2*R_up)+dpup_minQ</f>
        <v>46.968975770405542</v>
      </c>
      <c r="AN90" s="44"/>
      <c r="AO90" s="72"/>
      <c r="AP90" s="53">
        <f>P_1_minQ-(AP88^2*R_up)+dpup_minQ</f>
        <v>43.508864371171946</v>
      </c>
      <c r="AQ90" s="44"/>
      <c r="AR90" s="72"/>
      <c r="AS90" s="53">
        <f>P_1_minQ-(AS88^2*R_up)+dpup_minQ</f>
        <v>39.550280631947324</v>
      </c>
      <c r="AT90" s="44"/>
      <c r="AU90" s="72"/>
    </row>
    <row r="91" spans="1:47" ht="13" x14ac:dyDescent="0.3">
      <c r="O91" s="6" t="s">
        <v>233</v>
      </c>
      <c r="P91" s="6"/>
      <c r="Q91" s="60"/>
      <c r="R91" s="85">
        <f>P_2_minQ+(R88^2*R_dn)-dpdn_minQ</f>
        <v>24.656776630573649</v>
      </c>
      <c r="S91" s="66"/>
      <c r="T91" s="74"/>
      <c r="U91" s="53">
        <f>P_2_minQ+(U88^2*R_dn)-dpdn_minQ</f>
        <v>24.662728628974598</v>
      </c>
      <c r="V91" s="45"/>
      <c r="W91" s="74"/>
      <c r="X91" s="53">
        <f>P_2_minQ+(X88^2*R_dn)-dpdn_minQ</f>
        <v>24.691096232530732</v>
      </c>
      <c r="Y91" s="45"/>
      <c r="Z91" s="74"/>
      <c r="AA91" s="53">
        <f>P_2_minQ+(AA88^2*R_dn)-dpdn_minQ</f>
        <v>24.781908871826573</v>
      </c>
      <c r="AB91" s="45"/>
      <c r="AC91" s="74"/>
      <c r="AD91" s="53">
        <f>P_2_minQ+(AD88^2*R_dn)-dpdn_minQ</f>
        <v>24.995245030817618</v>
      </c>
      <c r="AE91" s="45"/>
      <c r="AF91" s="74"/>
      <c r="AG91" s="53">
        <f>P_2_minQ+(AG88^2*R_dn)-dpdn_minQ</f>
        <v>25.407071095471832</v>
      </c>
      <c r="AH91" s="45"/>
      <c r="AI91" s="74"/>
      <c r="AJ91" s="53">
        <f>P_2_minQ+(AJ88^2*R_dn)-dpdn_minQ</f>
        <v>25.992980605708595</v>
      </c>
      <c r="AK91" s="45"/>
      <c r="AL91" s="74"/>
      <c r="AM91" s="53">
        <f>P_2_minQ+(AM88^2*R_dn)-dpdn_minQ</f>
        <v>26.646204845918891</v>
      </c>
      <c r="AN91" s="45"/>
      <c r="AO91" s="74"/>
      <c r="AP91" s="53">
        <f>P_2_minQ+(AP88^2*R_dn)-dpdn_minQ</f>
        <v>27.338227125765613</v>
      </c>
      <c r="AQ91" s="45"/>
      <c r="AR91" s="74"/>
      <c r="AS91" s="53">
        <f>P_2_minQ+(AS88^2*R_dn)-dpdn_minQ</f>
        <v>28.129943873610536</v>
      </c>
      <c r="AT91" s="45"/>
      <c r="AU91" s="74"/>
    </row>
    <row r="92" spans="1:47" x14ac:dyDescent="0.25">
      <c r="O92" s="6" t="s">
        <v>243</v>
      </c>
      <c r="Q92" s="60"/>
      <c r="R92" s="53">
        <f>R90-R91</f>
        <v>32.259340216558101</v>
      </c>
      <c r="S92" s="56"/>
      <c r="T92" s="72"/>
      <c r="U92" s="64">
        <f>U90-U91</f>
        <v>32.223628226152414</v>
      </c>
      <c r="V92" s="44"/>
      <c r="W92" s="72"/>
      <c r="X92" s="64">
        <f>X90-X91</f>
        <v>32.053422604815609</v>
      </c>
      <c r="Y92" s="44"/>
      <c r="Z92" s="72"/>
      <c r="AA92" s="64">
        <f>AA90-AA91</f>
        <v>31.508546769040564</v>
      </c>
      <c r="AB92" s="44"/>
      <c r="AC92" s="72"/>
      <c r="AD92" s="64">
        <f>AD90-AD91</f>
        <v>30.228529815094308</v>
      </c>
      <c r="AE92" s="44"/>
      <c r="AF92" s="72"/>
      <c r="AG92" s="64">
        <f>AG90-AG91</f>
        <v>27.757573427169017</v>
      </c>
      <c r="AH92" s="44"/>
      <c r="AI92" s="72"/>
      <c r="AJ92" s="64">
        <f>AJ90-AJ91</f>
        <v>24.242116365748437</v>
      </c>
      <c r="AK92" s="44"/>
      <c r="AL92" s="72"/>
      <c r="AM92" s="64">
        <f>AM90-AM91</f>
        <v>20.322770924486651</v>
      </c>
      <c r="AN92" s="44"/>
      <c r="AO92" s="72"/>
      <c r="AP92" s="64">
        <f>AP90-AP91</f>
        <v>16.170637245406333</v>
      </c>
      <c r="AQ92" s="44"/>
      <c r="AR92" s="72"/>
      <c r="AS92" s="64">
        <f>AS90-AS91</f>
        <v>11.420336758336788</v>
      </c>
      <c r="AT92" s="44"/>
      <c r="AU92" s="72"/>
    </row>
    <row r="93" spans="1:47" ht="13" x14ac:dyDescent="0.3">
      <c r="O93" s="6" t="s">
        <v>75</v>
      </c>
      <c r="P93" s="6">
        <v>3</v>
      </c>
      <c r="Q93" s="65"/>
      <c r="R93" s="85">
        <f>(F_LP_h/F_P_h)^2*(R90-('Valve Sizing'!$V$4*'Valve Sizing'!$G$7))</f>
        <v>46.765141424409812</v>
      </c>
      <c r="S93" s="58"/>
      <c r="T93" s="73"/>
      <c r="U93" s="53">
        <f>(U$29/U$27)^2*(U90-('Valve Sizing'!$V$4*'Valve Sizing'!$G$7))</f>
        <v>46.727759059922107</v>
      </c>
      <c r="V93" s="41"/>
      <c r="W93" s="73"/>
      <c r="X93" s="53">
        <f>(X$29/X$27)^2*(X90-('Valve Sizing'!$V$4*'Valve Sizing'!$G$7))</f>
        <v>45.55895547353267</v>
      </c>
      <c r="Y93" s="41"/>
      <c r="Z93" s="73"/>
      <c r="AA93" s="53">
        <f>(AA$29/AA$27)^2*(AA90-('Valve Sizing'!$V$4*'Valve Sizing'!$G$7))</f>
        <v>43.161032364168179</v>
      </c>
      <c r="AB93" s="41"/>
      <c r="AC93" s="73"/>
      <c r="AD93" s="53">
        <f>(AD$29/AD$27)^2*(AD90-('Valve Sizing'!$V$4*'Valve Sizing'!$G$7))</f>
        <v>39.509326946292397</v>
      </c>
      <c r="AE93" s="41"/>
      <c r="AF93" s="73"/>
      <c r="AG93" s="53">
        <f>(AG$29/AG$27)^2*(AG90-('Valve Sizing'!$V$4*'Valve Sizing'!$G$7))</f>
        <v>33.956951241741265</v>
      </c>
      <c r="AH93" s="41"/>
      <c r="AI93" s="73"/>
      <c r="AJ93" s="53">
        <f>(AJ$29/AJ$27)^2*(AJ90-('Valve Sizing'!$V$4*'Valve Sizing'!$G$7))</f>
        <v>28.799674808731744</v>
      </c>
      <c r="AK93" s="41"/>
      <c r="AL93" s="73"/>
      <c r="AM93" s="53">
        <f>(AM$29/AM$27)^2*(AM90-('Valve Sizing'!$V$4*'Valve Sizing'!$G$7))</f>
        <v>22.262791448812656</v>
      </c>
      <c r="AN93" s="41"/>
      <c r="AO93" s="73"/>
      <c r="AP93" s="53">
        <f>(AP$29/AP$27)^2*(AP90-('Valve Sizing'!$V$4*'Valve Sizing'!$G$7))</f>
        <v>16.996106547006132</v>
      </c>
      <c r="AQ93" s="41"/>
      <c r="AR93" s="73"/>
      <c r="AS93" s="53">
        <f>(AS$29/AS$27)^2*(AS90-('Valve Sizing'!$V$4*'Valve Sizing'!$G$7))</f>
        <v>14.710950322875542</v>
      </c>
      <c r="AT93" s="41"/>
      <c r="AU93" s="73"/>
    </row>
    <row r="94" spans="1:47" ht="13" x14ac:dyDescent="0.25">
      <c r="O94" s="1" t="s">
        <v>69</v>
      </c>
      <c r="P94" s="17">
        <v>7</v>
      </c>
      <c r="Q94" s="65"/>
      <c r="R94" s="53">
        <f>(R88/(N_1*F_P_h))*SQRT('Valve Sizing'!$G$6/R92)</f>
        <v>0.15553446299370571</v>
      </c>
      <c r="S94" s="58"/>
      <c r="T94" s="73"/>
      <c r="U94" s="64">
        <f>(U88/(N_1*U$27))*SQRT('Valve Sizing'!$G$6/U92)</f>
        <v>5.236079409025737</v>
      </c>
      <c r="V94" s="41"/>
      <c r="W94" s="73"/>
      <c r="X94" s="64">
        <f>(X88/(N_1*X$27))*SQRT('Valve Sizing'!$G$6/X92)</f>
        <v>12.630245110868767</v>
      </c>
      <c r="Y94" s="41"/>
      <c r="Z94" s="73"/>
      <c r="AA94" s="64">
        <f>(AA88/(N_1*AA$27))*SQRT('Valve Sizing'!$G$6/AA92)</f>
        <v>24.463321222323017</v>
      </c>
      <c r="AB94" s="41"/>
      <c r="AC94" s="73"/>
      <c r="AD94" s="64">
        <f>(AD88/(N_1*AD$27))*SQRT('Valve Sizing'!$G$6/AD92)</f>
        <v>41.592496018450909</v>
      </c>
      <c r="AE94" s="41"/>
      <c r="AF94" s="73"/>
      <c r="AG94" s="64">
        <f>(AG88/(N_1*AG$27))*SQRT('Valve Sizing'!$G$6/AG92)</f>
        <v>66.064919206043839</v>
      </c>
      <c r="AH94" s="41"/>
      <c r="AI94" s="73"/>
      <c r="AJ94" s="64">
        <f>(AJ88/(N_1*AJ$27))*SQRT('Valve Sizing'!$G$6/AJ92)</f>
        <v>97.769045295842417</v>
      </c>
      <c r="AK94" s="41"/>
      <c r="AL94" s="73"/>
      <c r="AM94" s="64">
        <f>(AM88/(N_1*AM$27))*SQRT('Valve Sizing'!$G$6/AM92)</f>
        <v>138.242426233744</v>
      </c>
      <c r="AN94" s="41"/>
      <c r="AO94" s="73"/>
      <c r="AP94" s="64">
        <f>(AP88/(N_1*AP$27))*SQRT('Valve Sizing'!$G$6/AP92)</f>
        <v>204.78885297038948</v>
      </c>
      <c r="AQ94" s="41"/>
      <c r="AR94" s="73"/>
      <c r="AS94" s="64">
        <f>(AS88/(N_1*AS$27))*SQRT('Valve Sizing'!$G$6/AS92)</f>
        <v>371.46277997140601</v>
      </c>
      <c r="AT94" s="41"/>
      <c r="AU94" s="73"/>
    </row>
    <row r="95" spans="1:47" ht="13" x14ac:dyDescent="0.3">
      <c r="O95" s="1" t="s">
        <v>72</v>
      </c>
      <c r="P95" s="17">
        <v>7</v>
      </c>
      <c r="Q95" s="65"/>
      <c r="R95" s="53">
        <f>(R88/(N_1*F_P_h))*SQRT('Valve Sizing'!$G$6/R93)</f>
        <v>0.12917939564910264</v>
      </c>
      <c r="S95" s="56"/>
      <c r="T95" s="72"/>
      <c r="U95" s="85">
        <f>(U88/(N_1*U$27))*SQRT('Valve Sizing'!$G$6/U93)</f>
        <v>4.3481645055336182</v>
      </c>
      <c r="V95" s="44"/>
      <c r="W95" s="72"/>
      <c r="X95" s="85">
        <f>(X88/(N_1*X$27))*SQRT('Valve Sizing'!$G$6/X93)</f>
        <v>10.594052098559411</v>
      </c>
      <c r="Y95" s="44"/>
      <c r="Z95" s="72"/>
      <c r="AA95" s="85">
        <f>(AA88/(N_1*AA$27))*SQRT('Valve Sizing'!$G$6/AA93)</f>
        <v>20.901800227555494</v>
      </c>
      <c r="AB95" s="44"/>
      <c r="AC95" s="72"/>
      <c r="AD95" s="85">
        <f>(AD88/(N_1*AD$27))*SQRT('Valve Sizing'!$G$6/AD93)</f>
        <v>36.380920289442017</v>
      </c>
      <c r="AE95" s="44"/>
      <c r="AF95" s="72"/>
      <c r="AG95" s="85">
        <f>(AG88/(N_1*AG$27))*SQRT('Valve Sizing'!$G$6/AG93)</f>
        <v>59.730659696602153</v>
      </c>
      <c r="AH95" s="44"/>
      <c r="AI95" s="72"/>
      <c r="AJ95" s="85">
        <f>(AJ88/(N_1*AJ$27))*SQRT('Valve Sizing'!$G$6/AJ93)</f>
        <v>89.70008367715424</v>
      </c>
      <c r="AK95" s="44"/>
      <c r="AL95" s="72"/>
      <c r="AM95" s="85">
        <f>(AM88/(N_1*AM$27))*SQRT('Valve Sizing'!$G$6/AM93)</f>
        <v>132.08180621627045</v>
      </c>
      <c r="AN95" s="44"/>
      <c r="AO95" s="72"/>
      <c r="AP95" s="85">
        <f>(AP88/(N_1*AP$27))*SQRT('Valve Sizing'!$G$6/AP93)</f>
        <v>199.75384993010294</v>
      </c>
      <c r="AQ95" s="44"/>
      <c r="AR95" s="72"/>
      <c r="AS95" s="85">
        <f>(AS88/(N_1*AS$27))*SQRT('Valve Sizing'!$G$6/AS93)</f>
        <v>327.29125042720437</v>
      </c>
      <c r="AT95" s="44"/>
      <c r="AU95" s="72"/>
    </row>
    <row r="96" spans="1:47" x14ac:dyDescent="0.25">
      <c r="O96" s="1" t="s">
        <v>246</v>
      </c>
      <c r="P96" s="18"/>
      <c r="Q96" s="65"/>
      <c r="R96" s="53">
        <f>IF(R92&lt;R93,R94,R95)</f>
        <v>0.15553446299370571</v>
      </c>
      <c r="S96" s="49"/>
      <c r="T96" s="72"/>
      <c r="U96" s="64">
        <f>IF(U92&lt;U93,U94,U95)</f>
        <v>5.236079409025737</v>
      </c>
      <c r="V96" s="44"/>
      <c r="W96" s="72"/>
      <c r="X96" s="64">
        <f>IF(X92&lt;X93,X94,X95)</f>
        <v>12.630245110868767</v>
      </c>
      <c r="Y96" s="44"/>
      <c r="Z96" s="72"/>
      <c r="AA96" s="64">
        <f>IF(AA92&lt;AA93,AA94,AA95)</f>
        <v>24.463321222323017</v>
      </c>
      <c r="AB96" s="44"/>
      <c r="AC96" s="72"/>
      <c r="AD96" s="64">
        <f>IF(AD92&lt;AD93,AD94,AD95)</f>
        <v>41.592496018450909</v>
      </c>
      <c r="AE96" s="44"/>
      <c r="AF96" s="72"/>
      <c r="AG96" s="64">
        <f>IF(AG92&lt;AG93,AG94,AG95)</f>
        <v>66.064919206043839</v>
      </c>
      <c r="AH96" s="44"/>
      <c r="AI96" s="72"/>
      <c r="AJ96" s="64">
        <f>IF(AJ92&lt;AJ93,AJ94,AJ95)</f>
        <v>97.769045295842417</v>
      </c>
      <c r="AK96" s="44"/>
      <c r="AL96" s="72"/>
      <c r="AM96" s="64">
        <f>IF(AM92&lt;AM93,AM94,AM95)</f>
        <v>138.242426233744</v>
      </c>
      <c r="AN96" s="44"/>
      <c r="AO96" s="72"/>
      <c r="AP96" s="64">
        <f>IF(AP92&lt;AP93,AP94,AP95)</f>
        <v>204.78885297038948</v>
      </c>
      <c r="AQ96" s="44"/>
      <c r="AR96" s="72"/>
      <c r="AS96" s="64">
        <f>IF(AS92&lt;AS93,AS94,AS95)</f>
        <v>371.46277997140601</v>
      </c>
      <c r="AT96" s="44"/>
      <c r="AU96" s="72"/>
    </row>
    <row r="97" spans="15:47" ht="13" x14ac:dyDescent="0.3">
      <c r="O97" s="7" t="s">
        <v>264</v>
      </c>
      <c r="Q97" s="61"/>
      <c r="R97" s="53"/>
      <c r="S97" s="69">
        <f>IFERROR(ABS(C_h-R96),Q_max*10)</f>
        <v>4.8444655370062941</v>
      </c>
      <c r="T97" s="76">
        <f>R88</f>
        <v>0.88326464256000015</v>
      </c>
      <c r="U97" s="61"/>
      <c r="V97" s="69">
        <f>IFERROR(ABS(U$23-U96),Q_max*10)</f>
        <v>6.763920590974263</v>
      </c>
      <c r="W97" s="75">
        <f>U88</f>
        <v>29.698038987266372</v>
      </c>
      <c r="X97" s="61"/>
      <c r="Y97" s="69">
        <f>IFERROR(ABS(X$23-X96),Q_max*10)</f>
        <v>10.369754889131233</v>
      </c>
      <c r="Z97" s="75">
        <f>X88</f>
        <v>71.286725455548478</v>
      </c>
      <c r="AA97" s="61"/>
      <c r="AB97" s="69">
        <f>IFERROR(ABS(AA$23-AA96),Q_max*10)</f>
        <v>14.536678777676983</v>
      </c>
      <c r="AC97" s="75">
        <f>AA88</f>
        <v>136.11248463650961</v>
      </c>
      <c r="AD97" s="61"/>
      <c r="AE97" s="69">
        <f>IFERROR(ABS(AD$23-AD96),Q_max*10)</f>
        <v>19.407503981549091</v>
      </c>
      <c r="AF97" s="75">
        <f>AD88</f>
        <v>223.85492358344032</v>
      </c>
      <c r="AG97" s="61"/>
      <c r="AH97" s="69">
        <f>IFERROR(ABS(AG$23-AG96),Q_max*10)</f>
        <v>21.935080793956161</v>
      </c>
      <c r="AI97" s="75">
        <f>AG88</f>
        <v>333.28947730854713</v>
      </c>
      <c r="AJ97" s="61"/>
      <c r="AK97" s="69">
        <f>IFERROR(ABS(AJ$23-AJ96),Q_max*10)</f>
        <v>23.230954704157583</v>
      </c>
      <c r="AL97" s="75">
        <f>AJ88</f>
        <v>444.77609948732317</v>
      </c>
      <c r="AM97" s="61"/>
      <c r="AN97" s="69">
        <f>IFERROR(ABS(AM$23-AM96),Q_max*10)</f>
        <v>26.757573766256002</v>
      </c>
      <c r="AO97" s="75">
        <f>AM88</f>
        <v>542.71136660133789</v>
      </c>
      <c r="AP97" s="61"/>
      <c r="AQ97" s="69">
        <f>IFERROR(ABS(AP$23-AP96),Q_max*10)</f>
        <v>41.211147029610515</v>
      </c>
      <c r="AR97" s="75">
        <f>AP88</f>
        <v>630.07104835057976</v>
      </c>
      <c r="AS97" s="61"/>
      <c r="AT97" s="69">
        <f>IFERROR(ABS(AS$23-AS96),Q_max*10)</f>
        <v>48.537220028593993</v>
      </c>
      <c r="AU97" s="75">
        <f>AS88</f>
        <v>717.07962632335307</v>
      </c>
    </row>
    <row r="98" spans="15:47" ht="14.5" x14ac:dyDescent="0.35">
      <c r="O98" s="6"/>
      <c r="P98" s="6"/>
      <c r="Q98" s="60"/>
      <c r="R98" s="67"/>
      <c r="S98" s="56"/>
      <c r="T98" s="72"/>
      <c r="V98" s="11"/>
      <c r="W98" s="38"/>
      <c r="Y98" s="11"/>
      <c r="Z98" s="38"/>
      <c r="AB98" s="11"/>
      <c r="AC98" s="38"/>
      <c r="AE98" s="11"/>
      <c r="AF98" s="38"/>
      <c r="AH98" s="11"/>
      <c r="AI98" s="38"/>
      <c r="AK98" s="11"/>
      <c r="AL98" s="38"/>
      <c r="AN98" s="11"/>
      <c r="AO98" s="38"/>
      <c r="AQ98" s="11"/>
      <c r="AR98" s="38"/>
      <c r="AT98" s="11"/>
      <c r="AU98" s="38"/>
    </row>
    <row r="99" spans="15:47" ht="14" x14ac:dyDescent="0.3">
      <c r="O99" s="8" t="s">
        <v>235</v>
      </c>
      <c r="P99" s="6"/>
      <c r="Q99" s="60"/>
      <c r="R99" s="53">
        <f>R88*1.02</f>
        <v>0.90092993541120014</v>
      </c>
      <c r="S99" s="58" t="s">
        <v>238</v>
      </c>
      <c r="T99" s="73" t="s">
        <v>241</v>
      </c>
      <c r="U99" s="84">
        <f>U88*1.01</f>
        <v>29.995019377139037</v>
      </c>
      <c r="V99" s="58" t="s">
        <v>238</v>
      </c>
      <c r="W99" s="73" t="s">
        <v>241</v>
      </c>
      <c r="X99" s="84">
        <f>X88*1.01</f>
        <v>71.999592710103968</v>
      </c>
      <c r="Y99" s="58" t="s">
        <v>238</v>
      </c>
      <c r="Z99" s="73" t="s">
        <v>241</v>
      </c>
      <c r="AA99" s="84">
        <f>AA88*1.01</f>
        <v>137.47360948287471</v>
      </c>
      <c r="AB99" s="58" t="s">
        <v>238</v>
      </c>
      <c r="AC99" s="73" t="s">
        <v>241</v>
      </c>
      <c r="AD99" s="84">
        <f>AD88*1.01</f>
        <v>226.09347281927472</v>
      </c>
      <c r="AE99" s="58" t="s">
        <v>238</v>
      </c>
      <c r="AF99" s="73" t="s">
        <v>241</v>
      </c>
      <c r="AG99" s="84">
        <f>AG88*1.01</f>
        <v>336.62237208163259</v>
      </c>
      <c r="AH99" s="58" t="s">
        <v>238</v>
      </c>
      <c r="AI99" s="73" t="s">
        <v>241</v>
      </c>
      <c r="AJ99" s="84">
        <f>AJ88*1.01</f>
        <v>449.22386048219641</v>
      </c>
      <c r="AK99" s="58" t="s">
        <v>238</v>
      </c>
      <c r="AL99" s="73" t="s">
        <v>241</v>
      </c>
      <c r="AM99" s="84">
        <f>AM88*1.01</f>
        <v>548.13848026735127</v>
      </c>
      <c r="AN99" s="58" t="s">
        <v>238</v>
      </c>
      <c r="AO99" s="73" t="s">
        <v>241</v>
      </c>
      <c r="AP99" s="84">
        <f>AP88*1.01</f>
        <v>636.37175883408554</v>
      </c>
      <c r="AQ99" s="58" t="s">
        <v>238</v>
      </c>
      <c r="AR99" s="73" t="s">
        <v>241</v>
      </c>
      <c r="AS99" s="84">
        <f>AS88*1.01</f>
        <v>724.25042258658664</v>
      </c>
      <c r="AT99" s="58" t="s">
        <v>238</v>
      </c>
      <c r="AU99" s="73" t="s">
        <v>241</v>
      </c>
    </row>
    <row r="100" spans="15:47" ht="13" x14ac:dyDescent="0.25">
      <c r="O100" s="6"/>
      <c r="P100" s="6"/>
      <c r="Q100" s="60"/>
      <c r="R100" s="70"/>
      <c r="S100" s="63" t="s">
        <v>250</v>
      </c>
      <c r="T100" s="71" t="s">
        <v>242</v>
      </c>
      <c r="U100" s="61"/>
      <c r="V100" s="63" t="s">
        <v>250</v>
      </c>
      <c r="W100" s="71" t="s">
        <v>242</v>
      </c>
      <c r="X100" s="61"/>
      <c r="Y100" s="63" t="s">
        <v>250</v>
      </c>
      <c r="Z100" s="71" t="s">
        <v>242</v>
      </c>
      <c r="AA100" s="61"/>
      <c r="AB100" s="63" t="s">
        <v>250</v>
      </c>
      <c r="AC100" s="71" t="s">
        <v>242</v>
      </c>
      <c r="AD100" s="61"/>
      <c r="AE100" s="63" t="s">
        <v>250</v>
      </c>
      <c r="AF100" s="71" t="s">
        <v>242</v>
      </c>
      <c r="AG100" s="61"/>
      <c r="AH100" s="63" t="s">
        <v>250</v>
      </c>
      <c r="AI100" s="71" t="s">
        <v>242</v>
      </c>
      <c r="AJ100" s="61"/>
      <c r="AK100" s="63" t="s">
        <v>250</v>
      </c>
      <c r="AL100" s="71" t="s">
        <v>242</v>
      </c>
      <c r="AM100" s="61"/>
      <c r="AN100" s="63" t="s">
        <v>250</v>
      </c>
      <c r="AO100" s="71" t="s">
        <v>242</v>
      </c>
      <c r="AP100" s="61"/>
      <c r="AQ100" s="63" t="s">
        <v>250</v>
      </c>
      <c r="AR100" s="71" t="s">
        <v>242</v>
      </c>
      <c r="AS100" s="61"/>
      <c r="AT100" s="63" t="s">
        <v>250</v>
      </c>
      <c r="AU100" s="71" t="s">
        <v>242</v>
      </c>
    </row>
    <row r="101" spans="15:47" ht="13" x14ac:dyDescent="0.3">
      <c r="O101" s="6" t="s">
        <v>231</v>
      </c>
      <c r="P101" s="6"/>
      <c r="Q101" s="60"/>
      <c r="R101" s="85">
        <f>P_1_minQ-(R99^2*R_up)+dpup_minQ</f>
        <v>56.916115782683264</v>
      </c>
      <c r="S101" s="56"/>
      <c r="T101" s="72"/>
      <c r="U101" s="53">
        <f>P_1_minQ-(U99^2*R_up)+dpup_minQ</f>
        <v>56.885758149698248</v>
      </c>
      <c r="V101" s="44"/>
      <c r="W101" s="72"/>
      <c r="X101" s="53">
        <f>P_1_minQ-(X99^2*R_up)+dpup_minQ</f>
        <v>56.741069187760189</v>
      </c>
      <c r="Y101" s="44"/>
      <c r="Z101" s="72"/>
      <c r="AA101" s="53">
        <f>P_1_minQ-(AA99^2*R_up)+dpup_minQ</f>
        <v>56.277879321031747</v>
      </c>
      <c r="AB101" s="44"/>
      <c r="AC101" s="72"/>
      <c r="AD101" s="53">
        <f>P_1_minQ-(AD99^2*R_up)+dpup_minQ</f>
        <v>55.189758242097938</v>
      </c>
      <c r="AE101" s="44"/>
      <c r="AF101" s="72"/>
      <c r="AG101" s="53">
        <f>P_1_minQ-(AG99^2*R_up)+dpup_minQ</f>
        <v>53.089239399329109</v>
      </c>
      <c r="AH101" s="44"/>
      <c r="AI101" s="72"/>
      <c r="AJ101" s="53">
        <f>P_1_minQ-(AJ99^2*R_up)+dpup_minQ</f>
        <v>50.100807942366501</v>
      </c>
      <c r="AK101" s="44"/>
      <c r="AL101" s="72"/>
      <c r="AM101" s="53">
        <f>P_1_minQ-(AM99^2*R_up)+dpup_minQ</f>
        <v>46.769037705173879</v>
      </c>
      <c r="AN101" s="44"/>
      <c r="AO101" s="72"/>
      <c r="AP101" s="53">
        <f>P_1_minQ-(AP99^2*R_up)+dpup_minQ</f>
        <v>43.239378066815682</v>
      </c>
      <c r="AQ101" s="44"/>
      <c r="AR101" s="72"/>
      <c r="AS101" s="53">
        <f>P_1_minQ-(AS99^2*R_up)+dpup_minQ</f>
        <v>39.20122679443265</v>
      </c>
      <c r="AT101" s="44"/>
      <c r="AU101" s="72"/>
    </row>
    <row r="102" spans="15:47" ht="13" x14ac:dyDescent="0.3">
      <c r="O102" s="6" t="s">
        <v>233</v>
      </c>
      <c r="P102" s="6"/>
      <c r="Q102" s="60"/>
      <c r="R102" s="85">
        <f>P_2_minQ+(R99^2*R_dn)-dpdn_minQ</f>
        <v>24.656776843463348</v>
      </c>
      <c r="S102" s="66"/>
      <c r="T102" s="74"/>
      <c r="U102" s="53">
        <f>P_2_minQ+(U99^2*R_dn)-dpdn_minQ</f>
        <v>24.662848370060352</v>
      </c>
      <c r="V102" s="45"/>
      <c r="W102" s="74"/>
      <c r="X102" s="53">
        <f>P_2_minQ+(X99^2*R_dn)-dpdn_minQ</f>
        <v>24.691786162447965</v>
      </c>
      <c r="Y102" s="45"/>
      <c r="Z102" s="74"/>
      <c r="AA102" s="53">
        <f>P_2_minQ+(AA99^2*R_dn)-dpdn_minQ</f>
        <v>24.784424135793653</v>
      </c>
      <c r="AB102" s="45"/>
      <c r="AC102" s="74"/>
      <c r="AD102" s="53">
        <f>P_2_minQ+(AD99^2*R_dn)-dpdn_minQ</f>
        <v>25.002048351580413</v>
      </c>
      <c r="AE102" s="45"/>
      <c r="AF102" s="74"/>
      <c r="AG102" s="53">
        <f>P_2_minQ+(AG99^2*R_dn)-dpdn_minQ</f>
        <v>25.422152120134179</v>
      </c>
      <c r="AH102" s="45"/>
      <c r="AI102" s="74"/>
      <c r="AJ102" s="53">
        <f>P_2_minQ+(AJ99^2*R_dn)-dpdn_minQ</f>
        <v>26.019838411526703</v>
      </c>
      <c r="AK102" s="45"/>
      <c r="AL102" s="74"/>
      <c r="AM102" s="53">
        <f>P_2_minQ+(AM99^2*R_dn)-dpdn_minQ</f>
        <v>26.686192458965227</v>
      </c>
      <c r="AN102" s="45"/>
      <c r="AO102" s="74"/>
      <c r="AP102" s="53">
        <f>P_2_minQ+(AP99^2*R_dn)-dpdn_minQ</f>
        <v>27.392124386636866</v>
      </c>
      <c r="AQ102" s="45"/>
      <c r="AR102" s="74"/>
      <c r="AS102" s="53">
        <f>P_2_minQ+(AS99^2*R_dn)-dpdn_minQ</f>
        <v>28.199754641113472</v>
      </c>
      <c r="AT102" s="45"/>
      <c r="AU102" s="74"/>
    </row>
    <row r="103" spans="15:47" x14ac:dyDescent="0.25">
      <c r="O103" s="6" t="s">
        <v>243</v>
      </c>
      <c r="Q103" s="60"/>
      <c r="R103" s="53">
        <f>R101-R102</f>
        <v>32.259338939219916</v>
      </c>
      <c r="S103" s="56"/>
      <c r="T103" s="72"/>
      <c r="U103" s="64">
        <f>U101-U102</f>
        <v>32.222909779637895</v>
      </c>
      <c r="V103" s="44"/>
      <c r="W103" s="72"/>
      <c r="X103" s="64">
        <f>X101-X102</f>
        <v>32.049283025312221</v>
      </c>
      <c r="Y103" s="44"/>
      <c r="Z103" s="72"/>
      <c r="AA103" s="64">
        <f>AA101-AA102</f>
        <v>31.493455185238094</v>
      </c>
      <c r="AB103" s="44"/>
      <c r="AC103" s="72"/>
      <c r="AD103" s="64">
        <f>AD101-AD102</f>
        <v>30.187709890517525</v>
      </c>
      <c r="AE103" s="44"/>
      <c r="AF103" s="72"/>
      <c r="AG103" s="64">
        <f>AG101-AG102</f>
        <v>27.667087279194931</v>
      </c>
      <c r="AH103" s="44"/>
      <c r="AI103" s="72"/>
      <c r="AJ103" s="64">
        <f>AJ101-AJ102</f>
        <v>24.080969530839798</v>
      </c>
      <c r="AK103" s="44"/>
      <c r="AL103" s="72"/>
      <c r="AM103" s="64">
        <f>AM101-AM102</f>
        <v>20.082845246208652</v>
      </c>
      <c r="AN103" s="44"/>
      <c r="AO103" s="72"/>
      <c r="AP103" s="64">
        <f>AP101-AP102</f>
        <v>15.847253680178817</v>
      </c>
      <c r="AQ103" s="44"/>
      <c r="AR103" s="72"/>
      <c r="AS103" s="64">
        <f>AS101-AS102</f>
        <v>11.001472153319177</v>
      </c>
      <c r="AT103" s="44"/>
      <c r="AU103" s="72"/>
    </row>
    <row r="104" spans="15:47" ht="13" x14ac:dyDescent="0.3">
      <c r="O104" s="6" t="s">
        <v>75</v>
      </c>
      <c r="P104" s="6">
        <v>3</v>
      </c>
      <c r="Q104" s="65"/>
      <c r="R104" s="85">
        <f>(F_LP_h/F_P_h)^2*(R101-('Valve Sizing'!$V$4*'Valve Sizing'!$G$7))</f>
        <v>46.765140542990586</v>
      </c>
      <c r="S104" s="58"/>
      <c r="T104" s="73"/>
      <c r="U104" s="53">
        <f>(U$29/U$27)^2*(U101-('Valve Sizing'!$V$4*'Valve Sizing'!$G$7))</f>
        <v>46.727263435524648</v>
      </c>
      <c r="V104" s="41"/>
      <c r="W104" s="73"/>
      <c r="X104" s="53">
        <f>(X$29/X$27)^2*(X101-('Valve Sizing'!$V$4*'Valve Sizing'!$G$7))</f>
        <v>45.556164177272422</v>
      </c>
      <c r="Y104" s="41"/>
      <c r="Z104" s="73"/>
      <c r="AA104" s="53">
        <f>(AA$29/AA$27)^2*(AA101-('Valve Sizing'!$V$4*'Valve Sizing'!$G$7))</f>
        <v>43.151313419144543</v>
      </c>
      <c r="AB104" s="41"/>
      <c r="AC104" s="73"/>
      <c r="AD104" s="53">
        <f>(AD$29/AD$27)^2*(AD101-('Valve Sizing'!$V$4*'Valve Sizing'!$G$7))</f>
        <v>39.484794599986863</v>
      </c>
      <c r="AE104" s="41"/>
      <c r="AF104" s="73"/>
      <c r="AG104" s="53">
        <f>(AG$29/AG$27)^2*(AG101-('Valve Sizing'!$V$4*'Valve Sizing'!$G$7))</f>
        <v>33.908387028184123</v>
      </c>
      <c r="AH104" s="41"/>
      <c r="AI104" s="73"/>
      <c r="AJ104" s="53">
        <f>(AJ$29/AJ$27)^2*(AJ101-('Valve Sizing'!$V$4*'Valve Sizing'!$G$7))</f>
        <v>28.722006823680196</v>
      </c>
      <c r="AK104" s="41"/>
      <c r="AL104" s="73"/>
      <c r="AM104" s="53">
        <f>(AM$29/AM$27)^2*(AM101-('Valve Sizing'!$V$4*'Valve Sizing'!$G$7))</f>
        <v>22.167126653013476</v>
      </c>
      <c r="AN104" s="41"/>
      <c r="AO104" s="73"/>
      <c r="AP104" s="53">
        <f>(AP$29/AP$27)^2*(AP101-('Valve Sizing'!$V$4*'Valve Sizing'!$G$7))</f>
        <v>16.88976002170148</v>
      </c>
      <c r="AQ104" s="41"/>
      <c r="AR104" s="73"/>
      <c r="AS104" s="53">
        <f>(AS$29/AS$27)^2*(AS101-('Valve Sizing'!$V$4*'Valve Sizing'!$G$7))</f>
        <v>14.579656935247787</v>
      </c>
      <c r="AT104" s="41"/>
      <c r="AU104" s="73"/>
    </row>
    <row r="105" spans="15:47" ht="13" x14ac:dyDescent="0.25">
      <c r="O105" s="1" t="s">
        <v>69</v>
      </c>
      <c r="P105" s="17">
        <v>7</v>
      </c>
      <c r="Q105" s="65"/>
      <c r="R105" s="53">
        <f>(R99/(N_1*F_P_h))*SQRT('Valve Sizing'!$G$6/R103)</f>
        <v>0.15864515539443014</v>
      </c>
      <c r="S105" s="58"/>
      <c r="T105" s="73"/>
      <c r="U105" s="64">
        <f>(U99/(N_1*U$27))*SQRT('Valve Sizing'!$G$6/U103)</f>
        <v>5.2884991586895147</v>
      </c>
      <c r="V105" s="41"/>
      <c r="W105" s="73"/>
      <c r="X105" s="64">
        <f>(X99/(N_1*X$27))*SQRT('Valve Sizing'!$G$6/X103)</f>
        <v>12.757371371947267</v>
      </c>
      <c r="Y105" s="41"/>
      <c r="Z105" s="73"/>
      <c r="AA105" s="64">
        <f>(AA99/(N_1*AA$27))*SQRT('Valve Sizing'!$G$6/AA103)</f>
        <v>24.713873720035831</v>
      </c>
      <c r="AB105" s="41"/>
      <c r="AC105" s="73"/>
      <c r="AD105" s="64">
        <f>(AD99/(N_1*AD$27))*SQRT('Valve Sizing'!$G$6/AD103)</f>
        <v>42.036813349085314</v>
      </c>
      <c r="AE105" s="41"/>
      <c r="AF105" s="73"/>
      <c r="AG105" s="64">
        <f>(AG99/(N_1*AG$27))*SQRT('Valve Sizing'!$G$6/AG103)</f>
        <v>66.834593446404838</v>
      </c>
      <c r="AH105" s="41"/>
      <c r="AI105" s="73"/>
      <c r="AJ105" s="64">
        <f>(AJ99/(N_1*AJ$27))*SQRT('Valve Sizing'!$G$6/AJ103)</f>
        <v>99.076585240882551</v>
      </c>
      <c r="AK105" s="41"/>
      <c r="AL105" s="73"/>
      <c r="AM105" s="64">
        <f>(AM99/(N_1*AM$27))*SQRT('Valve Sizing'!$G$6/AM103)</f>
        <v>140.45640913704628</v>
      </c>
      <c r="AN105" s="41"/>
      <c r="AO105" s="73"/>
      <c r="AP105" s="64">
        <f>(AP99/(N_1*AP$27))*SQRT('Valve Sizing'!$G$6/AP103)</f>
        <v>208.93646837470905</v>
      </c>
      <c r="AQ105" s="41"/>
      <c r="AR105" s="73"/>
      <c r="AS105" s="64">
        <f>(AS99/(N_1*AS$27))*SQRT('Valve Sizing'!$G$6/AS103)</f>
        <v>382.25284961958101</v>
      </c>
      <c r="AT105" s="41"/>
      <c r="AU105" s="73"/>
    </row>
    <row r="106" spans="15:47" ht="13" x14ac:dyDescent="0.3">
      <c r="O106" s="1" t="s">
        <v>72</v>
      </c>
      <c r="P106" s="17">
        <v>7</v>
      </c>
      <c r="Q106" s="65"/>
      <c r="R106" s="53">
        <f>(R99/(N_1*F_P_h))*SQRT('Valve Sizing'!$G$6/R104)</f>
        <v>0.13176298480380474</v>
      </c>
      <c r="S106" s="56"/>
      <c r="T106" s="72"/>
      <c r="U106" s="85">
        <f>(U99/(N_1*U$27))*SQRT('Valve Sizing'!$G$6/U104)</f>
        <v>4.3916694410734127</v>
      </c>
      <c r="V106" s="44"/>
      <c r="W106" s="72"/>
      <c r="X106" s="85">
        <f>(X99/(N_1*X$27))*SQRT('Valve Sizing'!$G$6/X104)</f>
        <v>10.700320417027957</v>
      </c>
      <c r="Y106" s="44"/>
      <c r="Z106" s="72"/>
      <c r="AA106" s="85">
        <f>(AA99/(N_1*AA$27))*SQRT('Valve Sizing'!$G$6/AA104)</f>
        <v>21.113195484588438</v>
      </c>
      <c r="AB106" s="44"/>
      <c r="AC106" s="72"/>
      <c r="AD106" s="85">
        <f>(AD99/(N_1*AD$27))*SQRT('Valve Sizing'!$G$6/AD104)</f>
        <v>36.756142676368249</v>
      </c>
      <c r="AE106" s="44"/>
      <c r="AF106" s="72"/>
      <c r="AG106" s="85">
        <f>(AG99/(N_1*AG$27))*SQRT('Valve Sizing'!$G$6/AG104)</f>
        <v>60.371152245843255</v>
      </c>
      <c r="AH106" s="44"/>
      <c r="AI106" s="72"/>
      <c r="AJ106" s="85">
        <f>(AJ99/(N_1*AJ$27))*SQRT('Valve Sizing'!$G$6/AJ104)</f>
        <v>90.719494876389518</v>
      </c>
      <c r="AK106" s="44"/>
      <c r="AL106" s="72"/>
      <c r="AM106" s="85">
        <f>(AM99/(N_1*AM$27))*SQRT('Valve Sizing'!$G$6/AM104)</f>
        <v>133.69017159432991</v>
      </c>
      <c r="AN106" s="44"/>
      <c r="AO106" s="72"/>
      <c r="AP106" s="85">
        <f>(AP99/(N_1*AP$27))*SQRT('Valve Sizing'!$G$6/AP104)</f>
        <v>202.38555644715856</v>
      </c>
      <c r="AQ106" s="44"/>
      <c r="AR106" s="72"/>
      <c r="AS106" s="85">
        <f>(AS99/(N_1*AS$27))*SQRT('Valve Sizing'!$G$6/AS104)</f>
        <v>332.04923276353202</v>
      </c>
      <c r="AT106" s="44"/>
      <c r="AU106" s="72"/>
    </row>
    <row r="107" spans="15:47" x14ac:dyDescent="0.25">
      <c r="O107" s="1" t="s">
        <v>246</v>
      </c>
      <c r="P107" s="18"/>
      <c r="Q107" s="65"/>
      <c r="R107" s="53">
        <f>IF(R103&lt;R104,R105,R106)</f>
        <v>0.15864515539443014</v>
      </c>
      <c r="S107" s="49"/>
      <c r="T107" s="72"/>
      <c r="U107" s="64">
        <f>IF(U103&lt;U104,U105,U106)</f>
        <v>5.2884991586895147</v>
      </c>
      <c r="V107" s="44"/>
      <c r="W107" s="72"/>
      <c r="X107" s="64">
        <f>IF(X103&lt;X104,X105,X106)</f>
        <v>12.757371371947267</v>
      </c>
      <c r="Y107" s="44"/>
      <c r="Z107" s="72"/>
      <c r="AA107" s="64">
        <f>IF(AA103&lt;AA104,AA105,AA106)</f>
        <v>24.713873720035831</v>
      </c>
      <c r="AB107" s="44"/>
      <c r="AC107" s="72"/>
      <c r="AD107" s="64">
        <f>IF(AD103&lt;AD104,AD105,AD106)</f>
        <v>42.036813349085314</v>
      </c>
      <c r="AE107" s="44"/>
      <c r="AF107" s="72"/>
      <c r="AG107" s="64">
        <f>IF(AG103&lt;AG104,AG105,AG106)</f>
        <v>66.834593446404838</v>
      </c>
      <c r="AH107" s="44"/>
      <c r="AI107" s="72"/>
      <c r="AJ107" s="64">
        <f>IF(AJ103&lt;AJ104,AJ105,AJ106)</f>
        <v>99.076585240882551</v>
      </c>
      <c r="AK107" s="44"/>
      <c r="AL107" s="72"/>
      <c r="AM107" s="64">
        <f>IF(AM103&lt;AM104,AM105,AM106)</f>
        <v>140.45640913704628</v>
      </c>
      <c r="AN107" s="44"/>
      <c r="AO107" s="72"/>
      <c r="AP107" s="64">
        <f>IF(AP103&lt;AP104,AP105,AP106)</f>
        <v>208.93646837470905</v>
      </c>
      <c r="AQ107" s="44"/>
      <c r="AR107" s="72"/>
      <c r="AS107" s="64">
        <f>IF(AS103&lt;AS104,AS105,AS106)</f>
        <v>382.25284961958101</v>
      </c>
      <c r="AT107" s="44"/>
      <c r="AU107" s="72"/>
    </row>
    <row r="108" spans="15:47" ht="13" x14ac:dyDescent="0.3">
      <c r="O108" s="7" t="s">
        <v>264</v>
      </c>
      <c r="Q108" s="61"/>
      <c r="R108" s="53"/>
      <c r="S108" s="69">
        <f>IFERROR(ABS(C_h-R107),Q_max*10)</f>
        <v>4.8413548446055703</v>
      </c>
      <c r="T108" s="76">
        <f>R99</f>
        <v>0.90092993541120014</v>
      </c>
      <c r="U108" s="61"/>
      <c r="V108" s="69">
        <f>IFERROR(ABS(U$23-U107),Q_max*10)</f>
        <v>6.7115008413104853</v>
      </c>
      <c r="W108" s="75">
        <f>U99</f>
        <v>29.995019377139037</v>
      </c>
      <c r="X108" s="61"/>
      <c r="Y108" s="69">
        <f>IFERROR(ABS(X$23-X107),Q_max*10)</f>
        <v>10.242628628052733</v>
      </c>
      <c r="Z108" s="75">
        <f>X99</f>
        <v>71.999592710103968</v>
      </c>
      <c r="AA108" s="61"/>
      <c r="AB108" s="69">
        <f>IFERROR(ABS(AA$23-AA107),Q_max*10)</f>
        <v>14.286126279964169</v>
      </c>
      <c r="AC108" s="75">
        <f>AA99</f>
        <v>137.47360948287471</v>
      </c>
      <c r="AD108" s="61"/>
      <c r="AE108" s="69">
        <f>IFERROR(ABS(AD$23-AD107),Q_max*10)</f>
        <v>18.963186650914686</v>
      </c>
      <c r="AF108" s="75">
        <f>AD99</f>
        <v>226.09347281927472</v>
      </c>
      <c r="AG108" s="61"/>
      <c r="AH108" s="69">
        <f>IFERROR(ABS(AG$23-AG107),Q_max*10)</f>
        <v>21.165406553595162</v>
      </c>
      <c r="AI108" s="75">
        <f>AG99</f>
        <v>336.62237208163259</v>
      </c>
      <c r="AJ108" s="61"/>
      <c r="AK108" s="69">
        <f>IFERROR(ABS(AJ$23-AJ107),Q_max*10)</f>
        <v>21.923414759117449</v>
      </c>
      <c r="AL108" s="75">
        <f>AJ99</f>
        <v>449.22386048219641</v>
      </c>
      <c r="AM108" s="61"/>
      <c r="AN108" s="69">
        <f>IFERROR(ABS(AM$23-AM107),Q_max*10)</f>
        <v>24.543590862953721</v>
      </c>
      <c r="AO108" s="75">
        <f>AM99</f>
        <v>548.13848026735127</v>
      </c>
      <c r="AP108" s="61"/>
      <c r="AQ108" s="69">
        <f>IFERROR(ABS(AP$23-AP107),Q_max*10)</f>
        <v>37.063531625290949</v>
      </c>
      <c r="AR108" s="75">
        <f>AP99</f>
        <v>636.37175883408554</v>
      </c>
      <c r="AS108" s="61"/>
      <c r="AT108" s="69">
        <f>IFERROR(ABS(AS$23-AS107),Q_max*10)</f>
        <v>37.747150380418987</v>
      </c>
      <c r="AU108" s="75">
        <f>AS99</f>
        <v>724.25042258658664</v>
      </c>
    </row>
    <row r="109" spans="15:47" ht="14.5" x14ac:dyDescent="0.35">
      <c r="O109" s="8"/>
      <c r="P109" s="6"/>
      <c r="Q109" s="60"/>
      <c r="R109" s="67"/>
      <c r="S109" s="58"/>
      <c r="T109" s="73"/>
      <c r="V109" s="11"/>
      <c r="W109" s="38"/>
      <c r="Y109" s="11"/>
      <c r="Z109" s="38"/>
      <c r="AB109" s="11"/>
      <c r="AC109" s="38"/>
      <c r="AE109" s="11"/>
      <c r="AF109" s="38"/>
      <c r="AH109" s="11"/>
      <c r="AI109" s="38"/>
      <c r="AK109" s="11"/>
      <c r="AL109" s="38"/>
      <c r="AN109" s="11"/>
      <c r="AO109" s="38"/>
      <c r="AQ109" s="11"/>
      <c r="AR109" s="38"/>
      <c r="AT109" s="11"/>
      <c r="AU109" s="38"/>
    </row>
    <row r="110" spans="15:47" ht="14" x14ac:dyDescent="0.3">
      <c r="O110" s="8" t="s">
        <v>235</v>
      </c>
      <c r="P110" s="6"/>
      <c r="Q110" s="60"/>
      <c r="R110" s="53">
        <f>R99*1.02</f>
        <v>0.91894853411942412</v>
      </c>
      <c r="S110" s="58" t="s">
        <v>238</v>
      </c>
      <c r="T110" s="73" t="s">
        <v>241</v>
      </c>
      <c r="U110" s="84">
        <f>U99*1.01</f>
        <v>30.294969570910428</v>
      </c>
      <c r="V110" s="58" t="s">
        <v>238</v>
      </c>
      <c r="W110" s="73" t="s">
        <v>241</v>
      </c>
      <c r="X110" s="84">
        <f>X99*1.01</f>
        <v>72.719588637205007</v>
      </c>
      <c r="Y110" s="58" t="s">
        <v>238</v>
      </c>
      <c r="Z110" s="73" t="s">
        <v>241</v>
      </c>
      <c r="AA110" s="84">
        <f>AA99*1.01</f>
        <v>138.84834557770347</v>
      </c>
      <c r="AB110" s="58" t="s">
        <v>238</v>
      </c>
      <c r="AC110" s="73" t="s">
        <v>241</v>
      </c>
      <c r="AD110" s="84">
        <f>AD99*1.01</f>
        <v>228.35440754746747</v>
      </c>
      <c r="AE110" s="58" t="s">
        <v>238</v>
      </c>
      <c r="AF110" s="73" t="s">
        <v>241</v>
      </c>
      <c r="AG110" s="84">
        <f>AG99*1.01</f>
        <v>339.98859580244891</v>
      </c>
      <c r="AH110" s="58" t="s">
        <v>238</v>
      </c>
      <c r="AI110" s="73" t="s">
        <v>241</v>
      </c>
      <c r="AJ110" s="84">
        <f>AJ99*1.01</f>
        <v>453.71609908701839</v>
      </c>
      <c r="AK110" s="58" t="s">
        <v>238</v>
      </c>
      <c r="AL110" s="73" t="s">
        <v>241</v>
      </c>
      <c r="AM110" s="84">
        <f>AM99*1.01</f>
        <v>553.61986507002484</v>
      </c>
      <c r="AN110" s="58" t="s">
        <v>238</v>
      </c>
      <c r="AO110" s="73" t="s">
        <v>241</v>
      </c>
      <c r="AP110" s="84">
        <f>AP99*1.01</f>
        <v>642.73547642242636</v>
      </c>
      <c r="AQ110" s="58" t="s">
        <v>238</v>
      </c>
      <c r="AR110" s="73" t="s">
        <v>241</v>
      </c>
      <c r="AS110" s="84">
        <f>AS99*1.01</f>
        <v>731.49292681245254</v>
      </c>
      <c r="AT110" s="58" t="s">
        <v>238</v>
      </c>
      <c r="AU110" s="73" t="s">
        <v>241</v>
      </c>
    </row>
    <row r="111" spans="15:47" ht="13" x14ac:dyDescent="0.25">
      <c r="O111" s="6"/>
      <c r="P111" s="6"/>
      <c r="Q111" s="60"/>
      <c r="R111" s="70"/>
      <c r="S111" s="63" t="s">
        <v>250</v>
      </c>
      <c r="T111" s="71" t="s">
        <v>242</v>
      </c>
      <c r="U111" s="61"/>
      <c r="V111" s="63" t="s">
        <v>250</v>
      </c>
      <c r="W111" s="71" t="s">
        <v>242</v>
      </c>
      <c r="X111" s="61"/>
      <c r="Y111" s="63" t="s">
        <v>250</v>
      </c>
      <c r="Z111" s="71" t="s">
        <v>242</v>
      </c>
      <c r="AA111" s="61"/>
      <c r="AB111" s="63" t="s">
        <v>250</v>
      </c>
      <c r="AC111" s="71" t="s">
        <v>242</v>
      </c>
      <c r="AD111" s="61"/>
      <c r="AE111" s="63" t="s">
        <v>250</v>
      </c>
      <c r="AF111" s="71" t="s">
        <v>242</v>
      </c>
      <c r="AG111" s="61"/>
      <c r="AH111" s="63" t="s">
        <v>250</v>
      </c>
      <c r="AI111" s="71" t="s">
        <v>242</v>
      </c>
      <c r="AJ111" s="61"/>
      <c r="AK111" s="63" t="s">
        <v>250</v>
      </c>
      <c r="AL111" s="71" t="s">
        <v>242</v>
      </c>
      <c r="AM111" s="61"/>
      <c r="AN111" s="63" t="s">
        <v>250</v>
      </c>
      <c r="AO111" s="71" t="s">
        <v>242</v>
      </c>
      <c r="AP111" s="61"/>
      <c r="AQ111" s="63" t="s">
        <v>250</v>
      </c>
      <c r="AR111" s="71" t="s">
        <v>242</v>
      </c>
      <c r="AS111" s="61"/>
      <c r="AT111" s="63" t="s">
        <v>250</v>
      </c>
      <c r="AU111" s="71" t="s">
        <v>242</v>
      </c>
    </row>
    <row r="112" spans="15:47" ht="13" x14ac:dyDescent="0.3">
      <c r="O112" s="6" t="s">
        <v>231</v>
      </c>
      <c r="P112" s="6"/>
      <c r="Q112" s="60"/>
      <c r="R112" s="85">
        <f>P_1_minQ-(R110^2*R_up)+dpup_minQ</f>
        <v>56.916114675231057</v>
      </c>
      <c r="S112" s="56"/>
      <c r="T112" s="72"/>
      <c r="U112" s="53">
        <f>P_1_minQ-(U110^2*R_up)+dpup_minQ</f>
        <v>56.885147410290365</v>
      </c>
      <c r="V112" s="44"/>
      <c r="W112" s="72"/>
      <c r="X112" s="53">
        <f>P_1_minQ-(X110^2*R_up)+dpup_minQ</f>
        <v>56.737550200217349</v>
      </c>
      <c r="Y112" s="44"/>
      <c r="Z112" s="72"/>
      <c r="AA112" s="53">
        <f>P_1_minQ-(AA110^2*R_up)+dpup_minQ</f>
        <v>56.265050217167669</v>
      </c>
      <c r="AB112" s="44"/>
      <c r="AC112" s="72"/>
      <c r="AD112" s="53">
        <f>P_1_minQ-(AD110^2*R_up)+dpup_minQ</f>
        <v>55.155057904547284</v>
      </c>
      <c r="AE112" s="44"/>
      <c r="AF112" s="72"/>
      <c r="AG112" s="53">
        <f>P_1_minQ-(AG110^2*R_up)+dpup_minQ</f>
        <v>53.012318633038802</v>
      </c>
      <c r="AH112" s="44"/>
      <c r="AI112" s="72"/>
      <c r="AJ112" s="53">
        <f>P_1_minQ-(AJ110^2*R_up)+dpup_minQ</f>
        <v>49.963819703791252</v>
      </c>
      <c r="AK112" s="44"/>
      <c r="AL112" s="72"/>
      <c r="AM112" s="53">
        <f>P_1_minQ-(AM110^2*R_up)+dpup_minQ</f>
        <v>46.565080884831055</v>
      </c>
      <c r="AN112" s="44"/>
      <c r="AO112" s="72"/>
      <c r="AP112" s="53">
        <f>P_1_minQ-(AP110^2*R_up)+dpup_minQ</f>
        <v>42.964475087741867</v>
      </c>
      <c r="AQ112" s="44"/>
      <c r="AR112" s="72"/>
      <c r="AS112" s="53">
        <f>P_1_minQ-(AS110^2*R_up)+dpup_minQ</f>
        <v>38.845156974783926</v>
      </c>
      <c r="AT112" s="44"/>
      <c r="AU112" s="72"/>
    </row>
    <row r="113" spans="15:47" ht="13" x14ac:dyDescent="0.3">
      <c r="O113" s="6" t="s">
        <v>233</v>
      </c>
      <c r="P113" s="6"/>
      <c r="Q113" s="60"/>
      <c r="R113" s="85">
        <f>P_2_minQ+(R110^2*R_dn)-dpdn_minQ</f>
        <v>24.65677706495379</v>
      </c>
      <c r="S113" s="66"/>
      <c r="T113" s="74"/>
      <c r="U113" s="53">
        <f>P_2_minQ+(U110^2*R_dn)-dpdn_minQ</f>
        <v>24.662970517941929</v>
      </c>
      <c r="V113" s="45"/>
      <c r="W113" s="74"/>
      <c r="X113" s="53">
        <f>P_2_minQ+(X110^2*R_dn)-dpdn_minQ</f>
        <v>24.692489959956532</v>
      </c>
      <c r="Y113" s="45"/>
      <c r="Z113" s="74"/>
      <c r="AA113" s="53">
        <f>P_2_minQ+(AA110^2*R_dn)-dpdn_minQ</f>
        <v>24.786989956566469</v>
      </c>
      <c r="AB113" s="45"/>
      <c r="AC113" s="74"/>
      <c r="AD113" s="53">
        <f>P_2_minQ+(AD110^2*R_dn)-dpdn_minQ</f>
        <v>25.008988419090546</v>
      </c>
      <c r="AE113" s="45"/>
      <c r="AF113" s="74"/>
      <c r="AG113" s="53">
        <f>P_2_minQ+(AG110^2*R_dn)-dpdn_minQ</f>
        <v>25.43753627339224</v>
      </c>
      <c r="AH113" s="45"/>
      <c r="AI113" s="74"/>
      <c r="AJ113" s="53">
        <f>P_2_minQ+(AJ110^2*R_dn)-dpdn_minQ</f>
        <v>26.047236059241751</v>
      </c>
      <c r="AK113" s="45"/>
      <c r="AL113" s="74"/>
      <c r="AM113" s="53">
        <f>P_2_minQ+(AM110^2*R_dn)-dpdn_minQ</f>
        <v>26.726983823033791</v>
      </c>
      <c r="AN113" s="45"/>
      <c r="AO113" s="74"/>
      <c r="AP113" s="53">
        <f>P_2_minQ+(AP110^2*R_dn)-dpdn_minQ</f>
        <v>27.447104982451627</v>
      </c>
      <c r="AQ113" s="45"/>
      <c r="AR113" s="74"/>
      <c r="AS113" s="53">
        <f>P_2_minQ+(AS110^2*R_dn)-dpdn_minQ</f>
        <v>28.270968605043215</v>
      </c>
      <c r="AT113" s="45"/>
      <c r="AU113" s="74"/>
    </row>
    <row r="114" spans="15:47" x14ac:dyDescent="0.25">
      <c r="O114" s="6" t="s">
        <v>243</v>
      </c>
      <c r="Q114" s="60"/>
      <c r="R114" s="53">
        <f>R112-R113</f>
        <v>32.259337610277271</v>
      </c>
      <c r="S114" s="56"/>
      <c r="T114" s="72"/>
      <c r="U114" s="64">
        <f>U112-U113</f>
        <v>32.222176892348436</v>
      </c>
      <c r="V114" s="44"/>
      <c r="W114" s="72"/>
      <c r="X114" s="64">
        <f>X112-X113</f>
        <v>32.045060240260817</v>
      </c>
      <c r="Y114" s="44"/>
      <c r="Z114" s="72"/>
      <c r="AA114" s="64">
        <f>AA112-AA113</f>
        <v>31.4780602606012</v>
      </c>
      <c r="AB114" s="44"/>
      <c r="AC114" s="72"/>
      <c r="AD114" s="64">
        <f>AD112-AD113</f>
        <v>30.146069485456739</v>
      </c>
      <c r="AE114" s="44"/>
      <c r="AF114" s="72"/>
      <c r="AG114" s="64">
        <f>AG112-AG113</f>
        <v>27.574782359646562</v>
      </c>
      <c r="AH114" s="44"/>
      <c r="AI114" s="72"/>
      <c r="AJ114" s="64">
        <f>AJ112-AJ113</f>
        <v>23.916583644549501</v>
      </c>
      <c r="AK114" s="44"/>
      <c r="AL114" s="72"/>
      <c r="AM114" s="64">
        <f>AM112-AM113</f>
        <v>19.838097061797264</v>
      </c>
      <c r="AN114" s="44"/>
      <c r="AO114" s="72"/>
      <c r="AP114" s="64">
        <f>AP112-AP113</f>
        <v>15.51737010529024</v>
      </c>
      <c r="AQ114" s="44"/>
      <c r="AR114" s="72"/>
      <c r="AS114" s="64">
        <f>AS112-AS113</f>
        <v>10.57418836974071</v>
      </c>
      <c r="AT114" s="44"/>
      <c r="AU114" s="72"/>
    </row>
    <row r="115" spans="15:47" ht="13" x14ac:dyDescent="0.3">
      <c r="O115" s="6" t="s">
        <v>75</v>
      </c>
      <c r="P115" s="6">
        <v>3</v>
      </c>
      <c r="Q115" s="65"/>
      <c r="R115" s="85">
        <f>(F_LP_h/F_P_h)^2*(R112-('Valve Sizing'!$V$4*'Valve Sizing'!$G$7))</f>
        <v>46.765139625962028</v>
      </c>
      <c r="S115" s="58"/>
      <c r="T115" s="73"/>
      <c r="U115" s="53">
        <f>(U$29/U$27)^2*(U112-('Valve Sizing'!$V$4*'Valve Sizing'!$G$7))</f>
        <v>46.72675784907679</v>
      </c>
      <c r="V115" s="41"/>
      <c r="W115" s="73"/>
      <c r="X115" s="53">
        <f>(X$29/X$27)^2*(X112-('Valve Sizing'!$V$4*'Valve Sizing'!$G$7))</f>
        <v>45.553316775957335</v>
      </c>
      <c r="Y115" s="41"/>
      <c r="Z115" s="73"/>
      <c r="AA115" s="53">
        <f>(AA$29/AA$27)^2*(AA112-('Valve Sizing'!$V$4*'Valve Sizing'!$G$7))</f>
        <v>43.141399123325925</v>
      </c>
      <c r="AB115" s="41"/>
      <c r="AC115" s="73"/>
      <c r="AD115" s="53">
        <f>(AD$29/AD$27)^2*(AD112-('Valve Sizing'!$V$4*'Valve Sizing'!$G$7))</f>
        <v>39.459769153520583</v>
      </c>
      <c r="AE115" s="41"/>
      <c r="AF115" s="73"/>
      <c r="AG115" s="53">
        <f>(AG$29/AG$27)^2*(AG112-('Valve Sizing'!$V$4*'Valve Sizing'!$G$7))</f>
        <v>33.85884667393448</v>
      </c>
      <c r="AH115" s="41"/>
      <c r="AI115" s="73"/>
      <c r="AJ115" s="53">
        <f>(AJ$29/AJ$27)^2*(AJ112-('Valve Sizing'!$V$4*'Valve Sizing'!$G$7))</f>
        <v>28.642777712129114</v>
      </c>
      <c r="AK115" s="41"/>
      <c r="AL115" s="73"/>
      <c r="AM115" s="53">
        <f>(AM$29/AM$27)^2*(AM112-('Valve Sizing'!$V$4*'Valve Sizing'!$G$7))</f>
        <v>22.069538994818728</v>
      </c>
      <c r="AN115" s="41"/>
      <c r="AO115" s="73"/>
      <c r="AP115" s="53">
        <f>(AP$29/AP$27)^2*(AP112-('Valve Sizing'!$V$4*'Valve Sizing'!$G$7))</f>
        <v>16.781275931238209</v>
      </c>
      <c r="AQ115" s="41"/>
      <c r="AR115" s="73"/>
      <c r="AS115" s="53">
        <f>(AS$29/AS$27)^2*(AS112-('Valve Sizing'!$V$4*'Valve Sizing'!$G$7))</f>
        <v>14.445724550528713</v>
      </c>
      <c r="AT115" s="41"/>
      <c r="AU115" s="73"/>
    </row>
    <row r="116" spans="15:47" ht="13" x14ac:dyDescent="0.25">
      <c r="O116" s="1" t="s">
        <v>69</v>
      </c>
      <c r="P116" s="17">
        <v>7</v>
      </c>
      <c r="Q116" s="65"/>
      <c r="R116" s="53">
        <f>(R110/(N_1*F_P_h))*SQRT('Valve Sizing'!$G$6/R114)</f>
        <v>0.16181806183541439</v>
      </c>
      <c r="S116" s="58"/>
      <c r="T116" s="73"/>
      <c r="U116" s="64">
        <f>(U110/(N_1*U$27))*SQRT('Valve Sizing'!$G$6/U114)</f>
        <v>5.3414448943146819</v>
      </c>
      <c r="V116" s="41"/>
      <c r="W116" s="73"/>
      <c r="X116" s="64">
        <f>(X110/(N_1*X$27))*SQRT('Valve Sizing'!$G$6/X114)</f>
        <v>12.885794024016443</v>
      </c>
      <c r="Y116" s="41"/>
      <c r="Z116" s="73"/>
      <c r="AA116" s="64">
        <f>(AA110/(N_1*AA$27))*SQRT('Valve Sizing'!$G$6/AA114)</f>
        <v>24.967115532362335</v>
      </c>
      <c r="AB116" s="41"/>
      <c r="AC116" s="73"/>
      <c r="AD116" s="64">
        <f>(AD110/(N_1*AD$27))*SQRT('Valve Sizing'!$G$6/AD114)</f>
        <v>42.486494162131365</v>
      </c>
      <c r="AE116" s="41"/>
      <c r="AF116" s="73"/>
      <c r="AG116" s="64">
        <f>(AG110/(N_1*AG$27))*SQRT('Valve Sizing'!$G$6/AG114)</f>
        <v>67.615825997078062</v>
      </c>
      <c r="AH116" s="41"/>
      <c r="AI116" s="73"/>
      <c r="AJ116" s="64">
        <f>(AJ110/(N_1*AJ$27))*SQRT('Valve Sizing'!$G$6/AJ114)</f>
        <v>100.41065871822263</v>
      </c>
      <c r="AK116" s="41"/>
      <c r="AL116" s="73"/>
      <c r="AM116" s="64">
        <f>(AM110/(N_1*AM$27))*SQRT('Valve Sizing'!$G$6/AM114)</f>
        <v>142.73338006261616</v>
      </c>
      <c r="AN116" s="41"/>
      <c r="AO116" s="73"/>
      <c r="AP116" s="64">
        <f>(AP110/(N_1*AP$27))*SQRT('Valve Sizing'!$G$6/AP114)</f>
        <v>213.25713438070363</v>
      </c>
      <c r="AQ116" s="41"/>
      <c r="AR116" s="73"/>
      <c r="AS116" s="64">
        <f>(AS110/(N_1*AS$27))*SQRT('Valve Sizing'!$G$6/AS114)</f>
        <v>393.79843513220931</v>
      </c>
      <c r="AT116" s="41"/>
      <c r="AU116" s="73"/>
    </row>
    <row r="117" spans="15:47" ht="13" x14ac:dyDescent="0.3">
      <c r="O117" s="1" t="s">
        <v>72</v>
      </c>
      <c r="P117" s="17">
        <v>7</v>
      </c>
      <c r="Q117" s="65"/>
      <c r="R117" s="53">
        <f>(R110/(N_1*F_P_h))*SQRT('Valve Sizing'!$G$6/R115)</f>
        <v>0.13439824581760412</v>
      </c>
      <c r="S117" s="56"/>
      <c r="T117" s="72"/>
      <c r="U117" s="85">
        <f>(U110/(N_1*U$27))*SQRT('Valve Sizing'!$G$6/U115)</f>
        <v>4.435610132079197</v>
      </c>
      <c r="V117" s="44"/>
      <c r="W117" s="72"/>
      <c r="X117" s="85">
        <f>(X110/(N_1*X$27))*SQRT('Valve Sizing'!$G$6/X115)</f>
        <v>10.807661382626009</v>
      </c>
      <c r="Y117" s="44"/>
      <c r="Z117" s="72"/>
      <c r="AA117" s="85">
        <f>(AA110/(N_1*AA$27))*SQRT('Valve Sizing'!$G$6/AA115)</f>
        <v>21.326777563326157</v>
      </c>
      <c r="AB117" s="44"/>
      <c r="AC117" s="72"/>
      <c r="AD117" s="85">
        <f>(AD110/(N_1*AD$27))*SQRT('Valve Sizing'!$G$6/AD115)</f>
        <v>37.135474192479414</v>
      </c>
      <c r="AE117" s="44"/>
      <c r="AF117" s="72"/>
      <c r="AG117" s="85">
        <f>(AG110/(N_1*AG$27))*SQRT('Valve Sizing'!$G$6/AG115)</f>
        <v>61.019454953770122</v>
      </c>
      <c r="AH117" s="44"/>
      <c r="AI117" s="72"/>
      <c r="AJ117" s="85">
        <f>(AJ110/(N_1*AJ$27))*SQRT('Valve Sizing'!$G$6/AJ115)</f>
        <v>91.753327124198947</v>
      </c>
      <c r="AK117" s="44"/>
      <c r="AL117" s="72"/>
      <c r="AM117" s="85">
        <f>(AM110/(N_1*AM$27))*SQRT('Valve Sizing'!$G$6/AM115)</f>
        <v>135.32527712467692</v>
      </c>
      <c r="AN117" s="44"/>
      <c r="AO117" s="72"/>
      <c r="AP117" s="85">
        <f>(AP110/(N_1*AP$27))*SQRT('Valve Sizing'!$G$6/AP115)</f>
        <v>205.06905929523785</v>
      </c>
      <c r="AQ117" s="44"/>
      <c r="AR117" s="72"/>
      <c r="AS117" s="85">
        <f>(AS110/(N_1*AS$27))*SQRT('Valve Sizing'!$G$6/AS115)</f>
        <v>336.92081503294213</v>
      </c>
      <c r="AT117" s="44"/>
      <c r="AU117" s="72"/>
    </row>
    <row r="118" spans="15:47" x14ac:dyDescent="0.25">
      <c r="O118" s="1" t="s">
        <v>246</v>
      </c>
      <c r="P118" s="18"/>
      <c r="Q118" s="65"/>
      <c r="R118" s="53">
        <f>IF(R114&lt;R115,R116,R117)</f>
        <v>0.16181806183541439</v>
      </c>
      <c r="S118" s="49"/>
      <c r="T118" s="72"/>
      <c r="U118" s="64">
        <f>IF(U114&lt;U115,U116,U117)</f>
        <v>5.3414448943146819</v>
      </c>
      <c r="V118" s="44"/>
      <c r="W118" s="72"/>
      <c r="X118" s="64">
        <f>IF(X114&lt;X115,X116,X117)</f>
        <v>12.885794024016443</v>
      </c>
      <c r="Y118" s="44"/>
      <c r="Z118" s="72"/>
      <c r="AA118" s="64">
        <f>IF(AA114&lt;AA115,AA116,AA117)</f>
        <v>24.967115532362335</v>
      </c>
      <c r="AB118" s="44"/>
      <c r="AC118" s="72"/>
      <c r="AD118" s="64">
        <f>IF(AD114&lt;AD115,AD116,AD117)</f>
        <v>42.486494162131365</v>
      </c>
      <c r="AE118" s="44"/>
      <c r="AF118" s="72"/>
      <c r="AG118" s="64">
        <f>IF(AG114&lt;AG115,AG116,AG117)</f>
        <v>67.615825997078062</v>
      </c>
      <c r="AH118" s="44"/>
      <c r="AI118" s="72"/>
      <c r="AJ118" s="64">
        <f>IF(AJ114&lt;AJ115,AJ116,AJ117)</f>
        <v>100.41065871822263</v>
      </c>
      <c r="AK118" s="44"/>
      <c r="AL118" s="72"/>
      <c r="AM118" s="64">
        <f>IF(AM114&lt;AM115,AM116,AM117)</f>
        <v>142.73338006261616</v>
      </c>
      <c r="AN118" s="44"/>
      <c r="AO118" s="72"/>
      <c r="AP118" s="64">
        <f>IF(AP114&lt;AP115,AP116,AP117)</f>
        <v>213.25713438070363</v>
      </c>
      <c r="AQ118" s="44"/>
      <c r="AR118" s="72"/>
      <c r="AS118" s="64">
        <f>IF(AS114&lt;AS115,AS116,AS117)</f>
        <v>393.79843513220931</v>
      </c>
      <c r="AT118" s="44"/>
      <c r="AU118" s="72"/>
    </row>
    <row r="119" spans="15:47" ht="13" x14ac:dyDescent="0.3">
      <c r="O119" s="7" t="s">
        <v>264</v>
      </c>
      <c r="Q119" s="61"/>
      <c r="R119" s="53"/>
      <c r="S119" s="69">
        <f>IFERROR(ABS(C_h-R118),Q_max*10)</f>
        <v>4.8381819381645856</v>
      </c>
      <c r="T119" s="76">
        <f>R110</f>
        <v>0.91894853411942412</v>
      </c>
      <c r="U119" s="61"/>
      <c r="V119" s="69">
        <f>IFERROR(ABS(U$23-U118),Q_max*10)</f>
        <v>6.6585551056853181</v>
      </c>
      <c r="W119" s="75">
        <f>U110</f>
        <v>30.294969570910428</v>
      </c>
      <c r="X119" s="61"/>
      <c r="Y119" s="69">
        <f>IFERROR(ABS(X$23-X118),Q_max*10)</f>
        <v>10.114205975983557</v>
      </c>
      <c r="Z119" s="75">
        <f>X110</f>
        <v>72.719588637205007</v>
      </c>
      <c r="AA119" s="61"/>
      <c r="AB119" s="69">
        <f>IFERROR(ABS(AA$23-AA118),Q_max*10)</f>
        <v>14.032884467637665</v>
      </c>
      <c r="AC119" s="75">
        <f>AA110</f>
        <v>138.84834557770347</v>
      </c>
      <c r="AD119" s="61"/>
      <c r="AE119" s="69">
        <f>IFERROR(ABS(AD$23-AD118),Q_max*10)</f>
        <v>18.513505837868635</v>
      </c>
      <c r="AF119" s="75">
        <f>AD110</f>
        <v>228.35440754746747</v>
      </c>
      <c r="AG119" s="61"/>
      <c r="AH119" s="69">
        <f>IFERROR(ABS(AG$23-AG118),Q_max*10)</f>
        <v>20.384174002921938</v>
      </c>
      <c r="AI119" s="75">
        <f>AG110</f>
        <v>339.98859580244891</v>
      </c>
      <c r="AJ119" s="61"/>
      <c r="AK119" s="69">
        <f>IFERROR(ABS(AJ$23-AJ118),Q_max*10)</f>
        <v>20.589341281777365</v>
      </c>
      <c r="AL119" s="75">
        <f>AJ110</f>
        <v>453.71609908701839</v>
      </c>
      <c r="AM119" s="61"/>
      <c r="AN119" s="69">
        <f>IFERROR(ABS(AM$23-AM118),Q_max*10)</f>
        <v>22.266619937383837</v>
      </c>
      <c r="AO119" s="75">
        <f>AM110</f>
        <v>553.61986507002484</v>
      </c>
      <c r="AP119" s="61"/>
      <c r="AQ119" s="69">
        <f>IFERROR(ABS(AP$23-AP118),Q_max*10)</f>
        <v>32.742865619296367</v>
      </c>
      <c r="AR119" s="75">
        <f>AP110</f>
        <v>642.73547642242636</v>
      </c>
      <c r="AS119" s="61"/>
      <c r="AT119" s="69">
        <f>IFERROR(ABS(AS$23-AS118),Q_max*10)</f>
        <v>26.201564867790694</v>
      </c>
      <c r="AU119" s="75">
        <f>AS110</f>
        <v>731.49292681245254</v>
      </c>
    </row>
    <row r="120" spans="15:47" ht="14.5" x14ac:dyDescent="0.35">
      <c r="O120" s="6"/>
      <c r="P120" s="6"/>
      <c r="Q120" s="60"/>
      <c r="R120" s="67"/>
      <c r="S120" s="56"/>
      <c r="T120" s="72"/>
      <c r="V120" s="11"/>
      <c r="W120" s="38"/>
      <c r="Y120" s="11"/>
      <c r="Z120" s="38"/>
      <c r="AB120" s="11"/>
      <c r="AC120" s="38"/>
      <c r="AE120" s="11"/>
      <c r="AF120" s="38"/>
      <c r="AH120" s="11"/>
      <c r="AI120" s="38"/>
      <c r="AK120" s="11"/>
      <c r="AL120" s="38"/>
      <c r="AN120" s="11"/>
      <c r="AO120" s="38"/>
      <c r="AQ120" s="11"/>
      <c r="AR120" s="38"/>
      <c r="AT120" s="11"/>
      <c r="AU120" s="38"/>
    </row>
    <row r="121" spans="15:47" ht="14" x14ac:dyDescent="0.3">
      <c r="O121" s="8" t="s">
        <v>235</v>
      </c>
      <c r="P121" s="6"/>
      <c r="Q121" s="60"/>
      <c r="R121" s="53">
        <f>R110*1.02</f>
        <v>0.93732750480181259</v>
      </c>
      <c r="S121" s="58" t="s">
        <v>238</v>
      </c>
      <c r="T121" s="73" t="s">
        <v>241</v>
      </c>
      <c r="U121" s="84">
        <f>U110*1.01</f>
        <v>30.597919266619535</v>
      </c>
      <c r="V121" s="58" t="s">
        <v>238</v>
      </c>
      <c r="W121" s="73" t="s">
        <v>241</v>
      </c>
      <c r="X121" s="84">
        <f>X110*1.01</f>
        <v>73.446784523577051</v>
      </c>
      <c r="Y121" s="58" t="s">
        <v>238</v>
      </c>
      <c r="Z121" s="73" t="s">
        <v>241</v>
      </c>
      <c r="AA121" s="84">
        <f>AA110*1.01</f>
        <v>140.23682903348052</v>
      </c>
      <c r="AB121" s="58" t="s">
        <v>238</v>
      </c>
      <c r="AC121" s="73" t="s">
        <v>241</v>
      </c>
      <c r="AD121" s="84">
        <f>AD110*1.01</f>
        <v>230.63795162294215</v>
      </c>
      <c r="AE121" s="58" t="s">
        <v>238</v>
      </c>
      <c r="AF121" s="73" t="s">
        <v>241</v>
      </c>
      <c r="AG121" s="84">
        <f>AG110*1.01</f>
        <v>343.38848176047338</v>
      </c>
      <c r="AH121" s="58" t="s">
        <v>238</v>
      </c>
      <c r="AI121" s="73" t="s">
        <v>241</v>
      </c>
      <c r="AJ121" s="84">
        <f>AJ110*1.01</f>
        <v>458.25326007788857</v>
      </c>
      <c r="AK121" s="58" t="s">
        <v>238</v>
      </c>
      <c r="AL121" s="73" t="s">
        <v>241</v>
      </c>
      <c r="AM121" s="84">
        <f>AM110*1.01</f>
        <v>559.15606372072511</v>
      </c>
      <c r="AN121" s="58" t="s">
        <v>238</v>
      </c>
      <c r="AO121" s="73" t="s">
        <v>241</v>
      </c>
      <c r="AP121" s="84">
        <f>AP110*1.01</f>
        <v>649.16283118665058</v>
      </c>
      <c r="AQ121" s="58" t="s">
        <v>238</v>
      </c>
      <c r="AR121" s="73" t="s">
        <v>241</v>
      </c>
      <c r="AS121" s="84">
        <f>AS110*1.01</f>
        <v>738.80785608057704</v>
      </c>
      <c r="AT121" s="58" t="s">
        <v>238</v>
      </c>
      <c r="AU121" s="73" t="s">
        <v>241</v>
      </c>
    </row>
    <row r="122" spans="15:47" ht="13" x14ac:dyDescent="0.25">
      <c r="O122" s="6"/>
      <c r="P122" s="6"/>
      <c r="Q122" s="60"/>
      <c r="R122" s="70"/>
      <c r="S122" s="63" t="s">
        <v>250</v>
      </c>
      <c r="T122" s="71" t="s">
        <v>242</v>
      </c>
      <c r="U122" s="61"/>
      <c r="V122" s="63" t="s">
        <v>250</v>
      </c>
      <c r="W122" s="71" t="s">
        <v>242</v>
      </c>
      <c r="X122" s="61"/>
      <c r="Y122" s="63" t="s">
        <v>250</v>
      </c>
      <c r="Z122" s="71" t="s">
        <v>242</v>
      </c>
      <c r="AA122" s="61"/>
      <c r="AB122" s="63" t="s">
        <v>250</v>
      </c>
      <c r="AC122" s="71" t="s">
        <v>242</v>
      </c>
      <c r="AD122" s="61"/>
      <c r="AE122" s="63" t="s">
        <v>250</v>
      </c>
      <c r="AF122" s="71" t="s">
        <v>242</v>
      </c>
      <c r="AG122" s="61"/>
      <c r="AH122" s="63" t="s">
        <v>250</v>
      </c>
      <c r="AI122" s="71" t="s">
        <v>242</v>
      </c>
      <c r="AJ122" s="61"/>
      <c r="AK122" s="63" t="s">
        <v>250</v>
      </c>
      <c r="AL122" s="71" t="s">
        <v>242</v>
      </c>
      <c r="AM122" s="61"/>
      <c r="AN122" s="63" t="s">
        <v>250</v>
      </c>
      <c r="AO122" s="71" t="s">
        <v>242</v>
      </c>
      <c r="AP122" s="61"/>
      <c r="AQ122" s="63" t="s">
        <v>250</v>
      </c>
      <c r="AR122" s="71" t="s">
        <v>242</v>
      </c>
      <c r="AS122" s="61"/>
      <c r="AT122" s="63" t="s">
        <v>250</v>
      </c>
      <c r="AU122" s="71" t="s">
        <v>242</v>
      </c>
    </row>
    <row r="123" spans="15:47" ht="13" x14ac:dyDescent="0.3">
      <c r="O123" s="6" t="s">
        <v>231</v>
      </c>
      <c r="P123" s="6"/>
      <c r="Q123" s="60"/>
      <c r="R123" s="85">
        <f>P_1_minQ-(R121^2*R_up)+dpup_minQ</f>
        <v>56.916113523037779</v>
      </c>
      <c r="S123" s="56"/>
      <c r="T123" s="72"/>
      <c r="U123" s="53">
        <f>P_1_minQ-(U121^2*R_up)+dpup_minQ</f>
        <v>56.884524395020378</v>
      </c>
      <c r="V123" s="44"/>
      <c r="W123" s="72"/>
      <c r="X123" s="53">
        <f>P_1_minQ-(X121^2*R_up)+dpup_minQ</f>
        <v>56.733960481024901</v>
      </c>
      <c r="Y123" s="44"/>
      <c r="Z123" s="72"/>
      <c r="AA123" s="53">
        <f>P_1_minQ-(AA121^2*R_up)+dpup_minQ</f>
        <v>56.251963248315917</v>
      </c>
      <c r="AB123" s="44"/>
      <c r="AC123" s="72"/>
      <c r="AD123" s="53">
        <f>P_1_minQ-(AD121^2*R_up)+dpup_minQ</f>
        <v>55.119660090211866</v>
      </c>
      <c r="AE123" s="44"/>
      <c r="AF123" s="72"/>
      <c r="AG123" s="53">
        <f>P_1_minQ-(AG121^2*R_up)+dpup_minQ</f>
        <v>52.933851759346069</v>
      </c>
      <c r="AH123" s="44"/>
      <c r="AI123" s="72"/>
      <c r="AJ123" s="53">
        <f>P_1_minQ-(AJ121^2*R_up)+dpup_minQ</f>
        <v>49.824078001620634</v>
      </c>
      <c r="AK123" s="44"/>
      <c r="AL123" s="72"/>
      <c r="AM123" s="53">
        <f>P_1_minQ-(AM121^2*R_up)+dpup_minQ</f>
        <v>46.357024532399336</v>
      </c>
      <c r="AN123" s="44"/>
      <c r="AO123" s="72"/>
      <c r="AP123" s="53">
        <f>P_1_minQ-(AP121^2*R_up)+dpup_minQ</f>
        <v>42.684046558788658</v>
      </c>
      <c r="AQ123" s="44"/>
      <c r="AR123" s="72"/>
      <c r="AS123" s="53">
        <f>P_1_minQ-(AS121^2*R_up)+dpup_minQ</f>
        <v>38.48193015176026</v>
      </c>
      <c r="AT123" s="44"/>
      <c r="AU123" s="72"/>
    </row>
    <row r="124" spans="15:47" ht="13" x14ac:dyDescent="0.3">
      <c r="O124" s="6" t="s">
        <v>233</v>
      </c>
      <c r="P124" s="6"/>
      <c r="Q124" s="60"/>
      <c r="R124" s="85">
        <f>P_2_minQ+(R121^2*R_dn)-dpdn_minQ</f>
        <v>24.656777295392445</v>
      </c>
      <c r="S124" s="66"/>
      <c r="T124" s="74"/>
      <c r="U124" s="53">
        <f>P_2_minQ+(U121^2*R_dn)-dpdn_minQ</f>
        <v>24.663095120995926</v>
      </c>
      <c r="V124" s="45"/>
      <c r="W124" s="74"/>
      <c r="X124" s="53">
        <f>P_2_minQ+(X121^2*R_dn)-dpdn_minQ</f>
        <v>24.69320790379502</v>
      </c>
      <c r="Y124" s="45"/>
      <c r="Z124" s="74"/>
      <c r="AA124" s="53">
        <f>P_2_minQ+(AA121^2*R_dn)-dpdn_minQ</f>
        <v>24.789607350336819</v>
      </c>
      <c r="AB124" s="45"/>
      <c r="AC124" s="74"/>
      <c r="AD124" s="53">
        <f>P_2_minQ+(AD121^2*R_dn)-dpdn_minQ</f>
        <v>25.016067981957629</v>
      </c>
      <c r="AE124" s="45"/>
      <c r="AF124" s="74"/>
      <c r="AG124" s="53">
        <f>P_2_minQ+(AG121^2*R_dn)-dpdn_minQ</f>
        <v>25.453229648130787</v>
      </c>
      <c r="AH124" s="45"/>
      <c r="AI124" s="74"/>
      <c r="AJ124" s="53">
        <f>P_2_minQ+(AJ121^2*R_dn)-dpdn_minQ</f>
        <v>26.075184399675873</v>
      </c>
      <c r="AK124" s="45"/>
      <c r="AL124" s="74"/>
      <c r="AM124" s="53">
        <f>P_2_minQ+(AM121^2*R_dn)-dpdn_minQ</f>
        <v>26.768595093520133</v>
      </c>
      <c r="AN124" s="45"/>
      <c r="AO124" s="74"/>
      <c r="AP124" s="53">
        <f>P_2_minQ+(AP121^2*R_dn)-dpdn_minQ</f>
        <v>27.50319068824227</v>
      </c>
      <c r="AQ124" s="45"/>
      <c r="AR124" s="74"/>
      <c r="AS124" s="53">
        <f>P_2_minQ+(AS121^2*R_dn)-dpdn_minQ</f>
        <v>28.343613969647947</v>
      </c>
      <c r="AT124" s="45"/>
      <c r="AU124" s="74"/>
    </row>
    <row r="125" spans="15:47" x14ac:dyDescent="0.25">
      <c r="O125" s="6" t="s">
        <v>243</v>
      </c>
      <c r="Q125" s="60"/>
      <c r="R125" s="53">
        <f>R123-R124</f>
        <v>32.259336227645335</v>
      </c>
      <c r="S125" s="56"/>
      <c r="T125" s="72"/>
      <c r="U125" s="64">
        <f>U123-U124</f>
        <v>32.221429274024452</v>
      </c>
      <c r="V125" s="44"/>
      <c r="W125" s="72"/>
      <c r="X125" s="64">
        <f>X123-X124</f>
        <v>32.040752577229881</v>
      </c>
      <c r="Y125" s="44"/>
      <c r="Z125" s="72"/>
      <c r="AA125" s="64">
        <f>AA123-AA124</f>
        <v>31.462355897979098</v>
      </c>
      <c r="AB125" s="44"/>
      <c r="AC125" s="72"/>
      <c r="AD125" s="64">
        <f>AD123-AD124</f>
        <v>30.103592108254237</v>
      </c>
      <c r="AE125" s="44"/>
      <c r="AF125" s="72"/>
      <c r="AG125" s="64">
        <f>AG123-AG124</f>
        <v>27.480622111215283</v>
      </c>
      <c r="AH125" s="44"/>
      <c r="AI125" s="72"/>
      <c r="AJ125" s="64">
        <f>AJ123-AJ124</f>
        <v>23.748893601944761</v>
      </c>
      <c r="AK125" s="44"/>
      <c r="AL125" s="72"/>
      <c r="AM125" s="64">
        <f>AM123-AM124</f>
        <v>19.588429438879203</v>
      </c>
      <c r="AN125" s="44"/>
      <c r="AO125" s="72"/>
      <c r="AP125" s="64">
        <f>AP123-AP124</f>
        <v>15.180855870546388</v>
      </c>
      <c r="AQ125" s="44"/>
      <c r="AR125" s="72"/>
      <c r="AS125" s="64">
        <f>AS123-AS124</f>
        <v>10.138316182112312</v>
      </c>
      <c r="AT125" s="44"/>
      <c r="AU125" s="72"/>
    </row>
    <row r="126" spans="15:47" ht="13" x14ac:dyDescent="0.3">
      <c r="O126" s="6" t="s">
        <v>75</v>
      </c>
      <c r="P126" s="6">
        <v>3</v>
      </c>
      <c r="Q126" s="65"/>
      <c r="R126" s="85">
        <f>(F_LP_h/F_P_h)^2*(R123-('Valve Sizing'!$V$4*'Valve Sizing'!$G$7))</f>
        <v>46.765138671885516</v>
      </c>
      <c r="S126" s="58"/>
      <c r="T126" s="73"/>
      <c r="U126" s="53">
        <f>(U$29/U$27)^2*(U123-('Valve Sizing'!$V$4*'Valve Sizing'!$G$7))</f>
        <v>46.726242100341331</v>
      </c>
      <c r="V126" s="41"/>
      <c r="W126" s="73"/>
      <c r="X126" s="53">
        <f>(X$29/X$27)^2*(X123-('Valve Sizing'!$V$4*'Valve Sizing'!$G$7))</f>
        <v>45.55041214187581</v>
      </c>
      <c r="Y126" s="41"/>
      <c r="Z126" s="73"/>
      <c r="AA126" s="53">
        <f>(AA$29/AA$27)^2*(AA123-('Valve Sizing'!$V$4*'Valve Sizing'!$G$7))</f>
        <v>43.131285550161358</v>
      </c>
      <c r="AB126" s="41"/>
      <c r="AC126" s="73"/>
      <c r="AD126" s="53">
        <f>(AD$29/AD$27)^2*(AD123-('Valve Sizing'!$V$4*'Valve Sizing'!$G$7))</f>
        <v>39.434240695580336</v>
      </c>
      <c r="AE126" s="41"/>
      <c r="AF126" s="73"/>
      <c r="AG126" s="53">
        <f>(AG$29/AG$27)^2*(AG123-('Valve Sizing'!$V$4*'Valve Sizing'!$G$7))</f>
        <v>33.808310558564429</v>
      </c>
      <c r="AH126" s="41"/>
      <c r="AI126" s="73"/>
      <c r="AJ126" s="53">
        <f>(AJ$29/AJ$27)^2*(AJ123-('Valve Sizing'!$V$4*'Valve Sizing'!$G$7))</f>
        <v>28.56195609543585</v>
      </c>
      <c r="AK126" s="41"/>
      <c r="AL126" s="73"/>
      <c r="AM126" s="53">
        <f>(AM$29/AM$27)^2*(AM123-('Valve Sizing'!$V$4*'Valve Sizing'!$G$7))</f>
        <v>21.969989824694263</v>
      </c>
      <c r="AN126" s="41"/>
      <c r="AO126" s="73"/>
      <c r="AP126" s="53">
        <f>(AP$29/AP$27)^2*(AP123-('Valve Sizing'!$V$4*'Valve Sizing'!$G$7))</f>
        <v>16.67061131055662</v>
      </c>
      <c r="AQ126" s="41"/>
      <c r="AR126" s="73"/>
      <c r="AS126" s="53">
        <f>(AS$29/AS$27)^2*(AS123-('Valve Sizing'!$V$4*'Valve Sizing'!$G$7))</f>
        <v>14.309100124876784</v>
      </c>
      <c r="AT126" s="41"/>
      <c r="AU126" s="73"/>
    </row>
    <row r="127" spans="15:47" ht="13" x14ac:dyDescent="0.25">
      <c r="O127" s="1" t="s">
        <v>69</v>
      </c>
      <c r="P127" s="17">
        <v>7</v>
      </c>
      <c r="Q127" s="65"/>
      <c r="R127" s="53">
        <f>(R121/(N_1*F_P_h))*SQRT('Valve Sizing'!$G$6/R125)</f>
        <v>0.16505442660923073</v>
      </c>
      <c r="S127" s="58"/>
      <c r="T127" s="73"/>
      <c r="U127" s="64">
        <f>(U121/(N_1*U$27))*SQRT('Valve Sizing'!$G$6/U125)</f>
        <v>5.3949219300579152</v>
      </c>
      <c r="V127" s="41"/>
      <c r="W127" s="73"/>
      <c r="X127" s="64">
        <f>(X121/(N_1*X$27))*SQRT('Valve Sizing'!$G$6/X125)</f>
        <v>13.015526800932244</v>
      </c>
      <c r="Y127" s="41"/>
      <c r="Z127" s="73"/>
      <c r="AA127" s="64">
        <f>(AA121/(N_1*AA$27))*SQRT('Valve Sizing'!$G$6/AA125)</f>
        <v>25.223079353095482</v>
      </c>
      <c r="AB127" s="41"/>
      <c r="AC127" s="73"/>
      <c r="AD127" s="64">
        <f>(AD121/(N_1*AD$27))*SQRT('Valve Sizing'!$G$6/AD125)</f>
        <v>42.941623256881478</v>
      </c>
      <c r="AE127" s="41"/>
      <c r="AF127" s="73"/>
      <c r="AG127" s="64">
        <f>(AG121/(N_1*AG$27))*SQRT('Valve Sizing'!$G$6/AG125)</f>
        <v>68.408882835332051</v>
      </c>
      <c r="AH127" s="41"/>
      <c r="AI127" s="73"/>
      <c r="AJ127" s="64">
        <f>(AJ121/(N_1*AJ$27))*SQRT('Valve Sizing'!$G$6/AJ125)</f>
        <v>101.77217841279672</v>
      </c>
      <c r="AK127" s="41"/>
      <c r="AL127" s="73"/>
      <c r="AM127" s="64">
        <f>(AM121/(N_1*AM$27))*SQRT('Valve Sizing'!$G$6/AM125)</f>
        <v>145.07651728706284</v>
      </c>
      <c r="AN127" s="41"/>
      <c r="AO127" s="73"/>
      <c r="AP127" s="64">
        <f>(AP121/(N_1*AP$27))*SQRT('Valve Sizing'!$G$6/AP125)</f>
        <v>217.7638939169245</v>
      </c>
      <c r="AQ127" s="41"/>
      <c r="AR127" s="73"/>
      <c r="AS127" s="64">
        <f>(AS121/(N_1*AS$27))*SQRT('Valve Sizing'!$G$6/AS125)</f>
        <v>406.19630217104429</v>
      </c>
      <c r="AT127" s="41"/>
      <c r="AU127" s="73"/>
    </row>
    <row r="128" spans="15:47" ht="13" x14ac:dyDescent="0.3">
      <c r="O128" s="1" t="s">
        <v>72</v>
      </c>
      <c r="P128" s="17">
        <v>7</v>
      </c>
      <c r="Q128" s="65"/>
      <c r="R128" s="53">
        <f>(R121/(N_1*F_P_h))*SQRT('Valve Sizing'!$G$6/R126)</f>
        <v>0.13708621213233474</v>
      </c>
      <c r="S128" s="56"/>
      <c r="T128" s="72"/>
      <c r="U128" s="85">
        <f>(U121/(N_1*U$27))*SQRT('Valve Sizing'!$G$6/U126)</f>
        <v>4.4799909575211698</v>
      </c>
      <c r="V128" s="44"/>
      <c r="W128" s="72"/>
      <c r="X128" s="85">
        <f>(X121/(N_1*X$27))*SQRT('Valve Sizing'!$G$6/X126)</f>
        <v>10.91608602534683</v>
      </c>
      <c r="Y128" s="44"/>
      <c r="Z128" s="72"/>
      <c r="AA128" s="85">
        <f>(AA121/(N_1*AA$27))*SQRT('Valve Sizing'!$G$6/AA126)</f>
        <v>21.542570583139518</v>
      </c>
      <c r="AB128" s="44"/>
      <c r="AC128" s="72"/>
      <c r="AD128" s="85">
        <f>(AD121/(N_1*AD$27))*SQRT('Valve Sizing'!$G$6/AD126)</f>
        <v>37.518967327028001</v>
      </c>
      <c r="AE128" s="44"/>
      <c r="AF128" s="72"/>
      <c r="AG128" s="85">
        <f>(AG121/(N_1*AG$27))*SQRT('Valve Sizing'!$G$6/AG126)</f>
        <v>61.675693804405284</v>
      </c>
      <c r="AH128" s="44"/>
      <c r="AI128" s="72"/>
      <c r="AJ128" s="85">
        <f>(AJ121/(N_1*AJ$27))*SQRT('Valve Sizing'!$G$6/AJ126)</f>
        <v>92.801882895225319</v>
      </c>
      <c r="AK128" s="44"/>
      <c r="AL128" s="72"/>
      <c r="AM128" s="85">
        <f>(AM121/(N_1*AM$27))*SQRT('Valve Sizing'!$G$6/AM126)</f>
        <v>136.98783491165281</v>
      </c>
      <c r="AN128" s="44"/>
      <c r="AO128" s="72"/>
      <c r="AP128" s="85">
        <f>(AP121/(N_1*AP$27))*SQRT('Valve Sizing'!$G$6/AP126)</f>
        <v>207.80607491242574</v>
      </c>
      <c r="AQ128" s="44"/>
      <c r="AR128" s="72"/>
      <c r="AS128" s="85">
        <f>(AS121/(N_1*AS$27))*SQRT('Valve Sizing'!$G$6/AS126)</f>
        <v>341.91072183230784</v>
      </c>
      <c r="AT128" s="44"/>
      <c r="AU128" s="72"/>
    </row>
    <row r="129" spans="15:47" x14ac:dyDescent="0.25">
      <c r="O129" s="1" t="s">
        <v>246</v>
      </c>
      <c r="P129" s="18"/>
      <c r="Q129" s="65"/>
      <c r="R129" s="53">
        <f>IF(R125&lt;R126,R127,R128)</f>
        <v>0.16505442660923073</v>
      </c>
      <c r="S129" s="49"/>
      <c r="T129" s="72"/>
      <c r="U129" s="64">
        <f>IF(U125&lt;U126,U127,U128)</f>
        <v>5.3949219300579152</v>
      </c>
      <c r="V129" s="44"/>
      <c r="W129" s="72"/>
      <c r="X129" s="64">
        <f>IF(X125&lt;X126,X127,X128)</f>
        <v>13.015526800932244</v>
      </c>
      <c r="Y129" s="44"/>
      <c r="Z129" s="72"/>
      <c r="AA129" s="64">
        <f>IF(AA125&lt;AA126,AA127,AA128)</f>
        <v>25.223079353095482</v>
      </c>
      <c r="AB129" s="44"/>
      <c r="AC129" s="72"/>
      <c r="AD129" s="64">
        <f>IF(AD125&lt;AD126,AD127,AD128)</f>
        <v>42.941623256881478</v>
      </c>
      <c r="AE129" s="44"/>
      <c r="AF129" s="72"/>
      <c r="AG129" s="64">
        <f>IF(AG125&lt;AG126,AG127,AG128)</f>
        <v>68.408882835332051</v>
      </c>
      <c r="AH129" s="44"/>
      <c r="AI129" s="72"/>
      <c r="AJ129" s="64">
        <f>IF(AJ125&lt;AJ126,AJ127,AJ128)</f>
        <v>101.77217841279672</v>
      </c>
      <c r="AK129" s="44"/>
      <c r="AL129" s="72"/>
      <c r="AM129" s="64">
        <f>IF(AM125&lt;AM126,AM127,AM128)</f>
        <v>145.07651728706284</v>
      </c>
      <c r="AN129" s="44"/>
      <c r="AO129" s="72"/>
      <c r="AP129" s="64">
        <f>IF(AP125&lt;AP126,AP127,AP128)</f>
        <v>217.7638939169245</v>
      </c>
      <c r="AQ129" s="44"/>
      <c r="AR129" s="72"/>
      <c r="AS129" s="64">
        <f>IF(AS125&lt;AS126,AS127,AS128)</f>
        <v>406.19630217104429</v>
      </c>
      <c r="AT129" s="44"/>
      <c r="AU129" s="72"/>
    </row>
    <row r="130" spans="15:47" ht="13" x14ac:dyDescent="0.3">
      <c r="O130" s="7" t="s">
        <v>264</v>
      </c>
      <c r="Q130" s="61"/>
      <c r="R130" s="53"/>
      <c r="S130" s="69">
        <f>IFERROR(ABS(C_h-R129),Q_max*10)</f>
        <v>4.8349455733907689</v>
      </c>
      <c r="T130" s="76">
        <f>R121</f>
        <v>0.93732750480181259</v>
      </c>
      <c r="U130" s="61"/>
      <c r="V130" s="69">
        <f>IFERROR(ABS(U$23-U129),Q_max*10)</f>
        <v>6.6050780699420848</v>
      </c>
      <c r="W130" s="75">
        <f>U121</f>
        <v>30.597919266619535</v>
      </c>
      <c r="X130" s="61"/>
      <c r="Y130" s="69">
        <f>IFERROR(ABS(X$23-X129),Q_max*10)</f>
        <v>9.9844731990677555</v>
      </c>
      <c r="Z130" s="75">
        <f>X121</f>
        <v>73.446784523577051</v>
      </c>
      <c r="AA130" s="61"/>
      <c r="AB130" s="69">
        <f>IFERROR(ABS(AA$23-AA129),Q_max*10)</f>
        <v>13.776920646904518</v>
      </c>
      <c r="AC130" s="75">
        <f>AA121</f>
        <v>140.23682903348052</v>
      </c>
      <c r="AD130" s="61"/>
      <c r="AE130" s="69">
        <f>IFERROR(ABS(AD$23-AD129),Q_max*10)</f>
        <v>18.058376743118522</v>
      </c>
      <c r="AF130" s="75">
        <f>AD121</f>
        <v>230.63795162294215</v>
      </c>
      <c r="AG130" s="61"/>
      <c r="AH130" s="69">
        <f>IFERROR(ABS(AG$23-AG129),Q_max*10)</f>
        <v>19.591117164667949</v>
      </c>
      <c r="AI130" s="75">
        <f>AG121</f>
        <v>343.38848176047338</v>
      </c>
      <c r="AJ130" s="61"/>
      <c r="AK130" s="69">
        <f>IFERROR(ABS(AJ$23-AJ129),Q_max*10)</f>
        <v>19.22782158720328</v>
      </c>
      <c r="AL130" s="75">
        <f>AJ121</f>
        <v>458.25326007788857</v>
      </c>
      <c r="AM130" s="61"/>
      <c r="AN130" s="69">
        <f>IFERROR(ABS(AM$23-AM129),Q_max*10)</f>
        <v>19.923482712937158</v>
      </c>
      <c r="AO130" s="75">
        <f>AM121</f>
        <v>559.15606372072511</v>
      </c>
      <c r="AP130" s="61"/>
      <c r="AQ130" s="69">
        <f>IFERROR(ABS(AP$23-AP129),Q_max*10)</f>
        <v>28.236106083075498</v>
      </c>
      <c r="AR130" s="75">
        <f>AP121</f>
        <v>649.16283118665058</v>
      </c>
      <c r="AS130" s="61"/>
      <c r="AT130" s="69">
        <f>IFERROR(ABS(AS$23-AS129),Q_max*10)</f>
        <v>13.803697828955706</v>
      </c>
      <c r="AU130" s="75">
        <f>AS121</f>
        <v>738.80785608057704</v>
      </c>
    </row>
    <row r="131" spans="15:47" ht="14.5" x14ac:dyDescent="0.35">
      <c r="O131" s="6"/>
      <c r="P131" s="6"/>
      <c r="Q131" s="60"/>
      <c r="R131" s="67"/>
      <c r="S131" s="56"/>
      <c r="T131" s="72"/>
      <c r="V131" s="11"/>
      <c r="W131" s="38"/>
      <c r="Y131" s="11"/>
      <c r="Z131" s="38"/>
      <c r="AB131" s="11"/>
      <c r="AC131" s="38"/>
      <c r="AE131" s="11"/>
      <c r="AF131" s="38"/>
      <c r="AH131" s="11"/>
      <c r="AI131" s="38"/>
      <c r="AK131" s="11"/>
      <c r="AL131" s="38"/>
      <c r="AN131" s="11"/>
      <c r="AO131" s="38"/>
      <c r="AQ131" s="11"/>
      <c r="AR131" s="38"/>
      <c r="AT131" s="11"/>
      <c r="AU131" s="38"/>
    </row>
    <row r="132" spans="15:47" ht="14" x14ac:dyDescent="0.3">
      <c r="O132" s="8" t="s">
        <v>235</v>
      </c>
      <c r="P132" s="6"/>
      <c r="Q132" s="60"/>
      <c r="R132" s="53">
        <f>R121*1.02</f>
        <v>0.95607405489784891</v>
      </c>
      <c r="S132" s="58" t="s">
        <v>238</v>
      </c>
      <c r="T132" s="73" t="s">
        <v>241</v>
      </c>
      <c r="U132" s="84">
        <f>U121*1.01</f>
        <v>30.903898459285731</v>
      </c>
      <c r="V132" s="58" t="s">
        <v>238</v>
      </c>
      <c r="W132" s="73" t="s">
        <v>241</v>
      </c>
      <c r="X132" s="84">
        <f>X121*1.01</f>
        <v>74.181252368812821</v>
      </c>
      <c r="Y132" s="58" t="s">
        <v>238</v>
      </c>
      <c r="Z132" s="73" t="s">
        <v>241</v>
      </c>
      <c r="AA132" s="84">
        <f>AA121*1.01</f>
        <v>141.63919732381532</v>
      </c>
      <c r="AB132" s="58" t="s">
        <v>238</v>
      </c>
      <c r="AC132" s="73" t="s">
        <v>241</v>
      </c>
      <c r="AD132" s="84">
        <f>AD121*1.01</f>
        <v>232.94433113917157</v>
      </c>
      <c r="AE132" s="58" t="s">
        <v>238</v>
      </c>
      <c r="AF132" s="73" t="s">
        <v>241</v>
      </c>
      <c r="AG132" s="84">
        <f>AG121*1.01</f>
        <v>346.82236657807812</v>
      </c>
      <c r="AH132" s="58" t="s">
        <v>238</v>
      </c>
      <c r="AI132" s="73" t="s">
        <v>241</v>
      </c>
      <c r="AJ132" s="84">
        <f>AJ121*1.01</f>
        <v>462.83579267866747</v>
      </c>
      <c r="AK132" s="58" t="s">
        <v>238</v>
      </c>
      <c r="AL132" s="73" t="s">
        <v>241</v>
      </c>
      <c r="AM132" s="84">
        <f>AM121*1.01</f>
        <v>564.74762435793241</v>
      </c>
      <c r="AN132" s="58" t="s">
        <v>238</v>
      </c>
      <c r="AO132" s="73" t="s">
        <v>241</v>
      </c>
      <c r="AP132" s="84">
        <f>AP121*1.01</f>
        <v>655.6544594985171</v>
      </c>
      <c r="AQ132" s="58" t="s">
        <v>238</v>
      </c>
      <c r="AR132" s="73" t="s">
        <v>241</v>
      </c>
      <c r="AS132" s="84">
        <f>AS121*1.01</f>
        <v>746.19593464138279</v>
      </c>
      <c r="AT132" s="58" t="s">
        <v>238</v>
      </c>
      <c r="AU132" s="73" t="s">
        <v>241</v>
      </c>
    </row>
    <row r="133" spans="15:47" ht="13" x14ac:dyDescent="0.25">
      <c r="O133" s="6"/>
      <c r="P133" s="6"/>
      <c r="Q133" s="60"/>
      <c r="R133" s="70"/>
      <c r="S133" s="63" t="s">
        <v>250</v>
      </c>
      <c r="T133" s="71" t="s">
        <v>242</v>
      </c>
      <c r="U133" s="61"/>
      <c r="V133" s="63" t="s">
        <v>250</v>
      </c>
      <c r="W133" s="71" t="s">
        <v>242</v>
      </c>
      <c r="X133" s="61"/>
      <c r="Y133" s="63" t="s">
        <v>250</v>
      </c>
      <c r="Z133" s="71" t="s">
        <v>242</v>
      </c>
      <c r="AA133" s="61"/>
      <c r="AB133" s="63" t="s">
        <v>250</v>
      </c>
      <c r="AC133" s="71" t="s">
        <v>242</v>
      </c>
      <c r="AD133" s="61"/>
      <c r="AE133" s="63" t="s">
        <v>250</v>
      </c>
      <c r="AF133" s="71" t="s">
        <v>242</v>
      </c>
      <c r="AG133" s="61"/>
      <c r="AH133" s="63" t="s">
        <v>250</v>
      </c>
      <c r="AI133" s="71" t="s">
        <v>242</v>
      </c>
      <c r="AJ133" s="61"/>
      <c r="AK133" s="63" t="s">
        <v>250</v>
      </c>
      <c r="AL133" s="71" t="s">
        <v>242</v>
      </c>
      <c r="AM133" s="61"/>
      <c r="AN133" s="63" t="s">
        <v>250</v>
      </c>
      <c r="AO133" s="71" t="s">
        <v>242</v>
      </c>
      <c r="AP133" s="61"/>
      <c r="AQ133" s="63" t="s">
        <v>250</v>
      </c>
      <c r="AR133" s="71" t="s">
        <v>242</v>
      </c>
      <c r="AS133" s="61"/>
      <c r="AT133" s="63" t="s">
        <v>250</v>
      </c>
      <c r="AU133" s="71" t="s">
        <v>242</v>
      </c>
    </row>
    <row r="134" spans="15:47" ht="13" x14ac:dyDescent="0.3">
      <c r="O134" s="6" t="s">
        <v>231</v>
      </c>
      <c r="P134" s="6"/>
      <c r="Q134" s="60"/>
      <c r="R134" s="85">
        <f>P_1_minQ-(R132^2*R_up)+dpup_minQ</f>
        <v>56.916112324295895</v>
      </c>
      <c r="S134" s="56"/>
      <c r="T134" s="72"/>
      <c r="U134" s="53">
        <f>P_1_minQ-(U132^2*R_up)+dpup_minQ</f>
        <v>56.883888857143468</v>
      </c>
      <c r="V134" s="44"/>
      <c r="W134" s="72"/>
      <c r="X134" s="53">
        <f>P_1_minQ-(X132^2*R_up)+dpup_minQ</f>
        <v>56.73029860847668</v>
      </c>
      <c r="Y134" s="44"/>
      <c r="Z134" s="72"/>
      <c r="AA134" s="53">
        <f>P_1_minQ-(AA132^2*R_up)+dpup_minQ</f>
        <v>56.238613231390254</v>
      </c>
      <c r="AB134" s="44"/>
      <c r="AC134" s="72"/>
      <c r="AD134" s="53">
        <f>P_1_minQ-(AD132^2*R_up)+dpup_minQ</f>
        <v>55.083550779808306</v>
      </c>
      <c r="AE134" s="44"/>
      <c r="AF134" s="72"/>
      <c r="AG134" s="53">
        <f>P_1_minQ-(AG132^2*R_up)+dpup_minQ</f>
        <v>52.853807701492102</v>
      </c>
      <c r="AH134" s="44"/>
      <c r="AI134" s="72"/>
      <c r="AJ134" s="53">
        <f>P_1_minQ-(AJ132^2*R_up)+dpup_minQ</f>
        <v>49.681527491236388</v>
      </c>
      <c r="AK134" s="44"/>
      <c r="AL134" s="72"/>
      <c r="AM134" s="53">
        <f>P_1_minQ-(AM132^2*R_up)+dpup_minQ</f>
        <v>46.14478624728374</v>
      </c>
      <c r="AN134" s="44"/>
      <c r="AO134" s="72"/>
      <c r="AP134" s="53">
        <f>P_1_minQ-(AP132^2*R_up)+dpup_minQ</f>
        <v>42.397981416403489</v>
      </c>
      <c r="AQ134" s="44"/>
      <c r="AR134" s="72"/>
      <c r="AS134" s="53">
        <f>P_1_minQ-(AS132^2*R_up)+dpup_minQ</f>
        <v>38.111402469593827</v>
      </c>
      <c r="AT134" s="44"/>
      <c r="AU134" s="72"/>
    </row>
    <row r="135" spans="15:47" ht="13" x14ac:dyDescent="0.3">
      <c r="O135" s="6" t="s">
        <v>233</v>
      </c>
      <c r="P135" s="6"/>
      <c r="Q135" s="60"/>
      <c r="R135" s="85">
        <f>P_2_minQ+(R132^2*R_dn)-dpdn_minQ</f>
        <v>24.656777535140822</v>
      </c>
      <c r="S135" s="66"/>
      <c r="T135" s="74"/>
      <c r="U135" s="53">
        <f>P_2_minQ+(U132^2*R_dn)-dpdn_minQ</f>
        <v>24.663222228571307</v>
      </c>
      <c r="V135" s="45"/>
      <c r="W135" s="74"/>
      <c r="X135" s="53">
        <f>P_2_minQ+(X132^2*R_dn)-dpdn_minQ</f>
        <v>24.693940278304666</v>
      </c>
      <c r="Y135" s="45"/>
      <c r="Z135" s="74"/>
      <c r="AA135" s="53">
        <f>P_2_minQ+(AA132^2*R_dn)-dpdn_minQ</f>
        <v>24.79227735372195</v>
      </c>
      <c r="AB135" s="45"/>
      <c r="AC135" s="74"/>
      <c r="AD135" s="53">
        <f>P_2_minQ+(AD132^2*R_dn)-dpdn_minQ</f>
        <v>25.023289844038338</v>
      </c>
      <c r="AE135" s="45"/>
      <c r="AF135" s="74"/>
      <c r="AG135" s="53">
        <f>P_2_minQ+(AG132^2*R_dn)-dpdn_minQ</f>
        <v>25.469238459701579</v>
      </c>
      <c r="AH135" s="45"/>
      <c r="AI135" s="74"/>
      <c r="AJ135" s="53">
        <f>P_2_minQ+(AJ132^2*R_dn)-dpdn_minQ</f>
        <v>26.103694501752724</v>
      </c>
      <c r="AK135" s="45"/>
      <c r="AL135" s="74"/>
      <c r="AM135" s="53">
        <f>P_2_minQ+(AM132^2*R_dn)-dpdn_minQ</f>
        <v>26.811042750543251</v>
      </c>
      <c r="AN135" s="45"/>
      <c r="AO135" s="74"/>
      <c r="AP135" s="53">
        <f>P_2_minQ+(AP132^2*R_dn)-dpdn_minQ</f>
        <v>27.560403716719303</v>
      </c>
      <c r="AQ135" s="45"/>
      <c r="AR135" s="74"/>
      <c r="AS135" s="53">
        <f>P_2_minQ+(AS132^2*R_dn)-dpdn_minQ</f>
        <v>28.417719506081237</v>
      </c>
      <c r="AT135" s="45"/>
      <c r="AU135" s="74"/>
    </row>
    <row r="136" spans="15:47" x14ac:dyDescent="0.25">
      <c r="O136" s="6" t="s">
        <v>243</v>
      </c>
      <c r="Q136" s="60"/>
      <c r="R136" s="53">
        <f>R134-R135</f>
        <v>32.259334789155076</v>
      </c>
      <c r="S136" s="56"/>
      <c r="T136" s="72"/>
      <c r="U136" s="64">
        <f>U134-U135</f>
        <v>32.220666628572161</v>
      </c>
      <c r="V136" s="44"/>
      <c r="W136" s="72"/>
      <c r="X136" s="64">
        <f>X134-X135</f>
        <v>32.036358330172014</v>
      </c>
      <c r="Y136" s="44"/>
      <c r="Z136" s="72"/>
      <c r="AA136" s="64">
        <f>AA134-AA135</f>
        <v>31.446335877668304</v>
      </c>
      <c r="AB136" s="44"/>
      <c r="AC136" s="72"/>
      <c r="AD136" s="64">
        <f>AD134-AD135</f>
        <v>30.060260935769968</v>
      </c>
      <c r="AE136" s="44"/>
      <c r="AF136" s="72"/>
      <c r="AG136" s="64">
        <f>AG134-AG135</f>
        <v>27.384569241790523</v>
      </c>
      <c r="AH136" s="44"/>
      <c r="AI136" s="72"/>
      <c r="AJ136" s="64">
        <f>AJ134-AJ135</f>
        <v>23.577832989483664</v>
      </c>
      <c r="AK136" s="44"/>
      <c r="AL136" s="72"/>
      <c r="AM136" s="64">
        <f>AM134-AM135</f>
        <v>19.333743496740489</v>
      </c>
      <c r="AN136" s="44"/>
      <c r="AO136" s="72"/>
      <c r="AP136" s="64">
        <f>AP134-AP135</f>
        <v>14.837577699684186</v>
      </c>
      <c r="AQ136" s="44"/>
      <c r="AR136" s="72"/>
      <c r="AS136" s="64">
        <f>AS134-AS135</f>
        <v>9.6936829635125896</v>
      </c>
      <c r="AT136" s="44"/>
      <c r="AU136" s="72"/>
    </row>
    <row r="137" spans="15:47" ht="13" x14ac:dyDescent="0.3">
      <c r="O137" s="6" t="s">
        <v>75</v>
      </c>
      <c r="P137" s="6">
        <v>3</v>
      </c>
      <c r="Q137" s="65"/>
      <c r="R137" s="85">
        <f>(F_LP_h/F_P_h)^2*(R134-('Valve Sizing'!$V$4*'Valve Sizing'!$G$7))</f>
        <v>46.765137679264313</v>
      </c>
      <c r="S137" s="58"/>
      <c r="T137" s="73"/>
      <c r="U137" s="53">
        <f>(U$29/U$27)^2*(U134-('Valve Sizing'!$V$4*'Valve Sizing'!$G$7))</f>
        <v>46.725715985056297</v>
      </c>
      <c r="V137" s="41"/>
      <c r="W137" s="73"/>
      <c r="X137" s="53">
        <f>(X$29/X$27)^2*(X134-('Valve Sizing'!$V$4*'Valve Sizing'!$G$7))</f>
        <v>45.547449124649255</v>
      </c>
      <c r="Y137" s="41"/>
      <c r="Z137" s="73"/>
      <c r="AA137" s="53">
        <f>(AA$29/AA$27)^2*(AA134-('Valve Sizing'!$V$4*'Valve Sizing'!$G$7))</f>
        <v>43.120968694176184</v>
      </c>
      <c r="AB137" s="41"/>
      <c r="AC137" s="73"/>
      <c r="AD137" s="53">
        <f>(AD$29/AD$27)^2*(AD134-('Valve Sizing'!$V$4*'Valve Sizing'!$G$7))</f>
        <v>39.40819911563549</v>
      </c>
      <c r="AE137" s="41"/>
      <c r="AF137" s="73"/>
      <c r="AG137" s="53">
        <f>(AG$29/AG$27)^2*(AG134-('Valve Sizing'!$V$4*'Valve Sizing'!$G$7))</f>
        <v>33.756758667275427</v>
      </c>
      <c r="AH137" s="41"/>
      <c r="AI137" s="73"/>
      <c r="AJ137" s="53">
        <f>(AJ$29/AJ$27)^2*(AJ134-('Valve Sizing'!$V$4*'Valve Sizing'!$G$7))</f>
        <v>28.47950996424705</v>
      </c>
      <c r="AK137" s="41"/>
      <c r="AL137" s="73"/>
      <c r="AM137" s="53">
        <f>(AM$29/AM$27)^2*(AM134-('Valve Sizing'!$V$4*'Valve Sizing'!$G$7))</f>
        <v>21.8684397162503</v>
      </c>
      <c r="AN137" s="41"/>
      <c r="AO137" s="73"/>
      <c r="AP137" s="53">
        <f>(AP$29/AP$27)^2*(AP134-('Valve Sizing'!$V$4*'Valve Sizing'!$G$7))</f>
        <v>16.557722330999333</v>
      </c>
      <c r="AQ137" s="41"/>
      <c r="AR137" s="73"/>
      <c r="AS137" s="53">
        <f>(AS$29/AS$27)^2*(AS134-('Valve Sizing'!$V$4*'Valve Sizing'!$G$7))</f>
        <v>14.169729548269252</v>
      </c>
      <c r="AT137" s="41"/>
      <c r="AU137" s="73"/>
    </row>
    <row r="138" spans="15:47" ht="13" x14ac:dyDescent="0.25">
      <c r="O138" s="1" t="s">
        <v>69</v>
      </c>
      <c r="P138" s="17">
        <v>7</v>
      </c>
      <c r="Q138" s="65"/>
      <c r="R138" s="53">
        <f>(R132/(N_1*F_P_h))*SQRT('Valve Sizing'!$G$6/R136)</f>
        <v>0.16835551889502287</v>
      </c>
      <c r="S138" s="58"/>
      <c r="T138" s="73"/>
      <c r="U138" s="64">
        <f>(U132/(N_1*U$27))*SQRT('Valve Sizing'!$G$6/U136)</f>
        <v>5.4489356348680662</v>
      </c>
      <c r="V138" s="41"/>
      <c r="W138" s="73"/>
      <c r="X138" s="64">
        <f>(X132/(N_1*X$27))*SQRT('Valve Sizing'!$G$6/X136)</f>
        <v>13.146583597658687</v>
      </c>
      <c r="Y138" s="41"/>
      <c r="Z138" s="73"/>
      <c r="AA138" s="64">
        <f>(AA132/(N_1*AA$27))*SQRT('Valve Sizing'!$G$6/AA136)</f>
        <v>25.481798390968706</v>
      </c>
      <c r="AB138" s="41"/>
      <c r="AC138" s="73"/>
      <c r="AD138" s="64">
        <f>(AD132/(N_1*AD$27))*SQRT('Valve Sizing'!$G$6/AD136)</f>
        <v>43.402287409025121</v>
      </c>
      <c r="AE138" s="41"/>
      <c r="AF138" s="73"/>
      <c r="AG138" s="64">
        <f>(AG132/(N_1*AG$27))*SQRT('Valve Sizing'!$G$6/AG136)</f>
        <v>69.214039276083255</v>
      </c>
      <c r="AH138" s="41"/>
      <c r="AI138" s="73"/>
      <c r="AJ138" s="64">
        <f>(AJ132/(N_1*AJ$27))*SQRT('Valve Sizing'!$G$6/AJ136)</f>
        <v>103.16210416714627</v>
      </c>
      <c r="AK138" s="41"/>
      <c r="AL138" s="73"/>
      <c r="AM138" s="64">
        <f>(AM132/(N_1*AM$27))*SQRT('Valve Sizing'!$G$6/AM136)</f>
        <v>147.48923640590405</v>
      </c>
      <c r="AN138" s="41"/>
      <c r="AO138" s="73"/>
      <c r="AP138" s="64">
        <f>(AP132/(N_1*AP$27))*SQRT('Valve Sizing'!$G$6/AP136)</f>
        <v>222.4712386795681</v>
      </c>
      <c r="AQ138" s="41"/>
      <c r="AR138" s="73"/>
      <c r="AS138" s="64">
        <f>(AS132/(N_1*AS$27))*SQRT('Valve Sizing'!$G$6/AS136)</f>
        <v>419.56171216287004</v>
      </c>
      <c r="AT138" s="41"/>
      <c r="AU138" s="73"/>
    </row>
    <row r="139" spans="15:47" ht="13" x14ac:dyDescent="0.3">
      <c r="O139" s="1" t="s">
        <v>72</v>
      </c>
      <c r="P139" s="17">
        <v>7</v>
      </c>
      <c r="Q139" s="65"/>
      <c r="R139" s="53">
        <f>(R132/(N_1*F_P_h))*SQRT('Valve Sizing'!$G$6/R137)</f>
        <v>0.13982793785895201</v>
      </c>
      <c r="S139" s="56"/>
      <c r="T139" s="72"/>
      <c r="U139" s="85">
        <f>(U132/(N_1*U$27))*SQRT('Valve Sizing'!$G$6/U137)</f>
        <v>4.5248163408091502</v>
      </c>
      <c r="V139" s="44"/>
      <c r="W139" s="72"/>
      <c r="X139" s="85">
        <f>(X132/(N_1*X$27))*SQRT('Valve Sizing'!$G$6/X137)</f>
        <v>11.025605494762864</v>
      </c>
      <c r="Y139" s="44"/>
      <c r="Z139" s="72"/>
      <c r="AA139" s="85">
        <f>(AA132/(N_1*AA$27))*SQRT('Valve Sizing'!$G$6/AA137)</f>
        <v>21.760598975043035</v>
      </c>
      <c r="AB139" s="44"/>
      <c r="AC139" s="72"/>
      <c r="AD139" s="85">
        <f>(AD132/(N_1*AD$27))*SQRT('Valve Sizing'!$G$6/AD137)</f>
        <v>37.906675470662996</v>
      </c>
      <c r="AE139" s="44"/>
      <c r="AF139" s="72"/>
      <c r="AG139" s="85">
        <f>(AG132/(N_1*AG$27))*SQRT('Valve Sizing'!$G$6/AG137)</f>
        <v>62.339997791883675</v>
      </c>
      <c r="AH139" s="44"/>
      <c r="AI139" s="72"/>
      <c r="AJ139" s="85">
        <f>(AJ132/(N_1*AJ$27))*SQRT('Valve Sizing'!$G$6/AJ137)</f>
        <v>93.865474335921647</v>
      </c>
      <c r="AK139" s="44"/>
      <c r="AL139" s="72"/>
      <c r="AM139" s="85">
        <f>(AM132/(N_1*AM$27))*SQRT('Valve Sizing'!$G$6/AM137)</f>
        <v>138.67858588618623</v>
      </c>
      <c r="AN139" s="44"/>
      <c r="AO139" s="72"/>
      <c r="AP139" s="85">
        <f>(AP132/(N_1*AP$27))*SQRT('Valve Sizing'!$G$6/AP137)</f>
        <v>210.59840533359332</v>
      </c>
      <c r="AQ139" s="44"/>
      <c r="AR139" s="72"/>
      <c r="AS139" s="85">
        <f>(AS132/(N_1*AS$27))*SQRT('Valve Sizing'!$G$6/AS137)</f>
        <v>347.02397040241374</v>
      </c>
      <c r="AT139" s="44"/>
      <c r="AU139" s="72"/>
    </row>
    <row r="140" spans="15:47" x14ac:dyDescent="0.25">
      <c r="O140" s="1" t="s">
        <v>246</v>
      </c>
      <c r="P140" s="18"/>
      <c r="Q140" s="65"/>
      <c r="R140" s="53">
        <f>IF(R136&lt;R137,R138,R139)</f>
        <v>0.16835551889502287</v>
      </c>
      <c r="S140" s="49"/>
      <c r="T140" s="72"/>
      <c r="U140" s="64">
        <f>IF(U136&lt;U137,U138,U139)</f>
        <v>5.4489356348680662</v>
      </c>
      <c r="V140" s="44"/>
      <c r="W140" s="72"/>
      <c r="X140" s="64">
        <f>IF(X136&lt;X137,X138,X139)</f>
        <v>13.146583597658687</v>
      </c>
      <c r="Y140" s="44"/>
      <c r="Z140" s="72"/>
      <c r="AA140" s="64">
        <f>IF(AA136&lt;AA137,AA138,AA139)</f>
        <v>25.481798390968706</v>
      </c>
      <c r="AB140" s="44"/>
      <c r="AC140" s="72"/>
      <c r="AD140" s="64">
        <f>IF(AD136&lt;AD137,AD138,AD139)</f>
        <v>43.402287409025121</v>
      </c>
      <c r="AE140" s="44"/>
      <c r="AF140" s="72"/>
      <c r="AG140" s="64">
        <f>IF(AG136&lt;AG137,AG138,AG139)</f>
        <v>69.214039276083255</v>
      </c>
      <c r="AH140" s="44"/>
      <c r="AI140" s="72"/>
      <c r="AJ140" s="64">
        <f>IF(AJ136&lt;AJ137,AJ138,AJ139)</f>
        <v>103.16210416714627</v>
      </c>
      <c r="AK140" s="44"/>
      <c r="AL140" s="72"/>
      <c r="AM140" s="64">
        <f>IF(AM136&lt;AM137,AM138,AM139)</f>
        <v>147.48923640590405</v>
      </c>
      <c r="AN140" s="44"/>
      <c r="AO140" s="72"/>
      <c r="AP140" s="64">
        <f>IF(AP136&lt;AP137,AP138,AP139)</f>
        <v>222.4712386795681</v>
      </c>
      <c r="AQ140" s="44"/>
      <c r="AR140" s="72"/>
      <c r="AS140" s="64">
        <f>IF(AS136&lt;AS137,AS138,AS139)</f>
        <v>419.56171216287004</v>
      </c>
      <c r="AT140" s="44"/>
      <c r="AU140" s="72"/>
    </row>
    <row r="141" spans="15:47" ht="13" x14ac:dyDescent="0.3">
      <c r="O141" s="7" t="s">
        <v>264</v>
      </c>
      <c r="Q141" s="61"/>
      <c r="R141" s="53"/>
      <c r="S141" s="69">
        <f>IFERROR(ABS(C_h-R140),Q_max*10)</f>
        <v>4.831644481104977</v>
      </c>
      <c r="T141" s="76">
        <f>R132</f>
        <v>0.95607405489784891</v>
      </c>
      <c r="U141" s="61"/>
      <c r="V141" s="69">
        <f>IFERROR(ABS(U$23-U140),Q_max*10)</f>
        <v>6.5510643651319338</v>
      </c>
      <c r="W141" s="75">
        <f>U132</f>
        <v>30.903898459285731</v>
      </c>
      <c r="X141" s="61"/>
      <c r="Y141" s="69">
        <f>IFERROR(ABS(X$23-X140),Q_max*10)</f>
        <v>9.8534164023413133</v>
      </c>
      <c r="Z141" s="75">
        <f>X132</f>
        <v>74.181252368812821</v>
      </c>
      <c r="AA141" s="61"/>
      <c r="AB141" s="69">
        <f>IFERROR(ABS(AA$23-AA140),Q_max*10)</f>
        <v>13.518201609031294</v>
      </c>
      <c r="AC141" s="75">
        <f>AA132</f>
        <v>141.63919732381532</v>
      </c>
      <c r="AD141" s="61"/>
      <c r="AE141" s="69">
        <f>IFERROR(ABS(AD$23-AD140),Q_max*10)</f>
        <v>17.597712590974879</v>
      </c>
      <c r="AF141" s="75">
        <f>AD132</f>
        <v>232.94433113917157</v>
      </c>
      <c r="AG141" s="61"/>
      <c r="AH141" s="69">
        <f>IFERROR(ABS(AG$23-AG140),Q_max*10)</f>
        <v>18.785960723916745</v>
      </c>
      <c r="AI141" s="75">
        <f>AG132</f>
        <v>346.82236657807812</v>
      </c>
      <c r="AJ141" s="61"/>
      <c r="AK141" s="69">
        <f>IFERROR(ABS(AJ$23-AJ140),Q_max*10)</f>
        <v>17.837895832853732</v>
      </c>
      <c r="AL141" s="75">
        <f>AJ132</f>
        <v>462.83579267866747</v>
      </c>
      <c r="AM141" s="61"/>
      <c r="AN141" s="69">
        <f>IFERROR(ABS(AM$23-AM140),Q_max*10)</f>
        <v>17.510763594095948</v>
      </c>
      <c r="AO141" s="75">
        <f>AM132</f>
        <v>564.74762435793241</v>
      </c>
      <c r="AP141" s="61"/>
      <c r="AQ141" s="69">
        <f>IFERROR(ABS(AP$23-AP140),Q_max*10)</f>
        <v>23.528761320431897</v>
      </c>
      <c r="AR141" s="75">
        <f>AP132</f>
        <v>655.6544594985171</v>
      </c>
      <c r="AS141" s="61"/>
      <c r="AT141" s="69">
        <f>IFERROR(ABS(AS$23-AS140),Q_max*10)</f>
        <v>0.43828783712996255</v>
      </c>
      <c r="AU141" s="75">
        <f>AS132</f>
        <v>746.19593464138279</v>
      </c>
    </row>
    <row r="142" spans="15:47" ht="14.5" x14ac:dyDescent="0.35">
      <c r="O142" s="6"/>
      <c r="P142" s="6"/>
      <c r="Q142" s="60"/>
      <c r="R142" s="67"/>
      <c r="S142" s="56"/>
      <c r="T142" s="72"/>
      <c r="V142" s="11"/>
      <c r="W142" s="38"/>
      <c r="Y142" s="11"/>
      <c r="Z142" s="38"/>
      <c r="AB142" s="11"/>
      <c r="AC142" s="38"/>
      <c r="AE142" s="11"/>
      <c r="AF142" s="38"/>
      <c r="AH142" s="11"/>
      <c r="AI142" s="38"/>
      <c r="AK142" s="11"/>
      <c r="AL142" s="38"/>
      <c r="AN142" s="11"/>
      <c r="AO142" s="38"/>
      <c r="AQ142" s="11"/>
      <c r="AR142" s="38"/>
      <c r="AT142" s="11"/>
      <c r="AU142" s="38"/>
    </row>
    <row r="143" spans="15:47" ht="14" x14ac:dyDescent="0.3">
      <c r="O143" s="8" t="s">
        <v>235</v>
      </c>
      <c r="P143" s="6"/>
      <c r="Q143" s="60"/>
      <c r="R143" s="53">
        <f>R132*1.02</f>
        <v>0.97519553599580588</v>
      </c>
      <c r="S143" s="58" t="s">
        <v>238</v>
      </c>
      <c r="T143" s="73" t="s">
        <v>241</v>
      </c>
      <c r="U143" s="84">
        <f>U132*1.01</f>
        <v>31.212937443878587</v>
      </c>
      <c r="V143" s="58" t="s">
        <v>238</v>
      </c>
      <c r="W143" s="73" t="s">
        <v>241</v>
      </c>
      <c r="X143" s="84">
        <f>X132*1.01</f>
        <v>74.923064892500946</v>
      </c>
      <c r="Y143" s="58" t="s">
        <v>238</v>
      </c>
      <c r="Z143" s="73" t="s">
        <v>241</v>
      </c>
      <c r="AA143" s="84">
        <f>AA132*1.01</f>
        <v>143.05558929705347</v>
      </c>
      <c r="AB143" s="58" t="s">
        <v>238</v>
      </c>
      <c r="AC143" s="73" t="s">
        <v>241</v>
      </c>
      <c r="AD143" s="84">
        <f>AD132*1.01</f>
        <v>235.27377445056328</v>
      </c>
      <c r="AE143" s="58" t="s">
        <v>238</v>
      </c>
      <c r="AF143" s="73" t="s">
        <v>241</v>
      </c>
      <c r="AG143" s="84">
        <f>AG132*1.01</f>
        <v>350.2905902438589</v>
      </c>
      <c r="AH143" s="58" t="s">
        <v>238</v>
      </c>
      <c r="AI143" s="73" t="s">
        <v>241</v>
      </c>
      <c r="AJ143" s="84">
        <f>AJ132*1.01</f>
        <v>467.46415060545417</v>
      </c>
      <c r="AK143" s="58" t="s">
        <v>238</v>
      </c>
      <c r="AL143" s="73" t="s">
        <v>241</v>
      </c>
      <c r="AM143" s="84">
        <f>AM132*1.01</f>
        <v>570.39510060151179</v>
      </c>
      <c r="AN143" s="58" t="s">
        <v>238</v>
      </c>
      <c r="AO143" s="73" t="s">
        <v>241</v>
      </c>
      <c r="AP143" s="84">
        <f>AP132*1.01</f>
        <v>662.21100409350231</v>
      </c>
      <c r="AQ143" s="58" t="s">
        <v>238</v>
      </c>
      <c r="AR143" s="73" t="s">
        <v>241</v>
      </c>
      <c r="AS143" s="84">
        <f>AS132*1.01</f>
        <v>753.65789398779657</v>
      </c>
      <c r="AT143" s="58" t="s">
        <v>238</v>
      </c>
      <c r="AU143" s="73" t="s">
        <v>241</v>
      </c>
    </row>
    <row r="144" spans="15:47" ht="13" x14ac:dyDescent="0.25">
      <c r="O144" s="6"/>
      <c r="P144" s="6"/>
      <c r="Q144" s="60"/>
      <c r="R144" s="70"/>
      <c r="S144" s="63" t="s">
        <v>250</v>
      </c>
      <c r="T144" s="71" t="s">
        <v>242</v>
      </c>
      <c r="U144" s="61"/>
      <c r="V144" s="63" t="s">
        <v>250</v>
      </c>
      <c r="W144" s="71" t="s">
        <v>242</v>
      </c>
      <c r="X144" s="61"/>
      <c r="Y144" s="63" t="s">
        <v>250</v>
      </c>
      <c r="Z144" s="71" t="s">
        <v>242</v>
      </c>
      <c r="AA144" s="61"/>
      <c r="AB144" s="63" t="s">
        <v>250</v>
      </c>
      <c r="AC144" s="71" t="s">
        <v>242</v>
      </c>
      <c r="AD144" s="61"/>
      <c r="AE144" s="63" t="s">
        <v>250</v>
      </c>
      <c r="AF144" s="71" t="s">
        <v>242</v>
      </c>
      <c r="AG144" s="61"/>
      <c r="AH144" s="63" t="s">
        <v>250</v>
      </c>
      <c r="AI144" s="71" t="s">
        <v>242</v>
      </c>
      <c r="AJ144" s="61"/>
      <c r="AK144" s="63" t="s">
        <v>250</v>
      </c>
      <c r="AL144" s="71" t="s">
        <v>242</v>
      </c>
      <c r="AM144" s="61"/>
      <c r="AN144" s="63" t="s">
        <v>250</v>
      </c>
      <c r="AO144" s="71" t="s">
        <v>242</v>
      </c>
      <c r="AP144" s="61"/>
      <c r="AQ144" s="63" t="s">
        <v>250</v>
      </c>
      <c r="AR144" s="71" t="s">
        <v>242</v>
      </c>
      <c r="AS144" s="61"/>
      <c r="AT144" s="63" t="s">
        <v>250</v>
      </c>
      <c r="AU144" s="71" t="s">
        <v>242</v>
      </c>
    </row>
    <row r="145" spans="15:47" ht="13" x14ac:dyDescent="0.3">
      <c r="O145" s="6" t="s">
        <v>231</v>
      </c>
      <c r="P145" s="6"/>
      <c r="Q145" s="60"/>
      <c r="R145" s="85">
        <f>P_1_minQ-(R143^2*R_up)+dpup_minQ</f>
        <v>56.916111077124839</v>
      </c>
      <c r="S145" s="56"/>
      <c r="T145" s="72"/>
      <c r="U145" s="53">
        <f>P_1_minQ-(U143^2*R_up)+dpup_minQ</f>
        <v>56.883240544955235</v>
      </c>
      <c r="V145" s="44"/>
      <c r="W145" s="72"/>
      <c r="X145" s="53">
        <f>P_1_minQ-(X143^2*R_up)+dpup_minQ</f>
        <v>56.726563132290245</v>
      </c>
      <c r="Y145" s="44"/>
      <c r="Z145" s="72"/>
      <c r="AA145" s="53">
        <f>P_1_minQ-(AA143^2*R_up)+dpup_minQ</f>
        <v>56.224994879124374</v>
      </c>
      <c r="AB145" s="44"/>
      <c r="AC145" s="72"/>
      <c r="AD145" s="53">
        <f>P_1_minQ-(AD143^2*R_up)+dpup_minQ</f>
        <v>55.046715672265634</v>
      </c>
      <c r="AE145" s="44"/>
      <c r="AF145" s="72"/>
      <c r="AG145" s="53">
        <f>P_1_minQ-(AG143^2*R_up)+dpup_minQ</f>
        <v>52.772154758075274</v>
      </c>
      <c r="AH145" s="44"/>
      <c r="AI145" s="72"/>
      <c r="AJ145" s="53">
        <f>P_1_minQ-(AJ143^2*R_up)+dpup_minQ</f>
        <v>49.536111715593421</v>
      </c>
      <c r="AK145" s="44"/>
      <c r="AL145" s="72"/>
      <c r="AM145" s="53">
        <f>P_1_minQ-(AM143^2*R_up)+dpup_minQ</f>
        <v>45.928281972637329</v>
      </c>
      <c r="AN145" s="44"/>
      <c r="AO145" s="72"/>
      <c r="AP145" s="53">
        <f>P_1_minQ-(AP143^2*R_up)+dpup_minQ</f>
        <v>42.106166364656382</v>
      </c>
      <c r="AQ145" s="44"/>
      <c r="AR145" s="72"/>
      <c r="AS145" s="53">
        <f>P_1_minQ-(AS143^2*R_up)+dpup_minQ</f>
        <v>37.733427181015848</v>
      </c>
      <c r="AT145" s="44"/>
      <c r="AU145" s="72"/>
    </row>
    <row r="146" spans="15:47" ht="13" x14ac:dyDescent="0.3">
      <c r="O146" s="6" t="s">
        <v>233</v>
      </c>
      <c r="P146" s="6"/>
      <c r="Q146" s="60"/>
      <c r="R146" s="85">
        <f>P_2_minQ+(R143^2*R_dn)-dpdn_minQ</f>
        <v>24.656777784575034</v>
      </c>
      <c r="S146" s="66"/>
      <c r="T146" s="74"/>
      <c r="U146" s="53">
        <f>P_2_minQ+(U143^2*R_dn)-dpdn_minQ</f>
        <v>24.663351891008954</v>
      </c>
      <c r="V146" s="45"/>
      <c r="W146" s="74"/>
      <c r="X146" s="53">
        <f>P_2_minQ+(X143^2*R_dn)-dpdn_minQ</f>
        <v>24.694687373541953</v>
      </c>
      <c r="Y146" s="45"/>
      <c r="Z146" s="74"/>
      <c r="AA146" s="53">
        <f>P_2_minQ+(AA143^2*R_dn)-dpdn_minQ</f>
        <v>24.795001024175125</v>
      </c>
      <c r="AB146" s="45"/>
      <c r="AC146" s="74"/>
      <c r="AD146" s="53">
        <f>P_2_minQ+(AD143^2*R_dn)-dpdn_minQ</f>
        <v>25.030656865546874</v>
      </c>
      <c r="AE146" s="45"/>
      <c r="AF146" s="74"/>
      <c r="AG146" s="53">
        <f>P_2_minQ+(AG143^2*R_dn)-dpdn_minQ</f>
        <v>25.485569048384946</v>
      </c>
      <c r="AH146" s="45"/>
      <c r="AI146" s="74"/>
      <c r="AJ146" s="53">
        <f>P_2_minQ+(AJ143^2*R_dn)-dpdn_minQ</f>
        <v>26.132777656881316</v>
      </c>
      <c r="AK146" s="45"/>
      <c r="AL146" s="74"/>
      <c r="AM146" s="53">
        <f>P_2_minQ+(AM143^2*R_dn)-dpdn_minQ</f>
        <v>26.854343605472536</v>
      </c>
      <c r="AN146" s="45"/>
      <c r="AO146" s="74"/>
      <c r="AP146" s="53">
        <f>P_2_minQ+(AP143^2*R_dn)-dpdn_minQ</f>
        <v>27.618766727068724</v>
      </c>
      <c r="AQ146" s="45"/>
      <c r="AR146" s="74"/>
      <c r="AS146" s="53">
        <f>P_2_minQ+(AS143^2*R_dn)-dpdn_minQ</f>
        <v>28.493314563796833</v>
      </c>
      <c r="AT146" s="45"/>
      <c r="AU146" s="74"/>
    </row>
    <row r="147" spans="15:47" x14ac:dyDescent="0.25">
      <c r="O147" s="6" t="s">
        <v>243</v>
      </c>
      <c r="Q147" s="60"/>
      <c r="R147" s="53">
        <f>R145-R146</f>
        <v>32.259333292549805</v>
      </c>
      <c r="S147" s="56"/>
      <c r="T147" s="72"/>
      <c r="U147" s="64">
        <f>U145-U146</f>
        <v>32.219888653946285</v>
      </c>
      <c r="V147" s="44"/>
      <c r="W147" s="72"/>
      <c r="X147" s="64">
        <f>X145-X146</f>
        <v>32.031875758748292</v>
      </c>
      <c r="Y147" s="44"/>
      <c r="Z147" s="72"/>
      <c r="AA147" s="64">
        <f>AA145-AA146</f>
        <v>31.429993854949249</v>
      </c>
      <c r="AB147" s="44"/>
      <c r="AC147" s="72"/>
      <c r="AD147" s="64">
        <f>AD145-AD146</f>
        <v>30.01605880671876</v>
      </c>
      <c r="AE147" s="44"/>
      <c r="AF147" s="72"/>
      <c r="AG147" s="64">
        <f>AG145-AG146</f>
        <v>27.286585709690328</v>
      </c>
      <c r="AH147" s="44"/>
      <c r="AI147" s="72"/>
      <c r="AJ147" s="64">
        <f>AJ145-AJ146</f>
        <v>23.403334058712105</v>
      </c>
      <c r="AK147" s="44"/>
      <c r="AL147" s="72"/>
      <c r="AM147" s="64">
        <f>AM145-AM146</f>
        <v>19.073938367164793</v>
      </c>
      <c r="AN147" s="44"/>
      <c r="AO147" s="72"/>
      <c r="AP147" s="64">
        <f>AP145-AP146</f>
        <v>14.487399637587657</v>
      </c>
      <c r="AQ147" s="44"/>
      <c r="AR147" s="72"/>
      <c r="AS147" s="64">
        <f>AS145-AS146</f>
        <v>9.2401126172190153</v>
      </c>
      <c r="AT147" s="44"/>
      <c r="AU147" s="72"/>
    </row>
    <row r="148" spans="15:47" ht="13" x14ac:dyDescent="0.3">
      <c r="O148" s="6" t="s">
        <v>75</v>
      </c>
      <c r="P148" s="6">
        <v>3</v>
      </c>
      <c r="Q148" s="65"/>
      <c r="R148" s="85">
        <f>(F_LP_h/F_P_h)^2*(R145-('Valve Sizing'!$V$4*'Valve Sizing'!$G$7))</f>
        <v>46.765136646541215</v>
      </c>
      <c r="S148" s="58"/>
      <c r="T148" s="73"/>
      <c r="U148" s="53">
        <f>(U$29/U$27)^2*(U145-('Valve Sizing'!$V$4*'Valve Sizing'!$G$7))</f>
        <v>46.72517929485403</v>
      </c>
      <c r="V148" s="41"/>
      <c r="W148" s="73"/>
      <c r="X148" s="53">
        <f>(X$29/X$27)^2*(X145-('Valve Sizing'!$V$4*'Valve Sizing'!$G$7))</f>
        <v>45.544426550776443</v>
      </c>
      <c r="Y148" s="41"/>
      <c r="Z148" s="73"/>
      <c r="AA148" s="53">
        <f>(AA$29/AA$27)^2*(AA145-('Valve Sizing'!$V$4*'Valve Sizing'!$G$7))</f>
        <v>43.110444469385698</v>
      </c>
      <c r="AB148" s="41"/>
      <c r="AC148" s="73"/>
      <c r="AD148" s="53">
        <f>(AD$29/AD$27)^2*(AD145-('Valve Sizing'!$V$4*'Valve Sizing'!$G$7))</f>
        <v>39.381634099933756</v>
      </c>
      <c r="AE148" s="41"/>
      <c r="AF148" s="73"/>
      <c r="AG148" s="53">
        <f>(AG$29/AG$27)^2*(AG145-('Valve Sizing'!$V$4*'Valve Sizing'!$G$7))</f>
        <v>33.704170582971521</v>
      </c>
      <c r="AH148" s="41"/>
      <c r="AI148" s="73"/>
      <c r="AJ148" s="53">
        <f>(AJ$29/AJ$27)^2*(AJ145-('Valve Sizing'!$V$4*'Valve Sizing'!$G$7))</f>
        <v>28.395406665821358</v>
      </c>
      <c r="AK148" s="41"/>
      <c r="AL148" s="73"/>
      <c r="AM148" s="53">
        <f>(AM$29/AM$27)^2*(AM145-('Valve Sizing'!$V$4*'Valve Sizing'!$G$7))</f>
        <v>21.764848450626616</v>
      </c>
      <c r="AN148" s="41"/>
      <c r="AO148" s="73"/>
      <c r="AP148" s="53">
        <f>(AP$29/AP$27)^2*(AP145-('Valve Sizing'!$V$4*'Valve Sizing'!$G$7))</f>
        <v>16.442564282952944</v>
      </c>
      <c r="AQ148" s="41"/>
      <c r="AR148" s="73"/>
      <c r="AS148" s="53">
        <f>(AS$29/AS$27)^2*(AS145-('Valve Sizing'!$V$4*'Valve Sizing'!$G$7))</f>
        <v>14.027557623071912</v>
      </c>
      <c r="AT148" s="41"/>
      <c r="AU148" s="73"/>
    </row>
    <row r="149" spans="15:47" ht="13" x14ac:dyDescent="0.25">
      <c r="O149" s="1" t="s">
        <v>69</v>
      </c>
      <c r="P149" s="17">
        <v>7</v>
      </c>
      <c r="Q149" s="65"/>
      <c r="R149" s="53">
        <f>(R143/(N_1*F_P_h))*SQRT('Valve Sizing'!$G$6/R147)</f>
        <v>0.17172263325628201</v>
      </c>
      <c r="S149" s="58"/>
      <c r="T149" s="73"/>
      <c r="U149" s="64">
        <f>(U143/(N_1*U$27))*SQRT('Valve Sizing'!$G$6/U147)</f>
        <v>5.5034914330843723</v>
      </c>
      <c r="V149" s="41"/>
      <c r="W149" s="73"/>
      <c r="X149" s="64">
        <f>(X143/(N_1*X$27))*SQRT('Valve Sizing'!$G$6/X147)</f>
        <v>13.278978472621834</v>
      </c>
      <c r="Y149" s="41"/>
      <c r="Z149" s="73"/>
      <c r="AA149" s="64">
        <f>(AA143/(N_1*AA$27))*SQRT('Valve Sizing'!$G$6/AA147)</f>
        <v>25.743306381157698</v>
      </c>
      <c r="AB149" s="41"/>
      <c r="AC149" s="73"/>
      <c r="AD149" s="64">
        <f>(AD143/(N_1*AD$27))*SQRT('Valve Sizing'!$G$6/AD147)</f>
        <v>43.86857543532706</v>
      </c>
      <c r="AE149" s="41"/>
      <c r="AF149" s="73"/>
      <c r="AG149" s="64">
        <f>(AG143/(N_1*AG$27))*SQRT('Valve Sizing'!$G$6/AG147)</f>
        <v>70.031580412892353</v>
      </c>
      <c r="AH149" s="41"/>
      <c r="AI149" s="73"/>
      <c r="AJ149" s="64">
        <f>(AJ143/(N_1*AJ$27))*SQRT('Valve Sizing'!$G$6/AJ147)</f>
        <v>104.58144620554401</v>
      </c>
      <c r="AK149" s="41"/>
      <c r="AL149" s="73"/>
      <c r="AM149" s="64">
        <f>(AM143/(N_1*AM$27))*SQRT('Valve Sizing'!$G$6/AM147)</f>
        <v>149.97521378372369</v>
      </c>
      <c r="AN149" s="41"/>
      <c r="AO149" s="73"/>
      <c r="AP149" s="64">
        <f>(AP143/(N_1*AP$27))*SQRT('Valve Sizing'!$G$6/AP147)</f>
        <v>227.39532383543519</v>
      </c>
      <c r="AQ149" s="41"/>
      <c r="AR149" s="73"/>
      <c r="AS149" s="64">
        <f>(AS143/(N_1*AS$27))*SQRT('Valve Sizing'!$G$6/AS147)</f>
        <v>434.03324573349846</v>
      </c>
      <c r="AT149" s="41"/>
      <c r="AU149" s="73"/>
    </row>
    <row r="150" spans="15:47" ht="13" x14ac:dyDescent="0.3">
      <c r="O150" s="1" t="s">
        <v>72</v>
      </c>
      <c r="P150" s="17">
        <v>7</v>
      </c>
      <c r="Q150" s="65"/>
      <c r="R150" s="53">
        <f>(R143/(N_1*F_P_h))*SQRT('Valve Sizing'!$G$6/R148)</f>
        <v>0.14262449819093248</v>
      </c>
      <c r="S150" s="56"/>
      <c r="T150" s="72"/>
      <c r="U150" s="85">
        <f>(U143/(N_1*U$27))*SQRT('Valve Sizing'!$G$6/U148)</f>
        <v>4.5700907502567123</v>
      </c>
      <c r="V150" s="44"/>
      <c r="W150" s="72"/>
      <c r="X150" s="85">
        <f>(X143/(N_1*X$27))*SQRT('Valve Sizing'!$G$6/X148)</f>
        <v>11.136231061506901</v>
      </c>
      <c r="Y150" s="44"/>
      <c r="Z150" s="72"/>
      <c r="AA150" s="85">
        <f>(AA143/(N_1*AA$27))*SQRT('Valve Sizing'!$G$6/AA148)</f>
        <v>21.980887487062901</v>
      </c>
      <c r="AB150" s="44"/>
      <c r="AC150" s="72"/>
      <c r="AD150" s="85">
        <f>(AD143/(N_1*AD$27))*SQRT('Valve Sizing'!$G$6/AD148)</f>
        <v>38.29865293754402</v>
      </c>
      <c r="AE150" s="44"/>
      <c r="AF150" s="72"/>
      <c r="AG150" s="85">
        <f>(AG143/(N_1*AG$27))*SQRT('Valve Sizing'!$G$6/AG148)</f>
        <v>63.012499021154689</v>
      </c>
      <c r="AH150" s="44"/>
      <c r="AI150" s="72"/>
      <c r="AJ150" s="85">
        <f>(AJ143/(N_1*AJ$27))*SQRT('Valve Sizing'!$G$6/AJ148)</f>
        <v>94.944423683901576</v>
      </c>
      <c r="AK150" s="44"/>
      <c r="AL150" s="72"/>
      <c r="AM150" s="85">
        <f>(AM143/(N_1*AM$27))*SQRT('Valve Sizing'!$G$6/AM148)</f>
        <v>140.39830136162666</v>
      </c>
      <c r="AN150" s="44"/>
      <c r="AO150" s="72"/>
      <c r="AP150" s="85">
        <f>(AP143/(N_1*AP$27))*SQRT('Valve Sizing'!$G$6/AP148)</f>
        <v>213.44794384208708</v>
      </c>
      <c r="AQ150" s="44"/>
      <c r="AR150" s="72"/>
      <c r="AS150" s="85">
        <f>(AS143/(N_1*AS$27))*SQRT('Valve Sizing'!$G$6/AS148)</f>
        <v>352.26589458511143</v>
      </c>
      <c r="AT150" s="44"/>
      <c r="AU150" s="72"/>
    </row>
    <row r="151" spans="15:47" x14ac:dyDescent="0.25">
      <c r="O151" s="1" t="s">
        <v>246</v>
      </c>
      <c r="P151" s="18"/>
      <c r="Q151" s="65"/>
      <c r="R151" s="53">
        <f>IF(R147&lt;R148,R149,R150)</f>
        <v>0.17172263325628201</v>
      </c>
      <c r="S151" s="49"/>
      <c r="T151" s="72"/>
      <c r="U151" s="64">
        <f>IF(U147&lt;U148,U149,U150)</f>
        <v>5.5034914330843723</v>
      </c>
      <c r="V151" s="44"/>
      <c r="W151" s="72"/>
      <c r="X151" s="64">
        <f>IF(X147&lt;X148,X149,X150)</f>
        <v>13.278978472621834</v>
      </c>
      <c r="Y151" s="44"/>
      <c r="Z151" s="72"/>
      <c r="AA151" s="64">
        <f>IF(AA147&lt;AA148,AA149,AA150)</f>
        <v>25.743306381157698</v>
      </c>
      <c r="AB151" s="44"/>
      <c r="AC151" s="72"/>
      <c r="AD151" s="64">
        <f>IF(AD147&lt;AD148,AD149,AD150)</f>
        <v>43.86857543532706</v>
      </c>
      <c r="AE151" s="44"/>
      <c r="AF151" s="72"/>
      <c r="AG151" s="64">
        <f>IF(AG147&lt;AG148,AG149,AG150)</f>
        <v>70.031580412892353</v>
      </c>
      <c r="AH151" s="44"/>
      <c r="AI151" s="72"/>
      <c r="AJ151" s="64">
        <f>IF(AJ147&lt;AJ148,AJ149,AJ150)</f>
        <v>104.58144620554401</v>
      </c>
      <c r="AK151" s="44"/>
      <c r="AL151" s="72"/>
      <c r="AM151" s="64">
        <f>IF(AM147&lt;AM148,AM149,AM150)</f>
        <v>149.97521378372369</v>
      </c>
      <c r="AN151" s="44"/>
      <c r="AO151" s="72"/>
      <c r="AP151" s="64">
        <f>IF(AP147&lt;AP148,AP149,AP150)</f>
        <v>227.39532383543519</v>
      </c>
      <c r="AQ151" s="44"/>
      <c r="AR151" s="72"/>
      <c r="AS151" s="64">
        <f>IF(AS147&lt;AS148,AS149,AS150)</f>
        <v>434.03324573349846</v>
      </c>
      <c r="AT151" s="44"/>
      <c r="AU151" s="72"/>
    </row>
    <row r="152" spans="15:47" ht="13" x14ac:dyDescent="0.3">
      <c r="O152" s="7" t="s">
        <v>264</v>
      </c>
      <c r="Q152" s="61"/>
      <c r="R152" s="53"/>
      <c r="S152" s="69">
        <f>IFERROR(ABS(C_h-R151),Q_max*10)</f>
        <v>4.828277366743718</v>
      </c>
      <c r="T152" s="76">
        <f>R143</f>
        <v>0.97519553599580588</v>
      </c>
      <c r="U152" s="61"/>
      <c r="V152" s="69">
        <f>IFERROR(ABS(U$23-U151),Q_max*10)</f>
        <v>6.4965085669156277</v>
      </c>
      <c r="W152" s="75">
        <f>U143</f>
        <v>31.212937443878587</v>
      </c>
      <c r="X152" s="61"/>
      <c r="Y152" s="69">
        <f>IFERROR(ABS(X$23-X151),Q_max*10)</f>
        <v>9.7210215273781664</v>
      </c>
      <c r="Z152" s="75">
        <f>X143</f>
        <v>74.923064892500946</v>
      </c>
      <c r="AA152" s="61"/>
      <c r="AB152" s="69">
        <f>IFERROR(ABS(AA$23-AA151),Q_max*10)</f>
        <v>13.256693618842302</v>
      </c>
      <c r="AC152" s="75">
        <f>AA143</f>
        <v>143.05558929705347</v>
      </c>
      <c r="AD152" s="61"/>
      <c r="AE152" s="69">
        <f>IFERROR(ABS(AD$23-AD151),Q_max*10)</f>
        <v>17.13142456467294</v>
      </c>
      <c r="AF152" s="75">
        <f>AD143</f>
        <v>235.27377445056328</v>
      </c>
      <c r="AG152" s="61"/>
      <c r="AH152" s="69">
        <f>IFERROR(ABS(AG$23-AG151),Q_max*10)</f>
        <v>17.968419587107647</v>
      </c>
      <c r="AI152" s="75">
        <f>AG143</f>
        <v>350.2905902438589</v>
      </c>
      <c r="AJ152" s="61"/>
      <c r="AK152" s="69">
        <f>IFERROR(ABS(AJ$23-AJ151),Q_max*10)</f>
        <v>16.418553794455988</v>
      </c>
      <c r="AL152" s="75">
        <f>AJ143</f>
        <v>467.46415060545417</v>
      </c>
      <c r="AM152" s="61"/>
      <c r="AN152" s="69">
        <f>IFERROR(ABS(AM$23-AM151),Q_max*10)</f>
        <v>15.024786216276311</v>
      </c>
      <c r="AO152" s="75">
        <f>AM143</f>
        <v>570.39510060151179</v>
      </c>
      <c r="AP152" s="61"/>
      <c r="AQ152" s="69">
        <f>IFERROR(ABS(AP$23-AP151),Q_max*10)</f>
        <v>18.604676164564808</v>
      </c>
      <c r="AR152" s="75">
        <f>AP143</f>
        <v>662.21100409350231</v>
      </c>
      <c r="AS152" s="61"/>
      <c r="AT152" s="69">
        <f>IFERROR(ABS(AS$23-AS151),Q_max*10)</f>
        <v>14.033245733498461</v>
      </c>
      <c r="AU152" s="75">
        <f>AS143</f>
        <v>753.65789398779657</v>
      </c>
    </row>
    <row r="153" spans="15:47" ht="14.5" x14ac:dyDescent="0.35">
      <c r="O153" s="8"/>
      <c r="P153" s="6"/>
      <c r="Q153" s="60"/>
      <c r="R153" s="67"/>
      <c r="S153" s="58"/>
      <c r="T153" s="73"/>
      <c r="V153" s="11"/>
      <c r="W153" s="38"/>
      <c r="Y153" s="11"/>
      <c r="Z153" s="38"/>
      <c r="AB153" s="11"/>
      <c r="AC153" s="38"/>
      <c r="AE153" s="11"/>
      <c r="AF153" s="38"/>
      <c r="AH153" s="11"/>
      <c r="AI153" s="38"/>
      <c r="AK153" s="11"/>
      <c r="AL153" s="38"/>
      <c r="AN153" s="11"/>
      <c r="AO153" s="38"/>
      <c r="AQ153" s="11"/>
      <c r="AR153" s="38"/>
      <c r="AT153" s="11"/>
      <c r="AU153" s="38"/>
    </row>
    <row r="154" spans="15:47" ht="14" x14ac:dyDescent="0.3">
      <c r="O154" s="8" t="s">
        <v>235</v>
      </c>
      <c r="P154" s="6"/>
      <c r="Q154" s="60"/>
      <c r="R154" s="53">
        <f>R143*1.02</f>
        <v>0.99469944671572197</v>
      </c>
      <c r="S154" s="58" t="s">
        <v>238</v>
      </c>
      <c r="T154" s="73" t="s">
        <v>241</v>
      </c>
      <c r="U154" s="84">
        <f>U143*1.01</f>
        <v>31.525066818317374</v>
      </c>
      <c r="V154" s="58" t="s">
        <v>238</v>
      </c>
      <c r="W154" s="73" t="s">
        <v>241</v>
      </c>
      <c r="X154" s="84">
        <f>X143*1.01</f>
        <v>75.672295541425953</v>
      </c>
      <c r="Y154" s="58" t="s">
        <v>238</v>
      </c>
      <c r="Z154" s="73" t="s">
        <v>241</v>
      </c>
      <c r="AA154" s="84">
        <f>AA143*1.01</f>
        <v>144.48614519002402</v>
      </c>
      <c r="AB154" s="58" t="s">
        <v>238</v>
      </c>
      <c r="AC154" s="73" t="s">
        <v>241</v>
      </c>
      <c r="AD154" s="84">
        <f>AD143*1.01</f>
        <v>237.62651219506893</v>
      </c>
      <c r="AE154" s="58" t="s">
        <v>238</v>
      </c>
      <c r="AF154" s="73" t="s">
        <v>241</v>
      </c>
      <c r="AG154" s="84">
        <f>AG143*1.01</f>
        <v>353.79349614629751</v>
      </c>
      <c r="AH154" s="58" t="s">
        <v>238</v>
      </c>
      <c r="AI154" s="73" t="s">
        <v>241</v>
      </c>
      <c r="AJ154" s="84">
        <f>AJ143*1.01</f>
        <v>472.13879211150874</v>
      </c>
      <c r="AK154" s="58" t="s">
        <v>238</v>
      </c>
      <c r="AL154" s="73" t="s">
        <v>241</v>
      </c>
      <c r="AM154" s="84">
        <f>AM143*1.01</f>
        <v>576.09905160752692</v>
      </c>
      <c r="AN154" s="58" t="s">
        <v>238</v>
      </c>
      <c r="AO154" s="73" t="s">
        <v>241</v>
      </c>
      <c r="AP154" s="84">
        <f>AP143*1.01</f>
        <v>668.83311413443732</v>
      </c>
      <c r="AQ154" s="58" t="s">
        <v>238</v>
      </c>
      <c r="AR154" s="73" t="s">
        <v>241</v>
      </c>
      <c r="AS154" s="84">
        <f>AS143*1.01</f>
        <v>761.1944729276745</v>
      </c>
      <c r="AT154" s="58" t="s">
        <v>238</v>
      </c>
      <c r="AU154" s="73" t="s">
        <v>241</v>
      </c>
    </row>
    <row r="155" spans="15:47" ht="13" x14ac:dyDescent="0.25">
      <c r="O155" s="6"/>
      <c r="P155" s="6"/>
      <c r="Q155" s="60"/>
      <c r="R155" s="70"/>
      <c r="S155" s="63" t="s">
        <v>250</v>
      </c>
      <c r="T155" s="71" t="s">
        <v>242</v>
      </c>
      <c r="U155" s="61"/>
      <c r="V155" s="63" t="s">
        <v>250</v>
      </c>
      <c r="W155" s="71" t="s">
        <v>242</v>
      </c>
      <c r="X155" s="61"/>
      <c r="Y155" s="63" t="s">
        <v>250</v>
      </c>
      <c r="Z155" s="71" t="s">
        <v>242</v>
      </c>
      <c r="AA155" s="61"/>
      <c r="AB155" s="63" t="s">
        <v>250</v>
      </c>
      <c r="AC155" s="71" t="s">
        <v>242</v>
      </c>
      <c r="AD155" s="61"/>
      <c r="AE155" s="63" t="s">
        <v>250</v>
      </c>
      <c r="AF155" s="71" t="s">
        <v>242</v>
      </c>
      <c r="AG155" s="61"/>
      <c r="AH155" s="63" t="s">
        <v>250</v>
      </c>
      <c r="AI155" s="71" t="s">
        <v>242</v>
      </c>
      <c r="AJ155" s="61"/>
      <c r="AK155" s="63" t="s">
        <v>250</v>
      </c>
      <c r="AL155" s="71" t="s">
        <v>242</v>
      </c>
      <c r="AM155" s="61"/>
      <c r="AN155" s="63" t="s">
        <v>250</v>
      </c>
      <c r="AO155" s="71" t="s">
        <v>242</v>
      </c>
      <c r="AP155" s="61"/>
      <c r="AQ155" s="63" t="s">
        <v>250</v>
      </c>
      <c r="AR155" s="71" t="s">
        <v>242</v>
      </c>
      <c r="AS155" s="61"/>
      <c r="AT155" s="63" t="s">
        <v>250</v>
      </c>
      <c r="AU155" s="71" t="s">
        <v>242</v>
      </c>
    </row>
    <row r="156" spans="15:47" ht="13" x14ac:dyDescent="0.3">
      <c r="O156" s="6" t="s">
        <v>231</v>
      </c>
      <c r="P156" s="6"/>
      <c r="Q156" s="60"/>
      <c r="R156" s="85">
        <f>P_1_minQ-(R154^2*R_up)+dpup_minQ</f>
        <v>56.916109779568075</v>
      </c>
      <c r="S156" s="56"/>
      <c r="T156" s="72"/>
      <c r="U156" s="53">
        <f>P_1_minQ-(U154^2*R_up)+dpup_minQ</f>
        <v>56.882579201692018</v>
      </c>
      <c r="V156" s="44"/>
      <c r="W156" s="72"/>
      <c r="X156" s="53">
        <f>P_1_minQ-(X154^2*R_up)+dpup_minQ</f>
        <v>56.722752573032459</v>
      </c>
      <c r="Y156" s="44"/>
      <c r="Z156" s="72"/>
      <c r="AA156" s="53">
        <f>P_1_minQ-(AA154^2*R_up)+dpup_minQ</f>
        <v>56.211102797977958</v>
      </c>
      <c r="AB156" s="44"/>
      <c r="AC156" s="72"/>
      <c r="AD156" s="53">
        <f>P_1_minQ-(AD154^2*R_up)+dpup_minQ</f>
        <v>55.009140179061355</v>
      </c>
      <c r="AE156" s="44"/>
      <c r="AF156" s="72"/>
      <c r="AG156" s="53">
        <f>P_1_minQ-(AG154^2*R_up)+dpup_minQ</f>
        <v>52.688860590495771</v>
      </c>
      <c r="AH156" s="44"/>
      <c r="AI156" s="72"/>
      <c r="AJ156" s="53">
        <f>P_1_minQ-(AJ154^2*R_up)+dpup_minQ</f>
        <v>49.387773082860029</v>
      </c>
      <c r="AK156" s="44"/>
      <c r="AL156" s="72"/>
      <c r="AM156" s="53">
        <f>P_1_minQ-(AM154^2*R_up)+dpup_minQ</f>
        <v>45.707425962070516</v>
      </c>
      <c r="AN156" s="44"/>
      <c r="AO156" s="72"/>
      <c r="AP156" s="53">
        <f>P_1_minQ-(AP154^2*R_up)+dpup_minQ</f>
        <v>41.808485830369158</v>
      </c>
      <c r="AQ156" s="44"/>
      <c r="AR156" s="72"/>
      <c r="AS156" s="53">
        <f>P_1_minQ-(AS154^2*R_up)+dpup_minQ</f>
        <v>37.347854589137448</v>
      </c>
      <c r="AT156" s="44"/>
      <c r="AU156" s="72"/>
    </row>
    <row r="157" spans="15:47" ht="13" x14ac:dyDescent="0.3">
      <c r="O157" s="6" t="s">
        <v>233</v>
      </c>
      <c r="P157" s="6"/>
      <c r="Q157" s="60"/>
      <c r="R157" s="85">
        <f>P_2_minQ+(R154^2*R_dn)-dpdn_minQ</f>
        <v>24.656778044086387</v>
      </c>
      <c r="S157" s="66"/>
      <c r="T157" s="74"/>
      <c r="U157" s="53">
        <f>P_2_minQ+(U154^2*R_dn)-dpdn_minQ</f>
        <v>24.663484159661596</v>
      </c>
      <c r="V157" s="45"/>
      <c r="W157" s="74"/>
      <c r="X157" s="53">
        <f>P_2_minQ+(X154^2*R_dn)-dpdn_minQ</f>
        <v>24.69544948539351</v>
      </c>
      <c r="Y157" s="45"/>
      <c r="Z157" s="74"/>
      <c r="AA157" s="53">
        <f>P_2_minQ+(AA154^2*R_dn)-dpdn_minQ</f>
        <v>24.797779440404408</v>
      </c>
      <c r="AB157" s="45"/>
      <c r="AC157" s="74"/>
      <c r="AD157" s="53">
        <f>P_2_minQ+(AD154^2*R_dn)-dpdn_minQ</f>
        <v>25.038171964187729</v>
      </c>
      <c r="AE157" s="45"/>
      <c r="AF157" s="74"/>
      <c r="AG157" s="53">
        <f>P_2_minQ+(AG154^2*R_dn)-dpdn_minQ</f>
        <v>25.502227881900847</v>
      </c>
      <c r="AH157" s="45"/>
      <c r="AI157" s="74"/>
      <c r="AJ157" s="53">
        <f>P_2_minQ+(AJ154^2*R_dn)-dpdn_minQ</f>
        <v>26.162445383427993</v>
      </c>
      <c r="AK157" s="45"/>
      <c r="AL157" s="74"/>
      <c r="AM157" s="53">
        <f>P_2_minQ+(AM154^2*R_dn)-dpdn_minQ</f>
        <v>26.898514807585897</v>
      </c>
      <c r="AN157" s="45"/>
      <c r="AO157" s="74"/>
      <c r="AP157" s="53">
        <f>P_2_minQ+(AP154^2*R_dn)-dpdn_minQ</f>
        <v>27.678302833926171</v>
      </c>
      <c r="AQ157" s="45"/>
      <c r="AR157" s="74"/>
      <c r="AS157" s="53">
        <f>P_2_minQ+(AS154^2*R_dn)-dpdn_minQ</f>
        <v>28.570429082172513</v>
      </c>
      <c r="AT157" s="45"/>
      <c r="AU157" s="74"/>
    </row>
    <row r="158" spans="15:47" x14ac:dyDescent="0.25">
      <c r="O158" s="6" t="s">
        <v>243</v>
      </c>
      <c r="Q158" s="60"/>
      <c r="R158" s="53">
        <f>R156-R157</f>
        <v>32.259331735481688</v>
      </c>
      <c r="S158" s="56"/>
      <c r="T158" s="72"/>
      <c r="U158" s="64">
        <f>U156-U157</f>
        <v>32.219095042030418</v>
      </c>
      <c r="V158" s="44"/>
      <c r="W158" s="72"/>
      <c r="X158" s="64">
        <f>X156-X157</f>
        <v>32.027303087638948</v>
      </c>
      <c r="Y158" s="44"/>
      <c r="Z158" s="72"/>
      <c r="AA158" s="64">
        <f>AA156-AA157</f>
        <v>31.41332335757355</v>
      </c>
      <c r="AB158" s="44"/>
      <c r="AC158" s="72"/>
      <c r="AD158" s="64">
        <f>AD156-AD157</f>
        <v>29.970968214873626</v>
      </c>
      <c r="AE158" s="44"/>
      <c r="AF158" s="72"/>
      <c r="AG158" s="64">
        <f>AG156-AG157</f>
        <v>27.186632708594924</v>
      </c>
      <c r="AH158" s="44"/>
      <c r="AI158" s="72"/>
      <c r="AJ158" s="64">
        <f>AJ156-AJ157</f>
        <v>23.225327699432036</v>
      </c>
      <c r="AK158" s="44"/>
      <c r="AL158" s="72"/>
      <c r="AM158" s="64">
        <f>AM156-AM157</f>
        <v>18.808911154484619</v>
      </c>
      <c r="AN158" s="44"/>
      <c r="AO158" s="72"/>
      <c r="AP158" s="64">
        <f>AP156-AP157</f>
        <v>14.130182996442986</v>
      </c>
      <c r="AQ158" s="44"/>
      <c r="AR158" s="72"/>
      <c r="AS158" s="64">
        <f>AS156-AS157</f>
        <v>8.777425506964935</v>
      </c>
      <c r="AT158" s="44"/>
      <c r="AU158" s="72"/>
    </row>
    <row r="159" spans="15:47" ht="13" x14ac:dyDescent="0.3">
      <c r="O159" s="6" t="s">
        <v>75</v>
      </c>
      <c r="P159" s="6">
        <v>3</v>
      </c>
      <c r="Q159" s="65"/>
      <c r="R159" s="85">
        <f>(F_LP_h/F_P_h)^2*(R156-('Valve Sizing'!$V$4*'Valve Sizing'!$G$7))</f>
        <v>46.765135572096106</v>
      </c>
      <c r="S159" s="58"/>
      <c r="T159" s="73"/>
      <c r="U159" s="53">
        <f>(U$29/U$27)^2*(U156-('Valve Sizing'!$V$4*'Valve Sizing'!$G$7))</f>
        <v>46.724631817178697</v>
      </c>
      <c r="V159" s="41"/>
      <c r="W159" s="73"/>
      <c r="X159" s="53">
        <f>(X$29/X$27)^2*(X156-('Valve Sizing'!$V$4*'Valve Sizing'!$G$7))</f>
        <v>45.541343223168788</v>
      </c>
      <c r="Y159" s="41"/>
      <c r="Z159" s="73"/>
      <c r="AA159" s="53">
        <f>(AA$29/AA$27)^2*(AA156-('Valve Sizing'!$V$4*'Valve Sizing'!$G$7))</f>
        <v>43.099708707676932</v>
      </c>
      <c r="AB159" s="41"/>
      <c r="AC159" s="73"/>
      <c r="AD159" s="53">
        <f>(AD$29/AD$27)^2*(AD156-('Valve Sizing'!$V$4*'Valve Sizing'!$G$7))</f>
        <v>39.354535127416412</v>
      </c>
      <c r="AE159" s="41"/>
      <c r="AF159" s="73"/>
      <c r="AG159" s="53">
        <f>(AG$29/AG$27)^2*(AG156-('Valve Sizing'!$V$4*'Valve Sizing'!$G$7))</f>
        <v>33.650525478173115</v>
      </c>
      <c r="AH159" s="41"/>
      <c r="AI159" s="73"/>
      <c r="AJ159" s="53">
        <f>(AJ$29/AJ$27)^2*(AJ156-('Valve Sizing'!$V$4*'Valve Sizing'!$G$7))</f>
        <v>28.309612891097313</v>
      </c>
      <c r="AK159" s="41"/>
      <c r="AL159" s="73"/>
      <c r="AM159" s="53">
        <f>(AM$29/AM$27)^2*(AM156-('Valve Sizing'!$V$4*'Valve Sizing'!$G$7))</f>
        <v>21.659175000563891</v>
      </c>
      <c r="AN159" s="41"/>
      <c r="AO159" s="73"/>
      <c r="AP159" s="53">
        <f>(AP$29/AP$27)^2*(AP156-('Valve Sizing'!$V$4*'Valve Sizing'!$G$7))</f>
        <v>16.325091558140823</v>
      </c>
      <c r="AQ159" s="41"/>
      <c r="AR159" s="73"/>
      <c r="AS159" s="53">
        <f>(AS$29/AS$27)^2*(AS156-('Valve Sizing'!$V$4*'Valve Sizing'!$G$7))</f>
        <v>13.882528042178103</v>
      </c>
      <c r="AT159" s="41"/>
      <c r="AU159" s="73"/>
    </row>
    <row r="160" spans="15:47" ht="13" x14ac:dyDescent="0.25">
      <c r="O160" s="1" t="s">
        <v>69</v>
      </c>
      <c r="P160" s="17">
        <v>7</v>
      </c>
      <c r="Q160" s="65"/>
      <c r="R160" s="53">
        <f>(R154/(N_1*F_P_h))*SQRT('Valve Sizing'!$G$6/R158)</f>
        <v>0.17515709014858</v>
      </c>
      <c r="S160" s="58"/>
      <c r="T160" s="73"/>
      <c r="U160" s="64">
        <f>(U154/(N_1*U$27))*SQRT('Valve Sizing'!$G$6/U158)</f>
        <v>5.5585948050421914</v>
      </c>
      <c r="V160" s="41"/>
      <c r="W160" s="73"/>
      <c r="X160" s="64">
        <f>(X154/(N_1*X$27))*SQRT('Valve Sizing'!$G$6/X158)</f>
        <v>13.412725650111105</v>
      </c>
      <c r="Y160" s="41"/>
      <c r="Z160" s="73"/>
      <c r="AA160" s="64">
        <f>(AA154/(N_1*AA$27))*SQRT('Valve Sizing'!$G$6/AA158)</f>
        <v>26.007637597125338</v>
      </c>
      <c r="AB160" s="41"/>
      <c r="AC160" s="73"/>
      <c r="AD160" s="64">
        <f>(AD154/(N_1*AD$27))*SQRT('Valve Sizing'!$G$6/AD158)</f>
        <v>44.340578260968073</v>
      </c>
      <c r="AE160" s="41"/>
      <c r="AF160" s="73"/>
      <c r="AG160" s="64">
        <f>(AG154/(N_1*AG$27))*SQRT('Valve Sizing'!$G$6/AG158)</f>
        <v>70.8618015847875</v>
      </c>
      <c r="AH160" s="41"/>
      <c r="AI160" s="73"/>
      <c r="AJ160" s="64">
        <f>(AJ154/(N_1*AJ$27))*SQRT('Valve Sizing'!$G$6/AJ158)</f>
        <v>106.03126863246403</v>
      </c>
      <c r="AK160" s="41"/>
      <c r="AL160" s="73"/>
      <c r="AM160" s="64">
        <f>(AM154/(N_1*AM$27))*SQRT('Valve Sizing'!$G$6/AM158)</f>
        <v>152.53841290770737</v>
      </c>
      <c r="AN160" s="41"/>
      <c r="AO160" s="73"/>
      <c r="AP160" s="64">
        <f>(AP154/(N_1*AP$27))*SQRT('Valve Sizing'!$G$6/AP158)</f>
        <v>232.55422302481668</v>
      </c>
      <c r="AQ160" s="41"/>
      <c r="AR160" s="73"/>
      <c r="AS160" s="64">
        <f>(AS154/(N_1*AS$27))*SQRT('Valve Sizing'!$G$6/AS158)</f>
        <v>449.77926076611817</v>
      </c>
      <c r="AT160" s="41"/>
      <c r="AU160" s="73"/>
    </row>
    <row r="161" spans="15:47" ht="13" x14ac:dyDescent="0.3">
      <c r="O161" s="1" t="s">
        <v>72</v>
      </c>
      <c r="P161" s="17">
        <v>7</v>
      </c>
      <c r="Q161" s="65"/>
      <c r="R161" s="53">
        <f>(R154/(N_1*F_P_h))*SQRT('Valve Sizing'!$G$6/R159)</f>
        <v>0.14547698982594312</v>
      </c>
      <c r="S161" s="56"/>
      <c r="T161" s="72"/>
      <c r="U161" s="85">
        <f>(U154/(N_1*U$27))*SQRT('Valve Sizing'!$G$6/U159)</f>
        <v>4.6158186995505792</v>
      </c>
      <c r="V161" s="44"/>
      <c r="W161" s="72"/>
      <c r="X161" s="85">
        <f>(X154/(N_1*X$27))*SQRT('Valve Sizing'!$G$6/X159)</f>
        <v>11.247974118776943</v>
      </c>
      <c r="Y161" s="44"/>
      <c r="Z161" s="72"/>
      <c r="AA161" s="85">
        <f>(AA154/(N_1*AA$27))*SQRT('Valve Sizing'!$G$6/AA159)</f>
        <v>22.203461189733002</v>
      </c>
      <c r="AB161" s="44"/>
      <c r="AC161" s="72"/>
      <c r="AD161" s="85">
        <f>(AD154/(N_1*AD$27))*SQRT('Valve Sizing'!$G$6/AD159)</f>
        <v>38.694954988167801</v>
      </c>
      <c r="AE161" s="44"/>
      <c r="AF161" s="72"/>
      <c r="AG161" s="85">
        <f>(AG154/(N_1*AG$27))*SQRT('Valve Sizing'!$G$6/AG159)</f>
        <v>63.693332812913916</v>
      </c>
      <c r="AH161" s="44"/>
      <c r="AI161" s="72"/>
      <c r="AJ161" s="85">
        <f>(AJ154/(N_1*AJ$27))*SQRT('Valve Sizing'!$G$6/AJ159)</f>
        <v>96.03906370984933</v>
      </c>
      <c r="AK161" s="44"/>
      <c r="AL161" s="72"/>
      <c r="AM161" s="85">
        <f>(AM154/(N_1*AM$27))*SQRT('Valve Sizing'!$G$6/AM159)</f>
        <v>142.14778469377194</v>
      </c>
      <c r="AN161" s="44"/>
      <c r="AO161" s="72"/>
      <c r="AP161" s="85">
        <f>(AP154/(N_1*AP$27))*SQRT('Valve Sizing'!$G$6/AP159)</f>
        <v>216.3566810856083</v>
      </c>
      <c r="AQ161" s="44"/>
      <c r="AR161" s="72"/>
      <c r="AS161" s="85">
        <f>(AS154/(N_1*AS$27))*SQRT('Valve Sizing'!$G$6/AS159)</f>
        <v>357.64217122879808</v>
      </c>
      <c r="AT161" s="44"/>
      <c r="AU161" s="72"/>
    </row>
    <row r="162" spans="15:47" x14ac:dyDescent="0.25">
      <c r="O162" s="1" t="s">
        <v>246</v>
      </c>
      <c r="P162" s="18"/>
      <c r="Q162" s="65"/>
      <c r="R162" s="53">
        <f>IF(R158&lt;R159,R160,R161)</f>
        <v>0.17515709014858</v>
      </c>
      <c r="S162" s="49"/>
      <c r="T162" s="72"/>
      <c r="U162" s="64">
        <f>IF(U158&lt;U159,U160,U161)</f>
        <v>5.5585948050421914</v>
      </c>
      <c r="V162" s="44"/>
      <c r="W162" s="72"/>
      <c r="X162" s="64">
        <f>IF(X158&lt;X159,X160,X161)</f>
        <v>13.412725650111105</v>
      </c>
      <c r="Y162" s="44"/>
      <c r="Z162" s="72"/>
      <c r="AA162" s="64">
        <f>IF(AA158&lt;AA159,AA160,AA161)</f>
        <v>26.007637597125338</v>
      </c>
      <c r="AB162" s="44"/>
      <c r="AC162" s="72"/>
      <c r="AD162" s="64">
        <f>IF(AD158&lt;AD159,AD160,AD161)</f>
        <v>44.340578260968073</v>
      </c>
      <c r="AE162" s="44"/>
      <c r="AF162" s="72"/>
      <c r="AG162" s="64">
        <f>IF(AG158&lt;AG159,AG160,AG161)</f>
        <v>70.8618015847875</v>
      </c>
      <c r="AH162" s="44"/>
      <c r="AI162" s="72"/>
      <c r="AJ162" s="64">
        <f>IF(AJ158&lt;AJ159,AJ160,AJ161)</f>
        <v>106.03126863246403</v>
      </c>
      <c r="AK162" s="44"/>
      <c r="AL162" s="72"/>
      <c r="AM162" s="64">
        <f>IF(AM158&lt;AM159,AM160,AM161)</f>
        <v>152.53841290770737</v>
      </c>
      <c r="AN162" s="44"/>
      <c r="AO162" s="72"/>
      <c r="AP162" s="64">
        <f>IF(AP158&lt;AP159,AP160,AP161)</f>
        <v>232.55422302481668</v>
      </c>
      <c r="AQ162" s="44"/>
      <c r="AR162" s="72"/>
      <c r="AS162" s="64">
        <f>IF(AS158&lt;AS159,AS160,AS161)</f>
        <v>449.77926076611817</v>
      </c>
      <c r="AT162" s="44"/>
      <c r="AU162" s="72"/>
    </row>
    <row r="163" spans="15:47" ht="13" x14ac:dyDescent="0.3">
      <c r="O163" s="7" t="s">
        <v>264</v>
      </c>
      <c r="Q163" s="61"/>
      <c r="R163" s="53"/>
      <c r="S163" s="69">
        <f>IFERROR(ABS(C_h-R162),Q_max*10)</f>
        <v>4.8248429098514203</v>
      </c>
      <c r="T163" s="76">
        <f>R154</f>
        <v>0.99469944671572197</v>
      </c>
      <c r="U163" s="61"/>
      <c r="V163" s="69">
        <f>IFERROR(ABS(U$23-U162),Q_max*10)</f>
        <v>6.4414051949578086</v>
      </c>
      <c r="W163" s="75">
        <f>U154</f>
        <v>31.525066818317374</v>
      </c>
      <c r="X163" s="61"/>
      <c r="Y163" s="69">
        <f>IFERROR(ABS(X$23-X162),Q_max*10)</f>
        <v>9.5872743498888955</v>
      </c>
      <c r="Z163" s="75">
        <f>X154</f>
        <v>75.672295541425953</v>
      </c>
      <c r="AA163" s="61"/>
      <c r="AB163" s="69">
        <f>IFERROR(ABS(AA$23-AA162),Q_max*10)</f>
        <v>12.992362402874662</v>
      </c>
      <c r="AC163" s="75">
        <f>AA154</f>
        <v>144.48614519002402</v>
      </c>
      <c r="AD163" s="61"/>
      <c r="AE163" s="69">
        <f>IFERROR(ABS(AD$23-AD162),Q_max*10)</f>
        <v>16.659421739031927</v>
      </c>
      <c r="AF163" s="75">
        <f>AD154</f>
        <v>237.62651219506893</v>
      </c>
      <c r="AG163" s="61"/>
      <c r="AH163" s="69">
        <f>IFERROR(ABS(AG$23-AG162),Q_max*10)</f>
        <v>17.1381984152125</v>
      </c>
      <c r="AI163" s="75">
        <f>AG154</f>
        <v>353.79349614629751</v>
      </c>
      <c r="AJ163" s="61"/>
      <c r="AK163" s="69">
        <f>IFERROR(ABS(AJ$23-AJ162),Q_max*10)</f>
        <v>14.968731367535966</v>
      </c>
      <c r="AL163" s="75">
        <f>AJ154</f>
        <v>472.13879211150874</v>
      </c>
      <c r="AM163" s="61"/>
      <c r="AN163" s="69">
        <f>IFERROR(ABS(AM$23-AM162),Q_max*10)</f>
        <v>12.461587092292632</v>
      </c>
      <c r="AO163" s="75">
        <f>AM154</f>
        <v>576.09905160752692</v>
      </c>
      <c r="AP163" s="61"/>
      <c r="AQ163" s="69">
        <f>IFERROR(ABS(AP$23-AP162),Q_max*10)</f>
        <v>13.445776975183321</v>
      </c>
      <c r="AR163" s="75">
        <f>AP154</f>
        <v>668.83311413443732</v>
      </c>
      <c r="AS163" s="61"/>
      <c r="AT163" s="69">
        <f>IFERROR(ABS(AS$23-AS162),Q_max*10)</f>
        <v>29.779260766118171</v>
      </c>
      <c r="AU163" s="75">
        <f>AS154</f>
        <v>761.1944729276745</v>
      </c>
    </row>
    <row r="164" spans="15:47" ht="14.5" x14ac:dyDescent="0.35">
      <c r="O164" s="6"/>
      <c r="P164" s="6"/>
      <c r="Q164" s="60"/>
      <c r="R164" s="67"/>
      <c r="S164" s="56"/>
      <c r="T164" s="72"/>
      <c r="V164" s="11"/>
      <c r="W164" s="38"/>
      <c r="Y164" s="11"/>
      <c r="Z164" s="38"/>
      <c r="AB164" s="11"/>
      <c r="AC164" s="38"/>
      <c r="AE164" s="11"/>
      <c r="AF164" s="38"/>
      <c r="AH164" s="11"/>
      <c r="AI164" s="38"/>
      <c r="AK164" s="11"/>
      <c r="AL164" s="38"/>
      <c r="AN164" s="11"/>
      <c r="AO164" s="38"/>
      <c r="AQ164" s="11"/>
      <c r="AR164" s="38"/>
      <c r="AT164" s="11"/>
      <c r="AU164" s="38"/>
    </row>
    <row r="165" spans="15:47" ht="14" x14ac:dyDescent="0.3">
      <c r="O165" s="8" t="s">
        <v>235</v>
      </c>
      <c r="P165" s="6"/>
      <c r="Q165" s="60"/>
      <c r="R165" s="53">
        <f>R154*1.02</f>
        <v>1.0145934356500363</v>
      </c>
      <c r="S165" s="58" t="s">
        <v>238</v>
      </c>
      <c r="T165" s="73" t="s">
        <v>241</v>
      </c>
      <c r="U165" s="84">
        <f>U154*1.01</f>
        <v>31.840317486500549</v>
      </c>
      <c r="V165" s="58" t="s">
        <v>238</v>
      </c>
      <c r="W165" s="73" t="s">
        <v>241</v>
      </c>
      <c r="X165" s="84">
        <f>X154*1.01</f>
        <v>76.429018496840214</v>
      </c>
      <c r="Y165" s="58" t="s">
        <v>238</v>
      </c>
      <c r="Z165" s="73" t="s">
        <v>241</v>
      </c>
      <c r="AA165" s="84">
        <f>AA154*1.01</f>
        <v>145.93100664192426</v>
      </c>
      <c r="AB165" s="58" t="s">
        <v>238</v>
      </c>
      <c r="AC165" s="73" t="s">
        <v>241</v>
      </c>
      <c r="AD165" s="84">
        <f>AD154*1.01</f>
        <v>240.00277731701962</v>
      </c>
      <c r="AE165" s="58" t="s">
        <v>238</v>
      </c>
      <c r="AF165" s="73" t="s">
        <v>241</v>
      </c>
      <c r="AG165" s="84">
        <f>AG154*1.01</f>
        <v>357.33143110776047</v>
      </c>
      <c r="AH165" s="58" t="s">
        <v>238</v>
      </c>
      <c r="AI165" s="73" t="s">
        <v>241</v>
      </c>
      <c r="AJ165" s="84">
        <f>AJ154*1.01</f>
        <v>476.86018003262382</v>
      </c>
      <c r="AK165" s="58" t="s">
        <v>238</v>
      </c>
      <c r="AL165" s="73" t="s">
        <v>241</v>
      </c>
      <c r="AM165" s="84">
        <f>AM154*1.01</f>
        <v>581.86004212360217</v>
      </c>
      <c r="AN165" s="58" t="s">
        <v>238</v>
      </c>
      <c r="AO165" s="73" t="s">
        <v>241</v>
      </c>
      <c r="AP165" s="84">
        <f>AP154*1.01</f>
        <v>675.52144527578173</v>
      </c>
      <c r="AQ165" s="58" t="s">
        <v>238</v>
      </c>
      <c r="AR165" s="73" t="s">
        <v>241</v>
      </c>
      <c r="AS165" s="84">
        <f>AS154*1.01</f>
        <v>768.80641765695123</v>
      </c>
      <c r="AT165" s="58" t="s">
        <v>238</v>
      </c>
      <c r="AU165" s="73" t="s">
        <v>241</v>
      </c>
    </row>
    <row r="166" spans="15:47" ht="13" x14ac:dyDescent="0.25">
      <c r="O166" s="6"/>
      <c r="P166" s="6"/>
      <c r="Q166" s="60"/>
      <c r="R166" s="70"/>
      <c r="S166" s="63" t="s">
        <v>250</v>
      </c>
      <c r="T166" s="71" t="s">
        <v>242</v>
      </c>
      <c r="U166" s="61"/>
      <c r="V166" s="63" t="s">
        <v>250</v>
      </c>
      <c r="W166" s="71" t="s">
        <v>242</v>
      </c>
      <c r="X166" s="61"/>
      <c r="Y166" s="63" t="s">
        <v>250</v>
      </c>
      <c r="Z166" s="71" t="s">
        <v>242</v>
      </c>
      <c r="AA166" s="61"/>
      <c r="AB166" s="63" t="s">
        <v>250</v>
      </c>
      <c r="AC166" s="71" t="s">
        <v>242</v>
      </c>
      <c r="AD166" s="61"/>
      <c r="AE166" s="63" t="s">
        <v>250</v>
      </c>
      <c r="AF166" s="71" t="s">
        <v>242</v>
      </c>
      <c r="AG166" s="61"/>
      <c r="AH166" s="63" t="s">
        <v>250</v>
      </c>
      <c r="AI166" s="71" t="s">
        <v>242</v>
      </c>
      <c r="AJ166" s="61"/>
      <c r="AK166" s="63" t="s">
        <v>250</v>
      </c>
      <c r="AL166" s="71" t="s">
        <v>242</v>
      </c>
      <c r="AM166" s="61"/>
      <c r="AN166" s="63" t="s">
        <v>250</v>
      </c>
      <c r="AO166" s="71" t="s">
        <v>242</v>
      </c>
      <c r="AP166" s="61"/>
      <c r="AQ166" s="63" t="s">
        <v>250</v>
      </c>
      <c r="AR166" s="71" t="s">
        <v>242</v>
      </c>
      <c r="AS166" s="61"/>
      <c r="AT166" s="63" t="s">
        <v>250</v>
      </c>
      <c r="AU166" s="71" t="s">
        <v>242</v>
      </c>
    </row>
    <row r="167" spans="15:47" ht="13" x14ac:dyDescent="0.3">
      <c r="O167" s="6" t="s">
        <v>231</v>
      </c>
      <c r="P167" s="6"/>
      <c r="Q167" s="60"/>
      <c r="R167" s="85">
        <f>P_1_minQ-(R165^2*R_up)+dpup_minQ</f>
        <v>56.916108429590018</v>
      </c>
      <c r="S167" s="56"/>
      <c r="T167" s="72"/>
      <c r="U167" s="53">
        <f>P_1_minQ-(U165^2*R_up)+dpup_minQ</f>
        <v>56.88190456542921</v>
      </c>
      <c r="V167" s="44"/>
      <c r="W167" s="72"/>
      <c r="X167" s="53">
        <f>P_1_minQ-(X165^2*R_up)+dpup_minQ</f>
        <v>56.718865421533593</v>
      </c>
      <c r="Y167" s="44"/>
      <c r="Z167" s="72"/>
      <c r="AA167" s="53">
        <f>P_1_minQ-(AA165^2*R_up)+dpup_minQ</f>
        <v>56.196931486000494</v>
      </c>
      <c r="AB167" s="44"/>
      <c r="AC167" s="72"/>
      <c r="AD167" s="53">
        <f>P_1_minQ-(AD165^2*R_up)+dpup_minQ</f>
        <v>54.970809418443672</v>
      </c>
      <c r="AE167" s="44"/>
      <c r="AF167" s="72"/>
      <c r="AG167" s="53">
        <f>P_1_minQ-(AG165^2*R_up)+dpup_minQ</f>
        <v>52.603892210147919</v>
      </c>
      <c r="AH167" s="44"/>
      <c r="AI167" s="72"/>
      <c r="AJ167" s="53">
        <f>P_1_minQ-(AJ165^2*R_up)+dpup_minQ</f>
        <v>49.236452843608696</v>
      </c>
      <c r="AK167" s="44"/>
      <c r="AL167" s="72"/>
      <c r="AM167" s="53">
        <f>P_1_minQ-(AM165^2*R_up)+dpup_minQ</f>
        <v>45.482130745691315</v>
      </c>
      <c r="AN167" s="44"/>
      <c r="AO167" s="72"/>
      <c r="AP167" s="53">
        <f>P_1_minQ-(AP165^2*R_up)+dpup_minQ</f>
        <v>41.504821917342753</v>
      </c>
      <c r="AQ167" s="44"/>
      <c r="AR167" s="72"/>
      <c r="AS167" s="53">
        <f>P_1_minQ-(AS165^2*R_up)+dpup_minQ</f>
        <v>36.954531988162294</v>
      </c>
      <c r="AT167" s="44"/>
      <c r="AU167" s="72"/>
    </row>
    <row r="168" spans="15:47" ht="13" x14ac:dyDescent="0.3">
      <c r="O168" s="6" t="s">
        <v>233</v>
      </c>
      <c r="P168" s="6"/>
      <c r="Q168" s="60"/>
      <c r="R168" s="85">
        <f>P_2_minQ+(R165^2*R_dn)-dpdn_minQ</f>
        <v>24.656778314081997</v>
      </c>
      <c r="S168" s="66"/>
      <c r="T168" s="74"/>
      <c r="U168" s="53">
        <f>P_2_minQ+(U165^2*R_dn)-dpdn_minQ</f>
        <v>24.66361908691416</v>
      </c>
      <c r="V168" s="45"/>
      <c r="W168" s="74"/>
      <c r="X168" s="53">
        <f>P_2_minQ+(X165^2*R_dn)-dpdn_minQ</f>
        <v>24.696226915693284</v>
      </c>
      <c r="Y168" s="45"/>
      <c r="Z168" s="74"/>
      <c r="AA168" s="53">
        <f>P_2_minQ+(AA165^2*R_dn)-dpdn_minQ</f>
        <v>24.800613702799904</v>
      </c>
      <c r="AB168" s="45"/>
      <c r="AC168" s="74"/>
      <c r="AD168" s="53">
        <f>P_2_minQ+(AD165^2*R_dn)-dpdn_minQ</f>
        <v>25.045838116311266</v>
      </c>
      <c r="AE168" s="45"/>
      <c r="AF168" s="74"/>
      <c r="AG168" s="53">
        <f>P_2_minQ+(AG165^2*R_dn)-dpdn_minQ</f>
        <v>25.519221557970418</v>
      </c>
      <c r="AH168" s="45"/>
      <c r="AI168" s="74"/>
      <c r="AJ168" s="53">
        <f>P_2_minQ+(AJ165^2*R_dn)-dpdn_minQ</f>
        <v>26.19270943127826</v>
      </c>
      <c r="AK168" s="45"/>
      <c r="AL168" s="74"/>
      <c r="AM168" s="53">
        <f>P_2_minQ+(AM165^2*R_dn)-dpdn_minQ</f>
        <v>26.943573850861739</v>
      </c>
      <c r="AN168" s="45"/>
      <c r="AO168" s="74"/>
      <c r="AP168" s="53">
        <f>P_2_minQ+(AP165^2*R_dn)-dpdn_minQ</f>
        <v>27.739035616531449</v>
      </c>
      <c r="AQ168" s="45"/>
      <c r="AR168" s="74"/>
      <c r="AS168" s="53">
        <f>P_2_minQ+(AS165^2*R_dn)-dpdn_minQ</f>
        <v>28.649093602367543</v>
      </c>
      <c r="AT168" s="45"/>
      <c r="AU168" s="74"/>
    </row>
    <row r="169" spans="15:47" x14ac:dyDescent="0.25">
      <c r="O169" s="6" t="s">
        <v>243</v>
      </c>
      <c r="Q169" s="60"/>
      <c r="R169" s="53">
        <f>R167-R168</f>
        <v>32.259330115508021</v>
      </c>
      <c r="S169" s="56"/>
      <c r="T169" s="72"/>
      <c r="U169" s="64">
        <f>U167-U168</f>
        <v>32.21828547851505</v>
      </c>
      <c r="V169" s="44"/>
      <c r="W169" s="72"/>
      <c r="X169" s="64">
        <f>X167-X168</f>
        <v>32.022638505840305</v>
      </c>
      <c r="Y169" s="44"/>
      <c r="Z169" s="72"/>
      <c r="AA169" s="64">
        <f>AA167-AA168</f>
        <v>31.39631778320059</v>
      </c>
      <c r="AB169" s="44"/>
      <c r="AC169" s="72"/>
      <c r="AD169" s="64">
        <f>AD167-AD168</f>
        <v>29.924971302132406</v>
      </c>
      <c r="AE169" s="44"/>
      <c r="AF169" s="72"/>
      <c r="AG169" s="64">
        <f>AG167-AG168</f>
        <v>27.0846706521775</v>
      </c>
      <c r="AH169" s="44"/>
      <c r="AI169" s="72"/>
      <c r="AJ169" s="64">
        <f>AJ167-AJ168</f>
        <v>23.043743412330436</v>
      </c>
      <c r="AK169" s="44"/>
      <c r="AL169" s="72"/>
      <c r="AM169" s="64">
        <f>AM167-AM168</f>
        <v>18.538556894829576</v>
      </c>
      <c r="AN169" s="44"/>
      <c r="AO169" s="72"/>
      <c r="AP169" s="64">
        <f>AP167-AP168</f>
        <v>13.765786300811303</v>
      </c>
      <c r="AQ169" s="44"/>
      <c r="AR169" s="72"/>
      <c r="AS169" s="64">
        <f>AS167-AS168</f>
        <v>8.3054383857947514</v>
      </c>
      <c r="AT169" s="44"/>
      <c r="AU169" s="72"/>
    </row>
    <row r="170" spans="15:47" ht="13" x14ac:dyDescent="0.3">
      <c r="O170" s="6" t="s">
        <v>75</v>
      </c>
      <c r="P170" s="6">
        <v>3</v>
      </c>
      <c r="Q170" s="65"/>
      <c r="R170" s="85">
        <f>(F_LP_h/F_P_h)^2*(R167-('Valve Sizing'!$V$4*'Valve Sizing'!$G$7))</f>
        <v>46.765134454243416</v>
      </c>
      <c r="S170" s="58"/>
      <c r="T170" s="73"/>
      <c r="U170" s="53">
        <f>(U$29/U$27)^2*(U167-('Valve Sizing'!$V$4*'Valve Sizing'!$G$7))</f>
        <v>46.724073335202092</v>
      </c>
      <c r="V170" s="41"/>
      <c r="W170" s="73"/>
      <c r="X170" s="53">
        <f>(X$29/X$27)^2*(X167-('Valve Sizing'!$V$4*'Valve Sizing'!$G$7))</f>
        <v>45.538197920676218</v>
      </c>
      <c r="Y170" s="41"/>
      <c r="Z170" s="73"/>
      <c r="AA170" s="53">
        <f>(AA$29/AA$27)^2*(AA167-('Valve Sizing'!$V$4*'Valve Sizing'!$G$7))</f>
        <v>43.088757157157822</v>
      </c>
      <c r="AB170" s="41"/>
      <c r="AC170" s="73"/>
      <c r="AD170" s="53">
        <f>(AD$29/AD$27)^2*(AD167-('Valve Sizing'!$V$4*'Valve Sizing'!$G$7))</f>
        <v>39.326891465551476</v>
      </c>
      <c r="AE170" s="41"/>
      <c r="AF170" s="73"/>
      <c r="AG170" s="53">
        <f>(AG$29/AG$27)^2*(AG167-('Valve Sizing'!$V$4*'Valve Sizing'!$G$7))</f>
        <v>33.595802106768254</v>
      </c>
      <c r="AH170" s="41"/>
      <c r="AI170" s="73"/>
      <c r="AJ170" s="53">
        <f>(AJ$29/AJ$27)^2*(AJ167-('Valve Sizing'!$V$4*'Valve Sizing'!$G$7))</f>
        <v>28.222094661501309</v>
      </c>
      <c r="AK170" s="41"/>
      <c r="AL170" s="73"/>
      <c r="AM170" s="53">
        <f>(AM$29/AM$27)^2*(AM167-('Valve Sizing'!$V$4*'Valve Sizing'!$G$7))</f>
        <v>21.551377514154908</v>
      </c>
      <c r="AN170" s="41"/>
      <c r="AO170" s="73"/>
      <c r="AP170" s="53">
        <f>(AP$29/AP$27)^2*(AP167-('Valve Sizing'!$V$4*'Valve Sizing'!$G$7))</f>
        <v>16.205257631559977</v>
      </c>
      <c r="AQ170" s="41"/>
      <c r="AR170" s="73"/>
      <c r="AS170" s="53">
        <f>(AS$29/AS$27)^2*(AS167-('Valve Sizing'!$V$4*'Valve Sizing'!$G$7))</f>
        <v>13.734583366708328</v>
      </c>
      <c r="AT170" s="41"/>
      <c r="AU170" s="73"/>
    </row>
    <row r="171" spans="15:47" ht="13" x14ac:dyDescent="0.25">
      <c r="O171" s="1" t="s">
        <v>69</v>
      </c>
      <c r="P171" s="17">
        <v>7</v>
      </c>
      <c r="Q171" s="65"/>
      <c r="R171" s="53">
        <f>(R165/(N_1*F_P_h))*SQRT('Valve Sizing'!$G$6/R169)</f>
        <v>0.17866023643746104</v>
      </c>
      <c r="S171" s="58"/>
      <c r="T171" s="73"/>
      <c r="U171" s="64">
        <f>(U165/(N_1*U$27))*SQRT('Valve Sizing'!$G$6/U169)</f>
        <v>5.6142512876863684</v>
      </c>
      <c r="V171" s="41"/>
      <c r="W171" s="73"/>
      <c r="X171" s="64">
        <f>(X165/(N_1*X$27))*SQRT('Valve Sizing'!$G$6/X169)</f>
        <v>13.547839522729026</v>
      </c>
      <c r="Y171" s="41"/>
      <c r="Z171" s="73"/>
      <c r="AA171" s="64">
        <f>(AA165/(N_1*AA$27))*SQRT('Valve Sizing'!$G$6/AA169)</f>
        <v>26.274826862822398</v>
      </c>
      <c r="AB171" s="41"/>
      <c r="AC171" s="73"/>
      <c r="AD171" s="64">
        <f>(AD165/(N_1*AD$27))*SQRT('Valve Sizing'!$G$6/AD169)</f>
        <v>44.818388989678432</v>
      </c>
      <c r="AE171" s="41"/>
      <c r="AF171" s="73"/>
      <c r="AG171" s="64">
        <f>(AG165/(N_1*AG$27))*SQRT('Valve Sizing'!$G$6/AG169)</f>
        <v>71.705008870722992</v>
      </c>
      <c r="AH171" s="41"/>
      <c r="AI171" s="73"/>
      <c r="AJ171" s="64">
        <f>(AJ165/(N_1*AJ$27))*SQRT('Valve Sizing'!$G$6/AJ169)</f>
        <v>107.51269323347394</v>
      </c>
      <c r="AK171" s="41"/>
      <c r="AL171" s="73"/>
      <c r="AM171" s="64">
        <f>(AM165/(N_1*AM$27))*SQRT('Valve Sizing'!$G$6/AM169)</f>
        <v>155.183114079879</v>
      </c>
      <c r="AN171" s="41"/>
      <c r="AO171" s="73"/>
      <c r="AP171" s="64">
        <f>(AP165/(N_1*AP$27))*SQRT('Valve Sizing'!$G$6/AP169)</f>
        <v>237.96823293140514</v>
      </c>
      <c r="AQ171" s="41"/>
      <c r="AR171" s="73"/>
      <c r="AS171" s="64">
        <f>(AS165/(N_1*AS$27))*SQRT('Valve Sizing'!$G$6/AS169)</f>
        <v>467.0066834492153</v>
      </c>
      <c r="AT171" s="41"/>
      <c r="AU171" s="73"/>
    </row>
    <row r="172" spans="15:47" ht="13" x14ac:dyDescent="0.3">
      <c r="O172" s="1" t="s">
        <v>72</v>
      </c>
      <c r="P172" s="17">
        <v>7</v>
      </c>
      <c r="Q172" s="65"/>
      <c r="R172" s="53">
        <f>(R165/(N_1*F_P_h))*SQRT('Valve Sizing'!$G$6/R170)</f>
        <v>0.14838653139594429</v>
      </c>
      <c r="S172" s="56"/>
      <c r="T172" s="72"/>
      <c r="U172" s="85">
        <f>(U165/(N_1*U$27))*SQRT('Valve Sizing'!$G$6/U170)</f>
        <v>4.6620047482253062</v>
      </c>
      <c r="V172" s="44"/>
      <c r="W172" s="72"/>
      <c r="X172" s="85">
        <f>(X165/(N_1*X$27))*SQRT('Valve Sizing'!$G$6/X170)</f>
        <v>11.360846183865263</v>
      </c>
      <c r="Y172" s="44"/>
      <c r="Z172" s="72"/>
      <c r="AA172" s="85">
        <f>(AA165/(N_1*AA$27))*SQRT('Valve Sizing'!$G$6/AA170)</f>
        <v>22.428345481722932</v>
      </c>
      <c r="AB172" s="44"/>
      <c r="AC172" s="72"/>
      <c r="AD172" s="85">
        <f>(AD165/(N_1*AD$27))*SQRT('Valve Sizing'!$G$6/AD170)</f>
        <v>39.095637852934317</v>
      </c>
      <c r="AE172" s="44"/>
      <c r="AF172" s="72"/>
      <c r="AG172" s="85">
        <f>(AG165/(N_1*AG$27))*SQRT('Valve Sizing'!$G$6/AG170)</f>
        <v>64.382637812974863</v>
      </c>
      <c r="AH172" s="44"/>
      <c r="AI172" s="72"/>
      <c r="AJ172" s="85">
        <f>(AJ165/(N_1*AJ$27))*SQRT('Valve Sizing'!$G$6/AJ170)</f>
        <v>97.149738183437933</v>
      </c>
      <c r="AK172" s="44"/>
      <c r="AL172" s="72"/>
      <c r="AM172" s="85">
        <f>(AM165/(N_1*AM$27))*SQRT('Valve Sizing'!$G$6/AM170)</f>
        <v>143.92787305344959</v>
      </c>
      <c r="AN172" s="44"/>
      <c r="AO172" s="72"/>
      <c r="AP172" s="85">
        <f>(AP165/(N_1*AP$27))*SQRT('Valve Sizing'!$G$6/AP170)</f>
        <v>219.32671170211191</v>
      </c>
      <c r="AQ172" s="44"/>
      <c r="AR172" s="72"/>
      <c r="AS172" s="85">
        <f>(AS165/(N_1*AS$27))*SQRT('Valve Sizing'!$G$6/AS170)</f>
        <v>363.15884934407086</v>
      </c>
      <c r="AT172" s="44"/>
      <c r="AU172" s="72"/>
    </row>
    <row r="173" spans="15:47" x14ac:dyDescent="0.25">
      <c r="O173" s="1" t="s">
        <v>246</v>
      </c>
      <c r="P173" s="18"/>
      <c r="Q173" s="65"/>
      <c r="R173" s="53">
        <f>IF(R169&lt;R170,R171,R172)</f>
        <v>0.17866023643746104</v>
      </c>
      <c r="S173" s="49"/>
      <c r="T173" s="72"/>
      <c r="U173" s="64">
        <f>IF(U169&lt;U170,U171,U172)</f>
        <v>5.6142512876863684</v>
      </c>
      <c r="V173" s="44"/>
      <c r="W173" s="72"/>
      <c r="X173" s="64">
        <f>IF(X169&lt;X170,X171,X172)</f>
        <v>13.547839522729026</v>
      </c>
      <c r="Y173" s="44"/>
      <c r="Z173" s="72"/>
      <c r="AA173" s="64">
        <f>IF(AA169&lt;AA170,AA171,AA172)</f>
        <v>26.274826862822398</v>
      </c>
      <c r="AB173" s="44"/>
      <c r="AC173" s="72"/>
      <c r="AD173" s="64">
        <f>IF(AD169&lt;AD170,AD171,AD172)</f>
        <v>44.818388989678432</v>
      </c>
      <c r="AE173" s="44"/>
      <c r="AF173" s="72"/>
      <c r="AG173" s="64">
        <f>IF(AG169&lt;AG170,AG171,AG172)</f>
        <v>71.705008870722992</v>
      </c>
      <c r="AH173" s="44"/>
      <c r="AI173" s="72"/>
      <c r="AJ173" s="64">
        <f>IF(AJ169&lt;AJ170,AJ171,AJ172)</f>
        <v>107.51269323347394</v>
      </c>
      <c r="AK173" s="44"/>
      <c r="AL173" s="72"/>
      <c r="AM173" s="64">
        <f>IF(AM169&lt;AM170,AM171,AM172)</f>
        <v>155.183114079879</v>
      </c>
      <c r="AN173" s="44"/>
      <c r="AO173" s="72"/>
      <c r="AP173" s="64">
        <f>IF(AP169&lt;AP170,AP171,AP172)</f>
        <v>237.96823293140514</v>
      </c>
      <c r="AQ173" s="44"/>
      <c r="AR173" s="72"/>
      <c r="AS173" s="64">
        <f>IF(AS169&lt;AS170,AS171,AS172)</f>
        <v>467.0066834492153</v>
      </c>
      <c r="AT173" s="44"/>
      <c r="AU173" s="72"/>
    </row>
    <row r="174" spans="15:47" ht="13" x14ac:dyDescent="0.3">
      <c r="O174" s="7" t="s">
        <v>264</v>
      </c>
      <c r="Q174" s="61"/>
      <c r="R174" s="53"/>
      <c r="S174" s="69">
        <f>IFERROR(ABS(C_h-R173),Q_max*10)</f>
        <v>4.8213397635625386</v>
      </c>
      <c r="T174" s="76">
        <f>R165</f>
        <v>1.0145934356500363</v>
      </c>
      <c r="U174" s="61"/>
      <c r="V174" s="69">
        <f>IFERROR(ABS(U$23-U173),Q_max*10)</f>
        <v>6.3857487123136316</v>
      </c>
      <c r="W174" s="75">
        <f>U165</f>
        <v>31.840317486500549</v>
      </c>
      <c r="X174" s="61"/>
      <c r="Y174" s="69">
        <f>IFERROR(ABS(X$23-X173),Q_max*10)</f>
        <v>9.452160477270974</v>
      </c>
      <c r="Z174" s="75">
        <f>X165</f>
        <v>76.429018496840214</v>
      </c>
      <c r="AA174" s="61"/>
      <c r="AB174" s="69">
        <f>IFERROR(ABS(AA$23-AA173),Q_max*10)</f>
        <v>12.725173137177602</v>
      </c>
      <c r="AC174" s="75">
        <f>AA165</f>
        <v>145.93100664192426</v>
      </c>
      <c r="AD174" s="61"/>
      <c r="AE174" s="69">
        <f>IFERROR(ABS(AD$23-AD173),Q_max*10)</f>
        <v>16.181611010321568</v>
      </c>
      <c r="AF174" s="75">
        <f>AD165</f>
        <v>240.00277731701962</v>
      </c>
      <c r="AG174" s="61"/>
      <c r="AH174" s="69">
        <f>IFERROR(ABS(AG$23-AG173),Q_max*10)</f>
        <v>16.294991129277008</v>
      </c>
      <c r="AI174" s="75">
        <f>AG165</f>
        <v>357.33143110776047</v>
      </c>
      <c r="AJ174" s="61"/>
      <c r="AK174" s="69">
        <f>IFERROR(ABS(AJ$23-AJ173),Q_max*10)</f>
        <v>13.487306766526061</v>
      </c>
      <c r="AL174" s="75">
        <f>AJ165</f>
        <v>476.86018003262382</v>
      </c>
      <c r="AM174" s="61"/>
      <c r="AN174" s="69">
        <f>IFERROR(ABS(AM$23-AM173),Q_max*10)</f>
        <v>9.8168859201209955</v>
      </c>
      <c r="AO174" s="75">
        <f>AM165</f>
        <v>581.86004212360217</v>
      </c>
      <c r="AP174" s="61"/>
      <c r="AQ174" s="69">
        <f>IFERROR(ABS(AP$23-AP173),Q_max*10)</f>
        <v>8.0317670685948599</v>
      </c>
      <c r="AR174" s="75">
        <f>AP165</f>
        <v>675.52144527578173</v>
      </c>
      <c r="AS174" s="61"/>
      <c r="AT174" s="69">
        <f>IFERROR(ABS(AS$23-AS173),Q_max*10)</f>
        <v>47.006683449215302</v>
      </c>
      <c r="AU174" s="75">
        <f>AS165</f>
        <v>768.80641765695123</v>
      </c>
    </row>
    <row r="175" spans="15:47" ht="14.5" x14ac:dyDescent="0.35">
      <c r="O175" s="8"/>
      <c r="P175" s="6"/>
      <c r="Q175" s="60"/>
      <c r="R175" s="67"/>
      <c r="S175" s="66"/>
      <c r="T175" s="74"/>
      <c r="V175" s="11"/>
      <c r="W175" s="38"/>
      <c r="Y175" s="11"/>
      <c r="Z175" s="38"/>
      <c r="AB175" s="11"/>
      <c r="AC175" s="38"/>
      <c r="AE175" s="11"/>
      <c r="AF175" s="38"/>
      <c r="AH175" s="11"/>
      <c r="AI175" s="38"/>
      <c r="AK175" s="11"/>
      <c r="AL175" s="38"/>
      <c r="AN175" s="11"/>
      <c r="AO175" s="38"/>
      <c r="AQ175" s="11"/>
      <c r="AR175" s="38"/>
      <c r="AT175" s="11"/>
      <c r="AU175" s="38"/>
    </row>
    <row r="176" spans="15:47" ht="14" x14ac:dyDescent="0.3">
      <c r="O176" s="8" t="s">
        <v>235</v>
      </c>
      <c r="P176" s="6"/>
      <c r="Q176" s="60"/>
      <c r="R176" s="53">
        <f>R165*1.02</f>
        <v>1.0348853043630371</v>
      </c>
      <c r="S176" s="58" t="s">
        <v>238</v>
      </c>
      <c r="T176" s="73" t="s">
        <v>241</v>
      </c>
      <c r="U176" s="84">
        <f>U165*1.01</f>
        <v>32.158720661365557</v>
      </c>
      <c r="V176" s="58" t="s">
        <v>238</v>
      </c>
      <c r="W176" s="73" t="s">
        <v>241</v>
      </c>
      <c r="X176" s="84">
        <f>X165*1.01</f>
        <v>77.193308681808617</v>
      </c>
      <c r="Y176" s="58" t="s">
        <v>238</v>
      </c>
      <c r="Z176" s="73" t="s">
        <v>241</v>
      </c>
      <c r="AA176" s="84">
        <f>AA165*1.01</f>
        <v>147.39031670834351</v>
      </c>
      <c r="AB176" s="58" t="s">
        <v>238</v>
      </c>
      <c r="AC176" s="73" t="s">
        <v>241</v>
      </c>
      <c r="AD176" s="84">
        <f>AD165*1.01</f>
        <v>242.40280509018982</v>
      </c>
      <c r="AE176" s="58" t="s">
        <v>238</v>
      </c>
      <c r="AF176" s="73" t="s">
        <v>241</v>
      </c>
      <c r="AG176" s="84">
        <f>AG165*1.01</f>
        <v>360.90474541883805</v>
      </c>
      <c r="AH176" s="58" t="s">
        <v>238</v>
      </c>
      <c r="AI176" s="73" t="s">
        <v>241</v>
      </c>
      <c r="AJ176" s="84">
        <f>AJ165*1.01</f>
        <v>481.62878183295004</v>
      </c>
      <c r="AK176" s="58" t="s">
        <v>238</v>
      </c>
      <c r="AL176" s="73" t="s">
        <v>241</v>
      </c>
      <c r="AM176" s="84">
        <f>AM165*1.01</f>
        <v>587.67864254483823</v>
      </c>
      <c r="AN176" s="58" t="s">
        <v>238</v>
      </c>
      <c r="AO176" s="73" t="s">
        <v>241</v>
      </c>
      <c r="AP176" s="84">
        <f>AP165*1.01</f>
        <v>682.27665972853958</v>
      </c>
      <c r="AQ176" s="58" t="s">
        <v>238</v>
      </c>
      <c r="AR176" s="73" t="s">
        <v>241</v>
      </c>
      <c r="AS176" s="84">
        <f>AS165*1.01</f>
        <v>776.49448183352069</v>
      </c>
      <c r="AT176" s="58" t="s">
        <v>238</v>
      </c>
      <c r="AU176" s="73" t="s">
        <v>241</v>
      </c>
    </row>
    <row r="177" spans="15:47" ht="13" x14ac:dyDescent="0.25">
      <c r="O177" s="6"/>
      <c r="P177" s="6"/>
      <c r="Q177" s="60"/>
      <c r="R177" s="70"/>
      <c r="S177" s="63" t="s">
        <v>250</v>
      </c>
      <c r="T177" s="71" t="s">
        <v>242</v>
      </c>
      <c r="U177" s="61"/>
      <c r="V177" s="63" t="s">
        <v>250</v>
      </c>
      <c r="W177" s="71" t="s">
        <v>242</v>
      </c>
      <c r="X177" s="61"/>
      <c r="Y177" s="63" t="s">
        <v>250</v>
      </c>
      <c r="Z177" s="71" t="s">
        <v>242</v>
      </c>
      <c r="AA177" s="61"/>
      <c r="AB177" s="63" t="s">
        <v>250</v>
      </c>
      <c r="AC177" s="71" t="s">
        <v>242</v>
      </c>
      <c r="AD177" s="61"/>
      <c r="AE177" s="63" t="s">
        <v>250</v>
      </c>
      <c r="AF177" s="71" t="s">
        <v>242</v>
      </c>
      <c r="AG177" s="61"/>
      <c r="AH177" s="63" t="s">
        <v>250</v>
      </c>
      <c r="AI177" s="71" t="s">
        <v>242</v>
      </c>
      <c r="AJ177" s="61"/>
      <c r="AK177" s="63" t="s">
        <v>250</v>
      </c>
      <c r="AL177" s="71" t="s">
        <v>242</v>
      </c>
      <c r="AM177" s="61"/>
      <c r="AN177" s="63" t="s">
        <v>250</v>
      </c>
      <c r="AO177" s="71" t="s">
        <v>242</v>
      </c>
      <c r="AP177" s="61"/>
      <c r="AQ177" s="63" t="s">
        <v>250</v>
      </c>
      <c r="AR177" s="71" t="s">
        <v>242</v>
      </c>
      <c r="AS177" s="61"/>
      <c r="AT177" s="63" t="s">
        <v>250</v>
      </c>
      <c r="AU177" s="71" t="s">
        <v>242</v>
      </c>
    </row>
    <row r="178" spans="15:47" ht="13" x14ac:dyDescent="0.3">
      <c r="O178" s="6" t="s">
        <v>231</v>
      </c>
      <c r="P178" s="6"/>
      <c r="Q178" s="60"/>
      <c r="R178" s="85">
        <f>P_1_minQ-(R176^2*R_up)+dpup_minQ</f>
        <v>56.91610702507284</v>
      </c>
      <c r="S178" s="56"/>
      <c r="T178" s="72"/>
      <c r="U178" s="53">
        <f>P_1_minQ-(U176^2*R_up)+dpup_minQ</f>
        <v>56.881216368977519</v>
      </c>
      <c r="V178" s="44"/>
      <c r="W178" s="72"/>
      <c r="X178" s="53">
        <f>P_1_minQ-(X176^2*R_up)+dpup_minQ</f>
        <v>56.7149001382896</v>
      </c>
      <c r="Y178" s="44"/>
      <c r="Z178" s="72"/>
      <c r="AA178" s="53">
        <f>P_1_minQ-(AA176^2*R_up)+dpup_minQ</f>
        <v>56.182475330652288</v>
      </c>
      <c r="AB178" s="44"/>
      <c r="AC178" s="72"/>
      <c r="AD178" s="53">
        <f>P_1_minQ-(AD176^2*R_up)+dpup_minQ</f>
        <v>54.931708209537568</v>
      </c>
      <c r="AE178" s="44"/>
      <c r="AF178" s="72"/>
      <c r="AG178" s="53">
        <f>P_1_minQ-(AG176^2*R_up)+dpup_minQ</f>
        <v>52.517215965355071</v>
      </c>
      <c r="AH178" s="44"/>
      <c r="AI178" s="72"/>
      <c r="AJ178" s="53">
        <f>P_1_minQ-(AJ176^2*R_up)+dpup_minQ</f>
        <v>49.082091067548419</v>
      </c>
      <c r="AK178" s="44"/>
      <c r="AL178" s="72"/>
      <c r="AM178" s="53">
        <f>P_1_minQ-(AM176^2*R_up)+dpup_minQ</f>
        <v>45.252307095462889</v>
      </c>
      <c r="AN178" s="44"/>
      <c r="AO178" s="72"/>
      <c r="AP178" s="53">
        <f>P_1_minQ-(AP176^2*R_up)+dpup_minQ</f>
        <v>41.195054359664525</v>
      </c>
      <c r="AQ178" s="44"/>
      <c r="AR178" s="72"/>
      <c r="AS178" s="53">
        <f>P_1_minQ-(AS176^2*R_up)+dpup_minQ</f>
        <v>36.55330360290754</v>
      </c>
      <c r="AT178" s="44"/>
      <c r="AU178" s="72"/>
    </row>
    <row r="179" spans="15:47" ht="13" x14ac:dyDescent="0.3">
      <c r="O179" s="6" t="s">
        <v>233</v>
      </c>
      <c r="P179" s="6"/>
      <c r="Q179" s="60"/>
      <c r="R179" s="85">
        <f>P_2_minQ+(R176^2*R_dn)-dpdn_minQ</f>
        <v>24.656778594985433</v>
      </c>
      <c r="S179" s="66"/>
      <c r="T179" s="74"/>
      <c r="U179" s="53">
        <f>P_2_minQ+(U176^2*R_dn)-dpdn_minQ</f>
        <v>24.663756726204497</v>
      </c>
      <c r="V179" s="45"/>
      <c r="W179" s="74"/>
      <c r="X179" s="53">
        <f>P_2_minQ+(X176^2*R_dn)-dpdn_minQ</f>
        <v>24.69701997234208</v>
      </c>
      <c r="Y179" s="45"/>
      <c r="Z179" s="74"/>
      <c r="AA179" s="53">
        <f>P_2_minQ+(AA176^2*R_dn)-dpdn_minQ</f>
        <v>24.803504933869544</v>
      </c>
      <c r="AB179" s="45"/>
      <c r="AC179" s="74"/>
      <c r="AD179" s="53">
        <f>P_2_minQ+(AD176^2*R_dn)-dpdn_minQ</f>
        <v>25.053658358092488</v>
      </c>
      <c r="AE179" s="45"/>
      <c r="AF179" s="74"/>
      <c r="AG179" s="53">
        <f>P_2_minQ+(AG176^2*R_dn)-dpdn_minQ</f>
        <v>25.536556806928989</v>
      </c>
      <c r="AH179" s="45"/>
      <c r="AI179" s="74"/>
      <c r="AJ179" s="53">
        <f>P_2_minQ+(AJ176^2*R_dn)-dpdn_minQ</f>
        <v>26.223581786490318</v>
      </c>
      <c r="AK179" s="45"/>
      <c r="AL179" s="74"/>
      <c r="AM179" s="53">
        <f>P_2_minQ+(AM176^2*R_dn)-dpdn_minQ</f>
        <v>26.989538580907421</v>
      </c>
      <c r="AN179" s="45"/>
      <c r="AO179" s="74"/>
      <c r="AP179" s="53">
        <f>P_2_minQ+(AP176^2*R_dn)-dpdn_minQ</f>
        <v>27.800989128067098</v>
      </c>
      <c r="AQ179" s="45"/>
      <c r="AR179" s="74"/>
      <c r="AS179" s="53">
        <f>P_2_minQ+(AS176^2*R_dn)-dpdn_minQ</f>
        <v>28.729339279418493</v>
      </c>
      <c r="AT179" s="45"/>
      <c r="AU179" s="74"/>
    </row>
    <row r="180" spans="15:47" x14ac:dyDescent="0.25">
      <c r="O180" s="6" t="s">
        <v>243</v>
      </c>
      <c r="Q180" s="60"/>
      <c r="R180" s="53">
        <f>R178-R179</f>
        <v>32.259328430087407</v>
      </c>
      <c r="S180" s="56"/>
      <c r="T180" s="72"/>
      <c r="U180" s="64">
        <f>U178-U179</f>
        <v>32.217459642773022</v>
      </c>
      <c r="V180" s="44"/>
      <c r="W180" s="72"/>
      <c r="X180" s="64">
        <f>X178-X179</f>
        <v>32.017880165947517</v>
      </c>
      <c r="Y180" s="44"/>
      <c r="Z180" s="72"/>
      <c r="AA180" s="64">
        <f>AA178-AA179</f>
        <v>31.378970396782744</v>
      </c>
      <c r="AB180" s="44"/>
      <c r="AC180" s="72"/>
      <c r="AD180" s="64">
        <f>AD178-AD179</f>
        <v>29.878049851445081</v>
      </c>
      <c r="AE180" s="44"/>
      <c r="AF180" s="72"/>
      <c r="AG180" s="64">
        <f>AG178-AG179</f>
        <v>26.980659158426082</v>
      </c>
      <c r="AH180" s="44"/>
      <c r="AI180" s="72"/>
      <c r="AJ180" s="64">
        <f>AJ178-AJ179</f>
        <v>22.858509281058101</v>
      </c>
      <c r="AK180" s="44"/>
      <c r="AL180" s="72"/>
      <c r="AM180" s="64">
        <f>AM178-AM179</f>
        <v>18.262768514555468</v>
      </c>
      <c r="AN180" s="44"/>
      <c r="AO180" s="72"/>
      <c r="AP180" s="64">
        <f>AP178-AP179</f>
        <v>13.394065231597427</v>
      </c>
      <c r="AQ180" s="44"/>
      <c r="AR180" s="72"/>
      <c r="AS180" s="64">
        <f>AS178-AS179</f>
        <v>7.8239643234890472</v>
      </c>
      <c r="AT180" s="44"/>
      <c r="AU180" s="72"/>
    </row>
    <row r="181" spans="15:47" ht="13" x14ac:dyDescent="0.3">
      <c r="O181" s="6" t="s">
        <v>75</v>
      </c>
      <c r="P181" s="6">
        <v>3</v>
      </c>
      <c r="Q181" s="65"/>
      <c r="R181" s="85">
        <f>(F_LP_h/F_P_h)^2*(R178-('Valve Sizing'!$V$4*'Valve Sizing'!$G$7))</f>
        <v>46.765133291229468</v>
      </c>
      <c r="S181" s="58"/>
      <c r="T181" s="73"/>
      <c r="U181" s="53">
        <f>(U$29/U$27)^2*(U178-('Valve Sizing'!$V$4*'Valve Sizing'!$G$7))</f>
        <v>46.723503627737756</v>
      </c>
      <c r="V181" s="41"/>
      <c r="W181" s="73"/>
      <c r="X181" s="53">
        <f>(X$29/X$27)^2*(X178-('Valve Sizing'!$V$4*'Valve Sizing'!$G$7))</f>
        <v>45.534989397603546</v>
      </c>
      <c r="Y181" s="41"/>
      <c r="Z181" s="73"/>
      <c r="AA181" s="53">
        <f>(AA$29/AA$27)^2*(AA178-('Valve Sizing'!$V$4*'Valve Sizing'!$G$7))</f>
        <v>43.077585480473275</v>
      </c>
      <c r="AB181" s="41"/>
      <c r="AC181" s="73"/>
      <c r="AD181" s="53">
        <f>(AD$29/AD$27)^2*(AD178-('Valve Sizing'!$V$4*'Valve Sizing'!$G$7))</f>
        <v>39.298692166083043</v>
      </c>
      <c r="AE181" s="41"/>
      <c r="AF181" s="73"/>
      <c r="AG181" s="53">
        <f>(AG$29/AG$27)^2*(AG178-('Valve Sizing'!$V$4*'Valve Sizing'!$G$7))</f>
        <v>33.539978795598152</v>
      </c>
      <c r="AH181" s="41"/>
      <c r="AI181" s="73"/>
      <c r="AJ181" s="53">
        <f>(AJ$29/AJ$27)^2*(AJ178-('Valve Sizing'!$V$4*'Valve Sizing'!$G$7))</f>
        <v>28.132817315490431</v>
      </c>
      <c r="AK181" s="41"/>
      <c r="AL181" s="73"/>
      <c r="AM181" s="53">
        <f>(AM$29/AM$27)^2*(AM178-('Valve Sizing'!$V$4*'Valve Sizing'!$G$7))</f>
        <v>21.441413298269104</v>
      </c>
      <c r="AN181" s="41"/>
      <c r="AO181" s="73"/>
      <c r="AP181" s="53">
        <f>(AP$29/AP$27)^2*(AP178-('Valve Sizing'!$V$4*'Valve Sizing'!$G$7))</f>
        <v>16.083015043054857</v>
      </c>
      <c r="AQ181" s="41"/>
      <c r="AR181" s="73"/>
      <c r="AS181" s="53">
        <f>(AS$29/AS$27)^2*(AS178-('Valve Sizing'!$V$4*'Valve Sizing'!$G$7))</f>
        <v>13.583665003261613</v>
      </c>
      <c r="AT181" s="41"/>
      <c r="AU181" s="73"/>
    </row>
    <row r="182" spans="15:47" ht="13" x14ac:dyDescent="0.25">
      <c r="O182" s="1" t="s">
        <v>69</v>
      </c>
      <c r="P182" s="17">
        <v>7</v>
      </c>
      <c r="Q182" s="65"/>
      <c r="R182" s="53">
        <f>(R176/(N_1*F_P_h))*SQRT('Valve Sizing'!$G$6/R180)</f>
        <v>0.18223344592669363</v>
      </c>
      <c r="S182" s="58"/>
      <c r="T182" s="73"/>
      <c r="U182" s="64">
        <f>(U176/(N_1*U$27))*SQRT('Valve Sizing'!$G$6/U180)</f>
        <v>5.6704664751923834</v>
      </c>
      <c r="V182" s="41"/>
      <c r="W182" s="73"/>
      <c r="X182" s="64">
        <f>(X176/(N_1*X$27))*SQRT('Valve Sizing'!$G$6/X180)</f>
        <v>13.684334653890728</v>
      </c>
      <c r="Y182" s="41"/>
      <c r="Z182" s="73"/>
      <c r="AA182" s="64">
        <f>(AA176/(N_1*AA$27))*SQRT('Valve Sizing'!$G$6/AA180)</f>
        <v>26.544909565256749</v>
      </c>
      <c r="AB182" s="41"/>
      <c r="AC182" s="73"/>
      <c r="AD182" s="64">
        <f>(AD176/(N_1*AD$27))*SQRT('Valve Sizing'!$G$6/AD180)</f>
        <v>45.3021029768015</v>
      </c>
      <c r="AE182" s="41"/>
      <c r="AF182" s="73"/>
      <c r="AG182" s="64">
        <f>(AG176/(N_1*AG$27))*SQRT('Valve Sizing'!$G$6/AG180)</f>
        <v>72.561519613629343</v>
      </c>
      <c r="AH182" s="41"/>
      <c r="AI182" s="73"/>
      <c r="AJ182" s="64">
        <f>(AJ176/(N_1*AJ$27))*SQRT('Valve Sizing'!$G$6/AJ180)</f>
        <v>109.02690361000089</v>
      </c>
      <c r="AK182" s="41"/>
      <c r="AL182" s="73"/>
      <c r="AM182" s="64">
        <f>(AM176/(N_1*AM$27))*SQRT('Valve Sizing'!$G$6/AM180)</f>
        <v>157.91394796053407</v>
      </c>
      <c r="AN182" s="41"/>
      <c r="AO182" s="73"/>
      <c r="AP182" s="64">
        <f>(AP176/(N_1*AP$27))*SQRT('Valve Sizing'!$G$6/AP180)</f>
        <v>243.66023923737291</v>
      </c>
      <c r="AQ182" s="41"/>
      <c r="AR182" s="73"/>
      <c r="AS182" s="64">
        <f>(AS176/(N_1*AS$27))*SQRT('Valve Sizing'!$G$6/AS180)</f>
        <v>485.97319942952714</v>
      </c>
      <c r="AT182" s="41"/>
      <c r="AU182" s="73"/>
    </row>
    <row r="183" spans="15:47" ht="13" x14ac:dyDescent="0.3">
      <c r="O183" s="1" t="s">
        <v>72</v>
      </c>
      <c r="P183" s="17">
        <v>7</v>
      </c>
      <c r="Q183" s="65"/>
      <c r="R183" s="53">
        <f>(R176/(N_1*F_P_h))*SQRT('Valve Sizing'!$G$6/R181)</f>
        <v>0.1513542639058969</v>
      </c>
      <c r="S183" s="56"/>
      <c r="T183" s="72"/>
      <c r="U183" s="85">
        <f>(U176/(N_1*U$27))*SQRT('Valve Sizing'!$G$6/U181)</f>
        <v>4.708653502143374</v>
      </c>
      <c r="V183" s="44"/>
      <c r="W183" s="72"/>
      <c r="X183" s="85">
        <f>(X176/(N_1*X$27))*SQRT('Valve Sizing'!$G$6/X181)</f>
        <v>11.474858899712167</v>
      </c>
      <c r="Y183" s="44"/>
      <c r="Z183" s="72"/>
      <c r="AA183" s="85">
        <f>(AA176/(N_1*AA$27))*SQRT('Valve Sizing'!$G$6/AA181)</f>
        <v>22.655566095601881</v>
      </c>
      <c r="AB183" s="44"/>
      <c r="AC183" s="72"/>
      <c r="AD183" s="85">
        <f>(AD176/(N_1*AD$27))*SQRT('Valve Sizing'!$G$6/AD181)</f>
        <v>39.500758756481311</v>
      </c>
      <c r="AE183" s="44"/>
      <c r="AF183" s="72"/>
      <c r="AG183" s="85">
        <f>(AG176/(N_1*AG$27))*SQRT('Valve Sizing'!$G$6/AG181)</f>
        <v>65.080556106304272</v>
      </c>
      <c r="AH183" s="44"/>
      <c r="AI183" s="72"/>
      <c r="AJ183" s="85">
        <f>(AJ176/(N_1*AJ$27))*SQRT('Valve Sizing'!$G$6/AJ181)</f>
        <v>98.276802364812752</v>
      </c>
      <c r="AK183" s="44"/>
      <c r="AL183" s="72"/>
      <c r="AM183" s="85">
        <f>(AM176/(N_1*AM$27))*SQRT('Valve Sizing'!$G$6/AM181)</f>
        <v>145.7394393208001</v>
      </c>
      <c r="AN183" s="44"/>
      <c r="AO183" s="72"/>
      <c r="AP183" s="85">
        <f>(AP176/(N_1*AP$27))*SQRT('Valve Sizing'!$G$6/AP181)</f>
        <v>222.36024150686288</v>
      </c>
      <c r="AQ183" s="44"/>
      <c r="AR183" s="72"/>
      <c r="AS183" s="85">
        <f>(AS176/(N_1*AS$27))*SQRT('Valve Sizing'!$G$6/AS181)</f>
        <v>368.82238235523658</v>
      </c>
      <c r="AT183" s="44"/>
      <c r="AU183" s="72"/>
    </row>
    <row r="184" spans="15:47" x14ac:dyDescent="0.25">
      <c r="O184" s="1" t="s">
        <v>246</v>
      </c>
      <c r="P184" s="18"/>
      <c r="Q184" s="65"/>
      <c r="R184" s="53">
        <f>IF(R180&lt;R181,R182,R183)</f>
        <v>0.18223344592669363</v>
      </c>
      <c r="S184" s="49"/>
      <c r="T184" s="72"/>
      <c r="U184" s="64">
        <f>IF(U180&lt;U181,U182,U183)</f>
        <v>5.6704664751923834</v>
      </c>
      <c r="V184" s="44"/>
      <c r="W184" s="72"/>
      <c r="X184" s="64">
        <f>IF(X180&lt;X181,X182,X183)</f>
        <v>13.684334653890728</v>
      </c>
      <c r="Y184" s="44"/>
      <c r="Z184" s="72"/>
      <c r="AA184" s="64">
        <f>IF(AA180&lt;AA181,AA182,AA183)</f>
        <v>26.544909565256749</v>
      </c>
      <c r="AB184" s="44"/>
      <c r="AC184" s="72"/>
      <c r="AD184" s="64">
        <f>IF(AD180&lt;AD181,AD182,AD183)</f>
        <v>45.3021029768015</v>
      </c>
      <c r="AE184" s="44"/>
      <c r="AF184" s="72"/>
      <c r="AG184" s="64">
        <f>IF(AG180&lt;AG181,AG182,AG183)</f>
        <v>72.561519613629343</v>
      </c>
      <c r="AH184" s="44"/>
      <c r="AI184" s="72"/>
      <c r="AJ184" s="64">
        <f>IF(AJ180&lt;AJ181,AJ182,AJ183)</f>
        <v>109.02690361000089</v>
      </c>
      <c r="AK184" s="44"/>
      <c r="AL184" s="72"/>
      <c r="AM184" s="64">
        <f>IF(AM180&lt;AM181,AM182,AM183)</f>
        <v>157.91394796053407</v>
      </c>
      <c r="AN184" s="44"/>
      <c r="AO184" s="72"/>
      <c r="AP184" s="64">
        <f>IF(AP180&lt;AP181,AP182,AP183)</f>
        <v>243.66023923737291</v>
      </c>
      <c r="AQ184" s="44"/>
      <c r="AR184" s="72"/>
      <c r="AS184" s="64">
        <f>IF(AS180&lt;AS181,AS182,AS183)</f>
        <v>485.97319942952714</v>
      </c>
      <c r="AT184" s="44"/>
      <c r="AU184" s="72"/>
    </row>
    <row r="185" spans="15:47" ht="13" x14ac:dyDescent="0.3">
      <c r="O185" s="7" t="s">
        <v>264</v>
      </c>
      <c r="Q185" s="61"/>
      <c r="R185" s="53"/>
      <c r="S185" s="69">
        <f>IFERROR(ABS(C_h-R184),Q_max*10)</f>
        <v>4.8177665540733061</v>
      </c>
      <c r="T185" s="76">
        <f>R176</f>
        <v>1.0348853043630371</v>
      </c>
      <c r="U185" s="61"/>
      <c r="V185" s="69">
        <f>IFERROR(ABS(U$23-U184),Q_max*10)</f>
        <v>6.3295335248076166</v>
      </c>
      <c r="W185" s="75">
        <f>U176</f>
        <v>32.158720661365557</v>
      </c>
      <c r="X185" s="61"/>
      <c r="Y185" s="69">
        <f>IFERROR(ABS(X$23-X184),Q_max*10)</f>
        <v>9.315665346109272</v>
      </c>
      <c r="Z185" s="75">
        <f>X176</f>
        <v>77.193308681808617</v>
      </c>
      <c r="AA185" s="61"/>
      <c r="AB185" s="69">
        <f>IFERROR(ABS(AA$23-AA184),Q_max*10)</f>
        <v>12.455090434743251</v>
      </c>
      <c r="AC185" s="75">
        <f>AA176</f>
        <v>147.39031670834351</v>
      </c>
      <c r="AD185" s="61"/>
      <c r="AE185" s="69">
        <f>IFERROR(ABS(AD$23-AD184),Q_max*10)</f>
        <v>15.6978970231985</v>
      </c>
      <c r="AF185" s="75">
        <f>AD176</f>
        <v>242.40280509018982</v>
      </c>
      <c r="AG185" s="61"/>
      <c r="AH185" s="69">
        <f>IFERROR(ABS(AG$23-AG184),Q_max*10)</f>
        <v>15.438480386370657</v>
      </c>
      <c r="AI185" s="75">
        <f>AG176</f>
        <v>360.90474541883805</v>
      </c>
      <c r="AJ185" s="61"/>
      <c r="AK185" s="69">
        <f>IFERROR(ABS(AJ$23-AJ184),Q_max*10)</f>
        <v>11.973096389999114</v>
      </c>
      <c r="AL185" s="75">
        <f>AJ176</f>
        <v>481.62878183295004</v>
      </c>
      <c r="AM185" s="61"/>
      <c r="AN185" s="69">
        <f>IFERROR(ABS(AM$23-AM184),Q_max*10)</f>
        <v>7.0860520394659261</v>
      </c>
      <c r="AO185" s="75">
        <f>AM176</f>
        <v>587.67864254483823</v>
      </c>
      <c r="AP185" s="61"/>
      <c r="AQ185" s="69">
        <f>IFERROR(ABS(AP$23-AP184),Q_max*10)</f>
        <v>2.339760762627094</v>
      </c>
      <c r="AR185" s="75">
        <f>AP176</f>
        <v>682.27665972853958</v>
      </c>
      <c r="AS185" s="61"/>
      <c r="AT185" s="69">
        <f>IFERROR(ABS(AS$23-AS184),Q_max*10)</f>
        <v>65.973199429527142</v>
      </c>
      <c r="AU185" s="75">
        <f>AS176</f>
        <v>776.49448183352069</v>
      </c>
    </row>
    <row r="186" spans="15:47" ht="14.5" x14ac:dyDescent="0.35">
      <c r="O186" s="6"/>
      <c r="P186" s="6"/>
      <c r="Q186" s="60"/>
      <c r="R186" s="67"/>
      <c r="S186" s="56"/>
      <c r="T186" s="72"/>
      <c r="V186" s="11"/>
      <c r="W186" s="38"/>
      <c r="Y186" s="11"/>
      <c r="Z186" s="38"/>
      <c r="AB186" s="11"/>
      <c r="AC186" s="38"/>
      <c r="AE186" s="11"/>
      <c r="AF186" s="38"/>
      <c r="AH186" s="11"/>
      <c r="AI186" s="38"/>
      <c r="AK186" s="11"/>
      <c r="AL186" s="38"/>
      <c r="AN186" s="11"/>
      <c r="AO186" s="38"/>
      <c r="AQ186" s="11"/>
      <c r="AR186" s="38"/>
      <c r="AT186" s="11"/>
      <c r="AU186" s="38"/>
    </row>
    <row r="187" spans="15:47" ht="14" x14ac:dyDescent="0.3">
      <c r="O187" s="8" t="s">
        <v>235</v>
      </c>
      <c r="P187" s="6"/>
      <c r="Q187" s="60"/>
      <c r="R187" s="53">
        <f>R176*1.02</f>
        <v>1.0555830104502979</v>
      </c>
      <c r="S187" s="58" t="s">
        <v>238</v>
      </c>
      <c r="T187" s="73" t="s">
        <v>241</v>
      </c>
      <c r="U187" s="84">
        <f>U176*1.01</f>
        <v>32.480307867979214</v>
      </c>
      <c r="V187" s="58" t="s">
        <v>238</v>
      </c>
      <c r="W187" s="73" t="s">
        <v>241</v>
      </c>
      <c r="X187" s="84">
        <f>X176*1.01</f>
        <v>77.965241768626697</v>
      </c>
      <c r="Y187" s="58" t="s">
        <v>238</v>
      </c>
      <c r="Z187" s="73" t="s">
        <v>241</v>
      </c>
      <c r="AA187" s="84">
        <f>AA176*1.01</f>
        <v>148.86421987542695</v>
      </c>
      <c r="AB187" s="58" t="s">
        <v>238</v>
      </c>
      <c r="AC187" s="73" t="s">
        <v>241</v>
      </c>
      <c r="AD187" s="84">
        <f>AD176*1.01</f>
        <v>244.82683314109173</v>
      </c>
      <c r="AE187" s="58" t="s">
        <v>238</v>
      </c>
      <c r="AF187" s="73" t="s">
        <v>241</v>
      </c>
      <c r="AG187" s="84">
        <f>AG176*1.01</f>
        <v>364.51379287302643</v>
      </c>
      <c r="AH187" s="58" t="s">
        <v>238</v>
      </c>
      <c r="AI187" s="73" t="s">
        <v>241</v>
      </c>
      <c r="AJ187" s="84">
        <f>AJ176*1.01</f>
        <v>486.44506965127954</v>
      </c>
      <c r="AK187" s="58" t="s">
        <v>238</v>
      </c>
      <c r="AL187" s="73" t="s">
        <v>241</v>
      </c>
      <c r="AM187" s="84">
        <f>AM176*1.01</f>
        <v>593.55542897028658</v>
      </c>
      <c r="AN187" s="58" t="s">
        <v>238</v>
      </c>
      <c r="AO187" s="73" t="s">
        <v>241</v>
      </c>
      <c r="AP187" s="84">
        <f>AP176*1.01</f>
        <v>689.09942632582499</v>
      </c>
      <c r="AQ187" s="58" t="s">
        <v>238</v>
      </c>
      <c r="AR187" s="73" t="s">
        <v>241</v>
      </c>
      <c r="AS187" s="84">
        <f>AS176*1.01</f>
        <v>784.25942665185596</v>
      </c>
      <c r="AT187" s="58" t="s">
        <v>238</v>
      </c>
      <c r="AU187" s="73" t="s">
        <v>241</v>
      </c>
    </row>
    <row r="188" spans="15:47" ht="13" x14ac:dyDescent="0.25">
      <c r="O188" s="6"/>
      <c r="P188" s="6"/>
      <c r="Q188" s="60"/>
      <c r="R188" s="70"/>
      <c r="S188" s="63" t="s">
        <v>250</v>
      </c>
      <c r="T188" s="71" t="s">
        <v>242</v>
      </c>
      <c r="U188" s="61"/>
      <c r="V188" s="63" t="s">
        <v>250</v>
      </c>
      <c r="W188" s="71" t="s">
        <v>242</v>
      </c>
      <c r="X188" s="61"/>
      <c r="Y188" s="63" t="s">
        <v>250</v>
      </c>
      <c r="Z188" s="71" t="s">
        <v>242</v>
      </c>
      <c r="AA188" s="61"/>
      <c r="AB188" s="63" t="s">
        <v>250</v>
      </c>
      <c r="AC188" s="71" t="s">
        <v>242</v>
      </c>
      <c r="AD188" s="61"/>
      <c r="AE188" s="63" t="s">
        <v>250</v>
      </c>
      <c r="AF188" s="71" t="s">
        <v>242</v>
      </c>
      <c r="AG188" s="61"/>
      <c r="AH188" s="63" t="s">
        <v>250</v>
      </c>
      <c r="AI188" s="71" t="s">
        <v>242</v>
      </c>
      <c r="AJ188" s="61"/>
      <c r="AK188" s="63" t="s">
        <v>250</v>
      </c>
      <c r="AL188" s="71" t="s">
        <v>242</v>
      </c>
      <c r="AM188" s="61"/>
      <c r="AN188" s="63" t="s">
        <v>250</v>
      </c>
      <c r="AO188" s="71" t="s">
        <v>242</v>
      </c>
      <c r="AP188" s="61"/>
      <c r="AQ188" s="63" t="s">
        <v>250</v>
      </c>
      <c r="AR188" s="71" t="s">
        <v>242</v>
      </c>
      <c r="AS188" s="61"/>
      <c r="AT188" s="63" t="s">
        <v>250</v>
      </c>
      <c r="AU188" s="71" t="s">
        <v>242</v>
      </c>
    </row>
    <row r="189" spans="15:47" ht="13" x14ac:dyDescent="0.3">
      <c r="O189" s="6" t="s">
        <v>231</v>
      </c>
      <c r="P189" s="6"/>
      <c r="Q189" s="60"/>
      <c r="R189" s="85">
        <f>P_1_minQ-(R187^2*R_up)+dpup_minQ</f>
        <v>56.916105563813176</v>
      </c>
      <c r="S189" s="56"/>
      <c r="T189" s="72"/>
      <c r="U189" s="53">
        <f>P_1_minQ-(U187^2*R_up)+dpup_minQ</f>
        <v>56.880514339777143</v>
      </c>
      <c r="V189" s="44"/>
      <c r="W189" s="72"/>
      <c r="X189" s="53">
        <f>P_1_minQ-(X187^2*R_up)+dpup_minQ</f>
        <v>56.710855152852403</v>
      </c>
      <c r="Y189" s="44"/>
      <c r="Z189" s="72"/>
      <c r="AA189" s="53">
        <f>P_1_minQ-(AA187^2*R_up)+dpup_minQ</f>
        <v>56.167728606581576</v>
      </c>
      <c r="AB189" s="44"/>
      <c r="AC189" s="72"/>
      <c r="AD189" s="53">
        <f>P_1_minQ-(AD187^2*R_up)+dpup_minQ</f>
        <v>54.891821066332454</v>
      </c>
      <c r="AE189" s="44"/>
      <c r="AF189" s="72"/>
      <c r="AG189" s="53">
        <f>P_1_minQ-(AG187^2*R_up)+dpup_minQ</f>
        <v>52.428797528041891</v>
      </c>
      <c r="AH189" s="44"/>
      <c r="AI189" s="72"/>
      <c r="AJ189" s="53">
        <f>P_1_minQ-(AJ187^2*R_up)+dpup_minQ</f>
        <v>48.924626619789322</v>
      </c>
      <c r="AK189" s="44"/>
      <c r="AL189" s="72"/>
      <c r="AM189" s="53">
        <f>P_1_minQ-(AM187^2*R_up)+dpup_minQ</f>
        <v>45.017863989864878</v>
      </c>
      <c r="AN189" s="44"/>
      <c r="AO189" s="72"/>
      <c r="AP189" s="53">
        <f>P_1_minQ-(AP187^2*R_up)+dpup_minQ</f>
        <v>40.879060474076965</v>
      </c>
      <c r="AQ189" s="44"/>
      <c r="AR189" s="72"/>
      <c r="AS189" s="53">
        <f>P_1_minQ-(AS187^2*R_up)+dpup_minQ</f>
        <v>36.144010527109153</v>
      </c>
      <c r="AT189" s="44"/>
      <c r="AU189" s="72"/>
    </row>
    <row r="190" spans="15:47" ht="13" x14ac:dyDescent="0.3">
      <c r="O190" s="6" t="s">
        <v>233</v>
      </c>
      <c r="P190" s="6"/>
      <c r="Q190" s="60"/>
      <c r="R190" s="85">
        <f>P_2_minQ+(R187^2*R_dn)-dpdn_minQ</f>
        <v>24.656778887237365</v>
      </c>
      <c r="S190" s="66"/>
      <c r="T190" s="74"/>
      <c r="U190" s="53">
        <f>P_2_minQ+(U187^2*R_dn)-dpdn_minQ</f>
        <v>24.663897132044571</v>
      </c>
      <c r="V190" s="45"/>
      <c r="W190" s="74"/>
      <c r="X190" s="53">
        <f>P_2_minQ+(X187^2*R_dn)-dpdn_minQ</f>
        <v>24.697828969429523</v>
      </c>
      <c r="Y190" s="45"/>
      <c r="Z190" s="74"/>
      <c r="AA190" s="53">
        <f>P_2_minQ+(AA187^2*R_dn)-dpdn_minQ</f>
        <v>24.806454278683685</v>
      </c>
      <c r="AB190" s="45"/>
      <c r="AC190" s="74"/>
      <c r="AD190" s="53">
        <f>P_2_minQ+(AD187^2*R_dn)-dpdn_minQ</f>
        <v>25.061635786733511</v>
      </c>
      <c r="AE190" s="45"/>
      <c r="AF190" s="74"/>
      <c r="AG190" s="53">
        <f>P_2_minQ+(AG187^2*R_dn)-dpdn_minQ</f>
        <v>25.554240494391625</v>
      </c>
      <c r="AH190" s="45"/>
      <c r="AI190" s="74"/>
      <c r="AJ190" s="53">
        <f>P_2_minQ+(AJ187^2*R_dn)-dpdn_minQ</f>
        <v>26.255074676042138</v>
      </c>
      <c r="AK190" s="45"/>
      <c r="AL190" s="74"/>
      <c r="AM190" s="53">
        <f>P_2_minQ+(AM187^2*R_dn)-dpdn_minQ</f>
        <v>27.036427202027024</v>
      </c>
      <c r="AN190" s="45"/>
      <c r="AO190" s="74"/>
      <c r="AP190" s="53">
        <f>P_2_minQ+(AP187^2*R_dn)-dpdn_minQ</f>
        <v>27.864187905184608</v>
      </c>
      <c r="AQ190" s="45"/>
      <c r="AR190" s="74"/>
      <c r="AS190" s="53">
        <f>P_2_minQ+(AS187^2*R_dn)-dpdn_minQ</f>
        <v>28.811197894578168</v>
      </c>
      <c r="AT190" s="45"/>
      <c r="AU190" s="74"/>
    </row>
    <row r="191" spans="15:47" x14ac:dyDescent="0.25">
      <c r="O191" s="6" t="s">
        <v>243</v>
      </c>
      <c r="Q191" s="60"/>
      <c r="R191" s="53">
        <f>R189-R190</f>
        <v>32.25932667657581</v>
      </c>
      <c r="S191" s="56"/>
      <c r="T191" s="72"/>
      <c r="U191" s="64">
        <f>U189-U190</f>
        <v>32.216617207732568</v>
      </c>
      <c r="V191" s="44"/>
      <c r="W191" s="72"/>
      <c r="X191" s="64">
        <f>X189-X190</f>
        <v>32.01302618342288</v>
      </c>
      <c r="Y191" s="44"/>
      <c r="Z191" s="72"/>
      <c r="AA191" s="64">
        <f>AA189-AA190</f>
        <v>31.361274327897892</v>
      </c>
      <c r="AB191" s="44"/>
      <c r="AC191" s="72"/>
      <c r="AD191" s="64">
        <f>AD189-AD190</f>
        <v>29.830185279598943</v>
      </c>
      <c r="AE191" s="44"/>
      <c r="AF191" s="72"/>
      <c r="AG191" s="64">
        <f>AG189-AG190</f>
        <v>26.874557033650266</v>
      </c>
      <c r="AH191" s="44"/>
      <c r="AI191" s="72"/>
      <c r="AJ191" s="64">
        <f>AJ189-AJ190</f>
        <v>22.669551943747184</v>
      </c>
      <c r="AK191" s="44"/>
      <c r="AL191" s="72"/>
      <c r="AM191" s="64">
        <f>AM189-AM190</f>
        <v>17.981436787837854</v>
      </c>
      <c r="AN191" s="44"/>
      <c r="AO191" s="72"/>
      <c r="AP191" s="64">
        <f>AP189-AP190</f>
        <v>13.014872568892358</v>
      </c>
      <c r="AQ191" s="44"/>
      <c r="AR191" s="72"/>
      <c r="AS191" s="64">
        <f>AS189-AS190</f>
        <v>7.3328126325309846</v>
      </c>
      <c r="AT191" s="44"/>
      <c r="AU191" s="72"/>
    </row>
    <row r="192" spans="15:47" ht="13" x14ac:dyDescent="0.3">
      <c r="O192" s="6" t="s">
        <v>75</v>
      </c>
      <c r="P192" s="6">
        <v>3</v>
      </c>
      <c r="Q192" s="65"/>
      <c r="R192" s="85">
        <f>(F_LP_h/F_P_h)^2*(R189-('Valve Sizing'!$V$4*'Valve Sizing'!$G$7))</f>
        <v>46.765132081229766</v>
      </c>
      <c r="S192" s="58"/>
      <c r="T192" s="73"/>
      <c r="U192" s="53">
        <f>(U$29/U$27)^2*(U189-('Valve Sizing'!$V$4*'Valve Sizing'!$G$7))</f>
        <v>46.722922469153382</v>
      </c>
      <c r="V192" s="41"/>
      <c r="W192" s="73"/>
      <c r="X192" s="53">
        <f>(X$29/X$27)^2*(X189-('Valve Sizing'!$V$4*'Valve Sizing'!$G$7))</f>
        <v>45.531716383217116</v>
      </c>
      <c r="Y192" s="41"/>
      <c r="Z192" s="73"/>
      <c r="AA192" s="53">
        <f>(AA$29/AA$27)^2*(AA189-('Valve Sizing'!$V$4*'Valve Sizing'!$G$7))</f>
        <v>43.066189253087366</v>
      </c>
      <c r="AB192" s="41"/>
      <c r="AC192" s="73"/>
      <c r="AD192" s="53">
        <f>(AD$29/AD$27)^2*(AD189-('Valve Sizing'!$V$4*'Valve Sizing'!$G$7))</f>
        <v>39.269926060695305</v>
      </c>
      <c r="AE192" s="41"/>
      <c r="AF192" s="73"/>
      <c r="AG192" s="53">
        <f>(AG$29/AG$27)^2*(AG189-('Valve Sizing'!$V$4*'Valve Sizing'!$G$7))</f>
        <v>33.483033435873537</v>
      </c>
      <c r="AH192" s="41"/>
      <c r="AI192" s="73"/>
      <c r="AJ192" s="53">
        <f>(AJ$29/AJ$27)^2*(AJ189-('Valve Sizing'!$V$4*'Valve Sizing'!$G$7))</f>
        <v>28.041745494824731</v>
      </c>
      <c r="AK192" s="41"/>
      <c r="AL192" s="73"/>
      <c r="AM192" s="53">
        <f>(AM$29/AM$27)^2*(AM189-('Valve Sizing'!$V$4*'Valve Sizing'!$G$7))</f>
        <v>21.329238801643996</v>
      </c>
      <c r="AN192" s="41"/>
      <c r="AO192" s="73"/>
      <c r="AP192" s="53">
        <f>(AP$29/AP$27)^2*(AP189-('Valve Sizing'!$V$4*'Valve Sizing'!$G$7))</f>
        <v>15.958315378520785</v>
      </c>
      <c r="AQ192" s="41"/>
      <c r="AR192" s="73"/>
      <c r="AS192" s="53">
        <f>(AS$29/AS$27)^2*(AS189-('Valve Sizing'!$V$4*'Valve Sizing'!$G$7))</f>
        <v>13.429713180709612</v>
      </c>
      <c r="AT192" s="41"/>
      <c r="AU192" s="73"/>
    </row>
    <row r="193" spans="15:47" ht="13" x14ac:dyDescent="0.25">
      <c r="O193" s="1" t="s">
        <v>69</v>
      </c>
      <c r="P193" s="17">
        <v>7</v>
      </c>
      <c r="Q193" s="65"/>
      <c r="R193" s="53">
        <f>(R187/(N_1*F_P_h))*SQRT('Valve Sizing'!$G$6/R191)</f>
        <v>0.18587811989709094</v>
      </c>
      <c r="S193" s="58"/>
      <c r="T193" s="73"/>
      <c r="U193" s="64">
        <f>(U187/(N_1*U$27))*SQRT('Valve Sizing'!$G$6/U191)</f>
        <v>5.7272460195953796</v>
      </c>
      <c r="V193" s="41"/>
      <c r="W193" s="73"/>
      <c r="X193" s="64">
        <f>(X187/(N_1*X$27))*SQRT('Valve Sizing'!$G$6/X191)</f>
        <v>13.822225780374637</v>
      </c>
      <c r="Y193" s="41"/>
      <c r="Z193" s="73"/>
      <c r="AA193" s="64">
        <f>(AA187/(N_1*AA$27))*SQRT('Valve Sizing'!$G$6/AA191)</f>
        <v>26.817921667444484</v>
      </c>
      <c r="AB193" s="41"/>
      <c r="AC193" s="73"/>
      <c r="AD193" s="64">
        <f>(AD187/(N_1*AD$27))*SQRT('Valve Sizing'!$G$6/AD191)</f>
        <v>45.791817905432879</v>
      </c>
      <c r="AE193" s="41"/>
      <c r="AF193" s="73"/>
      <c r="AG193" s="64">
        <f>(AG187/(N_1*AG$27))*SQRT('Valve Sizing'!$G$6/AG191)</f>
        <v>73.431662976173001</v>
      </c>
      <c r="AH193" s="41"/>
      <c r="AI193" s="73"/>
      <c r="AJ193" s="64">
        <f>(AJ187/(N_1*AJ$27))*SQRT('Valve Sizing'!$G$6/AJ191)</f>
        <v>110.57514968326132</v>
      </c>
      <c r="AK193" s="41"/>
      <c r="AL193" s="73"/>
      <c r="AM193" s="64">
        <f>(AM187/(N_1*AM$27))*SQRT('Valve Sizing'!$G$6/AM191)</f>
        <v>160.73593356842522</v>
      </c>
      <c r="AN193" s="41"/>
      <c r="AO193" s="73"/>
      <c r="AP193" s="64">
        <f>(AP187/(N_1*AP$27))*SQRT('Valve Sizing'!$G$6/AP191)</f>
        <v>249.65615915945287</v>
      </c>
      <c r="AQ193" s="41"/>
      <c r="AR193" s="73"/>
      <c r="AS193" s="64">
        <f>(AS187/(N_1*AS$27))*SQRT('Valve Sizing'!$G$6/AS191)</f>
        <v>507.0045184540374</v>
      </c>
      <c r="AT193" s="41"/>
      <c r="AU193" s="73"/>
    </row>
    <row r="194" spans="15:47" ht="13" x14ac:dyDescent="0.3">
      <c r="O194" s="1" t="s">
        <v>72</v>
      </c>
      <c r="P194" s="17">
        <v>7</v>
      </c>
      <c r="Q194" s="65"/>
      <c r="R194" s="53">
        <f>(R187/(N_1*F_P_h))*SQRT('Valve Sizing'!$G$6/R192)</f>
        <v>0.15438135118124421</v>
      </c>
      <c r="S194" s="56"/>
      <c r="T194" s="72"/>
      <c r="U194" s="85">
        <f>(U187/(N_1*U$27))*SQRT('Valve Sizing'!$G$6/U192)</f>
        <v>4.7557696139807177</v>
      </c>
      <c r="V194" s="44"/>
      <c r="W194" s="72"/>
      <c r="X194" s="85">
        <f>(X187/(N_1*X$27))*SQRT('Valve Sizing'!$G$6/X192)</f>
        <v>11.590024036485053</v>
      </c>
      <c r="Y194" s="44"/>
      <c r="Z194" s="72"/>
      <c r="AA194" s="85">
        <f>(AA187/(N_1*AA$27))*SQRT('Valve Sizing'!$G$6/AA192)</f>
        <v>22.885149103742602</v>
      </c>
      <c r="AB194" s="44"/>
      <c r="AC194" s="72"/>
      <c r="AD194" s="85">
        <f>(AD187/(N_1*AD$27))*SQRT('Valve Sizing'!$G$6/AD192)</f>
        <v>39.910375942816977</v>
      </c>
      <c r="AE194" s="44"/>
      <c r="AF194" s="72"/>
      <c r="AG194" s="85">
        <f>(AG187/(N_1*AG$27))*SQRT('Valve Sizing'!$G$6/AG192)</f>
        <v>65.787233335957012</v>
      </c>
      <c r="AH194" s="44"/>
      <c r="AI194" s="72"/>
      <c r="AJ194" s="85">
        <f>(AJ187/(N_1*AJ$27))*SQRT('Valve Sizing'!$G$6/AJ192)</f>
        <v>99.420623523315484</v>
      </c>
      <c r="AK194" s="44"/>
      <c r="AL194" s="72"/>
      <c r="AM194" s="85">
        <f>(AM187/(N_1*AM$27))*SQRT('Valve Sizing'!$G$6/AM192)</f>
        <v>147.58339411127758</v>
      </c>
      <c r="AN194" s="44"/>
      <c r="AO194" s="72"/>
      <c r="AP194" s="85">
        <f>(AP187/(N_1*AP$27))*SQRT('Valve Sizing'!$G$6/AP192)</f>
        <v>225.45959529780617</v>
      </c>
      <c r="AQ194" s="44"/>
      <c r="AR194" s="72"/>
      <c r="AS194" s="85">
        <f>(AS187/(N_1*AS$27))*SQRT('Valve Sizing'!$G$6/AS192)</f>
        <v>374.63966384453835</v>
      </c>
      <c r="AT194" s="44"/>
      <c r="AU194" s="72"/>
    </row>
    <row r="195" spans="15:47" x14ac:dyDescent="0.25">
      <c r="O195" s="1" t="s">
        <v>246</v>
      </c>
      <c r="P195" s="18"/>
      <c r="Q195" s="65"/>
      <c r="R195" s="53">
        <f>IF(R191&lt;R192,R193,R194)</f>
        <v>0.18587811989709094</v>
      </c>
      <c r="S195" s="49"/>
      <c r="T195" s="72"/>
      <c r="U195" s="64">
        <f>IF(U191&lt;U192,U193,U194)</f>
        <v>5.7272460195953796</v>
      </c>
      <c r="V195" s="44"/>
      <c r="W195" s="72"/>
      <c r="X195" s="64">
        <f>IF(X191&lt;X192,X193,X194)</f>
        <v>13.822225780374637</v>
      </c>
      <c r="Y195" s="44"/>
      <c r="Z195" s="72"/>
      <c r="AA195" s="64">
        <f>IF(AA191&lt;AA192,AA193,AA194)</f>
        <v>26.817921667444484</v>
      </c>
      <c r="AB195" s="44"/>
      <c r="AC195" s="72"/>
      <c r="AD195" s="64">
        <f>IF(AD191&lt;AD192,AD193,AD194)</f>
        <v>45.791817905432879</v>
      </c>
      <c r="AE195" s="44"/>
      <c r="AF195" s="72"/>
      <c r="AG195" s="64">
        <f>IF(AG191&lt;AG192,AG193,AG194)</f>
        <v>73.431662976173001</v>
      </c>
      <c r="AH195" s="44"/>
      <c r="AI195" s="72"/>
      <c r="AJ195" s="64">
        <f>IF(AJ191&lt;AJ192,AJ193,AJ194)</f>
        <v>110.57514968326132</v>
      </c>
      <c r="AK195" s="44"/>
      <c r="AL195" s="72"/>
      <c r="AM195" s="64">
        <f>IF(AM191&lt;AM192,AM193,AM194)</f>
        <v>160.73593356842522</v>
      </c>
      <c r="AN195" s="44"/>
      <c r="AO195" s="72"/>
      <c r="AP195" s="64">
        <f>IF(AP191&lt;AP192,AP193,AP194)</f>
        <v>249.65615915945287</v>
      </c>
      <c r="AQ195" s="44"/>
      <c r="AR195" s="72"/>
      <c r="AS195" s="64">
        <f>IF(AS191&lt;AS192,AS193,AS194)</f>
        <v>507.0045184540374</v>
      </c>
      <c r="AT195" s="44"/>
      <c r="AU195" s="72"/>
    </row>
    <row r="196" spans="15:47" ht="13" x14ac:dyDescent="0.3">
      <c r="O196" s="7" t="s">
        <v>264</v>
      </c>
      <c r="Q196" s="61"/>
      <c r="R196" s="53"/>
      <c r="S196" s="69">
        <f>IFERROR(ABS(C_h-R195),Q_max*10)</f>
        <v>4.8141218801029089</v>
      </c>
      <c r="T196" s="76">
        <f>R187</f>
        <v>1.0555830104502979</v>
      </c>
      <c r="U196" s="61"/>
      <c r="V196" s="69">
        <f>IFERROR(ABS(U$23-U195),Q_max*10)</f>
        <v>6.2727539804046204</v>
      </c>
      <c r="W196" s="75">
        <f>U187</f>
        <v>32.480307867979214</v>
      </c>
      <c r="X196" s="61"/>
      <c r="Y196" s="69">
        <f>IFERROR(ABS(X$23-X195),Q_max*10)</f>
        <v>9.1777742196253627</v>
      </c>
      <c r="Z196" s="75">
        <f>X187</f>
        <v>77.965241768626697</v>
      </c>
      <c r="AA196" s="61"/>
      <c r="AB196" s="69">
        <f>IFERROR(ABS(AA$23-AA195),Q_max*10)</f>
        <v>12.182078332555516</v>
      </c>
      <c r="AC196" s="75">
        <f>AA187</f>
        <v>148.86421987542695</v>
      </c>
      <c r="AD196" s="61"/>
      <c r="AE196" s="69">
        <f>IFERROR(ABS(AD$23-AD195),Q_max*10)</f>
        <v>15.208182094567121</v>
      </c>
      <c r="AF196" s="75">
        <f>AD187</f>
        <v>244.82683314109173</v>
      </c>
      <c r="AG196" s="61"/>
      <c r="AH196" s="69">
        <f>IFERROR(ABS(AG$23-AG195),Q_max*10)</f>
        <v>14.568337023826999</v>
      </c>
      <c r="AI196" s="75">
        <f>AG187</f>
        <v>364.51379287302643</v>
      </c>
      <c r="AJ196" s="61"/>
      <c r="AK196" s="69">
        <f>IFERROR(ABS(AJ$23-AJ195),Q_max*10)</f>
        <v>10.424850316738684</v>
      </c>
      <c r="AL196" s="75">
        <f>AJ187</f>
        <v>486.44506965127954</v>
      </c>
      <c r="AM196" s="61"/>
      <c r="AN196" s="69">
        <f>IFERROR(ABS(AM$23-AM195),Q_max*10)</f>
        <v>4.2640664315747756</v>
      </c>
      <c r="AO196" s="75">
        <f>AM187</f>
        <v>593.55542897028658</v>
      </c>
      <c r="AP196" s="61"/>
      <c r="AQ196" s="69">
        <f>IFERROR(ABS(AP$23-AP195),Q_max*10)</f>
        <v>3.6561591594528693</v>
      </c>
      <c r="AR196" s="75">
        <f>AP187</f>
        <v>689.09942632582499</v>
      </c>
      <c r="AS196" s="61"/>
      <c r="AT196" s="69">
        <f>IFERROR(ABS(AS$23-AS195),Q_max*10)</f>
        <v>87.004518454037395</v>
      </c>
      <c r="AU196" s="75">
        <f>AS187</f>
        <v>784.25942665185596</v>
      </c>
    </row>
    <row r="197" spans="15:47" ht="14.5" x14ac:dyDescent="0.35">
      <c r="O197" s="8"/>
      <c r="P197" s="6"/>
      <c r="Q197" s="60"/>
      <c r="R197" s="67"/>
      <c r="S197" s="58"/>
      <c r="T197" s="73"/>
      <c r="V197" s="11"/>
      <c r="W197" s="38"/>
      <c r="Y197" s="11"/>
      <c r="Z197" s="38"/>
      <c r="AB197" s="11"/>
      <c r="AC197" s="38"/>
      <c r="AE197" s="11"/>
      <c r="AF197" s="38"/>
      <c r="AH197" s="11"/>
      <c r="AI197" s="38"/>
      <c r="AK197" s="11"/>
      <c r="AL197" s="38"/>
      <c r="AN197" s="11"/>
      <c r="AO197" s="38"/>
      <c r="AQ197" s="11"/>
      <c r="AR197" s="38"/>
      <c r="AT197" s="11"/>
      <c r="AU197" s="38"/>
    </row>
    <row r="198" spans="15:47" ht="14" x14ac:dyDescent="0.3">
      <c r="O198" s="8" t="s">
        <v>235</v>
      </c>
      <c r="P198" s="6"/>
      <c r="Q198" s="60"/>
      <c r="R198" s="53">
        <f>R187*1.02</f>
        <v>1.0766946706593039</v>
      </c>
      <c r="S198" s="58" t="s">
        <v>238</v>
      </c>
      <c r="T198" s="73" t="s">
        <v>241</v>
      </c>
      <c r="U198" s="84">
        <f>U187*1.01</f>
        <v>32.805110946659006</v>
      </c>
      <c r="V198" s="58" t="s">
        <v>238</v>
      </c>
      <c r="W198" s="73" t="s">
        <v>241</v>
      </c>
      <c r="X198" s="84">
        <f>X187*1.01</f>
        <v>78.744894186312962</v>
      </c>
      <c r="Y198" s="58" t="s">
        <v>238</v>
      </c>
      <c r="Z198" s="73" t="s">
        <v>241</v>
      </c>
      <c r="AA198" s="84">
        <f>AA187*1.01</f>
        <v>150.35286207418122</v>
      </c>
      <c r="AB198" s="58" t="s">
        <v>238</v>
      </c>
      <c r="AC198" s="73" t="s">
        <v>241</v>
      </c>
      <c r="AD198" s="84">
        <f>AD187*1.01</f>
        <v>247.27510147250266</v>
      </c>
      <c r="AE198" s="58" t="s">
        <v>238</v>
      </c>
      <c r="AF198" s="73" t="s">
        <v>241</v>
      </c>
      <c r="AG198" s="84">
        <f>AG187*1.01</f>
        <v>368.1589308017567</v>
      </c>
      <c r="AH198" s="58" t="s">
        <v>238</v>
      </c>
      <c r="AI198" s="73" t="s">
        <v>241</v>
      </c>
      <c r="AJ198" s="84">
        <f>AJ187*1.01</f>
        <v>491.30952034779233</v>
      </c>
      <c r="AK198" s="58" t="s">
        <v>238</v>
      </c>
      <c r="AL198" s="73" t="s">
        <v>241</v>
      </c>
      <c r="AM198" s="84">
        <f>AM187*1.01</f>
        <v>599.49098325998943</v>
      </c>
      <c r="AN198" s="58" t="s">
        <v>238</v>
      </c>
      <c r="AO198" s="73" t="s">
        <v>241</v>
      </c>
      <c r="AP198" s="84">
        <f>AP187*1.01</f>
        <v>695.99042058908321</v>
      </c>
      <c r="AQ198" s="58" t="s">
        <v>238</v>
      </c>
      <c r="AR198" s="73" t="s">
        <v>241</v>
      </c>
      <c r="AS198" s="84">
        <f>AS187*1.01</f>
        <v>792.10202091837448</v>
      </c>
      <c r="AT198" s="58" t="s">
        <v>238</v>
      </c>
      <c r="AU198" s="73" t="s">
        <v>241</v>
      </c>
    </row>
    <row r="199" spans="15:47" ht="13" x14ac:dyDescent="0.25">
      <c r="O199" s="6"/>
      <c r="P199" s="6"/>
      <c r="Q199" s="60"/>
      <c r="R199" s="70"/>
      <c r="S199" s="63" t="s">
        <v>250</v>
      </c>
      <c r="T199" s="71" t="s">
        <v>242</v>
      </c>
      <c r="U199" s="61"/>
      <c r="V199" s="63" t="s">
        <v>250</v>
      </c>
      <c r="W199" s="71" t="s">
        <v>242</v>
      </c>
      <c r="X199" s="61"/>
      <c r="Y199" s="63" t="s">
        <v>250</v>
      </c>
      <c r="Z199" s="71" t="s">
        <v>242</v>
      </c>
      <c r="AA199" s="61"/>
      <c r="AB199" s="63" t="s">
        <v>250</v>
      </c>
      <c r="AC199" s="71" t="s">
        <v>242</v>
      </c>
      <c r="AD199" s="61"/>
      <c r="AE199" s="63" t="s">
        <v>250</v>
      </c>
      <c r="AF199" s="71" t="s">
        <v>242</v>
      </c>
      <c r="AG199" s="61"/>
      <c r="AH199" s="63" t="s">
        <v>250</v>
      </c>
      <c r="AI199" s="71" t="s">
        <v>242</v>
      </c>
      <c r="AJ199" s="61"/>
      <c r="AK199" s="63" t="s">
        <v>250</v>
      </c>
      <c r="AL199" s="71" t="s">
        <v>242</v>
      </c>
      <c r="AM199" s="61"/>
      <c r="AN199" s="63" t="s">
        <v>250</v>
      </c>
      <c r="AO199" s="71" t="s">
        <v>242</v>
      </c>
      <c r="AP199" s="61"/>
      <c r="AQ199" s="63" t="s">
        <v>250</v>
      </c>
      <c r="AR199" s="71" t="s">
        <v>242</v>
      </c>
      <c r="AS199" s="61"/>
      <c r="AT199" s="63" t="s">
        <v>250</v>
      </c>
      <c r="AU199" s="71" t="s">
        <v>242</v>
      </c>
    </row>
    <row r="200" spans="15:47" ht="13" x14ac:dyDescent="0.3">
      <c r="O200" s="6" t="s">
        <v>231</v>
      </c>
      <c r="P200" s="6"/>
      <c r="Q200" s="60"/>
      <c r="R200" s="85">
        <f>P_1_minQ-(R198^2*R_up)+dpup_minQ</f>
        <v>56.916104043518615</v>
      </c>
      <c r="S200" s="56"/>
      <c r="T200" s="72"/>
      <c r="U200" s="53">
        <f>P_1_minQ-(U198^2*R_up)+dpup_minQ</f>
        <v>56.879798199789846</v>
      </c>
      <c r="V200" s="44"/>
      <c r="W200" s="72"/>
      <c r="X200" s="53">
        <f>P_1_minQ-(X198^2*R_up)+dpup_minQ</f>
        <v>56.706728863207914</v>
      </c>
      <c r="Y200" s="44"/>
      <c r="Z200" s="72"/>
      <c r="AA200" s="53">
        <f>P_1_minQ-(AA198^2*R_up)+dpup_minQ</f>
        <v>56.152685473357053</v>
      </c>
      <c r="AB200" s="44"/>
      <c r="AC200" s="72"/>
      <c r="AD200" s="53">
        <f>P_1_minQ-(AD198^2*R_up)+dpup_minQ</f>
        <v>54.851132191548921</v>
      </c>
      <c r="AE200" s="44"/>
      <c r="AF200" s="72"/>
      <c r="AG200" s="53">
        <f>P_1_minQ-(AG198^2*R_up)+dpup_minQ</f>
        <v>52.338601880138718</v>
      </c>
      <c r="AH200" s="44"/>
      <c r="AI200" s="72"/>
      <c r="AJ200" s="53">
        <f>P_1_minQ-(AJ198^2*R_up)+dpup_minQ</f>
        <v>48.763997136630266</v>
      </c>
      <c r="AK200" s="44"/>
      <c r="AL200" s="72"/>
      <c r="AM200" s="53">
        <f>P_1_minQ-(AM198^2*R_up)+dpup_minQ</f>
        <v>44.778708577844341</v>
      </c>
      <c r="AN200" s="44"/>
      <c r="AO200" s="72"/>
      <c r="AP200" s="53">
        <f>P_1_minQ-(AP198^2*R_up)+dpup_minQ</f>
        <v>40.556715111389089</v>
      </c>
      <c r="AQ200" s="44"/>
      <c r="AR200" s="72"/>
      <c r="AS200" s="53">
        <f>P_1_minQ-(AS198^2*R_up)+dpup_minQ</f>
        <v>35.726490660487237</v>
      </c>
      <c r="AT200" s="44"/>
      <c r="AU200" s="72"/>
    </row>
    <row r="201" spans="15:47" ht="13" x14ac:dyDescent="0.3">
      <c r="O201" s="6" t="s">
        <v>233</v>
      </c>
      <c r="P201" s="6"/>
      <c r="Q201" s="60"/>
      <c r="R201" s="85">
        <f>P_2_minQ+(R198^2*R_dn)-dpdn_minQ</f>
        <v>24.656779191296277</v>
      </c>
      <c r="S201" s="66"/>
      <c r="T201" s="74"/>
      <c r="U201" s="53">
        <f>P_2_minQ+(U198^2*R_dn)-dpdn_minQ</f>
        <v>24.66404036004203</v>
      </c>
      <c r="V201" s="45"/>
      <c r="W201" s="74"/>
      <c r="X201" s="53">
        <f>P_2_minQ+(X198^2*R_dn)-dpdn_minQ</f>
        <v>24.698654227358418</v>
      </c>
      <c r="Y201" s="45"/>
      <c r="Z201" s="74"/>
      <c r="AA201" s="53">
        <f>P_2_minQ+(AA198^2*R_dn)-dpdn_minQ</f>
        <v>24.809462905328591</v>
      </c>
      <c r="AB201" s="45"/>
      <c r="AC201" s="74"/>
      <c r="AD201" s="53">
        <f>P_2_minQ+(AD198^2*R_dn)-dpdn_minQ</f>
        <v>25.069773561690216</v>
      </c>
      <c r="AE201" s="45"/>
      <c r="AF201" s="74"/>
      <c r="AG201" s="53">
        <f>P_2_minQ+(AG198^2*R_dn)-dpdn_minQ</f>
        <v>25.572279623972257</v>
      </c>
      <c r="AH201" s="45"/>
      <c r="AI201" s="74"/>
      <c r="AJ201" s="53">
        <f>P_2_minQ+(AJ198^2*R_dn)-dpdn_minQ</f>
        <v>26.287200572673949</v>
      </c>
      <c r="AK201" s="45"/>
      <c r="AL201" s="74"/>
      <c r="AM201" s="53">
        <f>P_2_minQ+(AM198^2*R_dn)-dpdn_minQ</f>
        <v>27.084258284431133</v>
      </c>
      <c r="AN201" s="45"/>
      <c r="AO201" s="74"/>
      <c r="AP201" s="53">
        <f>P_2_minQ+(AP198^2*R_dn)-dpdn_minQ</f>
        <v>27.928656977722181</v>
      </c>
      <c r="AQ201" s="45"/>
      <c r="AR201" s="74"/>
      <c r="AS201" s="53">
        <f>P_2_minQ+(AS198^2*R_dn)-dpdn_minQ</f>
        <v>28.894701867902555</v>
      </c>
      <c r="AT201" s="45"/>
      <c r="AU201" s="74"/>
    </row>
    <row r="202" spans="15:47" x14ac:dyDescent="0.25">
      <c r="O202" s="6" t="s">
        <v>243</v>
      </c>
      <c r="Q202" s="60"/>
      <c r="R202" s="53">
        <f>R200-R201</f>
        <v>32.259324852222335</v>
      </c>
      <c r="S202" s="56"/>
      <c r="T202" s="72"/>
      <c r="U202" s="64">
        <f>U200-U201</f>
        <v>32.215757839747816</v>
      </c>
      <c r="V202" s="44"/>
      <c r="W202" s="72"/>
      <c r="X202" s="64">
        <f>X200-X201</f>
        <v>32.008074635849496</v>
      </c>
      <c r="Y202" s="44"/>
      <c r="Z202" s="72"/>
      <c r="AA202" s="64">
        <f>AA200-AA201</f>
        <v>31.343222568028462</v>
      </c>
      <c r="AB202" s="44"/>
      <c r="AC202" s="72"/>
      <c r="AD202" s="64">
        <f>AD200-AD201</f>
        <v>29.781358629858705</v>
      </c>
      <c r="AE202" s="44"/>
      <c r="AF202" s="72"/>
      <c r="AG202" s="64">
        <f>AG200-AG201</f>
        <v>26.766322256166461</v>
      </c>
      <c r="AH202" s="44"/>
      <c r="AI202" s="72"/>
      <c r="AJ202" s="64">
        <f>AJ200-AJ201</f>
        <v>22.476796563956317</v>
      </c>
      <c r="AK202" s="44"/>
      <c r="AL202" s="72"/>
      <c r="AM202" s="64">
        <f>AM200-AM201</f>
        <v>17.694450293413208</v>
      </c>
      <c r="AN202" s="44"/>
      <c r="AO202" s="72"/>
      <c r="AP202" s="64">
        <f>AP200-AP201</f>
        <v>12.628058133666908</v>
      </c>
      <c r="AQ202" s="44"/>
      <c r="AR202" s="72"/>
      <c r="AS202" s="64">
        <f>AS200-AS201</f>
        <v>6.8317887925846819</v>
      </c>
      <c r="AT202" s="44"/>
      <c r="AU202" s="72"/>
    </row>
    <row r="203" spans="15:47" ht="13" x14ac:dyDescent="0.3">
      <c r="O203" s="6" t="s">
        <v>75</v>
      </c>
      <c r="P203" s="6">
        <v>3</v>
      </c>
      <c r="Q203" s="65"/>
      <c r="R203" s="85">
        <f>(F_LP_h/F_P_h)^2*(R200-('Valve Sizing'!$V$4*'Valve Sizing'!$G$7))</f>
        <v>46.765130822346066</v>
      </c>
      <c r="S203" s="58"/>
      <c r="T203" s="73"/>
      <c r="U203" s="53">
        <f>(U$29/U$27)^2*(U200-('Valve Sizing'!$V$4*'Valve Sizing'!$G$7))</f>
        <v>46.722329629281468</v>
      </c>
      <c r="V203" s="41"/>
      <c r="W203" s="73"/>
      <c r="X203" s="53">
        <f>(X$29/X$27)^2*(X200-('Valve Sizing'!$V$4*'Valve Sizing'!$G$7))</f>
        <v>45.528377581241514</v>
      </c>
      <c r="Y203" s="41"/>
      <c r="Z203" s="73"/>
      <c r="AA203" s="53">
        <f>(AA$29/AA$27)^2*(AA200-('Valve Sizing'!$V$4*'Valve Sizing'!$G$7))</f>
        <v>43.054563961531002</v>
      </c>
      <c r="AB203" s="41"/>
      <c r="AC203" s="73"/>
      <c r="AD203" s="53">
        <f>(AD$29/AD$27)^2*(AD200-('Valve Sizing'!$V$4*'Valve Sizing'!$G$7))</f>
        <v>39.240581756589272</v>
      </c>
      <c r="AE203" s="41"/>
      <c r="AF203" s="73"/>
      <c r="AG203" s="53">
        <f>(AG$29/AG$27)^2*(AG200-('Valve Sizing'!$V$4*'Valve Sizing'!$G$7))</f>
        <v>33.424943474418463</v>
      </c>
      <c r="AH203" s="41"/>
      <c r="AI203" s="73"/>
      <c r="AJ203" s="53">
        <f>(AJ$29/AJ$27)^2*(AJ200-('Valve Sizing'!$V$4*'Valve Sizing'!$G$7))</f>
        <v>27.948843130563652</v>
      </c>
      <c r="AK203" s="41"/>
      <c r="AL203" s="73"/>
      <c r="AM203" s="53">
        <f>(AM$29/AM$27)^2*(AM200-('Valve Sizing'!$V$4*'Valve Sizing'!$G$7))</f>
        <v>21.214809597636723</v>
      </c>
      <c r="AN203" s="41"/>
      <c r="AO203" s="73"/>
      <c r="AP203" s="53">
        <f>(AP$29/AP$27)^2*(AP200-('Valve Sizing'!$V$4*'Valve Sizing'!$G$7))</f>
        <v>15.831109250729577</v>
      </c>
      <c r="AQ203" s="41"/>
      <c r="AR203" s="73"/>
      <c r="AS203" s="53">
        <f>(AS$29/AS$27)^2*(AS200-('Valve Sizing'!$V$4*'Valve Sizing'!$G$7))</f>
        <v>13.272666926524323</v>
      </c>
      <c r="AT203" s="41"/>
      <c r="AU203" s="73"/>
    </row>
    <row r="204" spans="15:47" ht="13" x14ac:dyDescent="0.25">
      <c r="O204" s="1" t="s">
        <v>69</v>
      </c>
      <c r="P204" s="17">
        <v>7</v>
      </c>
      <c r="Q204" s="65"/>
      <c r="R204" s="53">
        <f>(R198/(N_1*F_P_h))*SQRT('Valve Sizing'!$G$6/R202)</f>
        <v>0.18959568765611112</v>
      </c>
      <c r="S204" s="58"/>
      <c r="T204" s="73"/>
      <c r="U204" s="64">
        <f>(U198/(N_1*U$27))*SQRT('Valve Sizing'!$G$6/U202)</f>
        <v>5.7845956314272344</v>
      </c>
      <c r="V204" s="41"/>
      <c r="W204" s="73"/>
      <c r="X204" s="64">
        <f>(X198/(N_1*X$27))*SQRT('Valve Sizing'!$G$6/X202)</f>
        <v>13.961527814925557</v>
      </c>
      <c r="Y204" s="41"/>
      <c r="Z204" s="73"/>
      <c r="AA204" s="64">
        <f>(AA198/(N_1*AA$27))*SQRT('Valve Sizing'!$G$6/AA202)</f>
        <v>27.09389972175693</v>
      </c>
      <c r="AB204" s="41"/>
      <c r="AC204" s="73"/>
      <c r="AD204" s="64">
        <f>(AD198/(N_1*AD$27))*SQRT('Valve Sizing'!$G$6/AD202)</f>
        <v>46.287633865788841</v>
      </c>
      <c r="AE204" s="41"/>
      <c r="AF204" s="73"/>
      <c r="AG204" s="64">
        <f>(AG198/(N_1*AG$27))*SQRT('Valve Sizing'!$G$6/AG202)</f>
        <v>74.315780530521209</v>
      </c>
      <c r="AH204" s="41"/>
      <c r="AI204" s="73"/>
      <c r="AJ204" s="64">
        <f>(AJ198/(N_1*AJ$27))*SQRT('Valve Sizing'!$G$6/AJ202)</f>
        <v>112.1587526070273</v>
      </c>
      <c r="AK204" s="41"/>
      <c r="AL204" s="73"/>
      <c r="AM204" s="64">
        <f>(AM198/(N_1*AM$27))*SQRT('Valve Sizing'!$G$6/AM202)</f>
        <v>163.65452145595862</v>
      </c>
      <c r="AN204" s="41"/>
      <c r="AO204" s="73"/>
      <c r="AP204" s="64">
        <f>(AP198/(N_1*AP$27))*SQRT('Valve Sizing'!$G$6/AP202)</f>
        <v>255.98548027759682</v>
      </c>
      <c r="AQ204" s="41"/>
      <c r="AR204" s="73"/>
      <c r="AS204" s="64">
        <f>(AS198/(N_1*AS$27))*SQRT('Valve Sizing'!$G$6/AS202)</f>
        <v>530.51941477669811</v>
      </c>
      <c r="AT204" s="41"/>
      <c r="AU204" s="73"/>
    </row>
    <row r="205" spans="15:47" ht="13" x14ac:dyDescent="0.3">
      <c r="O205" s="1" t="s">
        <v>72</v>
      </c>
      <c r="P205" s="17">
        <v>7</v>
      </c>
      <c r="Q205" s="65"/>
      <c r="R205" s="53">
        <f>(R198/(N_1*F_P_h))*SQRT('Valve Sizing'!$G$6/R203)</f>
        <v>0.15746898032434489</v>
      </c>
      <c r="S205" s="56"/>
      <c r="T205" s="72"/>
      <c r="U205" s="85">
        <f>(U198/(N_1*U$27))*SQRT('Valve Sizing'!$G$6/U203)</f>
        <v>4.8033577837178063</v>
      </c>
      <c r="V205" s="44"/>
      <c r="W205" s="72"/>
      <c r="X205" s="85">
        <f>(X198/(N_1*X$27))*SQRT('Valve Sizing'!$G$6/X203)</f>
        <v>11.70635349318329</v>
      </c>
      <c r="Y205" s="44"/>
      <c r="Z205" s="72"/>
      <c r="AA205" s="85">
        <f>(AA198/(N_1*AA$27))*SQRT('Valve Sizing'!$G$6/AA203)</f>
        <v>23.117120924369733</v>
      </c>
      <c r="AB205" s="44"/>
      <c r="AC205" s="72"/>
      <c r="AD205" s="85">
        <f>(AD198/(N_1*AD$27))*SQRT('Valve Sizing'!$G$6/AD203)</f>
        <v>40.324548701282261</v>
      </c>
      <c r="AE205" s="44"/>
      <c r="AF205" s="72"/>
      <c r="AG205" s="85">
        <f>(AG198/(N_1*AG$27))*SQRT('Valve Sizing'!$G$6/AG203)</f>
        <v>66.502818827160553</v>
      </c>
      <c r="AH205" s="44"/>
      <c r="AI205" s="72"/>
      <c r="AJ205" s="85">
        <f>(AJ198/(N_1*AJ$27))*SQRT('Valve Sizing'!$G$6/AJ203)</f>
        <v>100.58158148525153</v>
      </c>
      <c r="AK205" s="44"/>
      <c r="AL205" s="72"/>
      <c r="AM205" s="85">
        <f>(AM198/(N_1*AM$27))*SQRT('Valve Sizing'!$G$6/AM203)</f>
        <v>149.46068794435021</v>
      </c>
      <c r="AN205" s="44"/>
      <c r="AO205" s="72"/>
      <c r="AP205" s="85">
        <f>(AP198/(N_1*AP$27))*SQRT('Valve Sizing'!$G$6/AP203)</f>
        <v>228.62722534324044</v>
      </c>
      <c r="AQ205" s="44"/>
      <c r="AR205" s="72"/>
      <c r="AS205" s="85">
        <f>(AS198/(N_1*AS$27))*SQRT('Valve Sizing'!$G$6/AS203)</f>
        <v>380.61806724590923</v>
      </c>
      <c r="AT205" s="44"/>
      <c r="AU205" s="72"/>
    </row>
    <row r="206" spans="15:47" x14ac:dyDescent="0.25">
      <c r="O206" s="1" t="s">
        <v>246</v>
      </c>
      <c r="P206" s="18"/>
      <c r="Q206" s="65"/>
      <c r="R206" s="53">
        <f>IF(R202&lt;R203,R204,R205)</f>
        <v>0.18959568765611112</v>
      </c>
      <c r="S206" s="49"/>
      <c r="T206" s="72"/>
      <c r="U206" s="64">
        <f>IF(U202&lt;U203,U204,U205)</f>
        <v>5.7845956314272344</v>
      </c>
      <c r="V206" s="44"/>
      <c r="W206" s="72"/>
      <c r="X206" s="64">
        <f>IF(X202&lt;X203,X204,X205)</f>
        <v>13.961527814925557</v>
      </c>
      <c r="Y206" s="44"/>
      <c r="Z206" s="72"/>
      <c r="AA206" s="64">
        <f>IF(AA202&lt;AA203,AA204,AA205)</f>
        <v>27.09389972175693</v>
      </c>
      <c r="AB206" s="44"/>
      <c r="AC206" s="72"/>
      <c r="AD206" s="64">
        <f>IF(AD202&lt;AD203,AD204,AD205)</f>
        <v>46.287633865788841</v>
      </c>
      <c r="AE206" s="44"/>
      <c r="AF206" s="72"/>
      <c r="AG206" s="64">
        <f>IF(AG202&lt;AG203,AG204,AG205)</f>
        <v>74.315780530521209</v>
      </c>
      <c r="AH206" s="44"/>
      <c r="AI206" s="72"/>
      <c r="AJ206" s="64">
        <f>IF(AJ202&lt;AJ203,AJ204,AJ205)</f>
        <v>112.1587526070273</v>
      </c>
      <c r="AK206" s="44"/>
      <c r="AL206" s="72"/>
      <c r="AM206" s="64">
        <f>IF(AM202&lt;AM203,AM204,AM205)</f>
        <v>163.65452145595862</v>
      </c>
      <c r="AN206" s="44"/>
      <c r="AO206" s="72"/>
      <c r="AP206" s="64">
        <f>IF(AP202&lt;AP203,AP204,AP205)</f>
        <v>255.98548027759682</v>
      </c>
      <c r="AQ206" s="44"/>
      <c r="AR206" s="72"/>
      <c r="AS206" s="64">
        <f>IF(AS202&lt;AS203,AS204,AS205)</f>
        <v>530.51941477669811</v>
      </c>
      <c r="AT206" s="44"/>
      <c r="AU206" s="72"/>
    </row>
    <row r="207" spans="15:47" ht="13" x14ac:dyDescent="0.3">
      <c r="O207" s="7" t="s">
        <v>264</v>
      </c>
      <c r="Q207" s="61"/>
      <c r="R207" s="53"/>
      <c r="S207" s="69">
        <f>IFERROR(ABS(C_h-R206),Q_max*10)</f>
        <v>4.8104043123438887</v>
      </c>
      <c r="T207" s="76">
        <f>R198</f>
        <v>1.0766946706593039</v>
      </c>
      <c r="U207" s="61"/>
      <c r="V207" s="69">
        <f>IFERROR(ABS(U$23-U206),Q_max*10)</f>
        <v>6.2154043685727656</v>
      </c>
      <c r="W207" s="75">
        <f>U198</f>
        <v>32.805110946659006</v>
      </c>
      <c r="X207" s="61"/>
      <c r="Y207" s="69">
        <f>IFERROR(ABS(X$23-X206),Q_max*10)</f>
        <v>9.0384721850744434</v>
      </c>
      <c r="Z207" s="75">
        <f>X198</f>
        <v>78.744894186312962</v>
      </c>
      <c r="AA207" s="61"/>
      <c r="AB207" s="69">
        <f>IFERROR(ABS(AA$23-AA206),Q_max*10)</f>
        <v>11.90610027824307</v>
      </c>
      <c r="AC207" s="75">
        <f>AA198</f>
        <v>150.35286207418122</v>
      </c>
      <c r="AD207" s="61"/>
      <c r="AE207" s="69">
        <f>IFERROR(ABS(AD$23-AD206),Q_max*10)</f>
        <v>14.712366134211159</v>
      </c>
      <c r="AF207" s="75">
        <f>AD198</f>
        <v>247.27510147250266</v>
      </c>
      <c r="AG207" s="61"/>
      <c r="AH207" s="69">
        <f>IFERROR(ABS(AG$23-AG206),Q_max*10)</f>
        <v>13.684219469478791</v>
      </c>
      <c r="AI207" s="75">
        <f>AG198</f>
        <v>368.1589308017567</v>
      </c>
      <c r="AJ207" s="61"/>
      <c r="AK207" s="69">
        <f>IFERROR(ABS(AJ$23-AJ206),Q_max*10)</f>
        <v>8.8412473929727042</v>
      </c>
      <c r="AL207" s="75">
        <f>AJ198</f>
        <v>491.30952034779233</v>
      </c>
      <c r="AM207" s="61"/>
      <c r="AN207" s="69">
        <f>IFERROR(ABS(AM$23-AM206),Q_max*10)</f>
        <v>1.3454785440413843</v>
      </c>
      <c r="AO207" s="75">
        <f>AM198</f>
        <v>599.49098325998943</v>
      </c>
      <c r="AP207" s="61"/>
      <c r="AQ207" s="69">
        <f>IFERROR(ABS(AP$23-AP206),Q_max*10)</f>
        <v>9.985480277596821</v>
      </c>
      <c r="AR207" s="75">
        <f>AP198</f>
        <v>695.99042058908321</v>
      </c>
      <c r="AS207" s="61"/>
      <c r="AT207" s="69">
        <f>IFERROR(ABS(AS$23-AS206),Q_max*10)</f>
        <v>110.51941477669811</v>
      </c>
      <c r="AU207" s="75">
        <f>AS198</f>
        <v>792.10202091837448</v>
      </c>
    </row>
    <row r="208" spans="15:47" ht="14.5" x14ac:dyDescent="0.35">
      <c r="O208" s="6"/>
      <c r="P208" s="6"/>
      <c r="Q208" s="60"/>
      <c r="R208" s="67"/>
      <c r="S208" s="56"/>
      <c r="T208" s="72"/>
      <c r="V208" s="11"/>
      <c r="W208" s="38"/>
      <c r="Y208" s="11"/>
      <c r="Z208" s="38"/>
      <c r="AB208" s="11"/>
      <c r="AC208" s="38"/>
      <c r="AE208" s="11"/>
      <c r="AF208" s="38"/>
      <c r="AH208" s="11"/>
      <c r="AI208" s="38"/>
      <c r="AK208" s="11"/>
      <c r="AL208" s="38"/>
      <c r="AN208" s="11"/>
      <c r="AO208" s="38"/>
      <c r="AQ208" s="11"/>
      <c r="AR208" s="38"/>
      <c r="AT208" s="11"/>
      <c r="AU208" s="38"/>
    </row>
    <row r="209" spans="15:47" ht="14" x14ac:dyDescent="0.3">
      <c r="O209" s="8" t="s">
        <v>235</v>
      </c>
      <c r="P209" s="6"/>
      <c r="Q209" s="60"/>
      <c r="R209" s="53">
        <f>R198*1.02</f>
        <v>1.09822856407249</v>
      </c>
      <c r="S209" s="58" t="s">
        <v>238</v>
      </c>
      <c r="T209" s="73" t="s">
        <v>241</v>
      </c>
      <c r="U209" s="84">
        <f>U198*1.01</f>
        <v>33.133162056125599</v>
      </c>
      <c r="V209" s="58" t="s">
        <v>238</v>
      </c>
      <c r="W209" s="73" t="s">
        <v>241</v>
      </c>
      <c r="X209" s="84">
        <f>X198*1.01</f>
        <v>79.532343128176095</v>
      </c>
      <c r="Y209" s="58" t="s">
        <v>238</v>
      </c>
      <c r="Z209" s="73" t="s">
        <v>241</v>
      </c>
      <c r="AA209" s="84">
        <f>AA198*1.01</f>
        <v>151.85639069492302</v>
      </c>
      <c r="AB209" s="58" t="s">
        <v>238</v>
      </c>
      <c r="AC209" s="73" t="s">
        <v>241</v>
      </c>
      <c r="AD209" s="84">
        <f>AD198*1.01</f>
        <v>249.74785248722768</v>
      </c>
      <c r="AE209" s="58" t="s">
        <v>238</v>
      </c>
      <c r="AF209" s="73" t="s">
        <v>241</v>
      </c>
      <c r="AG209" s="84">
        <f>AG198*1.01</f>
        <v>371.84052010977427</v>
      </c>
      <c r="AH209" s="58" t="s">
        <v>238</v>
      </c>
      <c r="AI209" s="73" t="s">
        <v>241</v>
      </c>
      <c r="AJ209" s="84">
        <f>AJ198*1.01</f>
        <v>496.22261555127028</v>
      </c>
      <c r="AK209" s="58" t="s">
        <v>238</v>
      </c>
      <c r="AL209" s="73" t="s">
        <v>241</v>
      </c>
      <c r="AM209" s="84">
        <f>AM198*1.01</f>
        <v>605.48589309258932</v>
      </c>
      <c r="AN209" s="58" t="s">
        <v>238</v>
      </c>
      <c r="AO209" s="73" t="s">
        <v>241</v>
      </c>
      <c r="AP209" s="84">
        <f>AP198*1.01</f>
        <v>702.95032479497411</v>
      </c>
      <c r="AQ209" s="58" t="s">
        <v>238</v>
      </c>
      <c r="AR209" s="73" t="s">
        <v>241</v>
      </c>
      <c r="AS209" s="84">
        <f>AS198*1.01</f>
        <v>800.02304112755826</v>
      </c>
      <c r="AT209" s="58" t="s">
        <v>238</v>
      </c>
      <c r="AU209" s="73" t="s">
        <v>241</v>
      </c>
    </row>
    <row r="210" spans="15:47" ht="13" x14ac:dyDescent="0.25">
      <c r="O210" s="6"/>
      <c r="P210" s="6"/>
      <c r="Q210" s="60"/>
      <c r="R210" s="70"/>
      <c r="S210" s="63" t="s">
        <v>250</v>
      </c>
      <c r="T210" s="71" t="s">
        <v>242</v>
      </c>
      <c r="U210" s="61"/>
      <c r="V210" s="63" t="s">
        <v>250</v>
      </c>
      <c r="W210" s="71" t="s">
        <v>242</v>
      </c>
      <c r="X210" s="61"/>
      <c r="Y210" s="63" t="s">
        <v>250</v>
      </c>
      <c r="Z210" s="71" t="s">
        <v>242</v>
      </c>
      <c r="AA210" s="61"/>
      <c r="AB210" s="63" t="s">
        <v>250</v>
      </c>
      <c r="AC210" s="71" t="s">
        <v>242</v>
      </c>
      <c r="AD210" s="61"/>
      <c r="AE210" s="63" t="s">
        <v>250</v>
      </c>
      <c r="AF210" s="71" t="s">
        <v>242</v>
      </c>
      <c r="AG210" s="61"/>
      <c r="AH210" s="63" t="s">
        <v>250</v>
      </c>
      <c r="AI210" s="71" t="s">
        <v>242</v>
      </c>
      <c r="AJ210" s="61"/>
      <c r="AK210" s="63" t="s">
        <v>250</v>
      </c>
      <c r="AL210" s="71" t="s">
        <v>242</v>
      </c>
      <c r="AM210" s="61"/>
      <c r="AN210" s="63" t="s">
        <v>250</v>
      </c>
      <c r="AO210" s="71" t="s">
        <v>242</v>
      </c>
      <c r="AP210" s="61"/>
      <c r="AQ210" s="63" t="s">
        <v>250</v>
      </c>
      <c r="AR210" s="71" t="s">
        <v>242</v>
      </c>
      <c r="AS210" s="61"/>
      <c r="AT210" s="63" t="s">
        <v>250</v>
      </c>
      <c r="AU210" s="71" t="s">
        <v>242</v>
      </c>
    </row>
    <row r="211" spans="15:47" ht="13" x14ac:dyDescent="0.3">
      <c r="O211" s="6" t="s">
        <v>231</v>
      </c>
      <c r="P211" s="6"/>
      <c r="Q211" s="60"/>
      <c r="R211" s="85">
        <f>P_1_minQ-(R209^2*R_up)+dpup_minQ</f>
        <v>56.916102461804158</v>
      </c>
      <c r="S211" s="56"/>
      <c r="T211" s="72"/>
      <c r="U211" s="53">
        <f>P_1_minQ-(U209^2*R_up)+dpup_minQ</f>
        <v>56.879067665388803</v>
      </c>
      <c r="V211" s="44"/>
      <c r="W211" s="72"/>
      <c r="X211" s="53">
        <f>P_1_minQ-(X209^2*R_up)+dpup_minQ</f>
        <v>56.702519635141577</v>
      </c>
      <c r="Y211" s="44"/>
      <c r="Z211" s="72"/>
      <c r="AA211" s="53">
        <f>P_1_minQ-(AA209^2*R_up)+dpup_minQ</f>
        <v>56.13733997315471</v>
      </c>
      <c r="AB211" s="44"/>
      <c r="AC211" s="72"/>
      <c r="AD211" s="53">
        <f>P_1_minQ-(AD209^2*R_up)+dpup_minQ</f>
        <v>54.809625470382237</v>
      </c>
      <c r="AE211" s="44"/>
      <c r="AF211" s="72"/>
      <c r="AG211" s="53">
        <f>P_1_minQ-(AG209^2*R_up)+dpup_minQ</f>
        <v>52.246593299712686</v>
      </c>
      <c r="AH211" s="44"/>
      <c r="AI211" s="72"/>
      <c r="AJ211" s="53">
        <f>P_1_minQ-(AJ209^2*R_up)+dpup_minQ</f>
        <v>48.60013900085972</v>
      </c>
      <c r="AK211" s="44"/>
      <c r="AL211" s="72"/>
      <c r="AM211" s="53">
        <f>P_1_minQ-(AM209^2*R_up)+dpup_minQ</f>
        <v>44.534746142042195</v>
      </c>
      <c r="AN211" s="44"/>
      <c r="AO211" s="72"/>
      <c r="AP211" s="53">
        <f>P_1_minQ-(AP209^2*R_up)+dpup_minQ</f>
        <v>40.227890606911195</v>
      </c>
      <c r="AQ211" s="44"/>
      <c r="AR211" s="72"/>
      <c r="AS211" s="53">
        <f>P_1_minQ-(AS209^2*R_up)+dpup_minQ</f>
        <v>35.300578644546206</v>
      </c>
      <c r="AT211" s="44"/>
      <c r="AU211" s="72"/>
    </row>
    <row r="212" spans="15:47" ht="13" x14ac:dyDescent="0.3">
      <c r="O212" s="6" t="s">
        <v>233</v>
      </c>
      <c r="P212" s="6"/>
      <c r="Q212" s="60"/>
      <c r="R212" s="85">
        <f>P_2_minQ+(R209^2*R_dn)-dpdn_minQ</f>
        <v>24.656779507639172</v>
      </c>
      <c r="S212" s="66"/>
      <c r="T212" s="74"/>
      <c r="U212" s="53">
        <f>P_2_minQ+(U209^2*R_dn)-dpdn_minQ</f>
        <v>24.664186466922239</v>
      </c>
      <c r="V212" s="45"/>
      <c r="W212" s="74"/>
      <c r="X212" s="53">
        <f>P_2_minQ+(X209^2*R_dn)-dpdn_minQ</f>
        <v>24.699496072971687</v>
      </c>
      <c r="Y212" s="45"/>
      <c r="Z212" s="74"/>
      <c r="AA212" s="53">
        <f>P_2_minQ+(AA209^2*R_dn)-dpdn_minQ</f>
        <v>24.812532005369061</v>
      </c>
      <c r="AB212" s="45"/>
      <c r="AC212" s="74"/>
      <c r="AD212" s="53">
        <f>P_2_minQ+(AD209^2*R_dn)-dpdn_minQ</f>
        <v>25.078074905923554</v>
      </c>
      <c r="AE212" s="45"/>
      <c r="AF212" s="74"/>
      <c r="AG212" s="53">
        <f>P_2_minQ+(AG209^2*R_dn)-dpdn_minQ</f>
        <v>25.590681340057465</v>
      </c>
      <c r="AH212" s="45"/>
      <c r="AI212" s="74"/>
      <c r="AJ212" s="53">
        <f>P_2_minQ+(AJ209^2*R_dn)-dpdn_minQ</f>
        <v>26.319972199828058</v>
      </c>
      <c r="AK212" s="45"/>
      <c r="AL212" s="74"/>
      <c r="AM212" s="53">
        <f>P_2_minQ+(AM209^2*R_dn)-dpdn_minQ</f>
        <v>27.133050771591563</v>
      </c>
      <c r="AN212" s="45"/>
      <c r="AO212" s="74"/>
      <c r="AP212" s="53">
        <f>P_2_minQ+(AP209^2*R_dn)-dpdn_minQ</f>
        <v>27.994421878617761</v>
      </c>
      <c r="AQ212" s="45"/>
      <c r="AR212" s="74"/>
      <c r="AS212" s="53">
        <f>P_2_minQ+(AS209^2*R_dn)-dpdn_minQ</f>
        <v>28.979884271090757</v>
      </c>
      <c r="AT212" s="45"/>
      <c r="AU212" s="74"/>
    </row>
    <row r="213" spans="15:47" x14ac:dyDescent="0.25">
      <c r="O213" s="6" t="s">
        <v>243</v>
      </c>
      <c r="Q213" s="60"/>
      <c r="R213" s="53">
        <f>R211-R212</f>
        <v>32.259322954164986</v>
      </c>
      <c r="S213" s="56"/>
      <c r="T213" s="72"/>
      <c r="U213" s="64">
        <f>U211-U212</f>
        <v>32.214881198466564</v>
      </c>
      <c r="V213" s="44"/>
      <c r="W213" s="72"/>
      <c r="X213" s="64">
        <f>X211-X212</f>
        <v>32.003023562169886</v>
      </c>
      <c r="Y213" s="44"/>
      <c r="Z213" s="72"/>
      <c r="AA213" s="64">
        <f>AA211-AA212</f>
        <v>31.324807967785649</v>
      </c>
      <c r="AB213" s="44"/>
      <c r="AC213" s="72"/>
      <c r="AD213" s="64">
        <f>AD211-AD212</f>
        <v>29.731550564458683</v>
      </c>
      <c r="AE213" s="44"/>
      <c r="AF213" s="72"/>
      <c r="AG213" s="64">
        <f>AG211-AG212</f>
        <v>26.655911959655221</v>
      </c>
      <c r="AH213" s="44"/>
      <c r="AI213" s="72"/>
      <c r="AJ213" s="64">
        <f>AJ211-AJ212</f>
        <v>22.280166801031662</v>
      </c>
      <c r="AK213" s="44"/>
      <c r="AL213" s="72"/>
      <c r="AM213" s="64">
        <f>AM211-AM212</f>
        <v>17.401695370450632</v>
      </c>
      <c r="AN213" s="44"/>
      <c r="AO213" s="72"/>
      <c r="AP213" s="64">
        <f>AP211-AP212</f>
        <v>12.233468728293435</v>
      </c>
      <c r="AQ213" s="44"/>
      <c r="AR213" s="72"/>
      <c r="AS213" s="64">
        <f>AS211-AS212</f>
        <v>6.3206943734554493</v>
      </c>
      <c r="AT213" s="44"/>
      <c r="AU213" s="72"/>
    </row>
    <row r="214" spans="15:47" ht="13" x14ac:dyDescent="0.3">
      <c r="O214" s="6" t="s">
        <v>75</v>
      </c>
      <c r="P214" s="6">
        <v>3</v>
      </c>
      <c r="Q214" s="65"/>
      <c r="R214" s="85">
        <f>(F_LP_h/F_P_h)^2*(R211-('Valve Sizing'!$V$4*'Valve Sizing'!$G$7))</f>
        <v>46.765129512603473</v>
      </c>
      <c r="S214" s="58"/>
      <c r="T214" s="73"/>
      <c r="U214" s="53">
        <f>(U$29/U$27)^2*(U211-('Valve Sizing'!$V$4*'Valve Sizing'!$G$7))</f>
        <v>46.721724873328128</v>
      </c>
      <c r="V214" s="41"/>
      <c r="W214" s="73"/>
      <c r="X214" s="53">
        <f>(X$29/X$27)^2*(X211-('Valve Sizing'!$V$4*'Valve Sizing'!$G$7))</f>
        <v>45.524971669346208</v>
      </c>
      <c r="Y214" s="41"/>
      <c r="Z214" s="73"/>
      <c r="AA214" s="53">
        <f>(AA$29/AA$27)^2*(AA211-('Valve Sizing'!$V$4*'Valve Sizing'!$G$7))</f>
        <v>43.042705001614358</v>
      </c>
      <c r="AB214" s="41"/>
      <c r="AC214" s="73"/>
      <c r="AD214" s="53">
        <f>(AD$29/AD$27)^2*(AD211-('Valve Sizing'!$V$4*'Valve Sizing'!$G$7))</f>
        <v>39.210647631970708</v>
      </c>
      <c r="AE214" s="41"/>
      <c r="AF214" s="73"/>
      <c r="AG214" s="53">
        <f>(AG$29/AG$27)^2*(AG211-('Valve Sizing'!$V$4*'Valve Sizing'!$G$7))</f>
        <v>33.365685904738129</v>
      </c>
      <c r="AH214" s="41"/>
      <c r="AI214" s="73"/>
      <c r="AJ214" s="53">
        <f>(AJ$29/AJ$27)^2*(AJ211-('Valve Sizing'!$V$4*'Valve Sizing'!$G$7))</f>
        <v>27.854073428780925</v>
      </c>
      <c r="AK214" s="41"/>
      <c r="AL214" s="73"/>
      <c r="AM214" s="53">
        <f>(AM$29/AM$27)^2*(AM211-('Valve Sizing'!$V$4*'Valve Sizing'!$G$7))</f>
        <v>21.098080366628903</v>
      </c>
      <c r="AN214" s="41"/>
      <c r="AO214" s="73"/>
      <c r="AP214" s="53">
        <f>(AP$29/AP$27)^2*(AP211-('Valve Sizing'!$V$4*'Valve Sizing'!$G$7))</f>
        <v>15.701346279769767</v>
      </c>
      <c r="AQ214" s="41"/>
      <c r="AR214" s="73"/>
      <c r="AS214" s="53">
        <f>(AS$29/AS$27)^2*(AS211-('Valve Sizing'!$V$4*'Valve Sizing'!$G$7))</f>
        <v>13.112464042629906</v>
      </c>
      <c r="AT214" s="41"/>
      <c r="AU214" s="73"/>
    </row>
    <row r="215" spans="15:47" ht="13" x14ac:dyDescent="0.25">
      <c r="O215" s="1" t="s">
        <v>69</v>
      </c>
      <c r="P215" s="17">
        <v>7</v>
      </c>
      <c r="Q215" s="65"/>
      <c r="R215" s="53">
        <f>(R209/(N_1*F_P_h))*SQRT('Valve Sizing'!$G$6/R213)</f>
        <v>0.1933876070984531</v>
      </c>
      <c r="S215" s="58"/>
      <c r="T215" s="73"/>
      <c r="U215" s="64">
        <f>(U209/(N_1*U$27))*SQRT('Valve Sizing'!$G$6/U213)</f>
        <v>5.8425210803617738</v>
      </c>
      <c r="V215" s="41"/>
      <c r="W215" s="73"/>
      <c r="X215" s="64">
        <f>(X209/(N_1*X$27))*SQRT('Valve Sizing'!$G$6/X213)</f>
        <v>14.102255848911719</v>
      </c>
      <c r="Y215" s="41"/>
      <c r="Z215" s="73"/>
      <c r="AA215" s="64">
        <f>(AA209/(N_1*AA$27))*SQRT('Valve Sizing'!$G$6/AA213)</f>
        <v>27.372880883678143</v>
      </c>
      <c r="AB215" s="41"/>
      <c r="AC215" s="73"/>
      <c r="AD215" s="64">
        <f>(AD209/(N_1*AD$27))*SQRT('Valve Sizing'!$G$6/AD213)</f>
        <v>46.789653437966685</v>
      </c>
      <c r="AE215" s="41"/>
      <c r="AF215" s="73"/>
      <c r="AG215" s="64">
        <f>(AG209/(N_1*AG$27))*SQRT('Valve Sizing'!$G$6/AG213)</f>
        <v>75.214226884601132</v>
      </c>
      <c r="AH215" s="41"/>
      <c r="AI215" s="73"/>
      <c r="AJ215" s="64">
        <f>(AJ209/(N_1*AJ$27))*SQRT('Valve Sizing'!$G$6/AJ213)</f>
        <v>113.77911013391027</v>
      </c>
      <c r="AK215" s="41"/>
      <c r="AL215" s="73"/>
      <c r="AM215" s="64">
        <f>(AM209/(N_1*AM$27))*SQRT('Valve Sizing'!$G$6/AM213)</f>
        <v>166.6756429147525</v>
      </c>
      <c r="AN215" s="41"/>
      <c r="AO215" s="73"/>
      <c r="AP215" s="64">
        <f>(AP209/(N_1*AP$27))*SQRT('Valve Sizing'!$G$6/AP213)</f>
        <v>262.6819214679731</v>
      </c>
      <c r="AQ215" s="41"/>
      <c r="AR215" s="73"/>
      <c r="AS215" s="64">
        <f>(AS209/(N_1*AS$27))*SQRT('Valve Sizing'!$G$6/AS213)</f>
        <v>557.067056005312</v>
      </c>
      <c r="AT215" s="41"/>
      <c r="AU215" s="73"/>
    </row>
    <row r="216" spans="15:47" ht="13" x14ac:dyDescent="0.3">
      <c r="O216" s="1" t="s">
        <v>72</v>
      </c>
      <c r="P216" s="17">
        <v>7</v>
      </c>
      <c r="Q216" s="65"/>
      <c r="R216" s="53">
        <f>(R209/(N_1*F_P_h))*SQRT('Valve Sizing'!$G$6/R214)</f>
        <v>0.16061836218003658</v>
      </c>
      <c r="S216" s="56"/>
      <c r="T216" s="72"/>
      <c r="U216" s="85">
        <f>(U209/(N_1*U$27))*SQRT('Valve Sizing'!$G$6/U214)</f>
        <v>4.8514227591363239</v>
      </c>
      <c r="V216" s="44"/>
      <c r="W216" s="72"/>
      <c r="X216" s="85">
        <f>(X209/(N_1*X$27))*SQRT('Valve Sizing'!$G$6/X214)</f>
        <v>11.823859299269484</v>
      </c>
      <c r="Y216" s="44"/>
      <c r="Z216" s="72"/>
      <c r="AA216" s="85">
        <f>(AA209/(N_1*AA$27))*SQRT('Valve Sizing'!$G$6/AA214)</f>
        <v>23.351508327756886</v>
      </c>
      <c r="AB216" s="44"/>
      <c r="AC216" s="72"/>
      <c r="AD216" s="85">
        <f>(AD209/(N_1*AD$27))*SQRT('Valve Sizing'!$G$6/AD214)</f>
        <v>40.743337393375192</v>
      </c>
      <c r="AE216" s="44"/>
      <c r="AF216" s="72"/>
      <c r="AG216" s="85">
        <f>(AG209/(N_1*AG$27))*SQRT('Valve Sizing'!$G$6/AG214)</f>
        <v>67.227465716814152</v>
      </c>
      <c r="AH216" s="44"/>
      <c r="AI216" s="72"/>
      <c r="AJ216" s="85">
        <f>(AJ209/(N_1*AJ$27))*SQRT('Valve Sizing'!$G$6/AJ214)</f>
        <v>101.7600692126437</v>
      </c>
      <c r="AK216" s="44"/>
      <c r="AL216" s="72"/>
      <c r="AM216" s="85">
        <f>(AM209/(N_1*AM$27))*SQRT('Valve Sizing'!$G$6/AM214)</f>
        <v>151.37231356695426</v>
      </c>
      <c r="AN216" s="44"/>
      <c r="AO216" s="72"/>
      <c r="AP216" s="85">
        <f>(AP209/(N_1*AP$27))*SQRT('Valve Sizing'!$G$6/AP214)</f>
        <v>231.86572062355901</v>
      </c>
      <c r="AQ216" s="44"/>
      <c r="AR216" s="72"/>
      <c r="AS216" s="85">
        <f>(AS209/(N_1*AS$27))*SQRT('Valve Sizing'!$G$6/AS214)</f>
        <v>386.76549001550512</v>
      </c>
      <c r="AT216" s="44"/>
      <c r="AU216" s="72"/>
    </row>
    <row r="217" spans="15:47" x14ac:dyDescent="0.25">
      <c r="O217" s="1" t="s">
        <v>246</v>
      </c>
      <c r="P217" s="18"/>
      <c r="Q217" s="65"/>
      <c r="R217" s="53">
        <f>IF(R213&lt;R214,R215,R216)</f>
        <v>0.1933876070984531</v>
      </c>
      <c r="S217" s="49"/>
      <c r="T217" s="72"/>
      <c r="U217" s="64">
        <f>IF(U213&lt;U214,U215,U216)</f>
        <v>5.8425210803617738</v>
      </c>
      <c r="V217" s="44"/>
      <c r="W217" s="72"/>
      <c r="X217" s="64">
        <f>IF(X213&lt;X214,X215,X216)</f>
        <v>14.102255848911719</v>
      </c>
      <c r="Y217" s="44"/>
      <c r="Z217" s="72"/>
      <c r="AA217" s="64">
        <f>IF(AA213&lt;AA214,AA215,AA216)</f>
        <v>27.372880883678143</v>
      </c>
      <c r="AB217" s="44"/>
      <c r="AC217" s="72"/>
      <c r="AD217" s="64">
        <f>IF(AD213&lt;AD214,AD215,AD216)</f>
        <v>46.789653437966685</v>
      </c>
      <c r="AE217" s="44"/>
      <c r="AF217" s="72"/>
      <c r="AG217" s="64">
        <f>IF(AG213&lt;AG214,AG215,AG216)</f>
        <v>75.214226884601132</v>
      </c>
      <c r="AH217" s="44"/>
      <c r="AI217" s="72"/>
      <c r="AJ217" s="64">
        <f>IF(AJ213&lt;AJ214,AJ215,AJ216)</f>
        <v>113.77911013391027</v>
      </c>
      <c r="AK217" s="44"/>
      <c r="AL217" s="72"/>
      <c r="AM217" s="64">
        <f>IF(AM213&lt;AM214,AM215,AM216)</f>
        <v>166.6756429147525</v>
      </c>
      <c r="AN217" s="44"/>
      <c r="AO217" s="72"/>
      <c r="AP217" s="64">
        <f>IF(AP213&lt;AP214,AP215,AP216)</f>
        <v>262.6819214679731</v>
      </c>
      <c r="AQ217" s="44"/>
      <c r="AR217" s="72"/>
      <c r="AS217" s="64">
        <f>IF(AS213&lt;AS214,AS215,AS216)</f>
        <v>557.067056005312</v>
      </c>
      <c r="AT217" s="44"/>
      <c r="AU217" s="72"/>
    </row>
    <row r="218" spans="15:47" ht="13" x14ac:dyDescent="0.3">
      <c r="O218" s="7" t="s">
        <v>264</v>
      </c>
      <c r="Q218" s="61"/>
      <c r="R218" s="53"/>
      <c r="S218" s="69">
        <f>IFERROR(ABS(C_h-R217),Q_max*10)</f>
        <v>4.8066123929015472</v>
      </c>
      <c r="T218" s="76">
        <f>R209</f>
        <v>1.09822856407249</v>
      </c>
      <c r="U218" s="61"/>
      <c r="V218" s="69">
        <f>IFERROR(ABS(U$23-U217),Q_max*10)</f>
        <v>6.1574789196382262</v>
      </c>
      <c r="W218" s="75">
        <f>U209</f>
        <v>33.133162056125599</v>
      </c>
      <c r="X218" s="61"/>
      <c r="Y218" s="69">
        <f>IFERROR(ABS(X$23-X217),Q_max*10)</f>
        <v>8.8977441510882809</v>
      </c>
      <c r="Z218" s="75">
        <f>X209</f>
        <v>79.532343128176095</v>
      </c>
      <c r="AA218" s="61"/>
      <c r="AB218" s="69">
        <f>IFERROR(ABS(AA$23-AA217),Q_max*10)</f>
        <v>11.627119116321857</v>
      </c>
      <c r="AC218" s="75">
        <f>AA209</f>
        <v>151.85639069492302</v>
      </c>
      <c r="AD218" s="61"/>
      <c r="AE218" s="69">
        <f>IFERROR(ABS(AD$23-AD217),Q_max*10)</f>
        <v>14.210346562033315</v>
      </c>
      <c r="AF218" s="75">
        <f>AD209</f>
        <v>249.74785248722768</v>
      </c>
      <c r="AG218" s="61"/>
      <c r="AH218" s="69">
        <f>IFERROR(ABS(AG$23-AG217),Q_max*10)</f>
        <v>12.785773115398868</v>
      </c>
      <c r="AI218" s="75">
        <f>AG209</f>
        <v>371.84052010977427</v>
      </c>
      <c r="AJ218" s="61"/>
      <c r="AK218" s="69">
        <f>IFERROR(ABS(AJ$23-AJ217),Q_max*10)</f>
        <v>7.2208898660897347</v>
      </c>
      <c r="AL218" s="75">
        <f>AJ209</f>
        <v>496.22261555127028</v>
      </c>
      <c r="AM218" s="61"/>
      <c r="AN218" s="69">
        <f>IFERROR(ABS(AM$23-AM217),Q_max*10)</f>
        <v>1.6756429147525012</v>
      </c>
      <c r="AO218" s="75">
        <f>AM209</f>
        <v>605.48589309258932</v>
      </c>
      <c r="AP218" s="61"/>
      <c r="AQ218" s="69">
        <f>IFERROR(ABS(AP$23-AP217),Q_max*10)</f>
        <v>16.681921467973098</v>
      </c>
      <c r="AR218" s="75">
        <f>AP209</f>
        <v>702.95032479497411</v>
      </c>
      <c r="AS218" s="61"/>
      <c r="AT218" s="69">
        <f>IFERROR(ABS(AS$23-AS217),Q_max*10)</f>
        <v>137.067056005312</v>
      </c>
      <c r="AU218" s="75">
        <f>AS209</f>
        <v>800.02304112755826</v>
      </c>
    </row>
    <row r="219" spans="15:47" ht="14.5" x14ac:dyDescent="0.35">
      <c r="O219" s="6"/>
      <c r="P219" s="6"/>
      <c r="Q219" s="60"/>
      <c r="R219" s="67"/>
      <c r="S219" s="56"/>
      <c r="T219" s="72"/>
      <c r="V219" s="11"/>
      <c r="W219" s="38"/>
      <c r="Y219" s="11"/>
      <c r="Z219" s="38"/>
      <c r="AB219" s="11"/>
      <c r="AC219" s="38"/>
      <c r="AE219" s="11"/>
      <c r="AF219" s="38"/>
      <c r="AH219" s="11"/>
      <c r="AI219" s="38"/>
      <c r="AK219" s="11"/>
      <c r="AL219" s="38"/>
      <c r="AN219" s="11"/>
      <c r="AO219" s="38"/>
      <c r="AQ219" s="11"/>
      <c r="AR219" s="38"/>
      <c r="AT219" s="11"/>
      <c r="AU219" s="38"/>
    </row>
    <row r="220" spans="15:47" ht="14" x14ac:dyDescent="0.3">
      <c r="O220" s="8" t="s">
        <v>235</v>
      </c>
      <c r="P220" s="6"/>
      <c r="Q220" s="60"/>
      <c r="R220" s="53">
        <f>R209*1.02</f>
        <v>1.1201931353539398</v>
      </c>
      <c r="S220" s="58" t="s">
        <v>238</v>
      </c>
      <c r="T220" s="73" t="s">
        <v>241</v>
      </c>
      <c r="U220" s="84">
        <f>U209*1.01</f>
        <v>33.464493676686857</v>
      </c>
      <c r="V220" s="58" t="s">
        <v>238</v>
      </c>
      <c r="W220" s="73" t="s">
        <v>241</v>
      </c>
      <c r="X220" s="84">
        <f>X209*1.01</f>
        <v>80.327666559457853</v>
      </c>
      <c r="Y220" s="58" t="s">
        <v>238</v>
      </c>
      <c r="Z220" s="73" t="s">
        <v>241</v>
      </c>
      <c r="AA220" s="84">
        <f>AA209*1.01</f>
        <v>153.37495460187225</v>
      </c>
      <c r="AB220" s="58" t="s">
        <v>238</v>
      </c>
      <c r="AC220" s="73" t="s">
        <v>241</v>
      </c>
      <c r="AD220" s="84">
        <f>AD209*1.01</f>
        <v>252.24533101209997</v>
      </c>
      <c r="AE220" s="58" t="s">
        <v>238</v>
      </c>
      <c r="AF220" s="73" t="s">
        <v>241</v>
      </c>
      <c r="AG220" s="84">
        <f>AG209*1.01</f>
        <v>375.55892531087204</v>
      </c>
      <c r="AH220" s="58" t="s">
        <v>238</v>
      </c>
      <c r="AI220" s="73" t="s">
        <v>241</v>
      </c>
      <c r="AJ220" s="84">
        <f>AJ209*1.01</f>
        <v>501.184841706783</v>
      </c>
      <c r="AK220" s="58" t="s">
        <v>238</v>
      </c>
      <c r="AL220" s="73" t="s">
        <v>241</v>
      </c>
      <c r="AM220" s="84">
        <f>AM209*1.01</f>
        <v>611.54075202351521</v>
      </c>
      <c r="AN220" s="58" t="s">
        <v>238</v>
      </c>
      <c r="AO220" s="73" t="s">
        <v>241</v>
      </c>
      <c r="AP220" s="84">
        <f>AP209*1.01</f>
        <v>709.97982804292383</v>
      </c>
      <c r="AQ220" s="58" t="s">
        <v>238</v>
      </c>
      <c r="AR220" s="73" t="s">
        <v>241</v>
      </c>
      <c r="AS220" s="84">
        <f>AS209*1.01</f>
        <v>808.0232715388338</v>
      </c>
      <c r="AT220" s="58" t="s">
        <v>238</v>
      </c>
      <c r="AU220" s="73" t="s">
        <v>241</v>
      </c>
    </row>
    <row r="221" spans="15:47" ht="13" x14ac:dyDescent="0.25">
      <c r="O221" s="6"/>
      <c r="P221" s="6"/>
      <c r="Q221" s="60"/>
      <c r="R221" s="70"/>
      <c r="S221" s="63" t="s">
        <v>250</v>
      </c>
      <c r="T221" s="71" t="s">
        <v>242</v>
      </c>
      <c r="U221" s="61"/>
      <c r="V221" s="63" t="s">
        <v>250</v>
      </c>
      <c r="W221" s="71" t="s">
        <v>242</v>
      </c>
      <c r="X221" s="61"/>
      <c r="Y221" s="63" t="s">
        <v>250</v>
      </c>
      <c r="Z221" s="71" t="s">
        <v>242</v>
      </c>
      <c r="AA221" s="61"/>
      <c r="AB221" s="63" t="s">
        <v>250</v>
      </c>
      <c r="AC221" s="71" t="s">
        <v>242</v>
      </c>
      <c r="AD221" s="61"/>
      <c r="AE221" s="63" t="s">
        <v>250</v>
      </c>
      <c r="AF221" s="71" t="s">
        <v>242</v>
      </c>
      <c r="AG221" s="61"/>
      <c r="AH221" s="63" t="s">
        <v>250</v>
      </c>
      <c r="AI221" s="71" t="s">
        <v>242</v>
      </c>
      <c r="AJ221" s="61"/>
      <c r="AK221" s="63" t="s">
        <v>250</v>
      </c>
      <c r="AL221" s="71" t="s">
        <v>242</v>
      </c>
      <c r="AM221" s="61"/>
      <c r="AN221" s="63" t="s">
        <v>250</v>
      </c>
      <c r="AO221" s="71" t="s">
        <v>242</v>
      </c>
      <c r="AP221" s="61"/>
      <c r="AQ221" s="63" t="s">
        <v>250</v>
      </c>
      <c r="AR221" s="71" t="s">
        <v>242</v>
      </c>
      <c r="AS221" s="61"/>
      <c r="AT221" s="63" t="s">
        <v>250</v>
      </c>
      <c r="AU221" s="71" t="s">
        <v>242</v>
      </c>
    </row>
    <row r="222" spans="15:47" ht="13" x14ac:dyDescent="0.3">
      <c r="O222" s="6" t="s">
        <v>231</v>
      </c>
      <c r="P222" s="6"/>
      <c r="Q222" s="60"/>
      <c r="R222" s="85">
        <f>P_1_minQ-(R220^2*R_up)+dpup_minQ</f>
        <v>56.916100816188433</v>
      </c>
      <c r="S222" s="56"/>
      <c r="T222" s="72"/>
      <c r="U222" s="53">
        <f>P_1_minQ-(U220^2*R_up)+dpup_minQ</f>
        <v>56.878322447246305</v>
      </c>
      <c r="V222" s="44"/>
      <c r="W222" s="72"/>
      <c r="X222" s="53">
        <f>P_1_minQ-(X220^2*R_up)+dpup_minQ</f>
        <v>56.6982258015911</v>
      </c>
      <c r="Y222" s="44"/>
      <c r="Z222" s="72"/>
      <c r="AA222" s="53">
        <f>P_1_minQ-(AA220^2*R_up)+dpup_minQ</f>
        <v>56.121686028398301</v>
      </c>
      <c r="AB222" s="44"/>
      <c r="AC222" s="72"/>
      <c r="AD222" s="53">
        <f>P_1_minQ-(AD220^2*R_up)+dpup_minQ</f>
        <v>54.767284464120095</v>
      </c>
      <c r="AE222" s="44"/>
      <c r="AF222" s="72"/>
      <c r="AG222" s="53">
        <f>P_1_minQ-(AG220^2*R_up)+dpup_minQ</f>
        <v>52.152735346820087</v>
      </c>
      <c r="AH222" s="44"/>
      <c r="AI222" s="72"/>
      <c r="AJ222" s="53">
        <f>P_1_minQ-(AJ220^2*R_up)+dpup_minQ</f>
        <v>48.43298731656018</v>
      </c>
      <c r="AK222" s="44"/>
      <c r="AL222" s="72"/>
      <c r="AM222" s="53">
        <f>P_1_minQ-(AM220^2*R_up)+dpup_minQ</f>
        <v>44.28588006128043</v>
      </c>
      <c r="AN222" s="44"/>
      <c r="AO222" s="72"/>
      <c r="AP222" s="53">
        <f>P_1_minQ-(AP220^2*R_up)+dpup_minQ</f>
        <v>39.89245672989329</v>
      </c>
      <c r="AQ222" s="44"/>
      <c r="AR222" s="72"/>
      <c r="AS222" s="53">
        <f>P_1_minQ-(AS220^2*R_up)+dpup_minQ</f>
        <v>34.866105797084764</v>
      </c>
      <c r="AT222" s="44"/>
      <c r="AU222" s="72"/>
    </row>
    <row r="223" spans="15:47" ht="13" x14ac:dyDescent="0.3">
      <c r="O223" s="6" t="s">
        <v>233</v>
      </c>
      <c r="P223" s="6"/>
      <c r="Q223" s="60"/>
      <c r="R223" s="85">
        <f>P_2_minQ+(R220^2*R_dn)-dpdn_minQ</f>
        <v>24.656779836762315</v>
      </c>
      <c r="S223" s="66"/>
      <c r="T223" s="74"/>
      <c r="U223" s="53">
        <f>P_2_minQ+(U220^2*R_dn)-dpdn_minQ</f>
        <v>24.664335510550742</v>
      </c>
      <c r="V223" s="45"/>
      <c r="W223" s="74"/>
      <c r="X223" s="53">
        <f>P_2_minQ+(X220^2*R_dn)-dpdn_minQ</f>
        <v>24.700354839681779</v>
      </c>
      <c r="Y223" s="45"/>
      <c r="Z223" s="74"/>
      <c r="AA223" s="53">
        <f>P_2_minQ+(AA220^2*R_dn)-dpdn_minQ</f>
        <v>24.815662794320342</v>
      </c>
      <c r="AB223" s="45"/>
      <c r="AC223" s="74"/>
      <c r="AD223" s="53">
        <f>P_2_minQ+(AD220^2*R_dn)-dpdn_minQ</f>
        <v>25.086543107175981</v>
      </c>
      <c r="AE223" s="45"/>
      <c r="AF223" s="74"/>
      <c r="AG223" s="53">
        <f>P_2_minQ+(AG220^2*R_dn)-dpdn_minQ</f>
        <v>25.609452930635985</v>
      </c>
      <c r="AH223" s="45"/>
      <c r="AI223" s="74"/>
      <c r="AJ223" s="53">
        <f>P_2_minQ+(AJ220^2*R_dn)-dpdn_minQ</f>
        <v>26.353402536687966</v>
      </c>
      <c r="AK223" s="45"/>
      <c r="AL223" s="74"/>
      <c r="AM223" s="53">
        <f>P_2_minQ+(AM220^2*R_dn)-dpdn_minQ</f>
        <v>27.182823987743916</v>
      </c>
      <c r="AN223" s="45"/>
      <c r="AO223" s="74"/>
      <c r="AP223" s="53">
        <f>P_2_minQ+(AP220^2*R_dn)-dpdn_minQ</f>
        <v>28.061508654021342</v>
      </c>
      <c r="AQ223" s="45"/>
      <c r="AR223" s="74"/>
      <c r="AS223" s="53">
        <f>P_2_minQ+(AS220^2*R_dn)-dpdn_minQ</f>
        <v>29.066778840583048</v>
      </c>
      <c r="AT223" s="45"/>
      <c r="AU223" s="74"/>
    </row>
    <row r="224" spans="15:47" x14ac:dyDescent="0.25">
      <c r="O224" s="6" t="s">
        <v>243</v>
      </c>
      <c r="Q224" s="60"/>
      <c r="R224" s="53">
        <f>R222-R223</f>
        <v>32.259320979426121</v>
      </c>
      <c r="S224" s="56"/>
      <c r="T224" s="72"/>
      <c r="U224" s="64">
        <f>U222-U223</f>
        <v>32.213986936695562</v>
      </c>
      <c r="V224" s="44"/>
      <c r="W224" s="72"/>
      <c r="X224" s="64">
        <f>X222-X223</f>
        <v>31.997870961909321</v>
      </c>
      <c r="Y224" s="44"/>
      <c r="Z224" s="72"/>
      <c r="AA224" s="64">
        <f>AA222-AA223</f>
        <v>31.306023234077959</v>
      </c>
      <c r="AB224" s="44"/>
      <c r="AC224" s="72"/>
      <c r="AD224" s="64">
        <f>AD222-AD223</f>
        <v>29.680741356944115</v>
      </c>
      <c r="AE224" s="44"/>
      <c r="AF224" s="72"/>
      <c r="AG224" s="64">
        <f>AG222-AG223</f>
        <v>26.543282416184102</v>
      </c>
      <c r="AH224" s="44"/>
      <c r="AI224" s="72"/>
      <c r="AJ224" s="64">
        <f>AJ222-AJ223</f>
        <v>22.079584779872214</v>
      </c>
      <c r="AK224" s="44"/>
      <c r="AL224" s="72"/>
      <c r="AM224" s="64">
        <f>AM222-AM223</f>
        <v>17.103056073536514</v>
      </c>
      <c r="AN224" s="44"/>
      <c r="AO224" s="72"/>
      <c r="AP224" s="64">
        <f>AP222-AP223</f>
        <v>11.830948075871948</v>
      </c>
      <c r="AQ224" s="44"/>
      <c r="AR224" s="72"/>
      <c r="AS224" s="64">
        <f>AS222-AS223</f>
        <v>5.7993269565017158</v>
      </c>
      <c r="AT224" s="44"/>
      <c r="AU224" s="72"/>
    </row>
    <row r="225" spans="15:47" ht="13" x14ac:dyDescent="0.3">
      <c r="O225" s="6" t="s">
        <v>75</v>
      </c>
      <c r="P225" s="6">
        <v>3</v>
      </c>
      <c r="Q225" s="65"/>
      <c r="R225" s="85">
        <f>(F_LP_h/F_P_h)^2*(R222-('Valve Sizing'!$V$4*'Valve Sizing'!$G$7))</f>
        <v>46.765128149947273</v>
      </c>
      <c r="S225" s="58"/>
      <c r="T225" s="73"/>
      <c r="U225" s="53">
        <f>(U$29/U$27)^2*(U222-('Valve Sizing'!$V$4*'Valve Sizing'!$G$7))</f>
        <v>46.721107961780127</v>
      </c>
      <c r="V225" s="41"/>
      <c r="W225" s="73"/>
      <c r="X225" s="53">
        <f>(X$29/X$27)^2*(X222-('Valve Sizing'!$V$4*'Valve Sizing'!$G$7))</f>
        <v>45.521497298621803</v>
      </c>
      <c r="Y225" s="41"/>
      <c r="Z225" s="73"/>
      <c r="AA225" s="53">
        <f>(AA$29/AA$27)^2*(AA222-('Valve Sizing'!$V$4*'Valve Sizing'!$G$7))</f>
        <v>43.030607676603381</v>
      </c>
      <c r="AB225" s="41"/>
      <c r="AC225" s="73"/>
      <c r="AD225" s="53">
        <f>(AD$29/AD$27)^2*(AD222-('Valve Sizing'!$V$4*'Valve Sizing'!$G$7))</f>
        <v>39.180111831447306</v>
      </c>
      <c r="AE225" s="41"/>
      <c r="AF225" s="73"/>
      <c r="AG225" s="53">
        <f>(AG$29/AG$27)^2*(AG222-('Valve Sizing'!$V$4*'Valve Sizing'!$G$7))</f>
        <v>33.305237257907223</v>
      </c>
      <c r="AH225" s="41"/>
      <c r="AI225" s="73"/>
      <c r="AJ225" s="53">
        <f>(AJ$29/AJ$27)^2*(AJ222-('Valve Sizing'!$V$4*'Valve Sizing'!$G$7))</f>
        <v>27.757398855992363</v>
      </c>
      <c r="AK225" s="41"/>
      <c r="AL225" s="73"/>
      <c r="AM225" s="53">
        <f>(AM$29/AM$27)^2*(AM222-('Valve Sizing'!$V$4*'Valve Sizing'!$G$7))</f>
        <v>20.979004878077831</v>
      </c>
      <c r="AN225" s="41"/>
      <c r="AO225" s="73"/>
      <c r="AP225" s="53">
        <f>(AP$29/AP$27)^2*(AP222-('Valve Sizing'!$V$4*'Valve Sizing'!$G$7))</f>
        <v>15.568975073093664</v>
      </c>
      <c r="AQ225" s="41"/>
      <c r="AR225" s="73"/>
      <c r="AS225" s="53">
        <f>(AS$29/AS$27)^2*(AS222-('Valve Sizing'!$V$4*'Valve Sizing'!$G$7))</f>
        <v>12.949041080769211</v>
      </c>
      <c r="AT225" s="41"/>
      <c r="AU225" s="73"/>
    </row>
    <row r="226" spans="15:47" ht="13" x14ac:dyDescent="0.25">
      <c r="O226" s="1" t="s">
        <v>69</v>
      </c>
      <c r="P226" s="17">
        <v>7</v>
      </c>
      <c r="Q226" s="65"/>
      <c r="R226" s="53">
        <f>(R220/(N_1*F_P_h))*SQRT('Valve Sizing'!$G$6/R224)</f>
        <v>0.19725536527786822</v>
      </c>
      <c r="S226" s="58"/>
      <c r="T226" s="73"/>
      <c r="U226" s="64">
        <f>(U220/(N_1*U$27))*SQRT('Valve Sizing'!$G$6/U224)</f>
        <v>5.9010281958682986</v>
      </c>
      <c r="V226" s="41"/>
      <c r="W226" s="73"/>
      <c r="X226" s="64">
        <f>(X220/(N_1*X$27))*SQRT('Valve Sizing'!$G$6/X224)</f>
        <v>14.244425155037163</v>
      </c>
      <c r="Y226" s="41"/>
      <c r="Z226" s="73"/>
      <c r="AA226" s="64">
        <f>(AA220/(N_1*AA$27))*SQRT('Valve Sizing'!$G$6/AA224)</f>
        <v>27.654902925987944</v>
      </c>
      <c r="AB226" s="41"/>
      <c r="AC226" s="73"/>
      <c r="AD226" s="64">
        <f>(AD220/(N_1*AD$27))*SQRT('Valve Sizing'!$G$6/AD224)</f>
        <v>47.297981778269119</v>
      </c>
      <c r="AE226" s="41"/>
      <c r="AF226" s="73"/>
      <c r="AG226" s="64">
        <f>(AG220/(N_1*AG$27))*SQRT('Valve Sizing'!$G$6/AG224)</f>
        <v>76.127370347556237</v>
      </c>
      <c r="AH226" s="41"/>
      <c r="AI226" s="73"/>
      <c r="AJ226" s="64">
        <f>(AJ220/(N_1*AJ$27))*SQRT('Valve Sizing'!$G$6/AJ224)</f>
        <v>115.43770248558187</v>
      </c>
      <c r="AK226" s="41"/>
      <c r="AL226" s="73"/>
      <c r="AM226" s="64">
        <f>(AM220/(N_1*AM$27))*SQRT('Valve Sizing'!$G$6/AM224)</f>
        <v>169.80576623445489</v>
      </c>
      <c r="AN226" s="41"/>
      <c r="AO226" s="73"/>
      <c r="AP226" s="64">
        <f>(AP220/(N_1*AP$27))*SQRT('Valve Sizing'!$G$6/AP224)</f>
        <v>269.78425008508236</v>
      </c>
      <c r="AQ226" s="41"/>
      <c r="AR226" s="73"/>
      <c r="AS226" s="64">
        <f>(AS220/(N_1*AS$27))*SQRT('Valve Sizing'!$G$6/AS224)</f>
        <v>587.38445397366513</v>
      </c>
      <c r="AT226" s="41"/>
      <c r="AU226" s="73"/>
    </row>
    <row r="227" spans="15:47" ht="13" x14ac:dyDescent="0.3">
      <c r="O227" s="1" t="s">
        <v>72</v>
      </c>
      <c r="P227" s="17">
        <v>7</v>
      </c>
      <c r="Q227" s="65"/>
      <c r="R227" s="53">
        <f>(R220/(N_1*F_P_h))*SQRT('Valve Sizing'!$G$6/R225)</f>
        <v>0.16383073181051155</v>
      </c>
      <c r="S227" s="56"/>
      <c r="T227" s="72"/>
      <c r="U227" s="85">
        <f>(U220/(N_1*U$27))*SQRT('Valve Sizing'!$G$6/U225)</f>
        <v>4.8999693363215329</v>
      </c>
      <c r="V227" s="44"/>
      <c r="W227" s="72"/>
      <c r="X227" s="85">
        <f>(X220/(N_1*X$27))*SQRT('Valve Sizing'!$G$6/X225)</f>
        <v>11.942553616327784</v>
      </c>
      <c r="Y227" s="44"/>
      <c r="Z227" s="72"/>
      <c r="AA227" s="85">
        <f>(AA220/(N_1*AA$27))*SQRT('Valve Sizing'!$G$6/AA225)</f>
        <v>23.588338442577125</v>
      </c>
      <c r="AB227" s="44"/>
      <c r="AC227" s="72"/>
      <c r="AD227" s="85">
        <f>(AD220/(N_1*AD$27))*SQRT('Valve Sizing'!$G$6/AD225)</f>
        <v>41.166803480471557</v>
      </c>
      <c r="AE227" s="44"/>
      <c r="AF227" s="72"/>
      <c r="AG227" s="85">
        <f>(AG220/(N_1*AG$27))*SQRT('Valve Sizing'!$G$6/AG225)</f>
        <v>67.961331088683252</v>
      </c>
      <c r="AH227" s="44"/>
      <c r="AI227" s="72"/>
      <c r="AJ227" s="85">
        <f>(AJ220/(N_1*AJ$27))*SQRT('Valve Sizing'!$G$6/AJ225)</f>
        <v>102.95649341506595</v>
      </c>
      <c r="AK227" s="44"/>
      <c r="AL227" s="72"/>
      <c r="AM227" s="85">
        <f>(AM220/(N_1*AM$27))*SQRT('Valve Sizing'!$G$6/AM225)</f>
        <v>153.3193084449463</v>
      </c>
      <c r="AN227" s="44"/>
      <c r="AO227" s="72"/>
      <c r="AP227" s="85">
        <f>(AP220/(N_1*AP$27))*SQRT('Valve Sizing'!$G$6/AP225)</f>
        <v>235.1778169076905</v>
      </c>
      <c r="AQ227" s="44"/>
      <c r="AR227" s="72"/>
      <c r="AS227" s="85">
        <f>(AS220/(N_1*AS$27))*SQRT('Valve Sizing'!$G$6/AS225)</f>
        <v>393.09040288927025</v>
      </c>
      <c r="AT227" s="44"/>
      <c r="AU227" s="72"/>
    </row>
    <row r="228" spans="15:47" x14ac:dyDescent="0.25">
      <c r="O228" s="1" t="s">
        <v>246</v>
      </c>
      <c r="P228" s="18"/>
      <c r="Q228" s="65"/>
      <c r="R228" s="53">
        <f>IF(R224&lt;R225,R226,R227)</f>
        <v>0.19725536527786822</v>
      </c>
      <c r="S228" s="49"/>
      <c r="T228" s="72"/>
      <c r="U228" s="64">
        <f>IF(U224&lt;U225,U226,U227)</f>
        <v>5.9010281958682986</v>
      </c>
      <c r="V228" s="44"/>
      <c r="W228" s="72"/>
      <c r="X228" s="64">
        <f>IF(X224&lt;X225,X226,X227)</f>
        <v>14.244425155037163</v>
      </c>
      <c r="Y228" s="44"/>
      <c r="Z228" s="72"/>
      <c r="AA228" s="64">
        <f>IF(AA224&lt;AA225,AA226,AA227)</f>
        <v>27.654902925987944</v>
      </c>
      <c r="AB228" s="44"/>
      <c r="AC228" s="72"/>
      <c r="AD228" s="64">
        <f>IF(AD224&lt;AD225,AD226,AD227)</f>
        <v>47.297981778269119</v>
      </c>
      <c r="AE228" s="44"/>
      <c r="AF228" s="72"/>
      <c r="AG228" s="64">
        <f>IF(AG224&lt;AG225,AG226,AG227)</f>
        <v>76.127370347556237</v>
      </c>
      <c r="AH228" s="44"/>
      <c r="AI228" s="72"/>
      <c r="AJ228" s="64">
        <f>IF(AJ224&lt;AJ225,AJ226,AJ227)</f>
        <v>115.43770248558187</v>
      </c>
      <c r="AK228" s="44"/>
      <c r="AL228" s="72"/>
      <c r="AM228" s="64">
        <f>IF(AM224&lt;AM225,AM226,AM227)</f>
        <v>169.80576623445489</v>
      </c>
      <c r="AN228" s="44"/>
      <c r="AO228" s="72"/>
      <c r="AP228" s="64">
        <f>IF(AP224&lt;AP225,AP226,AP227)</f>
        <v>269.78425008508236</v>
      </c>
      <c r="AQ228" s="44"/>
      <c r="AR228" s="72"/>
      <c r="AS228" s="64">
        <f>IF(AS224&lt;AS225,AS226,AS227)</f>
        <v>587.38445397366513</v>
      </c>
      <c r="AT228" s="44"/>
      <c r="AU228" s="72"/>
    </row>
    <row r="229" spans="15:47" ht="13" x14ac:dyDescent="0.3">
      <c r="O229" s="7" t="s">
        <v>264</v>
      </c>
      <c r="Q229" s="61"/>
      <c r="R229" s="53"/>
      <c r="S229" s="69">
        <f>IFERROR(ABS(C_h-R228),Q_max*10)</f>
        <v>4.8027446347221314</v>
      </c>
      <c r="T229" s="76">
        <f>R220</f>
        <v>1.1201931353539398</v>
      </c>
      <c r="U229" s="61"/>
      <c r="V229" s="69">
        <f>IFERROR(ABS(U$23-U228),Q_max*10)</f>
        <v>6.0989718041317014</v>
      </c>
      <c r="W229" s="75">
        <f>U220</f>
        <v>33.464493676686857</v>
      </c>
      <c r="X229" s="61"/>
      <c r="Y229" s="69">
        <f>IFERROR(ABS(X$23-X228),Q_max*10)</f>
        <v>8.7555748449628368</v>
      </c>
      <c r="Z229" s="75">
        <f>X220</f>
        <v>80.327666559457853</v>
      </c>
      <c r="AA229" s="61"/>
      <c r="AB229" s="69">
        <f>IFERROR(ABS(AA$23-AA228),Q_max*10)</f>
        <v>11.345097074012056</v>
      </c>
      <c r="AC229" s="75">
        <f>AA220</f>
        <v>153.37495460187225</v>
      </c>
      <c r="AD229" s="61"/>
      <c r="AE229" s="69">
        <f>IFERROR(ABS(AD$23-AD228),Q_max*10)</f>
        <v>13.702018221730881</v>
      </c>
      <c r="AF229" s="75">
        <f>AD220</f>
        <v>252.24533101209997</v>
      </c>
      <c r="AG229" s="61"/>
      <c r="AH229" s="69">
        <f>IFERROR(ABS(AG$23-AG228),Q_max*10)</f>
        <v>11.872629652443763</v>
      </c>
      <c r="AI229" s="75">
        <f>AG220</f>
        <v>375.55892531087204</v>
      </c>
      <c r="AJ229" s="61"/>
      <c r="AK229" s="69">
        <f>IFERROR(ABS(AJ$23-AJ228),Q_max*10)</f>
        <v>5.5622975144181339</v>
      </c>
      <c r="AL229" s="75">
        <f>AJ220</f>
        <v>501.184841706783</v>
      </c>
      <c r="AM229" s="61"/>
      <c r="AN229" s="69">
        <f>IFERROR(ABS(AM$23-AM228),Q_max*10)</f>
        <v>4.805766234454893</v>
      </c>
      <c r="AO229" s="75">
        <f>AM220</f>
        <v>611.54075202351521</v>
      </c>
      <c r="AP229" s="61"/>
      <c r="AQ229" s="69">
        <f>IFERROR(ABS(AP$23-AP228),Q_max*10)</f>
        <v>23.784250085082363</v>
      </c>
      <c r="AR229" s="75">
        <f>AP220</f>
        <v>709.97982804292383</v>
      </c>
      <c r="AS229" s="61"/>
      <c r="AT229" s="69">
        <f>IFERROR(ABS(AS$23-AS228),Q_max*10)</f>
        <v>167.38445397366513</v>
      </c>
      <c r="AU229" s="75">
        <f>AS220</f>
        <v>808.0232715388338</v>
      </c>
    </row>
    <row r="230" spans="15:47" ht="14.5" x14ac:dyDescent="0.35">
      <c r="O230" s="6"/>
      <c r="P230" s="6"/>
      <c r="Q230" s="60"/>
      <c r="R230" s="67"/>
      <c r="S230" s="56"/>
      <c r="T230" s="72"/>
      <c r="V230" s="11"/>
      <c r="W230" s="38"/>
      <c r="Y230" s="11"/>
      <c r="Z230" s="38"/>
      <c r="AB230" s="11"/>
      <c r="AC230" s="38"/>
      <c r="AE230" s="11"/>
      <c r="AF230" s="38"/>
      <c r="AH230" s="11"/>
      <c r="AI230" s="38"/>
      <c r="AK230" s="11"/>
      <c r="AL230" s="38"/>
      <c r="AN230" s="11"/>
      <c r="AO230" s="38"/>
      <c r="AQ230" s="11"/>
      <c r="AR230" s="38"/>
      <c r="AT230" s="11"/>
      <c r="AU230" s="38"/>
    </row>
    <row r="231" spans="15:47" ht="14" x14ac:dyDescent="0.3">
      <c r="O231" s="8" t="s">
        <v>235</v>
      </c>
      <c r="P231" s="6"/>
      <c r="Q231" s="60"/>
      <c r="R231" s="53">
        <f>R220*1.02</f>
        <v>1.1425969980610187</v>
      </c>
      <c r="S231" s="58" t="s">
        <v>238</v>
      </c>
      <c r="T231" s="73" t="s">
        <v>241</v>
      </c>
      <c r="U231" s="84">
        <f>U220*1.01</f>
        <v>33.799138613453728</v>
      </c>
      <c r="V231" s="58" t="s">
        <v>238</v>
      </c>
      <c r="W231" s="73" t="s">
        <v>241</v>
      </c>
      <c r="X231" s="84">
        <f>X220*1.01</f>
        <v>81.130943225052434</v>
      </c>
      <c r="Y231" s="58" t="s">
        <v>238</v>
      </c>
      <c r="Z231" s="73" t="s">
        <v>241</v>
      </c>
      <c r="AA231" s="84">
        <f>AA220*1.01</f>
        <v>154.90870414789097</v>
      </c>
      <c r="AB231" s="58" t="s">
        <v>238</v>
      </c>
      <c r="AC231" s="73" t="s">
        <v>241</v>
      </c>
      <c r="AD231" s="84">
        <f>AD220*1.01</f>
        <v>254.76778432222096</v>
      </c>
      <c r="AE231" s="58" t="s">
        <v>238</v>
      </c>
      <c r="AF231" s="73" t="s">
        <v>241</v>
      </c>
      <c r="AG231" s="84">
        <f>AG220*1.01</f>
        <v>379.31451456398077</v>
      </c>
      <c r="AH231" s="58" t="s">
        <v>238</v>
      </c>
      <c r="AI231" s="73" t="s">
        <v>241</v>
      </c>
      <c r="AJ231" s="84">
        <f>AJ220*1.01</f>
        <v>506.19669012385083</v>
      </c>
      <c r="AK231" s="58" t="s">
        <v>238</v>
      </c>
      <c r="AL231" s="73" t="s">
        <v>241</v>
      </c>
      <c r="AM231" s="84">
        <f>AM220*1.01</f>
        <v>617.65615954375039</v>
      </c>
      <c r="AN231" s="58" t="s">
        <v>238</v>
      </c>
      <c r="AO231" s="73" t="s">
        <v>241</v>
      </c>
      <c r="AP231" s="84">
        <f>AP220*1.01</f>
        <v>717.07962632335307</v>
      </c>
      <c r="AQ231" s="58" t="s">
        <v>238</v>
      </c>
      <c r="AR231" s="73" t="s">
        <v>241</v>
      </c>
      <c r="AS231" s="84">
        <f>AS220*1.01</f>
        <v>816.10350425422212</v>
      </c>
      <c r="AT231" s="58" t="s">
        <v>238</v>
      </c>
      <c r="AU231" s="73" t="s">
        <v>241</v>
      </c>
    </row>
    <row r="232" spans="15:47" ht="13" x14ac:dyDescent="0.25">
      <c r="O232" s="6"/>
      <c r="P232" s="6"/>
      <c r="Q232" s="60"/>
      <c r="R232" s="70"/>
      <c r="S232" s="63" t="s">
        <v>250</v>
      </c>
      <c r="T232" s="71" t="s">
        <v>242</v>
      </c>
      <c r="U232" s="61"/>
      <c r="V232" s="63" t="s">
        <v>250</v>
      </c>
      <c r="W232" s="71" t="s">
        <v>242</v>
      </c>
      <c r="X232" s="61"/>
      <c r="Y232" s="63" t="s">
        <v>250</v>
      </c>
      <c r="Z232" s="71" t="s">
        <v>242</v>
      </c>
      <c r="AA232" s="61"/>
      <c r="AB232" s="63" t="s">
        <v>250</v>
      </c>
      <c r="AC232" s="71" t="s">
        <v>242</v>
      </c>
      <c r="AD232" s="61"/>
      <c r="AE232" s="63" t="s">
        <v>250</v>
      </c>
      <c r="AF232" s="71" t="s">
        <v>242</v>
      </c>
      <c r="AG232" s="61"/>
      <c r="AH232" s="63" t="s">
        <v>250</v>
      </c>
      <c r="AI232" s="71" t="s">
        <v>242</v>
      </c>
      <c r="AJ232" s="61"/>
      <c r="AK232" s="63" t="s">
        <v>250</v>
      </c>
      <c r="AL232" s="71" t="s">
        <v>242</v>
      </c>
      <c r="AM232" s="61"/>
      <c r="AN232" s="63" t="s">
        <v>250</v>
      </c>
      <c r="AO232" s="71" t="s">
        <v>242</v>
      </c>
      <c r="AP232" s="61"/>
      <c r="AQ232" s="63" t="s">
        <v>250</v>
      </c>
      <c r="AR232" s="71" t="s">
        <v>242</v>
      </c>
      <c r="AS232" s="61"/>
      <c r="AT232" s="63" t="s">
        <v>250</v>
      </c>
      <c r="AU232" s="71" t="s">
        <v>242</v>
      </c>
    </row>
    <row r="233" spans="15:47" ht="13" x14ac:dyDescent="0.3">
      <c r="O233" s="6" t="s">
        <v>231</v>
      </c>
      <c r="P233" s="6"/>
      <c r="Q233" s="60"/>
      <c r="R233" s="85">
        <f>P_1_minQ-(R231^2*R_up)+dpup_minQ</f>
        <v>56.916099104089838</v>
      </c>
      <c r="S233" s="56"/>
      <c r="T233" s="72"/>
      <c r="U233" s="53">
        <f>P_1_minQ-(U231^2*R_up)+dpup_minQ</f>
        <v>56.877562250219135</v>
      </c>
      <c r="V233" s="44"/>
      <c r="W233" s="72"/>
      <c r="X233" s="53">
        <f>P_1_minQ-(X231^2*R_up)+dpup_minQ</f>
        <v>56.693845661986266</v>
      </c>
      <c r="Y233" s="44"/>
      <c r="Z233" s="72"/>
      <c r="AA233" s="53">
        <f>P_1_minQ-(AA231^2*R_up)+dpup_minQ</f>
        <v>56.105717439352283</v>
      </c>
      <c r="AB233" s="44"/>
      <c r="AC233" s="72"/>
      <c r="AD233" s="53">
        <f>P_1_minQ-(AD231^2*R_up)+dpup_minQ</f>
        <v>54.724092403632092</v>
      </c>
      <c r="AE233" s="44"/>
      <c r="AF233" s="72"/>
      <c r="AG233" s="53">
        <f>P_1_minQ-(AG231^2*R_up)+dpup_minQ</f>
        <v>52.056990849074353</v>
      </c>
      <c r="AH233" s="44"/>
      <c r="AI233" s="72"/>
      <c r="AJ233" s="53">
        <f>P_1_minQ-(AJ231^2*R_up)+dpup_minQ</f>
        <v>48.262475883406218</v>
      </c>
      <c r="AK233" s="44"/>
      <c r="AL233" s="72"/>
      <c r="AM233" s="53">
        <f>P_1_minQ-(AM231^2*R_up)+dpup_minQ</f>
        <v>44.032011772295341</v>
      </c>
      <c r="AN233" s="44"/>
      <c r="AO233" s="72"/>
      <c r="AP233" s="53">
        <f>P_1_minQ-(AP231^2*R_up)+dpup_minQ</f>
        <v>39.550280631947324</v>
      </c>
      <c r="AQ233" s="44"/>
      <c r="AR233" s="72"/>
      <c r="AS233" s="53">
        <f>P_1_minQ-(AS231^2*R_up)+dpup_minQ</f>
        <v>34.422900045389355</v>
      </c>
      <c r="AT233" s="44"/>
      <c r="AU233" s="72"/>
    </row>
    <row r="234" spans="15:47" ht="13" x14ac:dyDescent="0.3">
      <c r="O234" s="6" t="s">
        <v>233</v>
      </c>
      <c r="P234" s="6"/>
      <c r="Q234" s="60"/>
      <c r="R234" s="85">
        <f>P_2_minQ+(R231^2*R_dn)-dpdn_minQ</f>
        <v>24.656780179182036</v>
      </c>
      <c r="S234" s="66"/>
      <c r="T234" s="74"/>
      <c r="U234" s="53">
        <f>P_2_minQ+(U231^2*R_dn)-dpdn_minQ</f>
        <v>24.664487549956174</v>
      </c>
      <c r="V234" s="45"/>
      <c r="W234" s="74"/>
      <c r="X234" s="53">
        <f>P_2_minQ+(X231^2*R_dn)-dpdn_minQ</f>
        <v>24.701230867602749</v>
      </c>
      <c r="Y234" s="45"/>
      <c r="Z234" s="74"/>
      <c r="AA234" s="53">
        <f>P_2_minQ+(AA231^2*R_dn)-dpdn_minQ</f>
        <v>24.818856512129543</v>
      </c>
      <c r="AB234" s="45"/>
      <c r="AC234" s="74"/>
      <c r="AD234" s="53">
        <f>P_2_minQ+(AD231^2*R_dn)-dpdn_minQ</f>
        <v>25.095181519273581</v>
      </c>
      <c r="AE234" s="45"/>
      <c r="AF234" s="74"/>
      <c r="AG234" s="53">
        <f>P_2_minQ+(AG231^2*R_dn)-dpdn_minQ</f>
        <v>25.628601830185129</v>
      </c>
      <c r="AH234" s="45"/>
      <c r="AI234" s="74"/>
      <c r="AJ234" s="53">
        <f>P_2_minQ+(AJ231^2*R_dn)-dpdn_minQ</f>
        <v>26.387504823318757</v>
      </c>
      <c r="AK234" s="45"/>
      <c r="AL234" s="74"/>
      <c r="AM234" s="53">
        <f>P_2_minQ+(AM231^2*R_dn)-dpdn_minQ</f>
        <v>27.233597645540932</v>
      </c>
      <c r="AN234" s="45"/>
      <c r="AO234" s="74"/>
      <c r="AP234" s="53">
        <f>P_2_minQ+(AP231^2*R_dn)-dpdn_minQ</f>
        <v>28.129943873610536</v>
      </c>
      <c r="AQ234" s="45"/>
      <c r="AR234" s="74"/>
      <c r="AS234" s="53">
        <f>P_2_minQ+(AS231^2*R_dn)-dpdn_minQ</f>
        <v>29.15541999092213</v>
      </c>
      <c r="AT234" s="45"/>
      <c r="AU234" s="74"/>
    </row>
    <row r="235" spans="15:47" x14ac:dyDescent="0.25">
      <c r="O235" s="6" t="s">
        <v>243</v>
      </c>
      <c r="Q235" s="60"/>
      <c r="R235" s="53">
        <f>R233-R234</f>
        <v>32.259318924907802</v>
      </c>
      <c r="S235" s="56"/>
      <c r="T235" s="72"/>
      <c r="U235" s="64">
        <f>U233-U234</f>
        <v>32.213074700262965</v>
      </c>
      <c r="V235" s="44"/>
      <c r="W235" s="72"/>
      <c r="X235" s="64">
        <f>X233-X234</f>
        <v>31.992614794383517</v>
      </c>
      <c r="Y235" s="44"/>
      <c r="Z235" s="72"/>
      <c r="AA235" s="64">
        <f>AA233-AA234</f>
        <v>31.28686092722274</v>
      </c>
      <c r="AB235" s="44"/>
      <c r="AC235" s="72"/>
      <c r="AD235" s="64">
        <f>AD233-AD234</f>
        <v>29.628910884358511</v>
      </c>
      <c r="AE235" s="44"/>
      <c r="AF235" s="72"/>
      <c r="AG235" s="64">
        <f>AG233-AG234</f>
        <v>26.428389018889224</v>
      </c>
      <c r="AH235" s="44"/>
      <c r="AI235" s="72"/>
      <c r="AJ235" s="64">
        <f>AJ233-AJ234</f>
        <v>21.874971060087461</v>
      </c>
      <c r="AK235" s="44"/>
      <c r="AL235" s="72"/>
      <c r="AM235" s="64">
        <f>AM233-AM234</f>
        <v>16.798414126754409</v>
      </c>
      <c r="AN235" s="44"/>
      <c r="AO235" s="72"/>
      <c r="AP235" s="64">
        <f>AP233-AP234</f>
        <v>11.420336758336788</v>
      </c>
      <c r="AQ235" s="44"/>
      <c r="AR235" s="72"/>
      <c r="AS235" s="64">
        <f>AS233-AS234</f>
        <v>5.2674800544672244</v>
      </c>
      <c r="AT235" s="44"/>
      <c r="AU235" s="72"/>
    </row>
    <row r="236" spans="15:47" ht="13" x14ac:dyDescent="0.3">
      <c r="O236" s="6" t="s">
        <v>75</v>
      </c>
      <c r="P236" s="6">
        <v>3</v>
      </c>
      <c r="Q236" s="65"/>
      <c r="R236" s="85">
        <f>(F_LP_h/F_P_h)^2*(R233-('Valve Sizing'!$V$4*'Valve Sizing'!$G$7))</f>
        <v>46.765126732239771</v>
      </c>
      <c r="S236" s="58"/>
      <c r="T236" s="73"/>
      <c r="U236" s="53">
        <f>(U$29/U$27)^2*(U233-('Valve Sizing'!$V$4*'Valve Sizing'!$G$7))</f>
        <v>46.720478650310007</v>
      </c>
      <c r="V236" s="41"/>
      <c r="W236" s="73"/>
      <c r="X236" s="53">
        <f>(X$29/X$27)^2*(X233-('Valve Sizing'!$V$4*'Valve Sizing'!$G$7))</f>
        <v>45.51795309304584</v>
      </c>
      <c r="Y236" s="41"/>
      <c r="Z236" s="73"/>
      <c r="AA236" s="53">
        <f>(AA$29/AA$27)^2*(AA233-('Valve Sizing'!$V$4*'Valve Sizing'!$G$7))</f>
        <v>43.018267195359691</v>
      </c>
      <c r="AB236" s="41"/>
      <c r="AC236" s="73"/>
      <c r="AD236" s="53">
        <f>(AD$29/AD$27)^2*(AD233-('Valve Sizing'!$V$4*'Valve Sizing'!$G$7))</f>
        <v>39.148962261333381</v>
      </c>
      <c r="AE236" s="41"/>
      <c r="AF236" s="73"/>
      <c r="AG236" s="53">
        <f>(AG$29/AG$27)^2*(AG233-('Valve Sizing'!$V$4*'Valve Sizing'!$G$7))</f>
        <v>33.243573593275023</v>
      </c>
      <c r="AH236" s="41"/>
      <c r="AI236" s="73"/>
      <c r="AJ236" s="53">
        <f>(AJ$29/AJ$27)^2*(AJ233-('Valve Sizing'!$V$4*'Valve Sizing'!$G$7))</f>
        <v>27.658781124290751</v>
      </c>
      <c r="AK236" s="41"/>
      <c r="AL236" s="73"/>
      <c r="AM236" s="53">
        <f>(AM$29/AM$27)^2*(AM233-('Valve Sizing'!$V$4*'Valve Sizing'!$G$7))</f>
        <v>20.857535972206875</v>
      </c>
      <c r="AN236" s="41"/>
      <c r="AO236" s="73"/>
      <c r="AP236" s="53">
        <f>(AP$29/AP$27)^2*(AP233-('Valve Sizing'!$V$4*'Valve Sizing'!$G$7))</f>
        <v>15.43394320516337</v>
      </c>
      <c r="AQ236" s="41"/>
      <c r="AR236" s="73"/>
      <c r="AS236" s="53">
        <f>(AS$29/AS$27)^2*(AS233-('Valve Sizing'!$V$4*'Valve Sizing'!$G$7))</f>
        <v>12.782333317375119</v>
      </c>
      <c r="AT236" s="41"/>
      <c r="AU236" s="73"/>
    </row>
    <row r="237" spans="15:47" ht="13" x14ac:dyDescent="0.25">
      <c r="O237" s="1" t="s">
        <v>69</v>
      </c>
      <c r="P237" s="17">
        <v>7</v>
      </c>
      <c r="Q237" s="65"/>
      <c r="R237" s="53">
        <f>(R231/(N_1*F_P_h))*SQRT('Valve Sizing'!$G$6/R235)</f>
        <v>0.20120047899041218</v>
      </c>
      <c r="S237" s="58"/>
      <c r="T237" s="73"/>
      <c r="U237" s="64">
        <f>(U231/(N_1*U$27))*SQRT('Valve Sizing'!$G$6/U235)</f>
        <v>5.960122867873543</v>
      </c>
      <c r="V237" s="41"/>
      <c r="W237" s="73"/>
      <c r="X237" s="64">
        <f>(X231/(N_1*X$27))*SQRT('Valve Sizing'!$G$6/X235)</f>
        <v>14.388051190111019</v>
      </c>
      <c r="Y237" s="41"/>
      <c r="Z237" s="73"/>
      <c r="AA237" s="64">
        <f>(AA231/(N_1*AA$27))*SQRT('Valve Sizing'!$G$6/AA235)</f>
        <v>27.940004253386412</v>
      </c>
      <c r="AB237" s="41"/>
      <c r="AC237" s="73"/>
      <c r="AD237" s="64">
        <f>(AD231/(N_1*AD$27))*SQRT('Valve Sizing'!$G$6/AD235)</f>
        <v>47.812726709275267</v>
      </c>
      <c r="AE237" s="41"/>
      <c r="AF237" s="73"/>
      <c r="AG237" s="64">
        <f>(AG231/(N_1*AG$27))*SQRT('Valve Sizing'!$G$6/AG235)</f>
        <v>77.055593637335988</v>
      </c>
      <c r="AH237" s="41"/>
      <c r="AI237" s="73"/>
      <c r="AJ237" s="64">
        <f>(AJ231/(N_1*AJ$27))*SQRT('Valve Sizing'!$G$6/AJ235)</f>
        <v>117.13609878393927</v>
      </c>
      <c r="AK237" s="41"/>
      <c r="AL237" s="73"/>
      <c r="AM237" s="64">
        <f>(AM231/(N_1*AM$27))*SQRT('Valve Sizing'!$G$6/AM235)</f>
        <v>173.0519612434793</v>
      </c>
      <c r="AN237" s="41"/>
      <c r="AO237" s="73"/>
      <c r="AP237" s="64">
        <f>(AP231/(N_1*AP$27))*SQRT('Valve Sizing'!$G$6/AP235)</f>
        <v>277.33730105848474</v>
      </c>
      <c r="AQ237" s="41"/>
      <c r="AR237" s="73"/>
      <c r="AS237" s="64">
        <f>(AS231/(N_1*AS$27))*SQRT('Valve Sizing'!$G$6/AS235)</f>
        <v>622.48826563685566</v>
      </c>
      <c r="AT237" s="41"/>
      <c r="AU237" s="73"/>
    </row>
    <row r="238" spans="15:47" ht="13" x14ac:dyDescent="0.3">
      <c r="O238" s="1" t="s">
        <v>72</v>
      </c>
      <c r="P238" s="17">
        <v>7</v>
      </c>
      <c r="Q238" s="65"/>
      <c r="R238" s="53">
        <f>(R231/(N_1*F_P_h))*SQRT('Valve Sizing'!$G$6/R236)</f>
        <v>0.16710734897969187</v>
      </c>
      <c r="S238" s="56"/>
      <c r="T238" s="72"/>
      <c r="U238" s="85">
        <f>(U231/(N_1*U$27))*SQRT('Valve Sizing'!$G$6/U236)</f>
        <v>4.9490023601704163</v>
      </c>
      <c r="V238" s="44"/>
      <c r="W238" s="72"/>
      <c r="X238" s="85">
        <f>(X231/(N_1*X$27))*SQRT('Valve Sizing'!$G$6/X236)</f>
        <v>12.062448739749756</v>
      </c>
      <c r="Y238" s="44"/>
      <c r="Z238" s="72"/>
      <c r="AA238" s="85">
        <f>(AA231/(N_1*AA$27))*SQRT('Valve Sizing'!$G$6/AA236)</f>
        <v>23.827638762411578</v>
      </c>
      <c r="AB238" s="44"/>
      <c r="AC238" s="72"/>
      <c r="AD238" s="85">
        <f>(AD231/(N_1*AD$27))*SQRT('Valve Sizing'!$G$6/AD236)</f>
        <v>41.595009552477521</v>
      </c>
      <c r="AE238" s="44"/>
      <c r="AF238" s="72"/>
      <c r="AG238" s="85">
        <f>(AG231/(N_1*AG$27))*SQRT('Valve Sizing'!$G$6/AG236)</f>
        <v>68.704576114586942</v>
      </c>
      <c r="AH238" s="44"/>
      <c r="AI238" s="72"/>
      <c r="AJ238" s="85">
        <f>(AJ231/(N_1*AJ$27))*SQRT('Valve Sizing'!$G$6/AJ236)</f>
        <v>104.17127519681709</v>
      </c>
      <c r="AK238" s="44"/>
      <c r="AL238" s="72"/>
      <c r="AM238" s="85">
        <f>(AM231/(N_1*AM$27))*SQRT('Valve Sizing'!$G$6/AM236)</f>
        <v>155.30275743712889</v>
      </c>
      <c r="AN238" s="44"/>
      <c r="AO238" s="72"/>
      <c r="AP238" s="85">
        <f>(AP231/(N_1*AP$27))*SQRT('Valve Sizing'!$G$6/AP236)</f>
        <v>238.56640775499545</v>
      </c>
      <c r="AQ238" s="44"/>
      <c r="AR238" s="72"/>
      <c r="AS238" s="85">
        <f>(AS231/(N_1*AS$27))*SQRT('Valve Sizing'!$G$6/AS236)</f>
        <v>399.6019049359486</v>
      </c>
      <c r="AT238" s="44"/>
      <c r="AU238" s="72"/>
    </row>
    <row r="239" spans="15:47" x14ac:dyDescent="0.25">
      <c r="O239" s="1" t="s">
        <v>246</v>
      </c>
      <c r="P239" s="18"/>
      <c r="Q239" s="65"/>
      <c r="R239" s="53">
        <f>IF(R235&lt;R236,R237,R238)</f>
        <v>0.20120047899041218</v>
      </c>
      <c r="S239" s="49"/>
      <c r="T239" s="72"/>
      <c r="U239" s="64">
        <f>IF(U235&lt;U236,U237,U238)</f>
        <v>5.960122867873543</v>
      </c>
      <c r="V239" s="44"/>
      <c r="W239" s="72"/>
      <c r="X239" s="64">
        <f>IF(X235&lt;X236,X237,X238)</f>
        <v>14.388051190111019</v>
      </c>
      <c r="Y239" s="44"/>
      <c r="Z239" s="72"/>
      <c r="AA239" s="64">
        <f>IF(AA235&lt;AA236,AA237,AA238)</f>
        <v>27.940004253386412</v>
      </c>
      <c r="AB239" s="44"/>
      <c r="AC239" s="72"/>
      <c r="AD239" s="64">
        <f>IF(AD235&lt;AD236,AD237,AD238)</f>
        <v>47.812726709275267</v>
      </c>
      <c r="AE239" s="44"/>
      <c r="AF239" s="72"/>
      <c r="AG239" s="64">
        <f>IF(AG235&lt;AG236,AG237,AG238)</f>
        <v>77.055593637335988</v>
      </c>
      <c r="AH239" s="44"/>
      <c r="AI239" s="72"/>
      <c r="AJ239" s="64">
        <f>IF(AJ235&lt;AJ236,AJ237,AJ238)</f>
        <v>117.13609878393927</v>
      </c>
      <c r="AK239" s="44"/>
      <c r="AL239" s="72"/>
      <c r="AM239" s="64">
        <f>IF(AM235&lt;AM236,AM237,AM238)</f>
        <v>173.0519612434793</v>
      </c>
      <c r="AN239" s="44"/>
      <c r="AO239" s="72"/>
      <c r="AP239" s="64">
        <f>IF(AP235&lt;AP236,AP237,AP238)</f>
        <v>277.33730105848474</v>
      </c>
      <c r="AQ239" s="44"/>
      <c r="AR239" s="72"/>
      <c r="AS239" s="64">
        <f>IF(AS235&lt;AS236,AS237,AS238)</f>
        <v>622.48826563685566</v>
      </c>
      <c r="AT239" s="44"/>
      <c r="AU239" s="72"/>
    </row>
    <row r="240" spans="15:47" ht="13" x14ac:dyDescent="0.3">
      <c r="O240" s="7" t="s">
        <v>264</v>
      </c>
      <c r="Q240" s="61"/>
      <c r="R240" s="53"/>
      <c r="S240" s="69">
        <f>IFERROR(ABS(C_h-R239),Q_max*10)</f>
        <v>4.7987995210095882</v>
      </c>
      <c r="T240" s="76">
        <f>R231</f>
        <v>1.1425969980610187</v>
      </c>
      <c r="U240" s="61"/>
      <c r="V240" s="69">
        <f>IFERROR(ABS(U$23-U239),Q_max*10)</f>
        <v>6.039877132126457</v>
      </c>
      <c r="W240" s="75">
        <f>U231</f>
        <v>33.799138613453728</v>
      </c>
      <c r="X240" s="61"/>
      <c r="Y240" s="69">
        <f>IFERROR(ABS(X$23-X239),Q_max*10)</f>
        <v>8.6119488098889807</v>
      </c>
      <c r="Z240" s="75">
        <f>X231</f>
        <v>81.130943225052434</v>
      </c>
      <c r="AA240" s="61"/>
      <c r="AB240" s="69">
        <f>IFERROR(ABS(AA$23-AA239),Q_max*10)</f>
        <v>11.059995746613588</v>
      </c>
      <c r="AC240" s="75">
        <f>AA231</f>
        <v>154.90870414789097</v>
      </c>
      <c r="AD240" s="61"/>
      <c r="AE240" s="69">
        <f>IFERROR(ABS(AD$23-AD239),Q_max*10)</f>
        <v>13.187273290724733</v>
      </c>
      <c r="AF240" s="75">
        <f>AD231</f>
        <v>254.76778432222096</v>
      </c>
      <c r="AG240" s="61"/>
      <c r="AH240" s="69">
        <f>IFERROR(ABS(AG$23-AG239),Q_max*10)</f>
        <v>10.944406362664012</v>
      </c>
      <c r="AI240" s="75">
        <f>AG231</f>
        <v>379.31451456398077</v>
      </c>
      <c r="AJ240" s="61"/>
      <c r="AK240" s="69">
        <f>IFERROR(ABS(AJ$23-AJ239),Q_max*10)</f>
        <v>3.8639012160607251</v>
      </c>
      <c r="AL240" s="75">
        <f>AJ231</f>
        <v>506.19669012385083</v>
      </c>
      <c r="AM240" s="61"/>
      <c r="AN240" s="69">
        <f>IFERROR(ABS(AM$23-AM239),Q_max*10)</f>
        <v>8.0519612434792975</v>
      </c>
      <c r="AO240" s="75">
        <f>AM231</f>
        <v>617.65615954375039</v>
      </c>
      <c r="AP240" s="61"/>
      <c r="AQ240" s="69">
        <f>IFERROR(ABS(AP$23-AP239),Q_max*10)</f>
        <v>31.337301058484741</v>
      </c>
      <c r="AR240" s="75">
        <f>AP231</f>
        <v>717.07962632335307</v>
      </c>
      <c r="AS240" s="61"/>
      <c r="AT240" s="69">
        <f>IFERROR(ABS(AS$23-AS239),Q_max*10)</f>
        <v>202.48826563685566</v>
      </c>
      <c r="AU240" s="75">
        <f>AS231</f>
        <v>816.10350425422212</v>
      </c>
    </row>
    <row r="241" spans="15:47" ht="14.5" x14ac:dyDescent="0.35">
      <c r="O241" s="8"/>
      <c r="P241" s="6"/>
      <c r="Q241" s="60"/>
      <c r="R241" s="67"/>
      <c r="S241" s="58"/>
      <c r="T241" s="73"/>
      <c r="V241" s="11"/>
      <c r="W241" s="38"/>
      <c r="Y241" s="11"/>
      <c r="Z241" s="38"/>
      <c r="AB241" s="11"/>
      <c r="AC241" s="38"/>
      <c r="AE241" s="11"/>
      <c r="AF241" s="38"/>
      <c r="AH241" s="11"/>
      <c r="AI241" s="38"/>
      <c r="AK241" s="11"/>
      <c r="AL241" s="38"/>
      <c r="AN241" s="11"/>
      <c r="AO241" s="38"/>
      <c r="AQ241" s="11"/>
      <c r="AR241" s="38"/>
      <c r="AT241" s="11"/>
      <c r="AU241" s="38"/>
    </row>
    <row r="242" spans="15:47" ht="14" x14ac:dyDescent="0.3">
      <c r="O242" s="8" t="s">
        <v>235</v>
      </c>
      <c r="P242" s="6"/>
      <c r="Q242" s="60"/>
      <c r="R242" s="53">
        <f>R231*1.02</f>
        <v>1.165448938022239</v>
      </c>
      <c r="S242" s="58" t="s">
        <v>238</v>
      </c>
      <c r="T242" s="73" t="s">
        <v>241</v>
      </c>
      <c r="U242" s="84">
        <f>U231*1.01</f>
        <v>34.137129999588268</v>
      </c>
      <c r="V242" s="58" t="s">
        <v>238</v>
      </c>
      <c r="W242" s="73" t="s">
        <v>241</v>
      </c>
      <c r="X242" s="84">
        <f>X231*1.01</f>
        <v>81.942252657302959</v>
      </c>
      <c r="Y242" s="58" t="s">
        <v>238</v>
      </c>
      <c r="Z242" s="73" t="s">
        <v>241</v>
      </c>
      <c r="AA242" s="84">
        <f>AA231*1.01</f>
        <v>156.45779118936989</v>
      </c>
      <c r="AB242" s="58" t="s">
        <v>238</v>
      </c>
      <c r="AC242" s="73" t="s">
        <v>241</v>
      </c>
      <c r="AD242" s="84">
        <f>AD231*1.01</f>
        <v>257.31546216544319</v>
      </c>
      <c r="AE242" s="58" t="s">
        <v>238</v>
      </c>
      <c r="AF242" s="73" t="s">
        <v>241</v>
      </c>
      <c r="AG242" s="84">
        <f>AG231*1.01</f>
        <v>383.10765970962058</v>
      </c>
      <c r="AH242" s="58" t="s">
        <v>238</v>
      </c>
      <c r="AI242" s="73" t="s">
        <v>241</v>
      </c>
      <c r="AJ242" s="84">
        <f>AJ231*1.01</f>
        <v>511.25865702508935</v>
      </c>
      <c r="AK242" s="58" t="s">
        <v>238</v>
      </c>
      <c r="AL242" s="73" t="s">
        <v>241</v>
      </c>
      <c r="AM242" s="84">
        <f>AM231*1.01</f>
        <v>623.83272113918792</v>
      </c>
      <c r="AN242" s="58" t="s">
        <v>238</v>
      </c>
      <c r="AO242" s="73" t="s">
        <v>241</v>
      </c>
      <c r="AP242" s="84">
        <f>AP231*1.01</f>
        <v>724.25042258658664</v>
      </c>
      <c r="AQ242" s="58" t="s">
        <v>238</v>
      </c>
      <c r="AR242" s="73" t="s">
        <v>241</v>
      </c>
      <c r="AS242" s="84">
        <f>AS231*1.01</f>
        <v>824.26453929676438</v>
      </c>
      <c r="AT242" s="58" t="s">
        <v>238</v>
      </c>
      <c r="AU242" s="73" t="s">
        <v>241</v>
      </c>
    </row>
    <row r="243" spans="15:47" ht="13" x14ac:dyDescent="0.25">
      <c r="O243" s="6"/>
      <c r="P243" s="6"/>
      <c r="Q243" s="60"/>
      <c r="R243" s="70"/>
      <c r="S243" s="63" t="s">
        <v>250</v>
      </c>
      <c r="T243" s="71" t="s">
        <v>242</v>
      </c>
      <c r="U243" s="61"/>
      <c r="V243" s="63" t="s">
        <v>250</v>
      </c>
      <c r="W243" s="71" t="s">
        <v>242</v>
      </c>
      <c r="X243" s="61"/>
      <c r="Y243" s="63" t="s">
        <v>250</v>
      </c>
      <c r="Z243" s="71" t="s">
        <v>242</v>
      </c>
      <c r="AA243" s="61"/>
      <c r="AB243" s="63" t="s">
        <v>250</v>
      </c>
      <c r="AC243" s="71" t="s">
        <v>242</v>
      </c>
      <c r="AD243" s="61"/>
      <c r="AE243" s="63" t="s">
        <v>250</v>
      </c>
      <c r="AF243" s="71" t="s">
        <v>242</v>
      </c>
      <c r="AG243" s="61"/>
      <c r="AH243" s="63" t="s">
        <v>250</v>
      </c>
      <c r="AI243" s="71" t="s">
        <v>242</v>
      </c>
      <c r="AJ243" s="61"/>
      <c r="AK243" s="63" t="s">
        <v>250</v>
      </c>
      <c r="AL243" s="71" t="s">
        <v>242</v>
      </c>
      <c r="AM243" s="61"/>
      <c r="AN243" s="63" t="s">
        <v>250</v>
      </c>
      <c r="AO243" s="71" t="s">
        <v>242</v>
      </c>
      <c r="AP243" s="61"/>
      <c r="AQ243" s="63" t="s">
        <v>250</v>
      </c>
      <c r="AR243" s="71" t="s">
        <v>242</v>
      </c>
      <c r="AS243" s="61"/>
      <c r="AT243" s="63" t="s">
        <v>250</v>
      </c>
      <c r="AU243" s="71" t="s">
        <v>242</v>
      </c>
    </row>
    <row r="244" spans="15:47" ht="13" x14ac:dyDescent="0.3">
      <c r="O244" s="6" t="s">
        <v>231</v>
      </c>
      <c r="P244" s="6"/>
      <c r="Q244" s="60"/>
      <c r="R244" s="85">
        <f>P_1_minQ-(R242^2*R_up)+dpup_minQ</f>
        <v>56.916097322822452</v>
      </c>
      <c r="S244" s="56"/>
      <c r="T244" s="72"/>
      <c r="U244" s="53">
        <f>P_1_minQ-(U242^2*R_up)+dpup_minQ</f>
        <v>56.876786773231721</v>
      </c>
      <c r="V244" s="44"/>
      <c r="W244" s="72"/>
      <c r="X244" s="53">
        <f>P_1_minQ-(X242^2*R_up)+dpup_minQ</f>
        <v>56.68937748157537</v>
      </c>
      <c r="Y244" s="44"/>
      <c r="Z244" s="72"/>
      <c r="AA244" s="53">
        <f>P_1_minQ-(AA242^2*R_up)+dpup_minQ</f>
        <v>56.089427881666445</v>
      </c>
      <c r="AB244" s="44"/>
      <c r="AC244" s="72"/>
      <c r="AD244" s="53">
        <f>P_1_minQ-(AD242^2*R_up)+dpup_minQ</f>
        <v>54.680032182728283</v>
      </c>
      <c r="AE244" s="44"/>
      <c r="AF244" s="72"/>
      <c r="AG244" s="53">
        <f>P_1_minQ-(AG242^2*R_up)+dpup_minQ</f>
        <v>51.959321886923931</v>
      </c>
      <c r="AH244" s="44"/>
      <c r="AI244" s="72"/>
      <c r="AJ244" s="53">
        <f>P_1_minQ-(AJ242^2*R_up)+dpup_minQ</f>
        <v>48.088537170445868</v>
      </c>
      <c r="AK244" s="44"/>
      <c r="AL244" s="72"/>
      <c r="AM244" s="53">
        <f>P_1_minQ-(AM242^2*R_up)+dpup_minQ</f>
        <v>43.773040730701659</v>
      </c>
      <c r="AN244" s="44"/>
      <c r="AO244" s="72"/>
      <c r="AP244" s="53">
        <f>P_1_minQ-(AP242^2*R_up)+dpup_minQ</f>
        <v>39.20122679443265</v>
      </c>
      <c r="AQ244" s="44"/>
      <c r="AR244" s="72"/>
      <c r="AS244" s="53">
        <f>P_1_minQ-(AS242^2*R_up)+dpup_minQ</f>
        <v>33.970785858084859</v>
      </c>
      <c r="AT244" s="44"/>
      <c r="AU244" s="72"/>
    </row>
    <row r="245" spans="15:47" ht="13" x14ac:dyDescent="0.3">
      <c r="O245" s="6" t="s">
        <v>233</v>
      </c>
      <c r="P245" s="6"/>
      <c r="Q245" s="60"/>
      <c r="R245" s="85">
        <f>P_2_minQ+(R242^2*R_dn)-dpdn_minQ</f>
        <v>24.656780535435509</v>
      </c>
      <c r="S245" s="66"/>
      <c r="T245" s="74"/>
      <c r="U245" s="53">
        <f>P_2_minQ+(U242^2*R_dn)-dpdn_minQ</f>
        <v>24.664642645353659</v>
      </c>
      <c r="V245" s="45"/>
      <c r="W245" s="74"/>
      <c r="X245" s="53">
        <f>P_2_minQ+(X242^2*R_dn)-dpdn_minQ</f>
        <v>24.702124503684928</v>
      </c>
      <c r="Y245" s="45"/>
      <c r="Z245" s="74"/>
      <c r="AA245" s="53">
        <f>P_2_minQ+(AA242^2*R_dn)-dpdn_minQ</f>
        <v>24.822114423666712</v>
      </c>
      <c r="AB245" s="45"/>
      <c r="AC245" s="74"/>
      <c r="AD245" s="53">
        <f>P_2_minQ+(AD242^2*R_dn)-dpdn_minQ</f>
        <v>25.103993563454345</v>
      </c>
      <c r="AE245" s="45"/>
      <c r="AF245" s="74"/>
      <c r="AG245" s="53">
        <f>P_2_minQ+(AG242^2*R_dn)-dpdn_minQ</f>
        <v>25.648135622615214</v>
      </c>
      <c r="AH245" s="45"/>
      <c r="AI245" s="74"/>
      <c r="AJ245" s="53">
        <f>P_2_minQ+(AJ242^2*R_dn)-dpdn_minQ</f>
        <v>26.422292565910826</v>
      </c>
      <c r="AK245" s="45"/>
      <c r="AL245" s="74"/>
      <c r="AM245" s="53">
        <f>P_2_minQ+(AM242^2*R_dn)-dpdn_minQ</f>
        <v>27.285391853859668</v>
      </c>
      <c r="AN245" s="45"/>
      <c r="AO245" s="74"/>
      <c r="AP245" s="53">
        <f>P_2_minQ+(AP242^2*R_dn)-dpdn_minQ</f>
        <v>28.199754641113472</v>
      </c>
      <c r="AQ245" s="45"/>
      <c r="AR245" s="74"/>
      <c r="AS245" s="53">
        <f>P_2_minQ+(AS242^2*R_dn)-dpdn_minQ</f>
        <v>29.245842828383029</v>
      </c>
      <c r="AT245" s="45"/>
      <c r="AU245" s="74"/>
    </row>
    <row r="246" spans="15:47" x14ac:dyDescent="0.25">
      <c r="O246" s="6" t="s">
        <v>243</v>
      </c>
      <c r="Q246" s="60"/>
      <c r="R246" s="53">
        <f>R244-R245</f>
        <v>32.259316787386943</v>
      </c>
      <c r="S246" s="56"/>
      <c r="T246" s="72"/>
      <c r="U246" s="64">
        <f>U244-U245</f>
        <v>32.212144127878062</v>
      </c>
      <c r="V246" s="44"/>
      <c r="W246" s="72"/>
      <c r="X246" s="64">
        <f>X244-X245</f>
        <v>31.987252977890442</v>
      </c>
      <c r="Y246" s="44"/>
      <c r="Z246" s="72"/>
      <c r="AA246" s="64">
        <f>AA244-AA245</f>
        <v>31.267313457999734</v>
      </c>
      <c r="AB246" s="44"/>
      <c r="AC246" s="72"/>
      <c r="AD246" s="64">
        <f>AD244-AD245</f>
        <v>29.576038619273938</v>
      </c>
      <c r="AE246" s="44"/>
      <c r="AF246" s="72"/>
      <c r="AG246" s="64">
        <f>AG244-AG245</f>
        <v>26.311186264308716</v>
      </c>
      <c r="AH246" s="44"/>
      <c r="AI246" s="72"/>
      <c r="AJ246" s="64">
        <f>AJ244-AJ245</f>
        <v>21.666244604535041</v>
      </c>
      <c r="AK246" s="44"/>
      <c r="AL246" s="72"/>
      <c r="AM246" s="64">
        <f>AM244-AM245</f>
        <v>16.487648876841991</v>
      </c>
      <c r="AN246" s="44"/>
      <c r="AO246" s="72"/>
      <c r="AP246" s="64">
        <f>AP244-AP245</f>
        <v>11.001472153319177</v>
      </c>
      <c r="AQ246" s="44"/>
      <c r="AR246" s="72"/>
      <c r="AS246" s="64">
        <f>AS244-AS245</f>
        <v>4.72494302970183</v>
      </c>
      <c r="AT246" s="44"/>
      <c r="AU246" s="72"/>
    </row>
    <row r="247" spans="15:47" ht="13" x14ac:dyDescent="0.3">
      <c r="O247" s="6" t="s">
        <v>75</v>
      </c>
      <c r="P247" s="6">
        <v>3</v>
      </c>
      <c r="Q247" s="65"/>
      <c r="R247" s="85">
        <f>(F_LP_h/F_P_h)^2*(R244-('Valve Sizing'!$V$4*'Valve Sizing'!$G$7))</f>
        <v>46.765125257256877</v>
      </c>
      <c r="S247" s="58"/>
      <c r="T247" s="73"/>
      <c r="U247" s="53">
        <f>(U$29/U$27)^2*(U244-('Valve Sizing'!$V$4*'Valve Sizing'!$G$7))</f>
        <v>46.71983668967934</v>
      </c>
      <c r="V247" s="41"/>
      <c r="W247" s="73"/>
      <c r="X247" s="53">
        <f>(X$29/X$27)^2*(X244-('Valve Sizing'!$V$4*'Valve Sizing'!$G$7))</f>
        <v>45.514337648937797</v>
      </c>
      <c r="Y247" s="41"/>
      <c r="Z247" s="73"/>
      <c r="AA247" s="53">
        <f>(AA$29/AA$27)^2*(AA244-('Valve Sizing'!$V$4*'Valve Sizing'!$G$7))</f>
        <v>43.005678670442997</v>
      </c>
      <c r="AB247" s="41"/>
      <c r="AC247" s="73"/>
      <c r="AD247" s="53">
        <f>(AD$29/AD$27)^2*(AD244-('Valve Sizing'!$V$4*'Valve Sizing'!$G$7))</f>
        <v>39.117186584860178</v>
      </c>
      <c r="AE247" s="41"/>
      <c r="AF247" s="73"/>
      <c r="AG247" s="53">
        <f>(AG$29/AG$27)^2*(AG244-('Valve Sizing'!$V$4*'Valve Sizing'!$G$7))</f>
        <v>33.180670488983708</v>
      </c>
      <c r="AH247" s="41"/>
      <c r="AI247" s="73"/>
      <c r="AJ247" s="53">
        <f>(AJ$29/AJ$27)^2*(AJ244-('Valve Sizing'!$V$4*'Valve Sizing'!$G$7))</f>
        <v>27.55818117618194</v>
      </c>
      <c r="AK247" s="41"/>
      <c r="AL247" s="73"/>
      <c r="AM247" s="53">
        <f>(AM$29/AM$27)^2*(AM244-('Valve Sizing'!$V$4*'Valve Sizing'!$G$7))</f>
        <v>20.733625541327914</v>
      </c>
      <c r="AN247" s="41"/>
      <c r="AO247" s="73"/>
      <c r="AP247" s="53">
        <f>(AP$29/AP$27)^2*(AP244-('Valve Sizing'!$V$4*'Valve Sizing'!$G$7))</f>
        <v>15.296197196687681</v>
      </c>
      <c r="AQ247" s="41"/>
      <c r="AR247" s="73"/>
      <c r="AS247" s="53">
        <f>(AS$29/AS$27)^2*(AS244-('Valve Sizing'!$V$4*'Valve Sizing'!$G$7))</f>
        <v>12.612274727936803</v>
      </c>
      <c r="AT247" s="41"/>
      <c r="AU247" s="73"/>
    </row>
    <row r="248" spans="15:47" ht="13" x14ac:dyDescent="0.25">
      <c r="O248" s="1" t="s">
        <v>69</v>
      </c>
      <c r="P248" s="17">
        <v>7</v>
      </c>
      <c r="Q248" s="65"/>
      <c r="R248" s="53">
        <f>(R242/(N_1*F_P_h))*SQRT('Valve Sizing'!$G$6/R246)</f>
        <v>0.20522449536936657</v>
      </c>
      <c r="S248" s="58"/>
      <c r="T248" s="73"/>
      <c r="U248" s="64">
        <f>(U242/(N_1*U$27))*SQRT('Valve Sizing'!$G$6/U246)</f>
        <v>6.0198110474322011</v>
      </c>
      <c r="V248" s="41"/>
      <c r="W248" s="73"/>
      <c r="X248" s="64">
        <f>(X242/(N_1*X$27))*SQRT('Valve Sizing'!$G$6/X246)</f>
        <v>14.533149597875205</v>
      </c>
      <c r="Y248" s="41"/>
      <c r="Z248" s="73"/>
      <c r="AA248" s="64">
        <f>(AA242/(N_1*AA$27))*SQRT('Valve Sizing'!$G$6/AA246)</f>
        <v>28.228223917576202</v>
      </c>
      <c r="AB248" s="41"/>
      <c r="AC248" s="73"/>
      <c r="AD248" s="64">
        <f>(AD242/(N_1*AD$27))*SQRT('Valve Sizing'!$G$6/AD246)</f>
        <v>48.333998813851196</v>
      </c>
      <c r="AE248" s="41"/>
      <c r="AF248" s="73"/>
      <c r="AG248" s="64">
        <f>(AG242/(N_1*AG$27))*SQRT('Valve Sizing'!$G$6/AG246)</f>
        <v>77.999294633613275</v>
      </c>
      <c r="AH248" s="41"/>
      <c r="AI248" s="73"/>
      <c r="AJ248" s="64">
        <f>(AJ242/(N_1*AJ$27))*SQRT('Valve Sizing'!$G$6/AJ246)</f>
        <v>118.87596410780696</v>
      </c>
      <c r="AK248" s="41"/>
      <c r="AL248" s="73"/>
      <c r="AM248" s="64">
        <f>(AM242/(N_1*AM$27))*SQRT('Valve Sizing'!$G$6/AM246)</f>
        <v>176.42197361430723</v>
      </c>
      <c r="AN248" s="41"/>
      <c r="AO248" s="73"/>
      <c r="AP248" s="64">
        <f>(AP242/(N_1*AP$27))*SQRT('Valve Sizing'!$G$6/AP246)</f>
        <v>285.39325970577721</v>
      </c>
      <c r="AQ248" s="41"/>
      <c r="AR248" s="73"/>
      <c r="AS248" s="64">
        <f>(AS242/(N_1*AS$27))*SQRT('Valve Sizing'!$G$6/AS246)</f>
        <v>663.82821050183099</v>
      </c>
      <c r="AT248" s="41"/>
      <c r="AU248" s="73"/>
    </row>
    <row r="249" spans="15:47" ht="13" x14ac:dyDescent="0.3">
      <c r="O249" s="1" t="s">
        <v>72</v>
      </c>
      <c r="P249" s="17">
        <v>7</v>
      </c>
      <c r="Q249" s="65"/>
      <c r="R249" s="53">
        <f>(R242/(N_1*F_P_h))*SQRT('Valve Sizing'!$G$6/R247)</f>
        <v>0.17044949864729403</v>
      </c>
      <c r="S249" s="56"/>
      <c r="T249" s="72"/>
      <c r="U249" s="85">
        <f>(U242/(N_1*U$27))*SQRT('Valve Sizing'!$G$6/U247)</f>
        <v>4.9985267249056475</v>
      </c>
      <c r="V249" s="44"/>
      <c r="W249" s="72"/>
      <c r="X249" s="85">
        <f>(X242/(N_1*X$27))*SQRT('Valve Sizing'!$G$6/X247)</f>
        <v>12.183557100448517</v>
      </c>
      <c r="Y249" s="44"/>
      <c r="Z249" s="72"/>
      <c r="AA249" s="85">
        <f>(AA242/(N_1*AA$27))*SQRT('Valve Sizing'!$G$6/AA247)</f>
        <v>24.06943715242107</v>
      </c>
      <c r="AB249" s="44"/>
      <c r="AC249" s="72"/>
      <c r="AD249" s="85">
        <f>(AD242/(N_1*AD$27))*SQRT('Valve Sizing'!$G$6/AD247)</f>
        <v>42.028019357451562</v>
      </c>
      <c r="AE249" s="44"/>
      <c r="AF249" s="72"/>
      <c r="AG249" s="85">
        <f>(AG242/(N_1*AG$27))*SQRT('Valve Sizing'!$G$6/AG247)</f>
        <v>69.457366201894246</v>
      </c>
      <c r="AH249" s="44"/>
      <c r="AI249" s="72"/>
      <c r="AJ249" s="85">
        <f>(AJ242/(N_1*AJ$27))*SQRT('Valve Sizing'!$G$6/AJ247)</f>
        <v>105.40485074187423</v>
      </c>
      <c r="AK249" s="44"/>
      <c r="AL249" s="72"/>
      <c r="AM249" s="85">
        <f>(AM242/(N_1*AM$27))*SQRT('Valve Sizing'!$G$6/AM247)</f>
        <v>157.32379566790249</v>
      </c>
      <c r="AN249" s="44"/>
      <c r="AO249" s="72"/>
      <c r="AP249" s="85">
        <f>(AP242/(N_1*AP$27))*SQRT('Valve Sizing'!$G$6/AP247)</f>
        <v>242.03455654497319</v>
      </c>
      <c r="AQ249" s="44"/>
      <c r="AR249" s="72"/>
      <c r="AS249" s="85">
        <f>(AS242/(N_1*AS$27))*SQRT('Valve Sizing'!$G$6/AS247)</f>
        <v>406.30978523039687</v>
      </c>
      <c r="AT249" s="44"/>
      <c r="AU249" s="72"/>
    </row>
    <row r="250" spans="15:47" x14ac:dyDescent="0.25">
      <c r="O250" s="1" t="s">
        <v>246</v>
      </c>
      <c r="P250" s="18"/>
      <c r="Q250" s="65"/>
      <c r="R250" s="53">
        <f>IF(R246&lt;R247,R248,R249)</f>
        <v>0.20522449536936657</v>
      </c>
      <c r="S250" s="49"/>
      <c r="T250" s="72"/>
      <c r="U250" s="64">
        <f>IF(U246&lt;U247,U248,U249)</f>
        <v>6.0198110474322011</v>
      </c>
      <c r="V250" s="44"/>
      <c r="W250" s="72"/>
      <c r="X250" s="64">
        <f>IF(X246&lt;X247,X248,X249)</f>
        <v>14.533149597875205</v>
      </c>
      <c r="Y250" s="44"/>
      <c r="Z250" s="72"/>
      <c r="AA250" s="64">
        <f>IF(AA246&lt;AA247,AA248,AA249)</f>
        <v>28.228223917576202</v>
      </c>
      <c r="AB250" s="44"/>
      <c r="AC250" s="72"/>
      <c r="AD250" s="64">
        <f>IF(AD246&lt;AD247,AD248,AD249)</f>
        <v>48.333998813851196</v>
      </c>
      <c r="AE250" s="44"/>
      <c r="AF250" s="72"/>
      <c r="AG250" s="64">
        <f>IF(AG246&lt;AG247,AG248,AG249)</f>
        <v>77.999294633613275</v>
      </c>
      <c r="AH250" s="44"/>
      <c r="AI250" s="72"/>
      <c r="AJ250" s="64">
        <f>IF(AJ246&lt;AJ247,AJ248,AJ249)</f>
        <v>118.87596410780696</v>
      </c>
      <c r="AK250" s="44"/>
      <c r="AL250" s="72"/>
      <c r="AM250" s="64">
        <f>IF(AM246&lt;AM247,AM248,AM249)</f>
        <v>176.42197361430723</v>
      </c>
      <c r="AN250" s="44"/>
      <c r="AO250" s="72"/>
      <c r="AP250" s="64">
        <f>IF(AP246&lt;AP247,AP248,AP249)</f>
        <v>285.39325970577721</v>
      </c>
      <c r="AQ250" s="44"/>
      <c r="AR250" s="72"/>
      <c r="AS250" s="64">
        <f>IF(AS246&lt;AS247,AS248,AS249)</f>
        <v>663.82821050183099</v>
      </c>
      <c r="AT250" s="44"/>
      <c r="AU250" s="72"/>
    </row>
    <row r="251" spans="15:47" ht="13" x14ac:dyDescent="0.3">
      <c r="O251" s="7" t="s">
        <v>264</v>
      </c>
      <c r="Q251" s="61"/>
      <c r="R251" s="53"/>
      <c r="S251" s="69">
        <f>IFERROR(ABS(C_h-R250),Q_max*10)</f>
        <v>4.7947755046306337</v>
      </c>
      <c r="T251" s="76">
        <f>R242</f>
        <v>1.165448938022239</v>
      </c>
      <c r="U251" s="61"/>
      <c r="V251" s="69">
        <f>IFERROR(ABS(U$23-U250),Q_max*10)</f>
        <v>5.9801889525677989</v>
      </c>
      <c r="W251" s="75">
        <f>U242</f>
        <v>34.137129999588268</v>
      </c>
      <c r="X251" s="61"/>
      <c r="Y251" s="69">
        <f>IFERROR(ABS(X$23-X250),Q_max*10)</f>
        <v>8.4668504021247948</v>
      </c>
      <c r="Z251" s="75">
        <f>X242</f>
        <v>81.942252657302959</v>
      </c>
      <c r="AA251" s="61"/>
      <c r="AB251" s="69">
        <f>IFERROR(ABS(AA$23-AA250),Q_max*10)</f>
        <v>10.771776082423798</v>
      </c>
      <c r="AC251" s="75">
        <f>AA242</f>
        <v>156.45779118936989</v>
      </c>
      <c r="AD251" s="61"/>
      <c r="AE251" s="69">
        <f>IFERROR(ABS(AD$23-AD250),Q_max*10)</f>
        <v>12.666001186148804</v>
      </c>
      <c r="AF251" s="75">
        <f>AD242</f>
        <v>257.31546216544319</v>
      </c>
      <c r="AG251" s="61"/>
      <c r="AH251" s="69">
        <f>IFERROR(ABS(AG$23-AG250),Q_max*10)</f>
        <v>10.000705366386725</v>
      </c>
      <c r="AI251" s="75">
        <f>AG242</f>
        <v>383.10765970962058</v>
      </c>
      <c r="AJ251" s="61"/>
      <c r="AK251" s="69">
        <f>IFERROR(ABS(AJ$23-AJ250),Q_max*10)</f>
        <v>2.1240358921930351</v>
      </c>
      <c r="AL251" s="75">
        <f>AJ242</f>
        <v>511.25865702508935</v>
      </c>
      <c r="AM251" s="61"/>
      <c r="AN251" s="69">
        <f>IFERROR(ABS(AM$23-AM250),Q_max*10)</f>
        <v>11.421973614307234</v>
      </c>
      <c r="AO251" s="75">
        <f>AM242</f>
        <v>623.83272113918792</v>
      </c>
      <c r="AP251" s="61"/>
      <c r="AQ251" s="69">
        <f>IFERROR(ABS(AP$23-AP250),Q_max*10)</f>
        <v>39.393259705777211</v>
      </c>
      <c r="AR251" s="75">
        <f>AP242</f>
        <v>724.25042258658664</v>
      </c>
      <c r="AS251" s="61"/>
      <c r="AT251" s="69">
        <f>IFERROR(ABS(AS$23-AS250),Q_max*10)</f>
        <v>243.82821050183099</v>
      </c>
      <c r="AU251" s="75">
        <f>AS242</f>
        <v>824.26453929676438</v>
      </c>
    </row>
    <row r="252" spans="15:47" ht="14.5" x14ac:dyDescent="0.35">
      <c r="O252" s="6"/>
      <c r="P252" s="6"/>
      <c r="Q252" s="60"/>
      <c r="R252" s="67"/>
      <c r="S252" s="56"/>
      <c r="T252" s="72"/>
      <c r="V252" s="11"/>
      <c r="W252" s="38"/>
      <c r="Y252" s="11"/>
      <c r="Z252" s="38"/>
      <c r="AB252" s="11"/>
      <c r="AC252" s="38"/>
      <c r="AE252" s="11"/>
      <c r="AF252" s="38"/>
      <c r="AH252" s="11"/>
      <c r="AI252" s="38"/>
      <c r="AK252" s="11"/>
      <c r="AL252" s="38"/>
      <c r="AN252" s="11"/>
      <c r="AO252" s="38"/>
      <c r="AQ252" s="11"/>
      <c r="AR252" s="38"/>
      <c r="AT252" s="11"/>
      <c r="AU252" s="38"/>
    </row>
    <row r="253" spans="15:47" ht="14" x14ac:dyDescent="0.3">
      <c r="O253" s="8" t="s">
        <v>235</v>
      </c>
      <c r="P253" s="6"/>
      <c r="Q253" s="60"/>
      <c r="R253" s="53">
        <f>R242*1.02</f>
        <v>1.1887579167826838</v>
      </c>
      <c r="S253" s="58" t="s">
        <v>238</v>
      </c>
      <c r="T253" s="73" t="s">
        <v>241</v>
      </c>
      <c r="U253" s="84">
        <f>U242*1.01</f>
        <v>34.478501299584153</v>
      </c>
      <c r="V253" s="58" t="s">
        <v>238</v>
      </c>
      <c r="W253" s="73" t="s">
        <v>241</v>
      </c>
      <c r="X253" s="84">
        <f>X242*1.01</f>
        <v>82.761675183875994</v>
      </c>
      <c r="Y253" s="58" t="s">
        <v>238</v>
      </c>
      <c r="Z253" s="73" t="s">
        <v>241</v>
      </c>
      <c r="AA253" s="84">
        <f>AA242*1.01</f>
        <v>158.02236910126359</v>
      </c>
      <c r="AB253" s="58" t="s">
        <v>238</v>
      </c>
      <c r="AC253" s="73" t="s">
        <v>241</v>
      </c>
      <c r="AD253" s="84">
        <f>AD242*1.01</f>
        <v>259.88861678709765</v>
      </c>
      <c r="AE253" s="58" t="s">
        <v>238</v>
      </c>
      <c r="AF253" s="73" t="s">
        <v>241</v>
      </c>
      <c r="AG253" s="84">
        <f>AG242*1.01</f>
        <v>386.93873630671681</v>
      </c>
      <c r="AH253" s="58" t="s">
        <v>238</v>
      </c>
      <c r="AI253" s="73" t="s">
        <v>241</v>
      </c>
      <c r="AJ253" s="84">
        <f>AJ242*1.01</f>
        <v>516.37124359534027</v>
      </c>
      <c r="AK253" s="58" t="s">
        <v>238</v>
      </c>
      <c r="AL253" s="73" t="s">
        <v>241</v>
      </c>
      <c r="AM253" s="84">
        <f>AM242*1.01</f>
        <v>630.07104835057976</v>
      </c>
      <c r="AN253" s="58" t="s">
        <v>238</v>
      </c>
      <c r="AO253" s="73" t="s">
        <v>241</v>
      </c>
      <c r="AP253" s="84">
        <f>AP242*1.01</f>
        <v>731.49292681245254</v>
      </c>
      <c r="AQ253" s="58" t="s">
        <v>238</v>
      </c>
      <c r="AR253" s="73" t="s">
        <v>241</v>
      </c>
      <c r="AS253" s="84">
        <f>AS242*1.01</f>
        <v>832.50718468973207</v>
      </c>
      <c r="AT253" s="58" t="s">
        <v>238</v>
      </c>
      <c r="AU253" s="73" t="s">
        <v>241</v>
      </c>
    </row>
    <row r="254" spans="15:47" ht="13" x14ac:dyDescent="0.25">
      <c r="O254" s="6"/>
      <c r="P254" s="6"/>
      <c r="Q254" s="60"/>
      <c r="R254" s="70"/>
      <c r="S254" s="63" t="s">
        <v>250</v>
      </c>
      <c r="T254" s="71" t="s">
        <v>242</v>
      </c>
      <c r="U254" s="61"/>
      <c r="V254" s="63" t="s">
        <v>250</v>
      </c>
      <c r="W254" s="71" t="s">
        <v>242</v>
      </c>
      <c r="X254" s="61"/>
      <c r="Y254" s="63" t="s">
        <v>250</v>
      </c>
      <c r="Z254" s="71" t="s">
        <v>242</v>
      </c>
      <c r="AA254" s="61"/>
      <c r="AB254" s="63" t="s">
        <v>250</v>
      </c>
      <c r="AC254" s="71" t="s">
        <v>242</v>
      </c>
      <c r="AD254" s="61"/>
      <c r="AE254" s="63" t="s">
        <v>250</v>
      </c>
      <c r="AF254" s="71" t="s">
        <v>242</v>
      </c>
      <c r="AG254" s="61"/>
      <c r="AH254" s="63" t="s">
        <v>250</v>
      </c>
      <c r="AI254" s="71" t="s">
        <v>242</v>
      </c>
      <c r="AJ254" s="61"/>
      <c r="AK254" s="63" t="s">
        <v>250</v>
      </c>
      <c r="AL254" s="71" t="s">
        <v>242</v>
      </c>
      <c r="AM254" s="61"/>
      <c r="AN254" s="63" t="s">
        <v>250</v>
      </c>
      <c r="AO254" s="71" t="s">
        <v>242</v>
      </c>
      <c r="AP254" s="61"/>
      <c r="AQ254" s="63" t="s">
        <v>250</v>
      </c>
      <c r="AR254" s="71" t="s">
        <v>242</v>
      </c>
      <c r="AS254" s="61"/>
      <c r="AT254" s="63" t="s">
        <v>250</v>
      </c>
      <c r="AU254" s="71" t="s">
        <v>242</v>
      </c>
    </row>
    <row r="255" spans="15:47" ht="13" x14ac:dyDescent="0.3">
      <c r="O255" s="6" t="s">
        <v>231</v>
      </c>
      <c r="P255" s="6"/>
      <c r="Q255" s="60"/>
      <c r="R255" s="85">
        <f>P_1_minQ-(R253^2*R_up)+dpup_minQ</f>
        <v>56.916095469591873</v>
      </c>
      <c r="S255" s="56"/>
      <c r="T255" s="72"/>
      <c r="U255" s="53">
        <f>P_1_minQ-(U253^2*R_up)+dpup_minQ</f>
        <v>56.875995709156861</v>
      </c>
      <c r="V255" s="44"/>
      <c r="W255" s="72"/>
      <c r="X255" s="53">
        <f>P_1_minQ-(X253^2*R_up)+dpup_minQ</f>
        <v>56.684819490738214</v>
      </c>
      <c r="Y255" s="44"/>
      <c r="Z255" s="72"/>
      <c r="AA255" s="53">
        <f>P_1_minQ-(AA253^2*R_up)+dpup_minQ</f>
        <v>56.072810903871122</v>
      </c>
      <c r="AB255" s="44"/>
      <c r="AC255" s="72"/>
      <c r="AD255" s="53">
        <f>P_1_minQ-(AD253^2*R_up)+dpup_minQ</f>
        <v>54.635086351384302</v>
      </c>
      <c r="AE255" s="44"/>
      <c r="AF255" s="72"/>
      <c r="AG255" s="53">
        <f>P_1_minQ-(AG253^2*R_up)+dpup_minQ</f>
        <v>51.859689778634284</v>
      </c>
      <c r="AH255" s="44"/>
      <c r="AI255" s="72"/>
      <c r="AJ255" s="53">
        <f>P_1_minQ-(AJ253^2*R_up)+dpup_minQ</f>
        <v>47.911102289355007</v>
      </c>
      <c r="AK255" s="44"/>
      <c r="AL255" s="72"/>
      <c r="AM255" s="53">
        <f>P_1_minQ-(AM253^2*R_up)+dpup_minQ</f>
        <v>43.508864371171946</v>
      </c>
      <c r="AN255" s="44"/>
      <c r="AO255" s="72"/>
      <c r="AP255" s="53">
        <f>P_1_minQ-(AP253^2*R_up)+dpup_minQ</f>
        <v>38.845156974783926</v>
      </c>
      <c r="AQ255" s="44"/>
      <c r="AR255" s="72"/>
      <c r="AS255" s="53">
        <f>P_1_minQ-(AS253^2*R_up)+dpup_minQ</f>
        <v>33.509584175615551</v>
      </c>
      <c r="AT255" s="44"/>
      <c r="AU255" s="72"/>
    </row>
    <row r="256" spans="15:47" ht="13" x14ac:dyDescent="0.3">
      <c r="O256" s="6" t="s">
        <v>233</v>
      </c>
      <c r="P256" s="6"/>
      <c r="Q256" s="60"/>
      <c r="R256" s="85">
        <f>P_2_minQ+(R253^2*R_dn)-dpdn_minQ</f>
        <v>24.656780906081629</v>
      </c>
      <c r="S256" s="66"/>
      <c r="T256" s="74"/>
      <c r="U256" s="53">
        <f>P_2_minQ+(U253^2*R_dn)-dpdn_minQ</f>
        <v>24.664800858168629</v>
      </c>
      <c r="V256" s="45"/>
      <c r="W256" s="74"/>
      <c r="X256" s="53">
        <f>P_2_minQ+(X253^2*R_dn)-dpdn_minQ</f>
        <v>24.703036101852359</v>
      </c>
      <c r="Y256" s="45"/>
      <c r="Z256" s="74"/>
      <c r="AA256" s="53">
        <f>P_2_minQ+(AA253^2*R_dn)-dpdn_minQ</f>
        <v>24.825437819225776</v>
      </c>
      <c r="AB256" s="45"/>
      <c r="AC256" s="74"/>
      <c r="AD256" s="53">
        <f>P_2_minQ+(AD253^2*R_dn)-dpdn_minQ</f>
        <v>25.112982729723143</v>
      </c>
      <c r="AE256" s="45"/>
      <c r="AF256" s="74"/>
      <c r="AG256" s="53">
        <f>P_2_minQ+(AG253^2*R_dn)-dpdn_minQ</f>
        <v>25.668062044273146</v>
      </c>
      <c r="AH256" s="45"/>
      <c r="AI256" s="74"/>
      <c r="AJ256" s="53">
        <f>P_2_minQ+(AJ253^2*R_dn)-dpdn_minQ</f>
        <v>26.457779542129</v>
      </c>
      <c r="AK256" s="45"/>
      <c r="AL256" s="74"/>
      <c r="AM256" s="53">
        <f>P_2_minQ+(AM253^2*R_dn)-dpdn_minQ</f>
        <v>27.338227125765613</v>
      </c>
      <c r="AN256" s="45"/>
      <c r="AO256" s="74"/>
      <c r="AP256" s="53">
        <f>P_2_minQ+(AP253^2*R_dn)-dpdn_minQ</f>
        <v>28.270968605043215</v>
      </c>
      <c r="AQ256" s="45"/>
      <c r="AR256" s="74"/>
      <c r="AS256" s="53">
        <f>P_2_minQ+(AS253^2*R_dn)-dpdn_minQ</f>
        <v>29.338083164876892</v>
      </c>
      <c r="AT256" s="45"/>
      <c r="AU256" s="74"/>
    </row>
    <row r="257" spans="15:47" x14ac:dyDescent="0.25">
      <c r="O257" s="6" t="s">
        <v>243</v>
      </c>
      <c r="Q257" s="60"/>
      <c r="R257" s="53">
        <f>R255-R256</f>
        <v>32.259314563510245</v>
      </c>
      <c r="S257" s="56"/>
      <c r="T257" s="72"/>
      <c r="U257" s="64">
        <f>U255-U256</f>
        <v>32.211194850988235</v>
      </c>
      <c r="V257" s="44"/>
      <c r="W257" s="72"/>
      <c r="X257" s="64">
        <f>X255-X256</f>
        <v>31.981783388885855</v>
      </c>
      <c r="Y257" s="44"/>
      <c r="Z257" s="72"/>
      <c r="AA257" s="64">
        <f>AA255-AA256</f>
        <v>31.247373084645346</v>
      </c>
      <c r="AB257" s="44"/>
      <c r="AC257" s="72"/>
      <c r="AD257" s="64">
        <f>AD255-AD256</f>
        <v>29.522103621661159</v>
      </c>
      <c r="AE257" s="44"/>
      <c r="AF257" s="72"/>
      <c r="AG257" s="64">
        <f>AG255-AG256</f>
        <v>26.191627734361138</v>
      </c>
      <c r="AH257" s="44"/>
      <c r="AI257" s="72"/>
      <c r="AJ257" s="64">
        <f>AJ255-AJ256</f>
        <v>21.453322747226007</v>
      </c>
      <c r="AK257" s="44"/>
      <c r="AL257" s="72"/>
      <c r="AM257" s="64">
        <f>AM255-AM256</f>
        <v>16.170637245406333</v>
      </c>
      <c r="AN257" s="44"/>
      <c r="AO257" s="72"/>
      <c r="AP257" s="64">
        <f>AP255-AP256</f>
        <v>10.57418836974071</v>
      </c>
      <c r="AQ257" s="44"/>
      <c r="AR257" s="72"/>
      <c r="AS257" s="64">
        <f>AS255-AS256</f>
        <v>4.171501010738659</v>
      </c>
      <c r="AT257" s="44"/>
      <c r="AU257" s="72"/>
    </row>
    <row r="258" spans="15:47" ht="13" x14ac:dyDescent="0.3">
      <c r="O258" s="6" t="s">
        <v>75</v>
      </c>
      <c r="P258" s="6">
        <v>3</v>
      </c>
      <c r="Q258" s="65"/>
      <c r="R258" s="85">
        <f>(F_LP_h/F_P_h)^2*(R255-('Valve Sizing'!$V$4*'Valve Sizing'!$G$7))</f>
        <v>46.765123722684685</v>
      </c>
      <c r="S258" s="58"/>
      <c r="T258" s="73"/>
      <c r="U258" s="53">
        <f>(U$29/U$27)^2*(U255-('Valve Sizing'!$V$4*'Valve Sizing'!$G$7))</f>
        <v>46.71918182564</v>
      </c>
      <c r="V258" s="41"/>
      <c r="W258" s="73"/>
      <c r="X258" s="53">
        <f>(X$29/X$27)^2*(X255-('Valve Sizing'!$V$4*'Valve Sizing'!$G$7))</f>
        <v>45.510649534403186</v>
      </c>
      <c r="Y258" s="41"/>
      <c r="Z258" s="73"/>
      <c r="AA258" s="53">
        <f>(AA$29/AA$27)^2*(AA255-('Valve Sizing'!$V$4*'Valve Sizing'!$G$7))</f>
        <v>42.99283711617548</v>
      </c>
      <c r="AB258" s="41"/>
      <c r="AC258" s="73"/>
      <c r="AD258" s="53">
        <f>(AD$29/AD$27)^2*(AD255-('Valve Sizing'!$V$4*'Valve Sizing'!$G$7))</f>
        <v>39.084772217289853</v>
      </c>
      <c r="AE258" s="41"/>
      <c r="AF258" s="73"/>
      <c r="AG258" s="53">
        <f>(AG$29/AG$27)^2*(AG255-('Valve Sizing'!$V$4*'Valve Sizing'!$G$7))</f>
        <v>33.116503032296144</v>
      </c>
      <c r="AH258" s="41"/>
      <c r="AI258" s="73"/>
      <c r="AJ258" s="53">
        <f>(AJ$29/AJ$27)^2*(AJ255-('Valve Sizing'!$V$4*'Valve Sizing'!$G$7))</f>
        <v>27.455559169116139</v>
      </c>
      <c r="AK258" s="41"/>
      <c r="AL258" s="73"/>
      <c r="AM258" s="53">
        <f>(AM$29/AM$27)^2*(AM255-('Valve Sizing'!$V$4*'Valve Sizing'!$G$7))</f>
        <v>20.607224510788289</v>
      </c>
      <c r="AN258" s="41"/>
      <c r="AO258" s="73"/>
      <c r="AP258" s="53">
        <f>(AP$29/AP$27)^2*(AP255-('Valve Sizing'!$V$4*'Valve Sizing'!$G$7))</f>
        <v>15.155682493441628</v>
      </c>
      <c r="AQ258" s="41"/>
      <c r="AR258" s="73"/>
      <c r="AS258" s="53">
        <f>(AS$29/AS$27)^2*(AS255-('Valve Sizing'!$V$4*'Valve Sizing'!$G$7))</f>
        <v>12.438797960850781</v>
      </c>
      <c r="AT258" s="41"/>
      <c r="AU258" s="73"/>
    </row>
    <row r="259" spans="15:47" ht="13" x14ac:dyDescent="0.25">
      <c r="O259" s="1" t="s">
        <v>69</v>
      </c>
      <c r="P259" s="17">
        <v>7</v>
      </c>
      <c r="Q259" s="65"/>
      <c r="R259" s="53">
        <f>(R253/(N_1*F_P_h))*SQRT('Valve Sizing'!$G$6/R257)</f>
        <v>0.20932899249206288</v>
      </c>
      <c r="S259" s="58"/>
      <c r="T259" s="73"/>
      <c r="U259" s="64">
        <f>(U253/(N_1*U$27))*SQRT('Valve Sizing'!$G$6/U257)</f>
        <v>6.0800987474061987</v>
      </c>
      <c r="V259" s="41"/>
      <c r="W259" s="73"/>
      <c r="X259" s="64">
        <f>(X253/(N_1*X$27))*SQRT('Valve Sizing'!$G$6/X257)</f>
        <v>14.679736211892179</v>
      </c>
      <c r="Y259" s="41"/>
      <c r="Z259" s="73"/>
      <c r="AA259" s="64">
        <f>(AA253/(N_1*AA$27))*SQRT('Valve Sizing'!$G$6/AA257)</f>
        <v>28.519601632819928</v>
      </c>
      <c r="AB259" s="41"/>
      <c r="AC259" s="73"/>
      <c r="AD259" s="64">
        <f>(AD253/(N_1*AD$27))*SQRT('Valve Sizing'!$G$6/AD257)</f>
        <v>48.861911533304806</v>
      </c>
      <c r="AE259" s="41"/>
      <c r="AF259" s="73"/>
      <c r="AG259" s="64">
        <f>(AG253/(N_1*AG$27))*SQRT('Valve Sizing'!$G$6/AG257)</f>
        <v>78.958887179505723</v>
      </c>
      <c r="AH259" s="41"/>
      <c r="AI259" s="73"/>
      <c r="AJ259" s="64">
        <f>(AJ253/(N_1*AJ$27))*SQRT('Valve Sizing'!$G$6/AJ257)</f>
        <v>120.65906724851291</v>
      </c>
      <c r="AK259" s="41"/>
      <c r="AL259" s="73"/>
      <c r="AM259" s="64">
        <f>(AM253/(N_1*AM$27))*SQRT('Valve Sizing'!$G$6/AM257)</f>
        <v>179.92431073123544</v>
      </c>
      <c r="AN259" s="41"/>
      <c r="AO259" s="73"/>
      <c r="AP259" s="64">
        <f>(AP253/(N_1*AP$27))*SQRT('Valve Sizing'!$G$6/AP257)</f>
        <v>294.01329298463958</v>
      </c>
      <c r="AQ259" s="41"/>
      <c r="AR259" s="73"/>
      <c r="AS259" s="64">
        <f>(AS253/(N_1*AS$27))*SQRT('Valve Sizing'!$G$6/AS257)</f>
        <v>713.55785279748147</v>
      </c>
      <c r="AT259" s="41"/>
      <c r="AU259" s="73"/>
    </row>
    <row r="260" spans="15:47" ht="13" x14ac:dyDescent="0.3">
      <c r="O260" s="1" t="s">
        <v>72</v>
      </c>
      <c r="P260" s="17">
        <v>7</v>
      </c>
      <c r="Q260" s="65"/>
      <c r="R260" s="53">
        <f>(R253/(N_1*F_P_h))*SQRT('Valve Sizing'!$G$6/R258)</f>
        <v>0.17385849147277593</v>
      </c>
      <c r="S260" s="56"/>
      <c r="T260" s="72"/>
      <c r="U260" s="85">
        <f>(U253/(N_1*U$27))*SQRT('Valve Sizing'!$G$6/U258)</f>
        <v>5.0485473745955067</v>
      </c>
      <c r="V260" s="44"/>
      <c r="W260" s="72"/>
      <c r="X260" s="85">
        <f>(X253/(N_1*X$27))*SQRT('Valve Sizing'!$G$6/X258)</f>
        <v>12.305891266601726</v>
      </c>
      <c r="Y260" s="44"/>
      <c r="Z260" s="72"/>
      <c r="AA260" s="85">
        <f>(AA253/(N_1*AA$27))*SQRT('Valve Sizing'!$G$6/AA258)</f>
        <v>24.313761856185948</v>
      </c>
      <c r="AB260" s="44"/>
      <c r="AC260" s="72"/>
      <c r="AD260" s="85">
        <f>(AD253/(N_1*AD$27))*SQRT('Valve Sizing'!$G$6/AD258)</f>
        <v>42.465897832234781</v>
      </c>
      <c r="AE260" s="44"/>
      <c r="AF260" s="72"/>
      <c r="AG260" s="85">
        <f>(AG253/(N_1*AG$27))*SQRT('Valve Sizing'!$G$6/AG258)</f>
        <v>70.219871147664108</v>
      </c>
      <c r="AH260" s="44"/>
      <c r="AI260" s="72"/>
      <c r="AJ260" s="85">
        <f>(AJ253/(N_1*AJ$27))*SQRT('Valve Sizing'!$G$6/AJ258)</f>
        <v>106.65767203926224</v>
      </c>
      <c r="AK260" s="44"/>
      <c r="AL260" s="72"/>
      <c r="AM260" s="85">
        <f>(AM253/(N_1*AM$27))*SQRT('Valve Sizing'!$G$6/AM258)</f>
        <v>159.38361161625275</v>
      </c>
      <c r="AN260" s="44"/>
      <c r="AO260" s="72"/>
      <c r="AP260" s="85">
        <f>(AP253/(N_1*AP$27))*SQRT('Valve Sizing'!$G$6/AP258)</f>
        <v>245.58550965043847</v>
      </c>
      <c r="AQ260" s="44"/>
      <c r="AR260" s="72"/>
      <c r="AS260" s="85">
        <f>(AS253/(N_1*AS$27))*SQRT('Valve Sizing'!$G$6/AS258)</f>
        <v>413.22459211070083</v>
      </c>
      <c r="AT260" s="44"/>
      <c r="AU260" s="72"/>
    </row>
    <row r="261" spans="15:47" x14ac:dyDescent="0.25">
      <c r="O261" s="1" t="s">
        <v>246</v>
      </c>
      <c r="P261" s="18"/>
      <c r="Q261" s="65"/>
      <c r="R261" s="53">
        <f>IF(R257&lt;R258,R259,R260)</f>
        <v>0.20932899249206288</v>
      </c>
      <c r="S261" s="49"/>
      <c r="T261" s="72"/>
      <c r="U261" s="64">
        <f>IF(U257&lt;U258,U259,U260)</f>
        <v>6.0800987474061987</v>
      </c>
      <c r="V261" s="44"/>
      <c r="W261" s="72"/>
      <c r="X261" s="64">
        <f>IF(X257&lt;X258,X259,X260)</f>
        <v>14.679736211892179</v>
      </c>
      <c r="Y261" s="44"/>
      <c r="Z261" s="72"/>
      <c r="AA261" s="64">
        <f>IF(AA257&lt;AA258,AA259,AA260)</f>
        <v>28.519601632819928</v>
      </c>
      <c r="AB261" s="44"/>
      <c r="AC261" s="72"/>
      <c r="AD261" s="64">
        <f>IF(AD257&lt;AD258,AD259,AD260)</f>
        <v>48.861911533304806</v>
      </c>
      <c r="AE261" s="44"/>
      <c r="AF261" s="72"/>
      <c r="AG261" s="64">
        <f>IF(AG257&lt;AG258,AG259,AG260)</f>
        <v>78.958887179505723</v>
      </c>
      <c r="AH261" s="44"/>
      <c r="AI261" s="72"/>
      <c r="AJ261" s="64">
        <f>IF(AJ257&lt;AJ258,AJ259,AJ260)</f>
        <v>120.65906724851291</v>
      </c>
      <c r="AK261" s="44"/>
      <c r="AL261" s="72"/>
      <c r="AM261" s="64">
        <f>IF(AM257&lt;AM258,AM259,AM260)</f>
        <v>179.92431073123544</v>
      </c>
      <c r="AN261" s="44"/>
      <c r="AO261" s="72"/>
      <c r="AP261" s="64">
        <f>IF(AP257&lt;AP258,AP259,AP260)</f>
        <v>294.01329298463958</v>
      </c>
      <c r="AQ261" s="44"/>
      <c r="AR261" s="72"/>
      <c r="AS261" s="64">
        <f>IF(AS257&lt;AS258,AS259,AS260)</f>
        <v>713.55785279748147</v>
      </c>
      <c r="AT261" s="44"/>
      <c r="AU261" s="72"/>
    </row>
    <row r="262" spans="15:47" ht="13" x14ac:dyDescent="0.3">
      <c r="O262" s="7" t="s">
        <v>264</v>
      </c>
      <c r="Q262" s="61"/>
      <c r="R262" s="53"/>
      <c r="S262" s="69">
        <f>IFERROR(ABS(C_h-R261),Q_max*10)</f>
        <v>4.7906710075079371</v>
      </c>
      <c r="T262" s="76">
        <f>R253</f>
        <v>1.1887579167826838</v>
      </c>
      <c r="U262" s="61"/>
      <c r="V262" s="69">
        <f>IFERROR(ABS(U$23-U261),Q_max*10)</f>
        <v>5.9199012525938013</v>
      </c>
      <c r="W262" s="75">
        <f>U253</f>
        <v>34.478501299584153</v>
      </c>
      <c r="X262" s="61"/>
      <c r="Y262" s="69">
        <f>IFERROR(ABS(X$23-X261),Q_max*10)</f>
        <v>8.3202637881078214</v>
      </c>
      <c r="Z262" s="75">
        <f>X253</f>
        <v>82.761675183875994</v>
      </c>
      <c r="AA262" s="61"/>
      <c r="AB262" s="69">
        <f>IFERROR(ABS(AA$23-AA261),Q_max*10)</f>
        <v>10.480398367180072</v>
      </c>
      <c r="AC262" s="75">
        <f>AA253</f>
        <v>158.02236910126359</v>
      </c>
      <c r="AD262" s="61"/>
      <c r="AE262" s="69">
        <f>IFERROR(ABS(AD$23-AD261),Q_max*10)</f>
        <v>12.138088466695194</v>
      </c>
      <c r="AF262" s="75">
        <f>AD253</f>
        <v>259.88861678709765</v>
      </c>
      <c r="AG262" s="61"/>
      <c r="AH262" s="69">
        <f>IFERROR(ABS(AG$23-AG261),Q_max*10)</f>
        <v>9.041112820494277</v>
      </c>
      <c r="AI262" s="75">
        <f>AG253</f>
        <v>386.93873630671681</v>
      </c>
      <c r="AJ262" s="61"/>
      <c r="AK262" s="69">
        <f>IFERROR(ABS(AJ$23-AJ261),Q_max*10)</f>
        <v>0.34093275148708813</v>
      </c>
      <c r="AL262" s="75">
        <f>AJ253</f>
        <v>516.37124359534027</v>
      </c>
      <c r="AM262" s="61"/>
      <c r="AN262" s="69">
        <f>IFERROR(ABS(AM$23-AM261),Q_max*10)</f>
        <v>14.924310731235437</v>
      </c>
      <c r="AO262" s="75">
        <f>AM253</f>
        <v>630.07104835057976</v>
      </c>
      <c r="AP262" s="61"/>
      <c r="AQ262" s="69">
        <f>IFERROR(ABS(AP$23-AP261),Q_max*10)</f>
        <v>48.013292984639577</v>
      </c>
      <c r="AR262" s="75">
        <f>AP253</f>
        <v>731.49292681245254</v>
      </c>
      <c r="AS262" s="61"/>
      <c r="AT262" s="69">
        <f>IFERROR(ABS(AS$23-AS261),Q_max*10)</f>
        <v>293.55785279748147</v>
      </c>
      <c r="AU262" s="75">
        <f>AS253</f>
        <v>832.50718468973207</v>
      </c>
    </row>
    <row r="263" spans="15:47" ht="14.5" x14ac:dyDescent="0.35">
      <c r="O263" s="8"/>
      <c r="P263" s="6"/>
      <c r="Q263" s="60"/>
      <c r="R263" s="67"/>
      <c r="S263" s="66"/>
      <c r="T263" s="74"/>
      <c r="V263" s="11"/>
      <c r="W263" s="38"/>
      <c r="Y263" s="11"/>
      <c r="Z263" s="38"/>
      <c r="AB263" s="11"/>
      <c r="AC263" s="38"/>
      <c r="AE263" s="11"/>
      <c r="AF263" s="38"/>
      <c r="AH263" s="11"/>
      <c r="AI263" s="38"/>
      <c r="AK263" s="11"/>
      <c r="AL263" s="38"/>
      <c r="AN263" s="11"/>
      <c r="AO263" s="38"/>
      <c r="AQ263" s="11"/>
      <c r="AR263" s="38"/>
      <c r="AT263" s="11"/>
      <c r="AU263" s="38"/>
    </row>
    <row r="264" spans="15:47" ht="14" x14ac:dyDescent="0.3">
      <c r="O264" s="8" t="s">
        <v>235</v>
      </c>
      <c r="P264" s="6"/>
      <c r="Q264" s="60"/>
      <c r="R264" s="53">
        <f>R253*1.02</f>
        <v>1.2125330751183376</v>
      </c>
      <c r="S264" s="58" t="s">
        <v>238</v>
      </c>
      <c r="T264" s="73" t="s">
        <v>241</v>
      </c>
      <c r="U264" s="84">
        <f>U253*1.01</f>
        <v>34.823286312579995</v>
      </c>
      <c r="V264" s="58" t="s">
        <v>238</v>
      </c>
      <c r="W264" s="73" t="s">
        <v>241</v>
      </c>
      <c r="X264" s="84">
        <f>X253*1.01</f>
        <v>83.589291935714755</v>
      </c>
      <c r="Y264" s="58" t="s">
        <v>238</v>
      </c>
      <c r="Z264" s="73" t="s">
        <v>241</v>
      </c>
      <c r="AA264" s="84">
        <f>AA253*1.01</f>
        <v>159.60259279227623</v>
      </c>
      <c r="AB264" s="58" t="s">
        <v>238</v>
      </c>
      <c r="AC264" s="73" t="s">
        <v>241</v>
      </c>
      <c r="AD264" s="84">
        <f>AD253*1.01</f>
        <v>262.48750295496865</v>
      </c>
      <c r="AE264" s="58" t="s">
        <v>238</v>
      </c>
      <c r="AF264" s="73" t="s">
        <v>241</v>
      </c>
      <c r="AG264" s="84">
        <f>AG253*1.01</f>
        <v>390.80812366978398</v>
      </c>
      <c r="AH264" s="58" t="s">
        <v>238</v>
      </c>
      <c r="AI264" s="73" t="s">
        <v>241</v>
      </c>
      <c r="AJ264" s="84">
        <f>AJ253*1.01</f>
        <v>521.53495603129363</v>
      </c>
      <c r="AK264" s="58" t="s">
        <v>238</v>
      </c>
      <c r="AL264" s="73" t="s">
        <v>241</v>
      </c>
      <c r="AM264" s="84">
        <f>AM253*1.01</f>
        <v>636.37175883408554</v>
      </c>
      <c r="AN264" s="58" t="s">
        <v>238</v>
      </c>
      <c r="AO264" s="73" t="s">
        <v>241</v>
      </c>
      <c r="AP264" s="84">
        <f>AP253*1.01</f>
        <v>738.80785608057704</v>
      </c>
      <c r="AQ264" s="58" t="s">
        <v>238</v>
      </c>
      <c r="AR264" s="73" t="s">
        <v>241</v>
      </c>
      <c r="AS264" s="84">
        <f>AS253*1.01</f>
        <v>840.83225653662942</v>
      </c>
      <c r="AT264" s="58" t="s">
        <v>238</v>
      </c>
      <c r="AU264" s="73" t="s">
        <v>241</v>
      </c>
    </row>
    <row r="265" spans="15:47" ht="13" x14ac:dyDescent="0.25">
      <c r="O265" s="6"/>
      <c r="P265" s="6"/>
      <c r="Q265" s="60"/>
      <c r="R265" s="70"/>
      <c r="S265" s="63" t="s">
        <v>250</v>
      </c>
      <c r="T265" s="71" t="s">
        <v>242</v>
      </c>
      <c r="U265" s="61"/>
      <c r="V265" s="63" t="s">
        <v>250</v>
      </c>
      <c r="W265" s="71" t="s">
        <v>242</v>
      </c>
      <c r="X265" s="61"/>
      <c r="Y265" s="63" t="s">
        <v>250</v>
      </c>
      <c r="Z265" s="71" t="s">
        <v>242</v>
      </c>
      <c r="AA265" s="61"/>
      <c r="AB265" s="63" t="s">
        <v>250</v>
      </c>
      <c r="AC265" s="71" t="s">
        <v>242</v>
      </c>
      <c r="AD265" s="61"/>
      <c r="AE265" s="63" t="s">
        <v>250</v>
      </c>
      <c r="AF265" s="71" t="s">
        <v>242</v>
      </c>
      <c r="AG265" s="61"/>
      <c r="AH265" s="63" t="s">
        <v>250</v>
      </c>
      <c r="AI265" s="71" t="s">
        <v>242</v>
      </c>
      <c r="AJ265" s="61"/>
      <c r="AK265" s="63" t="s">
        <v>250</v>
      </c>
      <c r="AL265" s="71" t="s">
        <v>242</v>
      </c>
      <c r="AM265" s="61"/>
      <c r="AN265" s="63" t="s">
        <v>250</v>
      </c>
      <c r="AO265" s="71" t="s">
        <v>242</v>
      </c>
      <c r="AP265" s="61"/>
      <c r="AQ265" s="63" t="s">
        <v>250</v>
      </c>
      <c r="AR265" s="71" t="s">
        <v>242</v>
      </c>
      <c r="AS265" s="61"/>
      <c r="AT265" s="63" t="s">
        <v>250</v>
      </c>
      <c r="AU265" s="71" t="s">
        <v>242</v>
      </c>
    </row>
    <row r="266" spans="15:47" ht="13" x14ac:dyDescent="0.3">
      <c r="O266" s="6" t="s">
        <v>231</v>
      </c>
      <c r="P266" s="6"/>
      <c r="Q266" s="60"/>
      <c r="R266" s="85">
        <f>P_1_minQ-(R264^2*R_up)+dpup_minQ</f>
        <v>56.916093541490774</v>
      </c>
      <c r="S266" s="56"/>
      <c r="T266" s="72"/>
      <c r="U266" s="53">
        <f>P_1_minQ-(U264^2*R_up)+dpup_minQ</f>
        <v>56.875188744694093</v>
      </c>
      <c r="V266" s="44"/>
      <c r="W266" s="72"/>
      <c r="X266" s="53">
        <f>P_1_minQ-(X264^2*R_up)+dpup_minQ</f>
        <v>56.680169884285235</v>
      </c>
      <c r="Y266" s="44"/>
      <c r="Z266" s="72"/>
      <c r="AA266" s="53">
        <f>P_1_minQ-(AA264^2*R_up)+dpup_minQ</f>
        <v>56.055859924822116</v>
      </c>
      <c r="AB266" s="44"/>
      <c r="AC266" s="72"/>
      <c r="AD266" s="53">
        <f>P_1_minQ-(AD264^2*R_up)+dpup_minQ</f>
        <v>54.589237108830304</v>
      </c>
      <c r="AE266" s="44"/>
      <c r="AF266" s="72"/>
      <c r="AG266" s="53">
        <f>P_1_minQ-(AG264^2*R_up)+dpup_minQ</f>
        <v>51.758055064968012</v>
      </c>
      <c r="AH266" s="44"/>
      <c r="AI266" s="72"/>
      <c r="AJ266" s="53">
        <f>P_1_minQ-(AJ264^2*R_up)+dpup_minQ</f>
        <v>47.730100967154222</v>
      </c>
      <c r="AK266" s="44"/>
      <c r="AL266" s="72"/>
      <c r="AM266" s="53">
        <f>P_1_minQ-(AM264^2*R_up)+dpup_minQ</f>
        <v>43.239378066815682</v>
      </c>
      <c r="AN266" s="44"/>
      <c r="AO266" s="72"/>
      <c r="AP266" s="53">
        <f>P_1_minQ-(AP264^2*R_up)+dpup_minQ</f>
        <v>38.48193015176026</v>
      </c>
      <c r="AQ266" s="44"/>
      <c r="AR266" s="72"/>
      <c r="AS266" s="53">
        <f>P_1_minQ-(AS264^2*R_up)+dpup_minQ</f>
        <v>33.039112339328597</v>
      </c>
      <c r="AT266" s="44"/>
      <c r="AU266" s="72"/>
    </row>
    <row r="267" spans="15:47" ht="13" x14ac:dyDescent="0.3">
      <c r="O267" s="6" t="s">
        <v>233</v>
      </c>
      <c r="P267" s="6"/>
      <c r="Q267" s="60"/>
      <c r="R267" s="85">
        <f>P_2_minQ+(R264^2*R_dn)-dpdn_minQ</f>
        <v>24.656781291701847</v>
      </c>
      <c r="S267" s="66"/>
      <c r="T267" s="74"/>
      <c r="U267" s="53">
        <f>P_2_minQ+(U264^2*R_dn)-dpdn_minQ</f>
        <v>24.664962251061183</v>
      </c>
      <c r="V267" s="45"/>
      <c r="W267" s="74"/>
      <c r="X267" s="53">
        <f>P_2_minQ+(X264^2*R_dn)-dpdn_minQ</f>
        <v>24.703966023142954</v>
      </c>
      <c r="Y267" s="45"/>
      <c r="Z267" s="74"/>
      <c r="AA267" s="53">
        <f>P_2_minQ+(AA264^2*R_dn)-dpdn_minQ</f>
        <v>24.82882801503558</v>
      </c>
      <c r="AB267" s="45"/>
      <c r="AC267" s="74"/>
      <c r="AD267" s="53">
        <f>P_2_minQ+(AD264^2*R_dn)-dpdn_minQ</f>
        <v>25.122152578233941</v>
      </c>
      <c r="AE267" s="45"/>
      <c r="AF267" s="74"/>
      <c r="AG267" s="53">
        <f>P_2_minQ+(AG264^2*R_dn)-dpdn_minQ</f>
        <v>25.688388987006398</v>
      </c>
      <c r="AH267" s="45"/>
      <c r="AI267" s="74"/>
      <c r="AJ267" s="53">
        <f>P_2_minQ+(AJ264^2*R_dn)-dpdn_minQ</f>
        <v>26.493979806569158</v>
      </c>
      <c r="AK267" s="45"/>
      <c r="AL267" s="74"/>
      <c r="AM267" s="53">
        <f>P_2_minQ+(AM264^2*R_dn)-dpdn_minQ</f>
        <v>27.392124386636866</v>
      </c>
      <c r="AN267" s="45"/>
      <c r="AO267" s="74"/>
      <c r="AP267" s="53">
        <f>P_2_minQ+(AP264^2*R_dn)-dpdn_minQ</f>
        <v>28.343613969647947</v>
      </c>
      <c r="AQ267" s="45"/>
      <c r="AR267" s="74"/>
      <c r="AS267" s="53">
        <f>P_2_minQ+(AS264^2*R_dn)-dpdn_minQ</f>
        <v>29.432177532134279</v>
      </c>
      <c r="AT267" s="45"/>
      <c r="AU267" s="74"/>
    </row>
    <row r="268" spans="15:47" x14ac:dyDescent="0.25">
      <c r="O268" s="6" t="s">
        <v>243</v>
      </c>
      <c r="Q268" s="60"/>
      <c r="R268" s="53">
        <f>R266-R267</f>
        <v>32.259312249788927</v>
      </c>
      <c r="S268" s="56"/>
      <c r="T268" s="72"/>
      <c r="U268" s="64">
        <f>U266-U267</f>
        <v>32.210226493632909</v>
      </c>
      <c r="V268" s="44"/>
      <c r="W268" s="72"/>
      <c r="X268" s="64">
        <f>X266-X267</f>
        <v>31.976203861142281</v>
      </c>
      <c r="Y268" s="44"/>
      <c r="Z268" s="72"/>
      <c r="AA268" s="64">
        <f>AA266-AA267</f>
        <v>31.227031909786536</v>
      </c>
      <c r="AB268" s="44"/>
      <c r="AC268" s="72"/>
      <c r="AD268" s="64">
        <f>AD266-AD267</f>
        <v>29.467084530596363</v>
      </c>
      <c r="AE268" s="44"/>
      <c r="AF268" s="72"/>
      <c r="AG268" s="64">
        <f>AG266-AG267</f>
        <v>26.069666077961614</v>
      </c>
      <c r="AH268" s="44"/>
      <c r="AI268" s="72"/>
      <c r="AJ268" s="64">
        <f>AJ266-AJ267</f>
        <v>21.236121160585064</v>
      </c>
      <c r="AK268" s="44"/>
      <c r="AL268" s="72"/>
      <c r="AM268" s="64">
        <f>AM266-AM267</f>
        <v>15.847253680178817</v>
      </c>
      <c r="AN268" s="44"/>
      <c r="AO268" s="72"/>
      <c r="AP268" s="64">
        <f>AP266-AP267</f>
        <v>10.138316182112312</v>
      </c>
      <c r="AQ268" s="44"/>
      <c r="AR268" s="72"/>
      <c r="AS268" s="64">
        <f>AS266-AS267</f>
        <v>3.6069348071943175</v>
      </c>
      <c r="AT268" s="44"/>
      <c r="AU268" s="72"/>
    </row>
    <row r="269" spans="15:47" ht="13" x14ac:dyDescent="0.3">
      <c r="O269" s="6" t="s">
        <v>75</v>
      </c>
      <c r="P269" s="6">
        <v>3</v>
      </c>
      <c r="Q269" s="65"/>
      <c r="R269" s="85">
        <f>(F_LP_h/F_P_h)^2*(R266-('Valve Sizing'!$V$4*'Valve Sizing'!$G$7))</f>
        <v>46.765122126115763</v>
      </c>
      <c r="S269" s="58"/>
      <c r="T269" s="73"/>
      <c r="U269" s="53">
        <f>(U$29/U$27)^2*(U266-('Valve Sizing'!$V$4*'Valve Sizing'!$G$7))</f>
        <v>46.718513798833463</v>
      </c>
      <c r="V269" s="41"/>
      <c r="W269" s="73"/>
      <c r="X269" s="53">
        <f>(X$29/X$27)^2*(X266-('Valve Sizing'!$V$4*'Valve Sizing'!$G$7))</f>
        <v>45.506887288766428</v>
      </c>
      <c r="Y269" s="41"/>
      <c r="Z269" s="73"/>
      <c r="AA269" s="53">
        <f>(AA$29/AA$27)^2*(AA266-('Valve Sizing'!$V$4*'Valve Sizing'!$G$7))</f>
        <v>42.979737446667194</v>
      </c>
      <c r="AB269" s="41"/>
      <c r="AC269" s="73"/>
      <c r="AD269" s="53">
        <f>(AD$29/AD$27)^2*(AD266-('Valve Sizing'!$V$4*'Valve Sizing'!$G$7))</f>
        <v>39.051706320931366</v>
      </c>
      <c r="AE269" s="41"/>
      <c r="AF269" s="73"/>
      <c r="AG269" s="53">
        <f>(AG$29/AG$27)^2*(AG266-('Valve Sizing'!$V$4*'Valve Sizing'!$G$7))</f>
        <v>33.051045809729153</v>
      </c>
      <c r="AH269" s="41"/>
      <c r="AI269" s="73"/>
      <c r="AJ269" s="53">
        <f>(AJ$29/AJ$27)^2*(AJ266-('Valve Sizing'!$V$4*'Valve Sizing'!$G$7))</f>
        <v>27.350874459708315</v>
      </c>
      <c r="AK269" s="41"/>
      <c r="AL269" s="73"/>
      <c r="AM269" s="53">
        <f>(AM$29/AM$27)^2*(AM266-('Valve Sizing'!$V$4*'Valve Sizing'!$G$7))</f>
        <v>20.478282819534815</v>
      </c>
      <c r="AN269" s="41"/>
      <c r="AO269" s="73"/>
      <c r="AP269" s="53">
        <f>(AP$29/AP$27)^2*(AP266-('Valve Sizing'!$V$4*'Valve Sizing'!$G$7))</f>
        <v>15.012343444660326</v>
      </c>
      <c r="AQ269" s="41"/>
      <c r="AR269" s="73"/>
      <c r="AS269" s="53">
        <f>(AS$29/AS$27)^2*(AS266-('Valve Sizing'!$V$4*'Valve Sizing'!$G$7))</f>
        <v>12.261834310746323</v>
      </c>
      <c r="AT269" s="41"/>
      <c r="AU269" s="73"/>
    </row>
    <row r="270" spans="15:47" ht="13" x14ac:dyDescent="0.25">
      <c r="O270" s="1" t="s">
        <v>69</v>
      </c>
      <c r="P270" s="17">
        <v>7</v>
      </c>
      <c r="Q270" s="65"/>
      <c r="R270" s="53">
        <f>(R264/(N_1*F_P_h))*SQRT('Valve Sizing'!$G$6/R268)</f>
        <v>0.21351557999884857</v>
      </c>
      <c r="S270" s="58"/>
      <c r="T270" s="73"/>
      <c r="U270" s="64">
        <f>(U264/(N_1*U$27))*SQRT('Valve Sizing'!$G$6/U268)</f>
        <v>6.1409920431528269</v>
      </c>
      <c r="V270" s="41"/>
      <c r="W270" s="73"/>
      <c r="X270" s="64">
        <f>(X264/(N_1*X$27))*SQRT('Valve Sizing'!$G$6/X268)</f>
        <v>14.8278270584944</v>
      </c>
      <c r="Y270" s="41"/>
      <c r="Z270" s="73"/>
      <c r="AA270" s="64">
        <f>(AA264/(N_1*AA$27))*SQRT('Valve Sizing'!$G$6/AA268)</f>
        <v>28.814177791990627</v>
      </c>
      <c r="AB270" s="41"/>
      <c r="AC270" s="73"/>
      <c r="AD270" s="64">
        <f>(AD264/(N_1*AD$27))*SQRT('Valve Sizing'!$G$6/AD268)</f>
        <v>49.396581269902377</v>
      </c>
      <c r="AE270" s="41"/>
      <c r="AF270" s="73"/>
      <c r="AG270" s="64">
        <f>(AG264/(N_1*AG$27))*SQRT('Valve Sizing'!$G$6/AG268)</f>
        <v>79.934801935890434</v>
      </c>
      <c r="AH270" s="41"/>
      <c r="AI270" s="73"/>
      <c r="AJ270" s="64">
        <f>(AJ264/(N_1*AJ$27))*SQRT('Valve Sizing'!$G$6/AJ268)</f>
        <v>122.48728924779361</v>
      </c>
      <c r="AK270" s="41"/>
      <c r="AL270" s="73"/>
      <c r="AM270" s="64">
        <f>(AM264/(N_1*AM$27))*SQRT('Valve Sizing'!$G$6/AM268)</f>
        <v>183.56834131188603</v>
      </c>
      <c r="AN270" s="41"/>
      <c r="AO270" s="73"/>
      <c r="AP270" s="64">
        <f>(AP264/(N_1*AP$27))*SQRT('Valve Sizing'!$G$6/AP268)</f>
        <v>303.26964696900683</v>
      </c>
      <c r="AQ270" s="41"/>
      <c r="AR270" s="73"/>
      <c r="AS270" s="64">
        <f>(AS264/(N_1*AS$27))*SQRT('Valve Sizing'!$G$6/AS268)</f>
        <v>775.0462046848337</v>
      </c>
      <c r="AT270" s="41"/>
      <c r="AU270" s="73"/>
    </row>
    <row r="271" spans="15:47" ht="13" x14ac:dyDescent="0.3">
      <c r="O271" s="1" t="s">
        <v>72</v>
      </c>
      <c r="P271" s="17">
        <v>7</v>
      </c>
      <c r="Q271" s="65"/>
      <c r="R271" s="53">
        <f>(R264/(N_1*F_P_h))*SQRT('Valve Sizing'!$G$6/R269)</f>
        <v>0.17733566432936568</v>
      </c>
      <c r="S271" s="56"/>
      <c r="T271" s="72"/>
      <c r="U271" s="85">
        <f>(U264/(N_1*U$27))*SQRT('Valve Sizing'!$G$6/U269)</f>
        <v>5.0990693036797907</v>
      </c>
      <c r="V271" s="44"/>
      <c r="W271" s="72"/>
      <c r="X271" s="85">
        <f>(X264/(N_1*X$27))*SQRT('Valve Sizing'!$G$6/X269)</f>
        <v>12.429463945424144</v>
      </c>
      <c r="Y271" s="44"/>
      <c r="Z271" s="72"/>
      <c r="AA271" s="85">
        <f>(AA264/(N_1*AA$27))*SQRT('Valve Sizing'!$G$6/AA269)</f>
        <v>24.560641502719349</v>
      </c>
      <c r="AB271" s="44"/>
      <c r="AC271" s="72"/>
      <c r="AD271" s="85">
        <f>(AD264/(N_1*AD$27))*SQRT('Valve Sizing'!$G$6/AD269)</f>
        <v>42.908711134130343</v>
      </c>
      <c r="AE271" s="44"/>
      <c r="AF271" s="72"/>
      <c r="AG271" s="85">
        <f>(AG264/(N_1*AG$27))*SQRT('Valve Sizing'!$G$6/AG269)</f>
        <v>70.992265299785373</v>
      </c>
      <c r="AH271" s="44"/>
      <c r="AI271" s="72"/>
      <c r="AJ271" s="85">
        <f>(AJ264/(N_1*AJ$27))*SQRT('Valve Sizing'!$G$6/AJ269)</f>
        <v>107.93020765169132</v>
      </c>
      <c r="AK271" s="44"/>
      <c r="AL271" s="72"/>
      <c r="AM271" s="85">
        <f>(AM264/(N_1*AM$27))*SQRT('Valve Sizing'!$G$6/AM269)</f>
        <v>161.48345044063151</v>
      </c>
      <c r="AN271" s="44"/>
      <c r="AO271" s="72"/>
      <c r="AP271" s="85">
        <f>(AP264/(N_1*AP$27))*SQRT('Valve Sizing'!$G$6/AP269)</f>
        <v>249.22271088512798</v>
      </c>
      <c r="AQ271" s="44"/>
      <c r="AR271" s="72"/>
      <c r="AS271" s="85">
        <f>(AS264/(N_1*AS$27))*SQRT('Valve Sizing'!$G$6/AS269)</f>
        <v>420.35771114827622</v>
      </c>
      <c r="AT271" s="44"/>
      <c r="AU271" s="72"/>
    </row>
    <row r="272" spans="15:47" x14ac:dyDescent="0.25">
      <c r="O272" s="1" t="s">
        <v>246</v>
      </c>
      <c r="P272" s="18"/>
      <c r="Q272" s="65"/>
      <c r="R272" s="53">
        <f>IF(R268&lt;R269,R270,R271)</f>
        <v>0.21351557999884857</v>
      </c>
      <c r="S272" s="49"/>
      <c r="T272" s="72"/>
      <c r="U272" s="64">
        <f>IF(U268&lt;U269,U270,U271)</f>
        <v>6.1409920431528269</v>
      </c>
      <c r="V272" s="44"/>
      <c r="W272" s="72"/>
      <c r="X272" s="64">
        <f>IF(X268&lt;X269,X270,X271)</f>
        <v>14.8278270584944</v>
      </c>
      <c r="Y272" s="44"/>
      <c r="Z272" s="72"/>
      <c r="AA272" s="64">
        <f>IF(AA268&lt;AA269,AA270,AA271)</f>
        <v>28.814177791990627</v>
      </c>
      <c r="AB272" s="44"/>
      <c r="AC272" s="72"/>
      <c r="AD272" s="64">
        <f>IF(AD268&lt;AD269,AD270,AD271)</f>
        <v>49.396581269902377</v>
      </c>
      <c r="AE272" s="44"/>
      <c r="AF272" s="72"/>
      <c r="AG272" s="64">
        <f>IF(AG268&lt;AG269,AG270,AG271)</f>
        <v>79.934801935890434</v>
      </c>
      <c r="AH272" s="44"/>
      <c r="AI272" s="72"/>
      <c r="AJ272" s="64">
        <f>IF(AJ268&lt;AJ269,AJ270,AJ271)</f>
        <v>122.48728924779361</v>
      </c>
      <c r="AK272" s="44"/>
      <c r="AL272" s="72"/>
      <c r="AM272" s="64">
        <f>IF(AM268&lt;AM269,AM270,AM271)</f>
        <v>183.56834131188603</v>
      </c>
      <c r="AN272" s="44"/>
      <c r="AO272" s="72"/>
      <c r="AP272" s="64">
        <f>IF(AP268&lt;AP269,AP270,AP271)</f>
        <v>303.26964696900683</v>
      </c>
      <c r="AQ272" s="44"/>
      <c r="AR272" s="72"/>
      <c r="AS272" s="64">
        <f>IF(AS268&lt;AS269,AS270,AS271)</f>
        <v>775.0462046848337</v>
      </c>
      <c r="AT272" s="44"/>
      <c r="AU272" s="72"/>
    </row>
    <row r="273" spans="15:47" ht="13" x14ac:dyDescent="0.3">
      <c r="O273" s="7" t="s">
        <v>264</v>
      </c>
      <c r="Q273" s="61"/>
      <c r="R273" s="53"/>
      <c r="S273" s="69">
        <f>IFERROR(ABS(C_h-R272),Q_max*10)</f>
        <v>4.7864844200011518</v>
      </c>
      <c r="T273" s="76">
        <f>R264</f>
        <v>1.2125330751183376</v>
      </c>
      <c r="U273" s="61"/>
      <c r="V273" s="69">
        <f>IFERROR(ABS(U$23-U272),Q_max*10)</f>
        <v>5.8590079568471731</v>
      </c>
      <c r="W273" s="75">
        <f>U264</f>
        <v>34.823286312579995</v>
      </c>
      <c r="X273" s="61"/>
      <c r="Y273" s="69">
        <f>IFERROR(ABS(X$23-X272),Q_max*10)</f>
        <v>8.1721729415056004</v>
      </c>
      <c r="Z273" s="75">
        <f>X264</f>
        <v>83.589291935714755</v>
      </c>
      <c r="AA273" s="61"/>
      <c r="AB273" s="69">
        <f>IFERROR(ABS(AA$23-AA272),Q_max*10)</f>
        <v>10.185822208009373</v>
      </c>
      <c r="AC273" s="75">
        <f>AA264</f>
        <v>159.60259279227623</v>
      </c>
      <c r="AD273" s="61"/>
      <c r="AE273" s="69">
        <f>IFERROR(ABS(AD$23-AD272),Q_max*10)</f>
        <v>11.603418730097623</v>
      </c>
      <c r="AF273" s="75">
        <f>AD264</f>
        <v>262.48750295496865</v>
      </c>
      <c r="AG273" s="61"/>
      <c r="AH273" s="69">
        <f>IFERROR(ABS(AG$23-AG272),Q_max*10)</f>
        <v>8.0651980641095662</v>
      </c>
      <c r="AI273" s="75">
        <f>AG264</f>
        <v>390.80812366978398</v>
      </c>
      <c r="AJ273" s="61"/>
      <c r="AK273" s="69">
        <f>IFERROR(ABS(AJ$23-AJ272),Q_max*10)</f>
        <v>1.4872892477936119</v>
      </c>
      <c r="AL273" s="75">
        <f>AJ264</f>
        <v>521.53495603129363</v>
      </c>
      <c r="AM273" s="61"/>
      <c r="AN273" s="69">
        <f>IFERROR(ABS(AM$23-AM272),Q_max*10)</f>
        <v>18.56834131188603</v>
      </c>
      <c r="AO273" s="75">
        <f>AM264</f>
        <v>636.37175883408554</v>
      </c>
      <c r="AP273" s="61"/>
      <c r="AQ273" s="69">
        <f>IFERROR(ABS(AP$23-AP272),Q_max*10)</f>
        <v>57.269646969006828</v>
      </c>
      <c r="AR273" s="75">
        <f>AP264</f>
        <v>738.80785608057704</v>
      </c>
      <c r="AS273" s="61"/>
      <c r="AT273" s="69">
        <f>IFERROR(ABS(AS$23-AS272),Q_max*10)</f>
        <v>355.0462046848337</v>
      </c>
      <c r="AU273" s="75">
        <f>AS264</f>
        <v>840.83225653662942</v>
      </c>
    </row>
    <row r="274" spans="15:47" ht="14.5" x14ac:dyDescent="0.35">
      <c r="O274" s="6"/>
      <c r="P274" s="6"/>
      <c r="Q274" s="60"/>
      <c r="R274" s="67"/>
      <c r="S274" s="56"/>
      <c r="T274" s="72"/>
      <c r="V274" s="11"/>
      <c r="W274" s="38"/>
      <c r="Y274" s="11"/>
      <c r="Z274" s="38"/>
      <c r="AB274" s="11"/>
      <c r="AC274" s="38"/>
      <c r="AE274" s="11"/>
      <c r="AF274" s="38"/>
      <c r="AH274" s="11"/>
      <c r="AI274" s="38"/>
      <c r="AK274" s="11"/>
      <c r="AL274" s="38"/>
      <c r="AN274" s="11"/>
      <c r="AO274" s="38"/>
      <c r="AQ274" s="11"/>
      <c r="AR274" s="38"/>
      <c r="AT274" s="11"/>
      <c r="AU274" s="38"/>
    </row>
    <row r="275" spans="15:47" ht="14" x14ac:dyDescent="0.3">
      <c r="O275" s="8" t="s">
        <v>235</v>
      </c>
      <c r="P275" s="6"/>
      <c r="Q275" s="60"/>
      <c r="R275" s="53">
        <f>R264*1.02</f>
        <v>1.2367837366207044</v>
      </c>
      <c r="S275" s="58" t="s">
        <v>238</v>
      </c>
      <c r="T275" s="73" t="s">
        <v>241</v>
      </c>
      <c r="U275" s="84">
        <f>U264*1.01</f>
        <v>35.171519175705797</v>
      </c>
      <c r="V275" s="58" t="s">
        <v>238</v>
      </c>
      <c r="W275" s="73" t="s">
        <v>241</v>
      </c>
      <c r="X275" s="84">
        <f>X264*1.01</f>
        <v>84.425184855071905</v>
      </c>
      <c r="Y275" s="58" t="s">
        <v>238</v>
      </c>
      <c r="Z275" s="73" t="s">
        <v>241</v>
      </c>
      <c r="AA275" s="84">
        <f>AA264*1.01</f>
        <v>161.19861872019899</v>
      </c>
      <c r="AB275" s="58" t="s">
        <v>238</v>
      </c>
      <c r="AC275" s="73" t="s">
        <v>241</v>
      </c>
      <c r="AD275" s="84">
        <f>AD264*1.01</f>
        <v>265.11237798451833</v>
      </c>
      <c r="AE275" s="58" t="s">
        <v>238</v>
      </c>
      <c r="AF275" s="73" t="s">
        <v>241</v>
      </c>
      <c r="AG275" s="84">
        <f>AG264*1.01</f>
        <v>394.71620490648183</v>
      </c>
      <c r="AH275" s="58" t="s">
        <v>238</v>
      </c>
      <c r="AI275" s="73" t="s">
        <v>241</v>
      </c>
      <c r="AJ275" s="84">
        <f>AJ264*1.01</f>
        <v>526.75030559160655</v>
      </c>
      <c r="AK275" s="58" t="s">
        <v>238</v>
      </c>
      <c r="AL275" s="73" t="s">
        <v>241</v>
      </c>
      <c r="AM275" s="84">
        <f>AM264*1.01</f>
        <v>642.73547642242636</v>
      </c>
      <c r="AN275" s="58" t="s">
        <v>238</v>
      </c>
      <c r="AO275" s="73" t="s">
        <v>241</v>
      </c>
      <c r="AP275" s="84">
        <f>AP264*1.01</f>
        <v>746.19593464138279</v>
      </c>
      <c r="AQ275" s="58" t="s">
        <v>238</v>
      </c>
      <c r="AR275" s="73" t="s">
        <v>241</v>
      </c>
      <c r="AS275" s="84">
        <f>AS264*1.01</f>
        <v>849.24057910199576</v>
      </c>
      <c r="AT275" s="58" t="s">
        <v>238</v>
      </c>
      <c r="AU275" s="73" t="s">
        <v>241</v>
      </c>
    </row>
    <row r="276" spans="15:47" ht="13" x14ac:dyDescent="0.25">
      <c r="O276" s="6"/>
      <c r="P276" s="6"/>
      <c r="Q276" s="60"/>
      <c r="R276" s="70"/>
      <c r="S276" s="63" t="s">
        <v>250</v>
      </c>
      <c r="T276" s="71" t="s">
        <v>242</v>
      </c>
      <c r="U276" s="61"/>
      <c r="V276" s="63" t="s">
        <v>250</v>
      </c>
      <c r="W276" s="71" t="s">
        <v>242</v>
      </c>
      <c r="X276" s="61"/>
      <c r="Y276" s="63" t="s">
        <v>250</v>
      </c>
      <c r="Z276" s="71" t="s">
        <v>242</v>
      </c>
      <c r="AA276" s="61"/>
      <c r="AB276" s="63" t="s">
        <v>250</v>
      </c>
      <c r="AC276" s="71" t="s">
        <v>242</v>
      </c>
      <c r="AD276" s="61"/>
      <c r="AE276" s="63" t="s">
        <v>250</v>
      </c>
      <c r="AF276" s="71" t="s">
        <v>242</v>
      </c>
      <c r="AG276" s="61"/>
      <c r="AH276" s="63" t="s">
        <v>250</v>
      </c>
      <c r="AI276" s="71" t="s">
        <v>242</v>
      </c>
      <c r="AJ276" s="61"/>
      <c r="AK276" s="63" t="s">
        <v>250</v>
      </c>
      <c r="AL276" s="71" t="s">
        <v>242</v>
      </c>
      <c r="AM276" s="61"/>
      <c r="AN276" s="63" t="s">
        <v>250</v>
      </c>
      <c r="AO276" s="71" t="s">
        <v>242</v>
      </c>
      <c r="AP276" s="61"/>
      <c r="AQ276" s="63" t="s">
        <v>250</v>
      </c>
      <c r="AR276" s="71" t="s">
        <v>242</v>
      </c>
      <c r="AS276" s="61"/>
      <c r="AT276" s="63" t="s">
        <v>250</v>
      </c>
      <c r="AU276" s="71" t="s">
        <v>242</v>
      </c>
    </row>
    <row r="277" spans="15:47" ht="13" x14ac:dyDescent="0.3">
      <c r="O277" s="6" t="s">
        <v>231</v>
      </c>
      <c r="P277" s="6"/>
      <c r="Q277" s="60"/>
      <c r="R277" s="85">
        <f>P_1_minQ-(R275^2*R_up)+dpup_minQ</f>
        <v>56.916091535494388</v>
      </c>
      <c r="S277" s="56"/>
      <c r="T277" s="72"/>
      <c r="U277" s="53">
        <f>P_1_minQ-(U275^2*R_up)+dpup_minQ</f>
        <v>56.874365560245629</v>
      </c>
      <c r="V277" s="44"/>
      <c r="W277" s="72"/>
      <c r="X277" s="53">
        <f>P_1_minQ-(X275^2*R_up)+dpup_minQ</f>
        <v>56.675426820742551</v>
      </c>
      <c r="Y277" s="44"/>
      <c r="Z277" s="72"/>
      <c r="AA277" s="53">
        <f>P_1_minQ-(AA275^2*R_up)+dpup_minQ</f>
        <v>56.038568231094224</v>
      </c>
      <c r="AB277" s="44"/>
      <c r="AC277" s="72"/>
      <c r="AD277" s="53">
        <f>P_1_minQ-(AD275^2*R_up)+dpup_minQ</f>
        <v>54.542466296500976</v>
      </c>
      <c r="AE277" s="44"/>
      <c r="AF277" s="72"/>
      <c r="AG277" s="53">
        <f>P_1_minQ-(AG275^2*R_up)+dpup_minQ</f>
        <v>51.65437749355705</v>
      </c>
      <c r="AH277" s="44"/>
      <c r="AI277" s="72"/>
      <c r="AJ277" s="53">
        <f>P_1_minQ-(AJ275^2*R_up)+dpup_minQ</f>
        <v>47.545461518377209</v>
      </c>
      <c r="AK277" s="44"/>
      <c r="AL277" s="72"/>
      <c r="AM277" s="53">
        <f>P_1_minQ-(AM275^2*R_up)+dpup_minQ</f>
        <v>42.964475087741867</v>
      </c>
      <c r="AN277" s="44"/>
      <c r="AO277" s="72"/>
      <c r="AP277" s="53">
        <f>P_1_minQ-(AP275^2*R_up)+dpup_minQ</f>
        <v>38.111402469593827</v>
      </c>
      <c r="AQ277" s="44"/>
      <c r="AR277" s="72"/>
      <c r="AS277" s="53">
        <f>P_1_minQ-(AS275^2*R_up)+dpup_minQ</f>
        <v>32.559184019132282</v>
      </c>
      <c r="AT277" s="44"/>
      <c r="AU277" s="72"/>
    </row>
    <row r="278" spans="15:47" ht="13" x14ac:dyDescent="0.3">
      <c r="O278" s="6" t="s">
        <v>233</v>
      </c>
      <c r="P278" s="6"/>
      <c r="Q278" s="60"/>
      <c r="R278" s="85">
        <f>P_2_minQ+(R275^2*R_dn)-dpdn_minQ</f>
        <v>24.656781692901124</v>
      </c>
      <c r="S278" s="66"/>
      <c r="T278" s="74"/>
      <c r="U278" s="53">
        <f>P_2_minQ+(U275^2*R_dn)-dpdn_minQ</f>
        <v>24.665126887950876</v>
      </c>
      <c r="V278" s="45"/>
      <c r="W278" s="74"/>
      <c r="X278" s="53">
        <f>P_2_minQ+(X275^2*R_dn)-dpdn_minQ</f>
        <v>24.704914635851491</v>
      </c>
      <c r="Y278" s="45"/>
      <c r="Z278" s="74"/>
      <c r="AA278" s="53">
        <f>P_2_minQ+(AA275^2*R_dn)-dpdn_minQ</f>
        <v>24.832286353781157</v>
      </c>
      <c r="AB278" s="45"/>
      <c r="AC278" s="74"/>
      <c r="AD278" s="53">
        <f>P_2_minQ+(AD275^2*R_dn)-dpdn_minQ</f>
        <v>25.131506740699805</v>
      </c>
      <c r="AE278" s="45"/>
      <c r="AF278" s="74"/>
      <c r="AG278" s="53">
        <f>P_2_minQ+(AG275^2*R_dn)-dpdn_minQ</f>
        <v>25.709124501288592</v>
      </c>
      <c r="AH278" s="45"/>
      <c r="AI278" s="74"/>
      <c r="AJ278" s="53">
        <f>P_2_minQ+(AJ275^2*R_dn)-dpdn_minQ</f>
        <v>26.530907696324558</v>
      </c>
      <c r="AK278" s="45"/>
      <c r="AL278" s="74"/>
      <c r="AM278" s="53">
        <f>P_2_minQ+(AM275^2*R_dn)-dpdn_minQ</f>
        <v>27.447104982451627</v>
      </c>
      <c r="AN278" s="45"/>
      <c r="AO278" s="74"/>
      <c r="AP278" s="53">
        <f>P_2_minQ+(AP275^2*R_dn)-dpdn_minQ</f>
        <v>28.417719506081237</v>
      </c>
      <c r="AQ278" s="45"/>
      <c r="AR278" s="74"/>
      <c r="AS278" s="53">
        <f>P_2_minQ+(AS275^2*R_dn)-dpdn_minQ</f>
        <v>29.528163196173544</v>
      </c>
      <c r="AT278" s="45"/>
      <c r="AU278" s="74"/>
    </row>
    <row r="279" spans="15:47" x14ac:dyDescent="0.25">
      <c r="O279" s="6" t="s">
        <v>243</v>
      </c>
      <c r="Q279" s="60"/>
      <c r="R279" s="53">
        <f>R277-R278</f>
        <v>32.259309842593268</v>
      </c>
      <c r="S279" s="56"/>
      <c r="T279" s="72"/>
      <c r="U279" s="64">
        <f>U277-U278</f>
        <v>32.209238672294752</v>
      </c>
      <c r="V279" s="44"/>
      <c r="W279" s="72"/>
      <c r="X279" s="64">
        <f>X277-X278</f>
        <v>31.97051218489106</v>
      </c>
      <c r="Y279" s="44"/>
      <c r="Z279" s="72"/>
      <c r="AA279" s="64">
        <f>AA277-AA278</f>
        <v>31.206281877313067</v>
      </c>
      <c r="AB279" s="44"/>
      <c r="AC279" s="72"/>
      <c r="AD279" s="64">
        <f>AD277-AD278</f>
        <v>29.41095955580117</v>
      </c>
      <c r="AE279" s="44"/>
      <c r="AF279" s="72"/>
      <c r="AG279" s="64">
        <f>AG277-AG278</f>
        <v>25.945252992268458</v>
      </c>
      <c r="AH279" s="44"/>
      <c r="AI279" s="72"/>
      <c r="AJ279" s="64">
        <f>AJ277-AJ278</f>
        <v>21.014553822052651</v>
      </c>
      <c r="AK279" s="44"/>
      <c r="AL279" s="72"/>
      <c r="AM279" s="64">
        <f>AM277-AM278</f>
        <v>15.51737010529024</v>
      </c>
      <c r="AN279" s="44"/>
      <c r="AO279" s="72"/>
      <c r="AP279" s="64">
        <f>AP277-AP278</f>
        <v>9.6936829635125896</v>
      </c>
      <c r="AQ279" s="44"/>
      <c r="AR279" s="72"/>
      <c r="AS279" s="64">
        <f>AS277-AS278</f>
        <v>3.0310208229587374</v>
      </c>
      <c r="AT279" s="44"/>
      <c r="AU279" s="72"/>
    </row>
    <row r="280" spans="15:47" ht="13" x14ac:dyDescent="0.3">
      <c r="O280" s="6" t="s">
        <v>75</v>
      </c>
      <c r="P280" s="6">
        <v>3</v>
      </c>
      <c r="Q280" s="65"/>
      <c r="R280" s="85">
        <f>(F_LP_h/F_P_h)^2*(R277-('Valve Sizing'!$V$4*'Valve Sizing'!$G$7))</f>
        <v>46.765120465045463</v>
      </c>
      <c r="S280" s="58"/>
      <c r="T280" s="73"/>
      <c r="U280" s="53">
        <f>(U$29/U$27)^2*(U277-('Valve Sizing'!$V$4*'Valve Sizing'!$G$7))</f>
        <v>46.717832344688119</v>
      </c>
      <c r="V280" s="41"/>
      <c r="W280" s="73"/>
      <c r="X280" s="53">
        <f>(X$29/X$27)^2*(X277-('Valve Sizing'!$V$4*'Valve Sizing'!$G$7))</f>
        <v>45.503049421992372</v>
      </c>
      <c r="Y280" s="41"/>
      <c r="Z280" s="73"/>
      <c r="AA280" s="53">
        <f>(AA$29/AA$27)^2*(AA277-('Valve Sizing'!$V$4*'Valve Sizing'!$G$7))</f>
        <v>42.966374473801785</v>
      </c>
      <c r="AB280" s="41"/>
      <c r="AC280" s="73"/>
      <c r="AD280" s="53">
        <f>(AD$29/AD$27)^2*(AD277-('Valve Sizing'!$V$4*'Valve Sizing'!$G$7))</f>
        <v>39.017975800056078</v>
      </c>
      <c r="AE280" s="41"/>
      <c r="AF280" s="73"/>
      <c r="AG280" s="53">
        <f>(AG$29/AG$27)^2*(AG277-('Valve Sizing'!$V$4*'Valve Sizing'!$G$7))</f>
        <v>32.984272896988571</v>
      </c>
      <c r="AH280" s="41"/>
      <c r="AI280" s="73"/>
      <c r="AJ280" s="53">
        <f>(AJ$29/AJ$27)^2*(AJ277-('Valve Sizing'!$V$4*'Valve Sizing'!$G$7))</f>
        <v>27.244085587641397</v>
      </c>
      <c r="AK280" s="41"/>
      <c r="AL280" s="73"/>
      <c r="AM280" s="53">
        <f>(AM$29/AM$27)^2*(AM277-('Valve Sizing'!$V$4*'Valve Sizing'!$G$7))</f>
        <v>20.346749400287152</v>
      </c>
      <c r="AN280" s="41"/>
      <c r="AO280" s="73"/>
      <c r="AP280" s="53">
        <f>(AP$29/AP$27)^2*(AP277-('Valve Sizing'!$V$4*'Valve Sizing'!$G$7))</f>
        <v>14.866123280998526</v>
      </c>
      <c r="AQ280" s="41"/>
      <c r="AR280" s="73"/>
      <c r="AS280" s="53">
        <f>(AS$29/AS$27)^2*(AS277-('Valve Sizing'!$V$4*'Valve Sizing'!$G$7))</f>
        <v>12.081313691274771</v>
      </c>
      <c r="AT280" s="41"/>
      <c r="AU280" s="73"/>
    </row>
    <row r="281" spans="15:47" ht="13" x14ac:dyDescent="0.25">
      <c r="O281" s="1" t="s">
        <v>69</v>
      </c>
      <c r="P281" s="17">
        <v>7</v>
      </c>
      <c r="Q281" s="65"/>
      <c r="R281" s="53">
        <f>(R275/(N_1*F_P_h))*SQRT('Valve Sizing'!$G$6/R279)</f>
        <v>0.21778589972443715</v>
      </c>
      <c r="S281" s="58"/>
      <c r="T281" s="73"/>
      <c r="U281" s="64">
        <f>(U275/(N_1*U$27))*SQRT('Valve Sizing'!$G$6/U279)</f>
        <v>6.2024970732219114</v>
      </c>
      <c r="V281" s="41"/>
      <c r="W281" s="73"/>
      <c r="X281" s="64">
        <f>(X275/(N_1*X$27))*SQRT('Valve Sizing'!$G$6/X279)</f>
        <v>14.977438359797205</v>
      </c>
      <c r="Y281" s="41"/>
      <c r="Z281" s="73"/>
      <c r="AA281" s="64">
        <f>(AA275/(N_1*AA$27))*SQRT('Valve Sizing'!$G$6/AA279)</f>
        <v>29.111993483133759</v>
      </c>
      <c r="AB281" s="41"/>
      <c r="AC281" s="73"/>
      <c r="AD281" s="64">
        <f>(AD275/(N_1*AD$27))*SQRT('Valve Sizing'!$G$6/AD279)</f>
        <v>49.938127493976978</v>
      </c>
      <c r="AE281" s="41"/>
      <c r="AF281" s="73"/>
      <c r="AG281" s="64">
        <f>(AG275/(N_1*AG$27))*SQRT('Valve Sizing'!$G$6/AG279)</f>
        <v>80.927487292444567</v>
      </c>
      <c r="AH281" s="41"/>
      <c r="AI281" s="73"/>
      <c r="AJ281" s="64">
        <f>(AJ275/(N_1*AJ$27))*SQRT('Valve Sizing'!$G$6/AJ279)</f>
        <v>124.36263281321158</v>
      </c>
      <c r="AK281" s="41"/>
      <c r="AL281" s="73"/>
      <c r="AM281" s="64">
        <f>(AM275/(N_1*AM$27))*SQRT('Valve Sizing'!$G$6/AM279)</f>
        <v>187.36441146781809</v>
      </c>
      <c r="AN281" s="41"/>
      <c r="AO281" s="73"/>
      <c r="AP281" s="64">
        <f>(AP275/(N_1*AP$27))*SQRT('Valve Sizing'!$G$6/AP279)</f>
        <v>313.24837682979768</v>
      </c>
      <c r="AQ281" s="41"/>
      <c r="AR281" s="73"/>
      <c r="AS281" s="64">
        <f>(AS275/(N_1*AS$27))*SQRT('Valve Sizing'!$G$6/AS279)</f>
        <v>853.93271894478778</v>
      </c>
      <c r="AT281" s="41"/>
      <c r="AU281" s="73"/>
    </row>
    <row r="282" spans="15:47" ht="13" x14ac:dyDescent="0.3">
      <c r="O282" s="1" t="s">
        <v>72</v>
      </c>
      <c r="P282" s="17">
        <v>7</v>
      </c>
      <c r="Q282" s="65"/>
      <c r="R282" s="53">
        <f>(R275/(N_1*F_P_h))*SQRT('Valve Sizing'!$G$6/R280)</f>
        <v>0.18088238082837221</v>
      </c>
      <c r="S282" s="56"/>
      <c r="T282" s="72"/>
      <c r="U282" s="85">
        <f>(U275/(N_1*U$27))*SQRT('Valve Sizing'!$G$6/U280)</f>
        <v>5.1500975575018337</v>
      </c>
      <c r="V282" s="44"/>
      <c r="W282" s="72"/>
      <c r="X282" s="85">
        <f>(X275/(N_1*X$27))*SQRT('Valve Sizing'!$G$6/X280)</f>
        <v>12.554287984970383</v>
      </c>
      <c r="Y282" s="44"/>
      <c r="Z282" s="72"/>
      <c r="AA282" s="85">
        <f>(AA275/(N_1*AA$27))*SQRT('Valve Sizing'!$G$6/AA280)</f>
        <v>24.810105113659372</v>
      </c>
      <c r="AB282" s="44"/>
      <c r="AC282" s="72"/>
      <c r="AD282" s="85">
        <f>(AD275/(N_1*AD$27))*SQRT('Valve Sizing'!$G$6/AD280)</f>
        <v>43.356526673675006</v>
      </c>
      <c r="AE282" s="44"/>
      <c r="AF282" s="72"/>
      <c r="AG282" s="85">
        <f>(AG275/(N_1*AG$27))*SQRT('Valve Sizing'!$G$6/AG280)</f>
        <v>71.774727725494259</v>
      </c>
      <c r="AH282" s="44"/>
      <c r="AI282" s="72"/>
      <c r="AJ282" s="85">
        <f>(AJ275/(N_1*AJ$27))*SQRT('Valve Sizing'!$G$6/AJ280)</f>
        <v>109.22294353054886</v>
      </c>
      <c r="AK282" s="44"/>
      <c r="AL282" s="72"/>
      <c r="AM282" s="85">
        <f>(AM275/(N_1*AM$27))*SQRT('Valve Sizing'!$G$6/AM280)</f>
        <v>163.62461756136057</v>
      </c>
      <c r="AN282" s="44"/>
      <c r="AO282" s="72"/>
      <c r="AP282" s="85">
        <f>(AP275/(N_1*AP$27))*SQRT('Valve Sizing'!$G$6/AP280)</f>
        <v>252.94981737433682</v>
      </c>
      <c r="AQ282" s="44"/>
      <c r="AR282" s="72"/>
      <c r="AS282" s="85">
        <f>(AS275/(N_1*AS$27))*SQRT('Valve Sizing'!$G$6/AS280)</f>
        <v>427.72145315888071</v>
      </c>
      <c r="AT282" s="44"/>
      <c r="AU282" s="72"/>
    </row>
    <row r="283" spans="15:47" x14ac:dyDescent="0.25">
      <c r="O283" s="1" t="s">
        <v>246</v>
      </c>
      <c r="P283" s="18"/>
      <c r="Q283" s="65"/>
      <c r="R283" s="53">
        <f>IF(R279&lt;R280,R281,R282)</f>
        <v>0.21778589972443715</v>
      </c>
      <c r="S283" s="49"/>
      <c r="T283" s="72"/>
      <c r="U283" s="64">
        <f>IF(U279&lt;U280,U281,U282)</f>
        <v>6.2024970732219114</v>
      </c>
      <c r="V283" s="44"/>
      <c r="W283" s="72"/>
      <c r="X283" s="64">
        <f>IF(X279&lt;X280,X281,X282)</f>
        <v>14.977438359797205</v>
      </c>
      <c r="Y283" s="44"/>
      <c r="Z283" s="72"/>
      <c r="AA283" s="64">
        <f>IF(AA279&lt;AA280,AA281,AA282)</f>
        <v>29.111993483133759</v>
      </c>
      <c r="AB283" s="44"/>
      <c r="AC283" s="72"/>
      <c r="AD283" s="64">
        <f>IF(AD279&lt;AD280,AD281,AD282)</f>
        <v>49.938127493976978</v>
      </c>
      <c r="AE283" s="44"/>
      <c r="AF283" s="72"/>
      <c r="AG283" s="64">
        <f>IF(AG279&lt;AG280,AG281,AG282)</f>
        <v>80.927487292444567</v>
      </c>
      <c r="AH283" s="44"/>
      <c r="AI283" s="72"/>
      <c r="AJ283" s="64">
        <f>IF(AJ279&lt;AJ280,AJ281,AJ282)</f>
        <v>124.36263281321158</v>
      </c>
      <c r="AK283" s="44"/>
      <c r="AL283" s="72"/>
      <c r="AM283" s="64">
        <f>IF(AM279&lt;AM280,AM281,AM282)</f>
        <v>187.36441146781809</v>
      </c>
      <c r="AN283" s="44"/>
      <c r="AO283" s="72"/>
      <c r="AP283" s="64">
        <f>IF(AP279&lt;AP280,AP281,AP282)</f>
        <v>313.24837682979768</v>
      </c>
      <c r="AQ283" s="44"/>
      <c r="AR283" s="72"/>
      <c r="AS283" s="64">
        <f>IF(AS279&lt;AS280,AS281,AS282)</f>
        <v>853.93271894478778</v>
      </c>
      <c r="AT283" s="44"/>
      <c r="AU283" s="72"/>
    </row>
    <row r="284" spans="15:47" ht="13" x14ac:dyDescent="0.3">
      <c r="O284" s="7" t="s">
        <v>264</v>
      </c>
      <c r="Q284" s="61"/>
      <c r="R284" s="53"/>
      <c r="S284" s="69">
        <f>IFERROR(ABS(C_h-R283),Q_max*10)</f>
        <v>4.7822141002755627</v>
      </c>
      <c r="T284" s="76">
        <f>R275</f>
        <v>1.2367837366207044</v>
      </c>
      <c r="U284" s="61"/>
      <c r="V284" s="69">
        <f>IFERROR(ABS(U$23-U283),Q_max*10)</f>
        <v>5.7975029267780886</v>
      </c>
      <c r="W284" s="75">
        <f>U275</f>
        <v>35.171519175705797</v>
      </c>
      <c r="X284" s="61"/>
      <c r="Y284" s="69">
        <f>IFERROR(ABS(X$23-X283),Q_max*10)</f>
        <v>8.0225616402027953</v>
      </c>
      <c r="Z284" s="75">
        <f>X275</f>
        <v>84.425184855071905</v>
      </c>
      <c r="AA284" s="61"/>
      <c r="AB284" s="69">
        <f>IFERROR(ABS(AA$23-AA283),Q_max*10)</f>
        <v>9.8880065168662412</v>
      </c>
      <c r="AC284" s="75">
        <f>AA275</f>
        <v>161.19861872019899</v>
      </c>
      <c r="AD284" s="61"/>
      <c r="AE284" s="69">
        <f>IFERROR(ABS(AD$23-AD283),Q_max*10)</f>
        <v>11.061872506023022</v>
      </c>
      <c r="AF284" s="75">
        <f>AD275</f>
        <v>265.11237798451833</v>
      </c>
      <c r="AG284" s="61"/>
      <c r="AH284" s="69">
        <f>IFERROR(ABS(AG$23-AG283),Q_max*10)</f>
        <v>7.0725127075554326</v>
      </c>
      <c r="AI284" s="75">
        <f>AG275</f>
        <v>394.71620490648183</v>
      </c>
      <c r="AJ284" s="61"/>
      <c r="AK284" s="69">
        <f>IFERROR(ABS(AJ$23-AJ283),Q_max*10)</f>
        <v>3.3626328132115759</v>
      </c>
      <c r="AL284" s="75">
        <f>AJ275</f>
        <v>526.75030559160655</v>
      </c>
      <c r="AM284" s="61"/>
      <c r="AN284" s="69">
        <f>IFERROR(ABS(AM$23-AM283),Q_max*10)</f>
        <v>22.364411467818087</v>
      </c>
      <c r="AO284" s="75">
        <f>AM275</f>
        <v>642.73547642242636</v>
      </c>
      <c r="AP284" s="61"/>
      <c r="AQ284" s="69">
        <f>IFERROR(ABS(AP$23-AP283),Q_max*10)</f>
        <v>67.248376829797678</v>
      </c>
      <c r="AR284" s="75">
        <f>AP275</f>
        <v>746.19593464138279</v>
      </c>
      <c r="AS284" s="61"/>
      <c r="AT284" s="69">
        <f>IFERROR(ABS(AS$23-AS283),Q_max*10)</f>
        <v>433.93271894478778</v>
      </c>
      <c r="AU284" s="75">
        <f>AS275</f>
        <v>849.24057910199576</v>
      </c>
    </row>
    <row r="285" spans="15:47" ht="14.5" x14ac:dyDescent="0.35">
      <c r="O285" s="8"/>
      <c r="P285" s="6"/>
      <c r="Q285" s="60"/>
      <c r="R285" s="67"/>
      <c r="S285" s="58"/>
      <c r="T285" s="73"/>
      <c r="V285" s="11"/>
      <c r="W285" s="38"/>
      <c r="Y285" s="11"/>
      <c r="Z285" s="38"/>
      <c r="AB285" s="11"/>
      <c r="AC285" s="38"/>
      <c r="AE285" s="11"/>
      <c r="AF285" s="38"/>
      <c r="AH285" s="11"/>
      <c r="AI285" s="38"/>
      <c r="AK285" s="11"/>
      <c r="AL285" s="38"/>
      <c r="AN285" s="11"/>
      <c r="AO285" s="38"/>
      <c r="AQ285" s="11"/>
      <c r="AR285" s="38"/>
      <c r="AT285" s="11"/>
      <c r="AU285" s="38"/>
    </row>
    <row r="286" spans="15:47" ht="14" x14ac:dyDescent="0.3">
      <c r="O286" s="8" t="s">
        <v>235</v>
      </c>
      <c r="P286" s="6"/>
      <c r="Q286" s="60"/>
      <c r="R286" s="53">
        <f>R275*1.02</f>
        <v>1.2615194113531185</v>
      </c>
      <c r="S286" s="58" t="s">
        <v>238</v>
      </c>
      <c r="T286" s="73" t="s">
        <v>241</v>
      </c>
      <c r="U286" s="84">
        <f>U275*1.01</f>
        <v>35.523234367462855</v>
      </c>
      <c r="V286" s="58" t="s">
        <v>238</v>
      </c>
      <c r="W286" s="73" t="s">
        <v>241</v>
      </c>
      <c r="X286" s="84">
        <f>X275*1.01</f>
        <v>85.269436703622631</v>
      </c>
      <c r="Y286" s="58" t="s">
        <v>238</v>
      </c>
      <c r="Z286" s="73" t="s">
        <v>241</v>
      </c>
      <c r="AA286" s="84">
        <f>AA275*1.01</f>
        <v>162.81060490740097</v>
      </c>
      <c r="AB286" s="58" t="s">
        <v>238</v>
      </c>
      <c r="AC286" s="73" t="s">
        <v>241</v>
      </c>
      <c r="AD286" s="84">
        <f>AD275*1.01</f>
        <v>267.76350176436353</v>
      </c>
      <c r="AE286" s="58" t="s">
        <v>238</v>
      </c>
      <c r="AF286" s="73" t="s">
        <v>241</v>
      </c>
      <c r="AG286" s="84">
        <f>AG275*1.01</f>
        <v>398.66336695554668</v>
      </c>
      <c r="AH286" s="58" t="s">
        <v>238</v>
      </c>
      <c r="AI286" s="73" t="s">
        <v>241</v>
      </c>
      <c r="AJ286" s="84">
        <f>AJ275*1.01</f>
        <v>532.01780864752266</v>
      </c>
      <c r="AK286" s="58" t="s">
        <v>238</v>
      </c>
      <c r="AL286" s="73" t="s">
        <v>241</v>
      </c>
      <c r="AM286" s="84">
        <f>AM275*1.01</f>
        <v>649.16283118665058</v>
      </c>
      <c r="AN286" s="58" t="s">
        <v>238</v>
      </c>
      <c r="AO286" s="73" t="s">
        <v>241</v>
      </c>
      <c r="AP286" s="84">
        <f>AP275*1.01</f>
        <v>753.65789398779657</v>
      </c>
      <c r="AQ286" s="58" t="s">
        <v>238</v>
      </c>
      <c r="AR286" s="73" t="s">
        <v>241</v>
      </c>
      <c r="AS286" s="84">
        <f>AS275*1.01</f>
        <v>857.73298489301578</v>
      </c>
      <c r="AT286" s="58" t="s">
        <v>238</v>
      </c>
      <c r="AU286" s="73" t="s">
        <v>241</v>
      </c>
    </row>
    <row r="287" spans="15:47" ht="13" x14ac:dyDescent="0.25">
      <c r="O287" s="6"/>
      <c r="P287" s="6"/>
      <c r="Q287" s="60"/>
      <c r="R287" s="70"/>
      <c r="S287" s="63" t="s">
        <v>250</v>
      </c>
      <c r="T287" s="71" t="s">
        <v>242</v>
      </c>
      <c r="U287" s="61"/>
      <c r="V287" s="63" t="s">
        <v>250</v>
      </c>
      <c r="W287" s="71" t="s">
        <v>242</v>
      </c>
      <c r="X287" s="61"/>
      <c r="Y287" s="63" t="s">
        <v>250</v>
      </c>
      <c r="Z287" s="71" t="s">
        <v>242</v>
      </c>
      <c r="AA287" s="61"/>
      <c r="AB287" s="63" t="s">
        <v>250</v>
      </c>
      <c r="AC287" s="71" t="s">
        <v>242</v>
      </c>
      <c r="AD287" s="61"/>
      <c r="AE287" s="63" t="s">
        <v>250</v>
      </c>
      <c r="AF287" s="71" t="s">
        <v>242</v>
      </c>
      <c r="AG287" s="61"/>
      <c r="AH287" s="63" t="s">
        <v>250</v>
      </c>
      <c r="AI287" s="71" t="s">
        <v>242</v>
      </c>
      <c r="AJ287" s="61"/>
      <c r="AK287" s="63" t="s">
        <v>250</v>
      </c>
      <c r="AL287" s="71" t="s">
        <v>242</v>
      </c>
      <c r="AM287" s="61"/>
      <c r="AN287" s="63" t="s">
        <v>250</v>
      </c>
      <c r="AO287" s="71" t="s">
        <v>242</v>
      </c>
      <c r="AP287" s="61"/>
      <c r="AQ287" s="63" t="s">
        <v>250</v>
      </c>
      <c r="AR287" s="71" t="s">
        <v>242</v>
      </c>
      <c r="AS287" s="61"/>
      <c r="AT287" s="63" t="s">
        <v>250</v>
      </c>
      <c r="AU287" s="71" t="s">
        <v>242</v>
      </c>
    </row>
    <row r="288" spans="15:47" ht="13" x14ac:dyDescent="0.3">
      <c r="O288" s="6" t="s">
        <v>231</v>
      </c>
      <c r="P288" s="6"/>
      <c r="Q288" s="60"/>
      <c r="R288" s="85">
        <f>P_1_minQ-(R286^2*R_up)+dpup_minQ</f>
        <v>56.91608944845575</v>
      </c>
      <c r="S288" s="56"/>
      <c r="T288" s="72"/>
      <c r="U288" s="53">
        <f>P_1_minQ-(U286^2*R_up)+dpup_minQ</f>
        <v>56.873525829789742</v>
      </c>
      <c r="V288" s="44"/>
      <c r="W288" s="72"/>
      <c r="X288" s="53">
        <f>P_1_minQ-(X286^2*R_up)+dpup_minQ</f>
        <v>56.670588421622661</v>
      </c>
      <c r="Y288" s="44"/>
      <c r="Z288" s="72"/>
      <c r="AA288" s="53">
        <f>P_1_minQ-(AA286^2*R_up)+dpup_minQ</f>
        <v>56.020928974322395</v>
      </c>
      <c r="AB288" s="44"/>
      <c r="AC288" s="72"/>
      <c r="AD288" s="53">
        <f>P_1_minQ-(AD286^2*R_up)+dpup_minQ</f>
        <v>54.494755390843828</v>
      </c>
      <c r="AE288" s="44"/>
      <c r="AF288" s="72"/>
      <c r="AG288" s="53">
        <f>P_1_minQ-(AG286^2*R_up)+dpup_minQ</f>
        <v>51.548616002960728</v>
      </c>
      <c r="AH288" s="44"/>
      <c r="AI288" s="72"/>
      <c r="AJ288" s="53">
        <f>P_1_minQ-(AJ286^2*R_up)+dpup_minQ</f>
        <v>47.357110816679771</v>
      </c>
      <c r="AK288" s="44"/>
      <c r="AL288" s="72"/>
      <c r="AM288" s="53">
        <f>P_1_minQ-(AM286^2*R_up)+dpup_minQ</f>
        <v>42.684046558788658</v>
      </c>
      <c r="AN288" s="44"/>
      <c r="AO288" s="72"/>
      <c r="AP288" s="53">
        <f>P_1_minQ-(AP286^2*R_up)+dpup_minQ</f>
        <v>37.733427181015848</v>
      </c>
      <c r="AQ288" s="44"/>
      <c r="AR288" s="72"/>
      <c r="AS288" s="53">
        <f>P_1_minQ-(AS286^2*R_up)+dpup_minQ</f>
        <v>32.06960913970002</v>
      </c>
      <c r="AT288" s="44"/>
      <c r="AU288" s="72"/>
    </row>
    <row r="289" spans="15:47" ht="13" x14ac:dyDescent="0.3">
      <c r="O289" s="6" t="s">
        <v>233</v>
      </c>
      <c r="P289" s="6"/>
      <c r="Q289" s="60"/>
      <c r="R289" s="85">
        <f>P_2_minQ+(R286^2*R_dn)-dpdn_minQ</f>
        <v>24.65678211030885</v>
      </c>
      <c r="S289" s="66"/>
      <c r="T289" s="74"/>
      <c r="U289" s="53">
        <f>P_2_minQ+(U286^2*R_dn)-dpdn_minQ</f>
        <v>24.665294834042051</v>
      </c>
      <c r="V289" s="45"/>
      <c r="W289" s="74"/>
      <c r="X289" s="53">
        <f>P_2_minQ+(X286^2*R_dn)-dpdn_minQ</f>
        <v>24.705882315675471</v>
      </c>
      <c r="Y289" s="45"/>
      <c r="Z289" s="74"/>
      <c r="AA289" s="53">
        <f>P_2_minQ+(AA286^2*R_dn)-dpdn_minQ</f>
        <v>24.83581420513552</v>
      </c>
      <c r="AB289" s="45"/>
      <c r="AC289" s="74"/>
      <c r="AD289" s="53">
        <f>P_2_minQ+(AD286^2*R_dn)-dpdn_minQ</f>
        <v>25.141048921831235</v>
      </c>
      <c r="AE289" s="45"/>
      <c r="AF289" s="74"/>
      <c r="AG289" s="53">
        <f>P_2_minQ+(AG286^2*R_dn)-dpdn_minQ</f>
        <v>25.730276799407857</v>
      </c>
      <c r="AH289" s="45"/>
      <c r="AI289" s="74"/>
      <c r="AJ289" s="53">
        <f>P_2_minQ+(AJ286^2*R_dn)-dpdn_minQ</f>
        <v>26.568577836664048</v>
      </c>
      <c r="AK289" s="45"/>
      <c r="AL289" s="74"/>
      <c r="AM289" s="53">
        <f>P_2_minQ+(AM286^2*R_dn)-dpdn_minQ</f>
        <v>27.50319068824227</v>
      </c>
      <c r="AN289" s="45"/>
      <c r="AO289" s="74"/>
      <c r="AP289" s="53">
        <f>P_2_minQ+(AP286^2*R_dn)-dpdn_minQ</f>
        <v>28.493314563796833</v>
      </c>
      <c r="AQ289" s="45"/>
      <c r="AR289" s="74"/>
      <c r="AS289" s="53">
        <f>P_2_minQ+(AS286^2*R_dn)-dpdn_minQ</f>
        <v>29.626078172059998</v>
      </c>
      <c r="AT289" s="45"/>
      <c r="AU289" s="74"/>
    </row>
    <row r="290" spans="15:47" x14ac:dyDescent="0.25">
      <c r="O290" s="6" t="s">
        <v>243</v>
      </c>
      <c r="Q290" s="60"/>
      <c r="R290" s="53">
        <f>R288-R289</f>
        <v>32.259307338146897</v>
      </c>
      <c r="S290" s="56"/>
      <c r="T290" s="72"/>
      <c r="U290" s="64">
        <f>U288-U289</f>
        <v>32.208230995747691</v>
      </c>
      <c r="V290" s="44"/>
      <c r="W290" s="72"/>
      <c r="X290" s="64">
        <f>X288-X289</f>
        <v>31.96470610594719</v>
      </c>
      <c r="Y290" s="44"/>
      <c r="Z290" s="72"/>
      <c r="AA290" s="64">
        <f>AA288-AA289</f>
        <v>31.185114769186875</v>
      </c>
      <c r="AB290" s="44"/>
      <c r="AC290" s="72"/>
      <c r="AD290" s="64">
        <f>AD288-AD289</f>
        <v>29.353706469012593</v>
      </c>
      <c r="AE290" s="44"/>
      <c r="AF290" s="72"/>
      <c r="AG290" s="64">
        <f>AG288-AG289</f>
        <v>25.81833920355287</v>
      </c>
      <c r="AH290" s="44"/>
      <c r="AI290" s="72"/>
      <c r="AJ290" s="64">
        <f>AJ288-AJ289</f>
        <v>20.788532980015724</v>
      </c>
      <c r="AK290" s="44"/>
      <c r="AL290" s="72"/>
      <c r="AM290" s="64">
        <f>AM288-AM289</f>
        <v>15.180855870546388</v>
      </c>
      <c r="AN290" s="44"/>
      <c r="AO290" s="72"/>
      <c r="AP290" s="64">
        <f>AP288-AP289</f>
        <v>9.2401126172190153</v>
      </c>
      <c r="AQ290" s="44"/>
      <c r="AR290" s="72"/>
      <c r="AS290" s="64">
        <f>AS288-AS289</f>
        <v>2.4435309676400223</v>
      </c>
      <c r="AT290" s="44"/>
      <c r="AU290" s="72"/>
    </row>
    <row r="291" spans="15:47" ht="13" x14ac:dyDescent="0.3">
      <c r="O291" s="6" t="s">
        <v>75</v>
      </c>
      <c r="P291" s="6">
        <v>3</v>
      </c>
      <c r="Q291" s="65"/>
      <c r="R291" s="85">
        <f>(F_LP_h/F_P_h)^2*(R288-('Valve Sizing'!$V$4*'Valve Sizing'!$G$7))</f>
        <v>46.765118736867926</v>
      </c>
      <c r="S291" s="58"/>
      <c r="T291" s="73"/>
      <c r="U291" s="53">
        <f>(U$29/U$27)^2*(U288-('Valve Sizing'!$V$4*'Valve Sizing'!$G$7))</f>
        <v>46.717137193314443</v>
      </c>
      <c r="V291" s="41"/>
      <c r="W291" s="73"/>
      <c r="X291" s="53">
        <f>(X$29/X$27)^2*(X288-('Valve Sizing'!$V$4*'Valve Sizing'!$G$7))</f>
        <v>45.499134414096154</v>
      </c>
      <c r="Y291" s="41"/>
      <c r="Z291" s="73"/>
      <c r="AA291" s="53">
        <f>(AA$29/AA$27)^2*(AA288-('Valve Sizing'!$V$4*'Valve Sizing'!$G$7))</f>
        <v>42.952742905181779</v>
      </c>
      <c r="AB291" s="41"/>
      <c r="AC291" s="73"/>
      <c r="AD291" s="53">
        <f>(AD$29/AD$27)^2*(AD288-('Valve Sizing'!$V$4*'Valve Sizing'!$G$7))</f>
        <v>38.983567295711197</v>
      </c>
      <c r="AE291" s="41"/>
      <c r="AF291" s="73"/>
      <c r="AG291" s="53">
        <f>(AG$29/AG$27)^2*(AG288-('Valve Sizing'!$V$4*'Valve Sizing'!$G$7))</f>
        <v>32.9161578487019</v>
      </c>
      <c r="AH291" s="41"/>
      <c r="AI291" s="73"/>
      <c r="AJ291" s="53">
        <f>(AJ$29/AJ$27)^2*(AJ288-('Valve Sizing'!$V$4*'Valve Sizing'!$G$7))</f>
        <v>27.135150259245933</v>
      </c>
      <c r="AK291" s="41"/>
      <c r="AL291" s="73"/>
      <c r="AM291" s="53">
        <f>(AM$29/AM$27)^2*(AM288-('Valve Sizing'!$V$4*'Valve Sizing'!$G$7))</f>
        <v>20.212572159312607</v>
      </c>
      <c r="AN291" s="41"/>
      <c r="AO291" s="73"/>
      <c r="AP291" s="53">
        <f>(AP$29/AP$27)^2*(AP288-('Valve Sizing'!$V$4*'Valve Sizing'!$G$7))</f>
        <v>14.716964092047123</v>
      </c>
      <c r="AQ291" s="41"/>
      <c r="AR291" s="73"/>
      <c r="AS291" s="53">
        <f>(AS$29/AS$27)^2*(AS288-('Valve Sizing'!$V$4*'Valve Sizing'!$G$7))</f>
        <v>11.897164607351836</v>
      </c>
      <c r="AT291" s="41"/>
      <c r="AU291" s="73"/>
    </row>
    <row r="292" spans="15:47" ht="13" x14ac:dyDescent="0.25">
      <c r="O292" s="1" t="s">
        <v>69</v>
      </c>
      <c r="P292" s="17">
        <v>7</v>
      </c>
      <c r="Q292" s="65"/>
      <c r="R292" s="53">
        <f>(R286/(N_1*F_P_h))*SQRT('Valve Sizing'!$G$6/R290)</f>
        <v>0.22214162634189094</v>
      </c>
      <c r="S292" s="58"/>
      <c r="T292" s="73"/>
      <c r="U292" s="64">
        <f>(U286/(N_1*U$27))*SQRT('Valve Sizing'!$G$6/U290)</f>
        <v>6.2646200400621641</v>
      </c>
      <c r="V292" s="41"/>
      <c r="W292" s="73"/>
      <c r="X292" s="64">
        <f>(X286/(N_1*X$27))*SQRT('Valve Sizing'!$G$6/X290)</f>
        <v>15.128586536776893</v>
      </c>
      <c r="Y292" s="41"/>
      <c r="Z292" s="73"/>
      <c r="AA292" s="64">
        <f>(AA286/(N_1*AA$27))*SQRT('Valve Sizing'!$G$6/AA290)</f>
        <v>29.413090506560494</v>
      </c>
      <c r="AB292" s="41"/>
      <c r="AC292" s="73"/>
      <c r="AD292" s="64">
        <f>(AD286/(N_1*AD$27))*SQRT('Valve Sizing'!$G$6/AD290)</f>
        <v>50.486672855873252</v>
      </c>
      <c r="AE292" s="41"/>
      <c r="AF292" s="73"/>
      <c r="AG292" s="64">
        <f>(AG286/(N_1*AG$27))*SQRT('Valve Sizing'!$G$6/AG290)</f>
        <v>81.937410339925009</v>
      </c>
      <c r="AH292" s="41"/>
      <c r="AI292" s="73"/>
      <c r="AJ292" s="64">
        <f>(AJ286/(N_1*AJ$27))*SQRT('Valve Sizing'!$G$6/AJ290)</f>
        <v>126.28723271990096</v>
      </c>
      <c r="AK292" s="41"/>
      <c r="AL292" s="73"/>
      <c r="AM292" s="64">
        <f>(AM286/(N_1*AM$27))*SQRT('Valve Sizing'!$G$6/AM290)</f>
        <v>191.32398051381108</v>
      </c>
      <c r="AN292" s="41"/>
      <c r="AO292" s="73"/>
      <c r="AP292" s="64">
        <f>(AP286/(N_1*AP$27))*SQRT('Valve Sizing'!$G$6/AP290)</f>
        <v>324.05294805215351</v>
      </c>
      <c r="AQ292" s="41"/>
      <c r="AR292" s="73"/>
      <c r="AS292" s="64">
        <f>(AS286/(N_1*AS$27))*SQRT('Valve Sizing'!$G$6/AS290)</f>
        <v>960.57341800332495</v>
      </c>
      <c r="AT292" s="41"/>
      <c r="AU292" s="73"/>
    </row>
    <row r="293" spans="15:47" ht="13" x14ac:dyDescent="0.3">
      <c r="O293" s="1" t="s">
        <v>72</v>
      </c>
      <c r="P293" s="17">
        <v>7</v>
      </c>
      <c r="Q293" s="65"/>
      <c r="R293" s="53">
        <f>(R286/(N_1*F_P_h))*SQRT('Valve Sizing'!$G$6/R291)</f>
        <v>0.18450003185398481</v>
      </c>
      <c r="S293" s="56"/>
      <c r="T293" s="72"/>
      <c r="U293" s="85">
        <f>(U286/(N_1*U$27))*SQRT('Valve Sizing'!$G$6/U291)</f>
        <v>5.2016372328466991</v>
      </c>
      <c r="V293" s="44"/>
      <c r="W293" s="72"/>
      <c r="X293" s="85">
        <f>(X286/(N_1*X$27))*SQRT('Valve Sizing'!$G$6/X291)</f>
        <v>12.680376375968603</v>
      </c>
      <c r="Y293" s="44"/>
      <c r="Z293" s="72"/>
      <c r="AA293" s="85">
        <f>(AA286/(N_1*AA$27))*SQRT('Valve Sizing'!$G$6/AA291)</f>
        <v>25.062182110645846</v>
      </c>
      <c r="AB293" s="44"/>
      <c r="AC293" s="72"/>
      <c r="AD293" s="85">
        <f>(AD286/(N_1*AD$27))*SQRT('Valve Sizing'!$G$6/AD291)</f>
        <v>43.809413148547321</v>
      </c>
      <c r="AE293" s="44"/>
      <c r="AF293" s="72"/>
      <c r="AG293" s="85">
        <f>(AG286/(N_1*AG$27))*SQRT('Valve Sizing'!$G$6/AG291)</f>
        <v>72.567442387671505</v>
      </c>
      <c r="AH293" s="44"/>
      <c r="AI293" s="72"/>
      <c r="AJ293" s="85">
        <f>(AJ286/(N_1*AJ$27))*SQRT('Valve Sizing'!$G$6/AJ291)</f>
        <v>110.53638388058982</v>
      </c>
      <c r="AK293" s="44"/>
      <c r="AL293" s="72"/>
      <c r="AM293" s="85">
        <f>(AM286/(N_1*AM$27))*SQRT('Valve Sizing'!$G$6/AM291)</f>
        <v>165.80848252451466</v>
      </c>
      <c r="AN293" s="44"/>
      <c r="AO293" s="72"/>
      <c r="AP293" s="85">
        <f>(AP286/(N_1*AP$27))*SQRT('Valve Sizing'!$G$6/AP291)</f>
        <v>256.77071701756876</v>
      </c>
      <c r="AQ293" s="44"/>
      <c r="AR293" s="72"/>
      <c r="AS293" s="85">
        <f>(AS286/(N_1*AS$27))*SQRT('Valve Sizing'!$G$6/AS291)</f>
        <v>435.32915382184291</v>
      </c>
      <c r="AT293" s="44"/>
      <c r="AU293" s="72"/>
    </row>
    <row r="294" spans="15:47" x14ac:dyDescent="0.25">
      <c r="O294" s="1" t="s">
        <v>246</v>
      </c>
      <c r="P294" s="18"/>
      <c r="Q294" s="65"/>
      <c r="R294" s="53">
        <f>IF(R290&lt;R291,R292,R293)</f>
        <v>0.22214162634189094</v>
      </c>
      <c r="S294" s="49"/>
      <c r="T294" s="72"/>
      <c r="U294" s="64">
        <f>IF(U290&lt;U291,U292,U293)</f>
        <v>6.2646200400621641</v>
      </c>
      <c r="V294" s="44"/>
      <c r="W294" s="72"/>
      <c r="X294" s="64">
        <f>IF(X290&lt;X291,X292,X293)</f>
        <v>15.128586536776893</v>
      </c>
      <c r="Y294" s="44"/>
      <c r="Z294" s="72"/>
      <c r="AA294" s="64">
        <f>IF(AA290&lt;AA291,AA292,AA293)</f>
        <v>29.413090506560494</v>
      </c>
      <c r="AB294" s="44"/>
      <c r="AC294" s="72"/>
      <c r="AD294" s="64">
        <f>IF(AD290&lt;AD291,AD292,AD293)</f>
        <v>50.486672855873252</v>
      </c>
      <c r="AE294" s="44"/>
      <c r="AF294" s="72"/>
      <c r="AG294" s="64">
        <f>IF(AG290&lt;AG291,AG292,AG293)</f>
        <v>81.937410339925009</v>
      </c>
      <c r="AH294" s="44"/>
      <c r="AI294" s="72"/>
      <c r="AJ294" s="64">
        <f>IF(AJ290&lt;AJ291,AJ292,AJ293)</f>
        <v>126.28723271990096</v>
      </c>
      <c r="AK294" s="44"/>
      <c r="AL294" s="72"/>
      <c r="AM294" s="64">
        <f>IF(AM290&lt;AM291,AM292,AM293)</f>
        <v>191.32398051381108</v>
      </c>
      <c r="AN294" s="44"/>
      <c r="AO294" s="72"/>
      <c r="AP294" s="64">
        <f>IF(AP290&lt;AP291,AP292,AP293)</f>
        <v>324.05294805215351</v>
      </c>
      <c r="AQ294" s="44"/>
      <c r="AR294" s="72"/>
      <c r="AS294" s="64">
        <f>IF(AS290&lt;AS291,AS292,AS293)</f>
        <v>960.57341800332495</v>
      </c>
      <c r="AT294" s="44"/>
      <c r="AU294" s="72"/>
    </row>
    <row r="295" spans="15:47" ht="13" x14ac:dyDescent="0.3">
      <c r="O295" s="7" t="s">
        <v>264</v>
      </c>
      <c r="Q295" s="61"/>
      <c r="R295" s="53"/>
      <c r="S295" s="69">
        <f>IFERROR(ABS(C_h-R294),Q_max*10)</f>
        <v>4.7778583736581091</v>
      </c>
      <c r="T295" s="76">
        <f>R286</f>
        <v>1.2615194113531185</v>
      </c>
      <c r="U295" s="61"/>
      <c r="V295" s="69">
        <f>IFERROR(ABS(U$23-U294),Q_max*10)</f>
        <v>5.7353799599378359</v>
      </c>
      <c r="W295" s="75">
        <f>U286</f>
        <v>35.523234367462855</v>
      </c>
      <c r="X295" s="61"/>
      <c r="Y295" s="69">
        <f>IFERROR(ABS(X$23-X294),Q_max*10)</f>
        <v>7.8714134632231065</v>
      </c>
      <c r="Z295" s="75">
        <f>X286</f>
        <v>85.269436703622631</v>
      </c>
      <c r="AA295" s="61"/>
      <c r="AB295" s="69">
        <f>IFERROR(ABS(AA$23-AA294),Q_max*10)</f>
        <v>9.5869094934395065</v>
      </c>
      <c r="AC295" s="75">
        <f>AA286</f>
        <v>162.81060490740097</v>
      </c>
      <c r="AD295" s="61"/>
      <c r="AE295" s="69">
        <f>IFERROR(ABS(AD$23-AD294),Q_max*10)</f>
        <v>10.513327144126748</v>
      </c>
      <c r="AF295" s="75">
        <f>AD286</f>
        <v>267.76350176436353</v>
      </c>
      <c r="AG295" s="61"/>
      <c r="AH295" s="69">
        <f>IFERROR(ABS(AG$23-AG294),Q_max*10)</f>
        <v>6.0625896600749911</v>
      </c>
      <c r="AI295" s="75">
        <f>AG286</f>
        <v>398.66336695554668</v>
      </c>
      <c r="AJ295" s="61"/>
      <c r="AK295" s="69">
        <f>IFERROR(ABS(AJ$23-AJ294),Q_max*10)</f>
        <v>5.2872327199009561</v>
      </c>
      <c r="AL295" s="75">
        <f>AJ286</f>
        <v>532.01780864752266</v>
      </c>
      <c r="AM295" s="61"/>
      <c r="AN295" s="69">
        <f>IFERROR(ABS(AM$23-AM294),Q_max*10)</f>
        <v>26.32398051381108</v>
      </c>
      <c r="AO295" s="75">
        <f>AM286</f>
        <v>649.16283118665058</v>
      </c>
      <c r="AP295" s="61"/>
      <c r="AQ295" s="69">
        <f>IFERROR(ABS(AP$23-AP294),Q_max*10)</f>
        <v>78.052948052153511</v>
      </c>
      <c r="AR295" s="75">
        <f>AP286</f>
        <v>753.65789398779657</v>
      </c>
      <c r="AS295" s="61"/>
      <c r="AT295" s="69">
        <f>IFERROR(ABS(AS$23-AS294),Q_max*10)</f>
        <v>540.57341800332495</v>
      </c>
      <c r="AU295" s="75">
        <f>AS286</f>
        <v>857.73298489301578</v>
      </c>
    </row>
    <row r="296" spans="15:47" ht="14.5" x14ac:dyDescent="0.35">
      <c r="O296" s="6"/>
      <c r="P296" s="6"/>
      <c r="Q296" s="60"/>
      <c r="R296" s="67"/>
      <c r="S296" s="56"/>
      <c r="T296" s="72"/>
      <c r="V296" s="11"/>
      <c r="W296" s="38"/>
      <c r="Y296" s="11"/>
      <c r="Z296" s="38"/>
      <c r="AB296" s="11"/>
      <c r="AC296" s="38"/>
      <c r="AE296" s="11"/>
      <c r="AF296" s="38"/>
      <c r="AH296" s="11"/>
      <c r="AI296" s="38"/>
      <c r="AK296" s="11"/>
      <c r="AL296" s="38"/>
      <c r="AN296" s="11"/>
      <c r="AO296" s="38"/>
      <c r="AQ296" s="11"/>
      <c r="AR296" s="38"/>
      <c r="AT296" s="11"/>
      <c r="AU296" s="38"/>
    </row>
    <row r="297" spans="15:47" ht="14" x14ac:dyDescent="0.3">
      <c r="O297" s="8" t="s">
        <v>235</v>
      </c>
      <c r="P297" s="6"/>
      <c r="Q297" s="60"/>
      <c r="R297" s="53">
        <f>R286*1.02</f>
        <v>1.2867497995801809</v>
      </c>
      <c r="S297" s="58" t="s">
        <v>238</v>
      </c>
      <c r="T297" s="73" t="s">
        <v>241</v>
      </c>
      <c r="U297" s="84">
        <f>U286*1.01</f>
        <v>35.878466711137484</v>
      </c>
      <c r="V297" s="58" t="s">
        <v>238</v>
      </c>
      <c r="W297" s="73" t="s">
        <v>241</v>
      </c>
      <c r="X297" s="84">
        <f>X286*1.01</f>
        <v>86.122131070658853</v>
      </c>
      <c r="Y297" s="58" t="s">
        <v>238</v>
      </c>
      <c r="Z297" s="73" t="s">
        <v>241</v>
      </c>
      <c r="AA297" s="84">
        <f>AA286*1.01</f>
        <v>164.43871095647498</v>
      </c>
      <c r="AB297" s="58" t="s">
        <v>238</v>
      </c>
      <c r="AC297" s="73" t="s">
        <v>241</v>
      </c>
      <c r="AD297" s="84">
        <f>AD286*1.01</f>
        <v>270.44113678200716</v>
      </c>
      <c r="AE297" s="58" t="s">
        <v>238</v>
      </c>
      <c r="AF297" s="73" t="s">
        <v>241</v>
      </c>
      <c r="AG297" s="84">
        <f>AG286*1.01</f>
        <v>402.65000062510217</v>
      </c>
      <c r="AH297" s="58" t="s">
        <v>238</v>
      </c>
      <c r="AI297" s="73" t="s">
        <v>241</v>
      </c>
      <c r="AJ297" s="84">
        <f>AJ286*1.01</f>
        <v>537.33798673399792</v>
      </c>
      <c r="AK297" s="58" t="s">
        <v>238</v>
      </c>
      <c r="AL297" s="73" t="s">
        <v>241</v>
      </c>
      <c r="AM297" s="84">
        <f>AM286*1.01</f>
        <v>655.6544594985171</v>
      </c>
      <c r="AN297" s="58" t="s">
        <v>238</v>
      </c>
      <c r="AO297" s="73" t="s">
        <v>241</v>
      </c>
      <c r="AP297" s="84">
        <f>AP286*1.01</f>
        <v>761.1944729276745</v>
      </c>
      <c r="AQ297" s="58" t="s">
        <v>238</v>
      </c>
      <c r="AR297" s="73" t="s">
        <v>241</v>
      </c>
      <c r="AS297" s="84">
        <f>AS286*1.01</f>
        <v>866.31031474194594</v>
      </c>
      <c r="AT297" s="58" t="s">
        <v>238</v>
      </c>
      <c r="AU297" s="73" t="s">
        <v>241</v>
      </c>
    </row>
    <row r="298" spans="15:47" ht="13" x14ac:dyDescent="0.25">
      <c r="O298" s="6"/>
      <c r="P298" s="6"/>
      <c r="Q298" s="60"/>
      <c r="R298" s="70"/>
      <c r="S298" s="63" t="s">
        <v>250</v>
      </c>
      <c r="T298" s="71" t="s">
        <v>242</v>
      </c>
      <c r="U298" s="61"/>
      <c r="V298" s="63" t="s">
        <v>250</v>
      </c>
      <c r="W298" s="71" t="s">
        <v>242</v>
      </c>
      <c r="X298" s="61"/>
      <c r="Y298" s="63" t="s">
        <v>250</v>
      </c>
      <c r="Z298" s="71" t="s">
        <v>242</v>
      </c>
      <c r="AA298" s="61"/>
      <c r="AB298" s="63" t="s">
        <v>250</v>
      </c>
      <c r="AC298" s="71" t="s">
        <v>242</v>
      </c>
      <c r="AD298" s="61"/>
      <c r="AE298" s="63" t="s">
        <v>250</v>
      </c>
      <c r="AF298" s="71" t="s">
        <v>242</v>
      </c>
      <c r="AG298" s="61"/>
      <c r="AH298" s="63" t="s">
        <v>250</v>
      </c>
      <c r="AI298" s="71" t="s">
        <v>242</v>
      </c>
      <c r="AJ298" s="61"/>
      <c r="AK298" s="63" t="s">
        <v>250</v>
      </c>
      <c r="AL298" s="71" t="s">
        <v>242</v>
      </c>
      <c r="AM298" s="61"/>
      <c r="AN298" s="63" t="s">
        <v>250</v>
      </c>
      <c r="AO298" s="71" t="s">
        <v>242</v>
      </c>
      <c r="AP298" s="61"/>
      <c r="AQ298" s="63" t="s">
        <v>250</v>
      </c>
      <c r="AR298" s="71" t="s">
        <v>242</v>
      </c>
      <c r="AS298" s="61"/>
      <c r="AT298" s="63" t="s">
        <v>250</v>
      </c>
      <c r="AU298" s="71" t="s">
        <v>242</v>
      </c>
    </row>
    <row r="299" spans="15:47" ht="13" x14ac:dyDescent="0.3">
      <c r="O299" s="6" t="s">
        <v>231</v>
      </c>
      <c r="P299" s="6"/>
      <c r="Q299" s="60"/>
      <c r="R299" s="85">
        <f>P_1_minQ-(R297^2*R_up)+dpup_minQ</f>
        <v>56.91608727710075</v>
      </c>
      <c r="S299" s="56"/>
      <c r="T299" s="72"/>
      <c r="U299" s="53">
        <f>P_1_minQ-(U297^2*R_up)+dpup_minQ</f>
        <v>56.872669220751696</v>
      </c>
      <c r="V299" s="44"/>
      <c r="W299" s="72"/>
      <c r="X299" s="53">
        <f>P_1_minQ-(X297^2*R_up)+dpup_minQ</f>
        <v>56.665652770680452</v>
      </c>
      <c r="Y299" s="44"/>
      <c r="Z299" s="72"/>
      <c r="AA299" s="53">
        <f>P_1_minQ-(AA297^2*R_up)+dpup_minQ</f>
        <v>56.002935168489458</v>
      </c>
      <c r="AB299" s="44"/>
      <c r="AC299" s="72"/>
      <c r="AD299" s="53">
        <f>P_1_minQ-(AD297^2*R_up)+dpup_minQ</f>
        <v>54.44608549598297</v>
      </c>
      <c r="AE299" s="44"/>
      <c r="AF299" s="72"/>
      <c r="AG299" s="53">
        <f>P_1_minQ-(AG297^2*R_up)+dpup_minQ</f>
        <v>51.440728706403419</v>
      </c>
      <c r="AH299" s="44"/>
      <c r="AI299" s="72"/>
      <c r="AJ299" s="53">
        <f>P_1_minQ-(AJ297^2*R_up)+dpup_minQ</f>
        <v>47.164974265878207</v>
      </c>
      <c r="AK299" s="44"/>
      <c r="AL299" s="72"/>
      <c r="AM299" s="53">
        <f>P_1_minQ-(AM297^2*R_up)+dpup_minQ</f>
        <v>42.397981416403489</v>
      </c>
      <c r="AN299" s="44"/>
      <c r="AO299" s="72"/>
      <c r="AP299" s="53">
        <f>P_1_minQ-(AP297^2*R_up)+dpup_minQ</f>
        <v>37.347854589137448</v>
      </c>
      <c r="AQ299" s="44"/>
      <c r="AR299" s="72"/>
      <c r="AS299" s="53">
        <f>P_1_minQ-(AS297^2*R_up)+dpup_minQ</f>
        <v>31.570193805191174</v>
      </c>
      <c r="AT299" s="44"/>
      <c r="AU299" s="72"/>
    </row>
    <row r="300" spans="15:47" ht="13" x14ac:dyDescent="0.3">
      <c r="O300" s="6" t="s">
        <v>233</v>
      </c>
      <c r="P300" s="6"/>
      <c r="Q300" s="60"/>
      <c r="R300" s="85">
        <f>P_2_minQ+(R297^2*R_dn)-dpdn_minQ</f>
        <v>24.656782544579851</v>
      </c>
      <c r="S300" s="66"/>
      <c r="T300" s="74"/>
      <c r="U300" s="53">
        <f>P_2_minQ+(U297^2*R_dn)-dpdn_minQ</f>
        <v>24.665466155849661</v>
      </c>
      <c r="V300" s="45"/>
      <c r="W300" s="74"/>
      <c r="X300" s="53">
        <f>P_2_minQ+(X297^2*R_dn)-dpdn_minQ</f>
        <v>24.706869445863909</v>
      </c>
      <c r="Y300" s="45"/>
      <c r="Z300" s="74"/>
      <c r="AA300" s="53">
        <f>P_2_minQ+(AA297^2*R_dn)-dpdn_minQ</f>
        <v>24.83941296630211</v>
      </c>
      <c r="AB300" s="45"/>
      <c r="AC300" s="74"/>
      <c r="AD300" s="53">
        <f>P_2_minQ+(AD297^2*R_dn)-dpdn_minQ</f>
        <v>25.150782900803407</v>
      </c>
      <c r="AE300" s="45"/>
      <c r="AF300" s="74"/>
      <c r="AG300" s="53">
        <f>P_2_minQ+(AG297^2*R_dn)-dpdn_minQ</f>
        <v>25.751854258719316</v>
      </c>
      <c r="AH300" s="45"/>
      <c r="AI300" s="74"/>
      <c r="AJ300" s="53">
        <f>P_2_minQ+(AJ297^2*R_dn)-dpdn_minQ</f>
        <v>26.60700514682436</v>
      </c>
      <c r="AK300" s="45"/>
      <c r="AL300" s="74"/>
      <c r="AM300" s="53">
        <f>P_2_minQ+(AM297^2*R_dn)-dpdn_minQ</f>
        <v>27.560403716719303</v>
      </c>
      <c r="AN300" s="45"/>
      <c r="AO300" s="74"/>
      <c r="AP300" s="53">
        <f>P_2_minQ+(AP297^2*R_dn)-dpdn_minQ</f>
        <v>28.570429082172513</v>
      </c>
      <c r="AQ300" s="45"/>
      <c r="AR300" s="74"/>
      <c r="AS300" s="53">
        <f>P_2_minQ+(AS297^2*R_dn)-dpdn_minQ</f>
        <v>29.725961238961766</v>
      </c>
      <c r="AT300" s="45"/>
      <c r="AU300" s="74"/>
    </row>
    <row r="301" spans="15:47" x14ac:dyDescent="0.25">
      <c r="O301" s="6" t="s">
        <v>243</v>
      </c>
      <c r="Q301" s="60"/>
      <c r="R301" s="53">
        <f>R299-R300</f>
        <v>32.259304732520903</v>
      </c>
      <c r="S301" s="56"/>
      <c r="T301" s="72"/>
      <c r="U301" s="64">
        <f>U299-U300</f>
        <v>32.207203064902032</v>
      </c>
      <c r="V301" s="44"/>
      <c r="W301" s="72"/>
      <c r="X301" s="64">
        <f>X299-X300</f>
        <v>31.958783324816544</v>
      </c>
      <c r="Y301" s="44"/>
      <c r="Z301" s="72"/>
      <c r="AA301" s="64">
        <f>AA299-AA300</f>
        <v>31.163522202187348</v>
      </c>
      <c r="AB301" s="44"/>
      <c r="AC301" s="72"/>
      <c r="AD301" s="64">
        <f>AD299-AD300</f>
        <v>29.295302595179564</v>
      </c>
      <c r="AE301" s="44"/>
      <c r="AF301" s="72"/>
      <c r="AG301" s="64">
        <f>AG299-AG300</f>
        <v>25.688874447684103</v>
      </c>
      <c r="AH301" s="44"/>
      <c r="AI301" s="72"/>
      <c r="AJ301" s="64">
        <f>AJ299-AJ300</f>
        <v>20.557969119053848</v>
      </c>
      <c r="AK301" s="44"/>
      <c r="AL301" s="72"/>
      <c r="AM301" s="64">
        <f>AM299-AM300</f>
        <v>14.837577699684186</v>
      </c>
      <c r="AN301" s="44"/>
      <c r="AO301" s="72"/>
      <c r="AP301" s="64">
        <f>AP299-AP300</f>
        <v>8.777425506964935</v>
      </c>
      <c r="AQ301" s="44"/>
      <c r="AR301" s="72"/>
      <c r="AS301" s="64">
        <f>AS299-AS300</f>
        <v>1.8442325662294081</v>
      </c>
      <c r="AT301" s="44"/>
      <c r="AU301" s="72"/>
    </row>
    <row r="302" spans="15:47" ht="13" x14ac:dyDescent="0.3">
      <c r="O302" s="6" t="s">
        <v>75</v>
      </c>
      <c r="P302" s="6">
        <v>3</v>
      </c>
      <c r="Q302" s="65"/>
      <c r="R302" s="85">
        <f>(F_LP_h/F_P_h)^2*(R299-('Valve Sizing'!$V$4*'Valve Sizing'!$G$7))</f>
        <v>46.765116938872012</v>
      </c>
      <c r="S302" s="58"/>
      <c r="T302" s="73"/>
      <c r="U302" s="53">
        <f>(U$29/U$27)^2*(U299-('Valve Sizing'!$V$4*'Valve Sizing'!$G$7))</f>
        <v>46.716428069398162</v>
      </c>
      <c r="V302" s="41"/>
      <c r="W302" s="73"/>
      <c r="X302" s="53">
        <f>(X$29/X$27)^2*(X299-('Valve Sizing'!$V$4*'Valve Sizing'!$G$7))</f>
        <v>45.495140714541222</v>
      </c>
      <c r="Y302" s="41"/>
      <c r="Z302" s="73"/>
      <c r="AA302" s="53">
        <f>(AA$29/AA$27)^2*(AA299-('Valve Sizing'!$V$4*'Valve Sizing'!$G$7))</f>
        <v>42.938837342032514</v>
      </c>
      <c r="AB302" s="41"/>
      <c r="AC302" s="73"/>
      <c r="AD302" s="53">
        <f>(AD$29/AD$27)^2*(AD299-('Valve Sizing'!$V$4*'Valve Sizing'!$G$7))</f>
        <v>38.948467180428985</v>
      </c>
      <c r="AE302" s="41"/>
      <c r="AF302" s="73"/>
      <c r="AG302" s="53">
        <f>(AG$29/AG$27)^2*(AG299-('Valve Sizing'!$V$4*'Valve Sizing'!$G$7))</f>
        <v>32.846673687944666</v>
      </c>
      <c r="AH302" s="41"/>
      <c r="AI302" s="73"/>
      <c r="AJ302" s="53">
        <f>(AJ$29/AJ$27)^2*(AJ299-('Valve Sizing'!$V$4*'Valve Sizing'!$G$7))</f>
        <v>27.024025330749712</v>
      </c>
      <c r="AK302" s="41"/>
      <c r="AL302" s="73"/>
      <c r="AM302" s="53">
        <f>(AM$29/AM$27)^2*(AM299-('Valve Sizing'!$V$4*'Valve Sizing'!$G$7))</f>
        <v>20.075697955794471</v>
      </c>
      <c r="AN302" s="41"/>
      <c r="AO302" s="73"/>
      <c r="AP302" s="53">
        <f>(AP$29/AP$27)^2*(AP299-('Valve Sizing'!$V$4*'Valve Sizing'!$G$7))</f>
        <v>14.564806803397795</v>
      </c>
      <c r="AQ302" s="41"/>
      <c r="AR302" s="73"/>
      <c r="AS302" s="53">
        <f>(AS$29/AS$27)^2*(AS299-('Valve Sizing'!$V$4*'Valve Sizing'!$G$7))</f>
        <v>11.709314126842056</v>
      </c>
      <c r="AT302" s="41"/>
      <c r="AU302" s="73"/>
    </row>
    <row r="303" spans="15:47" ht="13" x14ac:dyDescent="0.25">
      <c r="O303" s="1" t="s">
        <v>69</v>
      </c>
      <c r="P303" s="17">
        <v>7</v>
      </c>
      <c r="Q303" s="65"/>
      <c r="R303" s="53">
        <f>(R297/(N_1*F_P_h))*SQRT('Valve Sizing'!$G$6/R301)</f>
        <v>0.2265844680194892</v>
      </c>
      <c r="S303" s="58"/>
      <c r="T303" s="73"/>
      <c r="U303" s="64">
        <f>(U297/(N_1*U$27))*SQRT('Valve Sizing'!$G$6/U301)</f>
        <v>6.3273672107368792</v>
      </c>
      <c r="V303" s="41"/>
      <c r="W303" s="73"/>
      <c r="X303" s="64">
        <f>(X297/(N_1*X$27))*SQRT('Valve Sizing'!$G$6/X301)</f>
        <v>15.281288212415808</v>
      </c>
      <c r="Y303" s="41"/>
      <c r="Z303" s="73"/>
      <c r="AA303" s="64">
        <f>(AA297/(N_1*AA$27))*SQRT('Valve Sizing'!$G$6/AA301)</f>
        <v>29.7175113924926</v>
      </c>
      <c r="AB303" s="41"/>
      <c r="AC303" s="73"/>
      <c r="AD303" s="64">
        <f>(AD297/(N_1*AD$27))*SQRT('Valve Sizing'!$G$6/AD301)</f>
        <v>51.042343302988371</v>
      </c>
      <c r="AE303" s="41"/>
      <c r="AF303" s="73"/>
      <c r="AG303" s="64">
        <f>(AG297/(N_1*AG$27))*SQRT('Valve Sizing'!$G$6/AG301)</f>
        <v>82.965057908619869</v>
      </c>
      <c r="AH303" s="41"/>
      <c r="AI303" s="73"/>
      <c r="AJ303" s="64">
        <f>(AJ297/(N_1*AJ$27))*SQRT('Valve Sizing'!$G$6/AJ301)</f>
        <v>128.26336732334971</v>
      </c>
      <c r="AK303" s="41"/>
      <c r="AL303" s="73"/>
      <c r="AM303" s="64">
        <f>(AM297/(N_1*AM$27))*SQRT('Valve Sizing'!$G$6/AM301)</f>
        <v>195.4597806294326</v>
      </c>
      <c r="AN303" s="41"/>
      <c r="AO303" s="73"/>
      <c r="AP303" s="64">
        <f>(AP297/(N_1*AP$27))*SQRT('Valve Sizing'!$G$6/AP301)</f>
        <v>335.80905807725276</v>
      </c>
      <c r="AQ303" s="41"/>
      <c r="AR303" s="73"/>
      <c r="AS303" s="64">
        <f>(AS297/(N_1*AS$27))*SQRT('Valve Sizing'!$G$6/AS301)</f>
        <v>1116.7424328136049</v>
      </c>
      <c r="AT303" s="41"/>
      <c r="AU303" s="73"/>
    </row>
    <row r="304" spans="15:47" ht="13" x14ac:dyDescent="0.3">
      <c r="O304" s="1" t="s">
        <v>72</v>
      </c>
      <c r="P304" s="17">
        <v>7</v>
      </c>
      <c r="Q304" s="65"/>
      <c r="R304" s="53">
        <f>(R297/(N_1*F_P_h))*SQRT('Valve Sizing'!$G$6/R302)</f>
        <v>0.18819003610877069</v>
      </c>
      <c r="S304" s="56"/>
      <c r="T304" s="72"/>
      <c r="U304" s="85">
        <f>(U297/(N_1*U$27))*SQRT('Valve Sizing'!$G$6/U302)</f>
        <v>5.2536934784856451</v>
      </c>
      <c r="V304" s="44"/>
      <c r="W304" s="72"/>
      <c r="X304" s="85">
        <f>(X297/(N_1*X$27))*SQRT('Valve Sizing'!$G$6/X302)</f>
        <v>12.807742253685825</v>
      </c>
      <c r="Y304" s="44"/>
      <c r="Z304" s="72"/>
      <c r="AA304" s="85">
        <f>(AA297/(N_1*AA$27))*SQRT('Valve Sizing'!$G$6/AA302)</f>
        <v>25.316902322887614</v>
      </c>
      <c r="AB304" s="44"/>
      <c r="AC304" s="72"/>
      <c r="AD304" s="85">
        <f>(AD297/(N_1*AD$27))*SQRT('Valve Sizing'!$G$6/AD302)</f>
        <v>44.26744057865951</v>
      </c>
      <c r="AE304" s="44"/>
      <c r="AF304" s="72"/>
      <c r="AG304" s="85">
        <f>(AG297/(N_1*AG$27))*SQRT('Valve Sizing'!$G$6/AG302)</f>
        <v>73.370598329346166</v>
      </c>
      <c r="AH304" s="44"/>
      <c r="AI304" s="72"/>
      <c r="AJ304" s="85">
        <f>(AJ297/(N_1*AJ$27))*SQRT('Valve Sizing'!$G$6/AJ302)</f>
        <v>111.87105207795166</v>
      </c>
      <c r="AK304" s="44"/>
      <c r="AL304" s="72"/>
      <c r="AM304" s="85">
        <f>(AM297/(N_1*AM$27))*SQRT('Valve Sizing'!$G$6/AM302)</f>
        <v>168.03648317385057</v>
      </c>
      <c r="AN304" s="44"/>
      <c r="AO304" s="72"/>
      <c r="AP304" s="85">
        <f>(AP297/(N_1*AP$27))*SQRT('Valve Sizing'!$G$6/AP302)</f>
        <v>260.68954773579685</v>
      </c>
      <c r="AQ304" s="44"/>
      <c r="AR304" s="72"/>
      <c r="AS304" s="85">
        <f>(AS297/(N_1*AS$27))*SQRT('Valve Sizing'!$G$6/AS302)</f>
        <v>443.19528676432253</v>
      </c>
      <c r="AT304" s="44"/>
      <c r="AU304" s="72"/>
    </row>
    <row r="305" spans="15:47" x14ac:dyDescent="0.25">
      <c r="O305" s="1" t="s">
        <v>246</v>
      </c>
      <c r="P305" s="18"/>
      <c r="Q305" s="65"/>
      <c r="R305" s="53">
        <f>IF(R301&lt;R302,R303,R304)</f>
        <v>0.2265844680194892</v>
      </c>
      <c r="S305" s="49"/>
      <c r="T305" s="72"/>
      <c r="U305" s="64">
        <f>IF(U301&lt;U302,U303,U304)</f>
        <v>6.3273672107368792</v>
      </c>
      <c r="V305" s="44"/>
      <c r="W305" s="72"/>
      <c r="X305" s="64">
        <f>IF(X301&lt;X302,X303,X304)</f>
        <v>15.281288212415808</v>
      </c>
      <c r="Y305" s="44"/>
      <c r="Z305" s="72"/>
      <c r="AA305" s="64">
        <f>IF(AA301&lt;AA302,AA303,AA304)</f>
        <v>29.7175113924926</v>
      </c>
      <c r="AB305" s="44"/>
      <c r="AC305" s="72"/>
      <c r="AD305" s="64">
        <f>IF(AD301&lt;AD302,AD303,AD304)</f>
        <v>51.042343302988371</v>
      </c>
      <c r="AE305" s="44"/>
      <c r="AF305" s="72"/>
      <c r="AG305" s="64">
        <f>IF(AG301&lt;AG302,AG303,AG304)</f>
        <v>82.965057908619869</v>
      </c>
      <c r="AH305" s="44"/>
      <c r="AI305" s="72"/>
      <c r="AJ305" s="64">
        <f>IF(AJ301&lt;AJ302,AJ303,AJ304)</f>
        <v>128.26336732334971</v>
      </c>
      <c r="AK305" s="44"/>
      <c r="AL305" s="72"/>
      <c r="AM305" s="64">
        <f>IF(AM301&lt;AM302,AM303,AM304)</f>
        <v>195.4597806294326</v>
      </c>
      <c r="AN305" s="44"/>
      <c r="AO305" s="72"/>
      <c r="AP305" s="64">
        <f>IF(AP301&lt;AP302,AP303,AP304)</f>
        <v>335.80905807725276</v>
      </c>
      <c r="AQ305" s="44"/>
      <c r="AR305" s="72"/>
      <c r="AS305" s="64">
        <f>IF(AS301&lt;AS302,AS303,AS304)</f>
        <v>1116.7424328136049</v>
      </c>
      <c r="AT305" s="44"/>
      <c r="AU305" s="72"/>
    </row>
    <row r="306" spans="15:47" ht="13" x14ac:dyDescent="0.3">
      <c r="O306" s="7" t="s">
        <v>264</v>
      </c>
      <c r="Q306" s="61"/>
      <c r="R306" s="53"/>
      <c r="S306" s="69">
        <f>IFERROR(ABS(C_h-R305),Q_max*10)</f>
        <v>4.7734155319805112</v>
      </c>
      <c r="T306" s="76">
        <f>R297</f>
        <v>1.2867497995801809</v>
      </c>
      <c r="U306" s="61"/>
      <c r="V306" s="69">
        <f>IFERROR(ABS(U$23-U305),Q_max*10)</f>
        <v>5.6726327892631208</v>
      </c>
      <c r="W306" s="75">
        <f>U297</f>
        <v>35.878466711137484</v>
      </c>
      <c r="X306" s="61"/>
      <c r="Y306" s="69">
        <f>IFERROR(ABS(X$23-X305),Q_max*10)</f>
        <v>7.7187117875841924</v>
      </c>
      <c r="Z306" s="75">
        <f>X297</f>
        <v>86.122131070658853</v>
      </c>
      <c r="AA306" s="61"/>
      <c r="AB306" s="69">
        <f>IFERROR(ABS(AA$23-AA305),Q_max*10)</f>
        <v>9.2824886075073998</v>
      </c>
      <c r="AC306" s="75">
        <f>AA297</f>
        <v>164.43871095647498</v>
      </c>
      <c r="AD306" s="61"/>
      <c r="AE306" s="69">
        <f>IFERROR(ABS(AD$23-AD305),Q_max*10)</f>
        <v>9.9576566970116289</v>
      </c>
      <c r="AF306" s="75">
        <f>AD297</f>
        <v>270.44113678200716</v>
      </c>
      <c r="AG306" s="61"/>
      <c r="AH306" s="69">
        <f>IFERROR(ABS(AG$23-AG305),Q_max*10)</f>
        <v>5.034942091380131</v>
      </c>
      <c r="AI306" s="75">
        <f>AG297</f>
        <v>402.65000062510217</v>
      </c>
      <c r="AJ306" s="61"/>
      <c r="AK306" s="69">
        <f>IFERROR(ABS(AJ$23-AJ305),Q_max*10)</f>
        <v>7.263367323349712</v>
      </c>
      <c r="AL306" s="75">
        <f>AJ297</f>
        <v>537.33798673399792</v>
      </c>
      <c r="AM306" s="61"/>
      <c r="AN306" s="69">
        <f>IFERROR(ABS(AM$23-AM305),Q_max*10)</f>
        <v>30.459780629432601</v>
      </c>
      <c r="AO306" s="75">
        <f>AM297</f>
        <v>655.6544594985171</v>
      </c>
      <c r="AP306" s="61"/>
      <c r="AQ306" s="69">
        <f>IFERROR(ABS(AP$23-AP305),Q_max*10)</f>
        <v>89.809058077252757</v>
      </c>
      <c r="AR306" s="75">
        <f>AP297</f>
        <v>761.1944729276745</v>
      </c>
      <c r="AS306" s="61"/>
      <c r="AT306" s="69">
        <f>IFERROR(ABS(AS$23-AS305),Q_max*10)</f>
        <v>696.74243281360486</v>
      </c>
      <c r="AU306" s="75">
        <f>AS297</f>
        <v>866.31031474194594</v>
      </c>
    </row>
    <row r="307" spans="15:47" ht="14.5" x14ac:dyDescent="0.35">
      <c r="O307" s="6"/>
      <c r="P307" s="6"/>
      <c r="Q307" s="60"/>
      <c r="R307" s="67"/>
      <c r="S307" s="56"/>
      <c r="T307" s="72"/>
      <c r="V307" s="11"/>
      <c r="W307" s="38"/>
      <c r="Y307" s="11"/>
      <c r="Z307" s="38"/>
      <c r="AB307" s="11"/>
      <c r="AC307" s="38"/>
      <c r="AE307" s="11"/>
      <c r="AF307" s="38"/>
      <c r="AH307" s="11"/>
      <c r="AI307" s="38"/>
      <c r="AK307" s="11"/>
      <c r="AL307" s="38"/>
      <c r="AN307" s="11"/>
      <c r="AO307" s="38"/>
      <c r="AQ307" s="11"/>
      <c r="AR307" s="38"/>
      <c r="AT307" s="11"/>
      <c r="AU307" s="38"/>
    </row>
    <row r="308" spans="15:47" ht="14" x14ac:dyDescent="0.3">
      <c r="O308" s="8" t="s">
        <v>235</v>
      </c>
      <c r="P308" s="6"/>
      <c r="Q308" s="60"/>
      <c r="R308" s="53">
        <f>R297*1.02</f>
        <v>1.3124847955717844</v>
      </c>
      <c r="S308" s="58" t="s">
        <v>238</v>
      </c>
      <c r="T308" s="73" t="s">
        <v>241</v>
      </c>
      <c r="U308" s="84">
        <f>U297*1.01</f>
        <v>36.237251378248857</v>
      </c>
      <c r="V308" s="58" t="s">
        <v>238</v>
      </c>
      <c r="W308" s="73" t="s">
        <v>241</v>
      </c>
      <c r="X308" s="84">
        <f>X297*1.01</f>
        <v>86.983352381365435</v>
      </c>
      <c r="Y308" s="58" t="s">
        <v>238</v>
      </c>
      <c r="Z308" s="73" t="s">
        <v>241</v>
      </c>
      <c r="AA308" s="84">
        <f>AA297*1.01</f>
        <v>166.08309806603972</v>
      </c>
      <c r="AB308" s="58" t="s">
        <v>238</v>
      </c>
      <c r="AC308" s="73" t="s">
        <v>241</v>
      </c>
      <c r="AD308" s="84">
        <f>AD297*1.01</f>
        <v>273.14554814982722</v>
      </c>
      <c r="AE308" s="58" t="s">
        <v>238</v>
      </c>
      <c r="AF308" s="73" t="s">
        <v>241</v>
      </c>
      <c r="AG308" s="84">
        <f>AG297*1.01</f>
        <v>406.67650063135318</v>
      </c>
      <c r="AH308" s="58" t="s">
        <v>238</v>
      </c>
      <c r="AI308" s="73" t="s">
        <v>241</v>
      </c>
      <c r="AJ308" s="84">
        <f>AJ297*1.01</f>
        <v>542.71136660133789</v>
      </c>
      <c r="AK308" s="58" t="s">
        <v>238</v>
      </c>
      <c r="AL308" s="73" t="s">
        <v>241</v>
      </c>
      <c r="AM308" s="84">
        <f>AM297*1.01</f>
        <v>662.21100409350231</v>
      </c>
      <c r="AN308" s="58" t="s">
        <v>238</v>
      </c>
      <c r="AO308" s="73" t="s">
        <v>241</v>
      </c>
      <c r="AP308" s="84">
        <f>AP297*1.01</f>
        <v>768.80641765695123</v>
      </c>
      <c r="AQ308" s="58" t="s">
        <v>238</v>
      </c>
      <c r="AR308" s="73" t="s">
        <v>241</v>
      </c>
      <c r="AS308" s="84">
        <f>AS297*1.01</f>
        <v>874.97341788936546</v>
      </c>
      <c r="AT308" s="58" t="s">
        <v>238</v>
      </c>
      <c r="AU308" s="73" t="s">
        <v>241</v>
      </c>
    </row>
    <row r="309" spans="15:47" ht="13" x14ac:dyDescent="0.25">
      <c r="O309" s="6"/>
      <c r="P309" s="6"/>
      <c r="Q309" s="60"/>
      <c r="R309" s="70"/>
      <c r="S309" s="63" t="s">
        <v>250</v>
      </c>
      <c r="T309" s="71" t="s">
        <v>242</v>
      </c>
      <c r="U309" s="61"/>
      <c r="V309" s="63" t="s">
        <v>250</v>
      </c>
      <c r="W309" s="71" t="s">
        <v>242</v>
      </c>
      <c r="X309" s="61"/>
      <c r="Y309" s="63" t="s">
        <v>250</v>
      </c>
      <c r="Z309" s="71" t="s">
        <v>242</v>
      </c>
      <c r="AA309" s="61"/>
      <c r="AB309" s="63" t="s">
        <v>250</v>
      </c>
      <c r="AC309" s="71" t="s">
        <v>242</v>
      </c>
      <c r="AD309" s="61"/>
      <c r="AE309" s="63" t="s">
        <v>250</v>
      </c>
      <c r="AF309" s="71" t="s">
        <v>242</v>
      </c>
      <c r="AG309" s="61"/>
      <c r="AH309" s="63" t="s">
        <v>250</v>
      </c>
      <c r="AI309" s="71" t="s">
        <v>242</v>
      </c>
      <c r="AJ309" s="61"/>
      <c r="AK309" s="63" t="s">
        <v>250</v>
      </c>
      <c r="AL309" s="71" t="s">
        <v>242</v>
      </c>
      <c r="AM309" s="61"/>
      <c r="AN309" s="63" t="s">
        <v>250</v>
      </c>
      <c r="AO309" s="71" t="s">
        <v>242</v>
      </c>
      <c r="AP309" s="61"/>
      <c r="AQ309" s="63" t="s">
        <v>250</v>
      </c>
      <c r="AR309" s="71" t="s">
        <v>242</v>
      </c>
      <c r="AS309" s="61"/>
      <c r="AT309" s="63" t="s">
        <v>250</v>
      </c>
      <c r="AU309" s="71" t="s">
        <v>242</v>
      </c>
    </row>
    <row r="310" spans="15:47" ht="13" x14ac:dyDescent="0.3">
      <c r="O310" s="6" t="s">
        <v>231</v>
      </c>
      <c r="P310" s="6"/>
      <c r="Q310" s="60"/>
      <c r="R310" s="85">
        <f>P_1_minQ-(R308^2*R_up)+dpup_minQ</f>
        <v>56.916085018023011</v>
      </c>
      <c r="S310" s="56"/>
      <c r="T310" s="72"/>
      <c r="U310" s="53">
        <f>P_1_minQ-(U308^2*R_up)+dpup_minQ</f>
        <v>56.871795393871992</v>
      </c>
      <c r="V310" s="44"/>
      <c r="W310" s="72"/>
      <c r="X310" s="53">
        <f>P_1_minQ-(X308^2*R_up)+dpup_minQ</f>
        <v>56.660617913154312</v>
      </c>
      <c r="Y310" s="44"/>
      <c r="Z310" s="72"/>
      <c r="AA310" s="53">
        <f>P_1_minQ-(AA308^2*R_up)+dpup_minQ</f>
        <v>55.984579687159275</v>
      </c>
      <c r="AB310" s="44"/>
      <c r="AC310" s="72"/>
      <c r="AD310" s="53">
        <f>P_1_minQ-(AD308^2*R_up)+dpup_minQ</f>
        <v>54.396437336235408</v>
      </c>
      <c r="AE310" s="44"/>
      <c r="AF310" s="72"/>
      <c r="AG310" s="53">
        <f>P_1_minQ-(AG308^2*R_up)+dpup_minQ</f>
        <v>51.330672875185307</v>
      </c>
      <c r="AH310" s="44"/>
      <c r="AI310" s="72"/>
      <c r="AJ310" s="53">
        <f>P_1_minQ-(AJ308^2*R_up)+dpup_minQ</f>
        <v>46.968975770405542</v>
      </c>
      <c r="AK310" s="44"/>
      <c r="AL310" s="72"/>
      <c r="AM310" s="53">
        <f>P_1_minQ-(AM308^2*R_up)+dpup_minQ</f>
        <v>42.106166364656382</v>
      </c>
      <c r="AN310" s="44"/>
      <c r="AO310" s="72"/>
      <c r="AP310" s="53">
        <f>P_1_minQ-(AP308^2*R_up)+dpup_minQ</f>
        <v>36.954531988162294</v>
      </c>
      <c r="AQ310" s="44"/>
      <c r="AR310" s="72"/>
      <c r="AS310" s="53">
        <f>P_1_minQ-(AS308^2*R_up)+dpup_minQ</f>
        <v>31.060740222458691</v>
      </c>
      <c r="AT310" s="44"/>
      <c r="AU310" s="72"/>
    </row>
    <row r="311" spans="15:47" ht="13" x14ac:dyDescent="0.3">
      <c r="O311" s="6" t="s">
        <v>233</v>
      </c>
      <c r="P311" s="6"/>
      <c r="Q311" s="60"/>
      <c r="R311" s="85">
        <f>P_2_minQ+(R308^2*R_dn)-dpdn_minQ</f>
        <v>24.6567829963954</v>
      </c>
      <c r="S311" s="66"/>
      <c r="T311" s="74"/>
      <c r="U311" s="53">
        <f>P_2_minQ+(U308^2*R_dn)-dpdn_minQ</f>
        <v>24.665640921225602</v>
      </c>
      <c r="V311" s="45"/>
      <c r="W311" s="74"/>
      <c r="X311" s="53">
        <f>P_2_minQ+(X308^2*R_dn)-dpdn_minQ</f>
        <v>24.707876417369139</v>
      </c>
      <c r="Y311" s="45"/>
      <c r="Z311" s="74"/>
      <c r="AA311" s="53">
        <f>P_2_minQ+(AA308^2*R_dn)-dpdn_minQ</f>
        <v>24.843084062568145</v>
      </c>
      <c r="AB311" s="45"/>
      <c r="AC311" s="74"/>
      <c r="AD311" s="53">
        <f>P_2_minQ+(AD308^2*R_dn)-dpdn_minQ</f>
        <v>25.160712532752921</v>
      </c>
      <c r="AE311" s="45"/>
      <c r="AF311" s="74"/>
      <c r="AG311" s="53">
        <f>P_2_minQ+(AG308^2*R_dn)-dpdn_minQ</f>
        <v>25.773865424962938</v>
      </c>
      <c r="AH311" s="45"/>
      <c r="AI311" s="74"/>
      <c r="AJ311" s="53">
        <f>P_2_minQ+(AJ308^2*R_dn)-dpdn_minQ</f>
        <v>26.646204845918891</v>
      </c>
      <c r="AK311" s="45"/>
      <c r="AL311" s="74"/>
      <c r="AM311" s="53">
        <f>P_2_minQ+(AM308^2*R_dn)-dpdn_minQ</f>
        <v>27.618766727068724</v>
      </c>
      <c r="AN311" s="45"/>
      <c r="AO311" s="74"/>
      <c r="AP311" s="53">
        <f>P_2_minQ+(AP308^2*R_dn)-dpdn_minQ</f>
        <v>28.649093602367543</v>
      </c>
      <c r="AQ311" s="45"/>
      <c r="AR311" s="74"/>
      <c r="AS311" s="53">
        <f>P_2_minQ+(AS308^2*R_dn)-dpdn_minQ</f>
        <v>29.827851955508262</v>
      </c>
      <c r="AT311" s="45"/>
      <c r="AU311" s="74"/>
    </row>
    <row r="312" spans="15:47" x14ac:dyDescent="0.25">
      <c r="O312" s="6" t="s">
        <v>243</v>
      </c>
      <c r="Q312" s="60"/>
      <c r="R312" s="53">
        <f>R310-R311</f>
        <v>32.259302021627612</v>
      </c>
      <c r="S312" s="56"/>
      <c r="T312" s="72"/>
      <c r="U312" s="64">
        <f>U310-U311</f>
        <v>32.206154472646389</v>
      </c>
      <c r="V312" s="44"/>
      <c r="W312" s="72"/>
      <c r="X312" s="64">
        <f>X310-X311</f>
        <v>31.952741495785173</v>
      </c>
      <c r="Y312" s="44"/>
      <c r="Z312" s="72"/>
      <c r="AA312" s="64">
        <f>AA310-AA311</f>
        <v>31.14149562459113</v>
      </c>
      <c r="AB312" s="44"/>
      <c r="AC312" s="72"/>
      <c r="AD312" s="64">
        <f>AD310-AD311</f>
        <v>29.235724803482487</v>
      </c>
      <c r="AE312" s="44"/>
      <c r="AF312" s="72"/>
      <c r="AG312" s="64">
        <f>AG310-AG311</f>
        <v>25.556807450222369</v>
      </c>
      <c r="AH312" s="44"/>
      <c r="AI312" s="72"/>
      <c r="AJ312" s="64">
        <f>AJ310-AJ311</f>
        <v>20.322770924486651</v>
      </c>
      <c r="AK312" s="44"/>
      <c r="AL312" s="72"/>
      <c r="AM312" s="64">
        <f>AM310-AM311</f>
        <v>14.487399637587657</v>
      </c>
      <c r="AN312" s="44"/>
      <c r="AO312" s="72"/>
      <c r="AP312" s="64">
        <f>AP310-AP311</f>
        <v>8.3054383857947514</v>
      </c>
      <c r="AQ312" s="44"/>
      <c r="AR312" s="72"/>
      <c r="AS312" s="64">
        <f>AS310-AS311</f>
        <v>1.2328882669504289</v>
      </c>
      <c r="AT312" s="44"/>
      <c r="AU312" s="72"/>
    </row>
    <row r="313" spans="15:47" ht="13" x14ac:dyDescent="0.3">
      <c r="O313" s="6" t="s">
        <v>75</v>
      </c>
      <c r="P313" s="6">
        <v>3</v>
      </c>
      <c r="Q313" s="65"/>
      <c r="R313" s="85">
        <f>(F_LP_h/F_P_h)^2*(R310-('Valve Sizing'!$V$4*'Valve Sizing'!$G$7))</f>
        <v>46.765115068237066</v>
      </c>
      <c r="S313" s="58"/>
      <c r="T313" s="73"/>
      <c r="U313" s="53">
        <f>(U$29/U$27)^2*(U310-('Valve Sizing'!$V$4*'Valve Sizing'!$G$7))</f>
        <v>46.715704692091172</v>
      </c>
      <c r="V313" s="41"/>
      <c r="W313" s="73"/>
      <c r="X313" s="53">
        <f>(X$29/X$27)^2*(X310-('Valve Sizing'!$V$4*'Valve Sizing'!$G$7))</f>
        <v>45.491066741625239</v>
      </c>
      <c r="Y313" s="41"/>
      <c r="Z313" s="73"/>
      <c r="AA313" s="53">
        <f>(AA$29/AA$27)^2*(AA310-('Valve Sizing'!$V$4*'Valve Sizing'!$G$7))</f>
        <v>42.924652277063942</v>
      </c>
      <c r="AB313" s="41"/>
      <c r="AC313" s="73"/>
      <c r="AD313" s="53">
        <f>(AD$29/AD$27)^2*(AD310-('Valve Sizing'!$V$4*'Valve Sizing'!$G$7))</f>
        <v>38.91266155282959</v>
      </c>
      <c r="AE313" s="41"/>
      <c r="AF313" s="73"/>
      <c r="AG313" s="53">
        <f>(AG$29/AG$27)^2*(AG310-('Valve Sizing'!$V$4*'Valve Sizing'!$G$7))</f>
        <v>32.775792895556215</v>
      </c>
      <c r="AH313" s="41"/>
      <c r="AI313" s="73"/>
      <c r="AJ313" s="53">
        <f>(AJ$29/AJ$27)^2*(AJ310-('Valve Sizing'!$V$4*'Valve Sizing'!$G$7))</f>
        <v>26.910666791190728</v>
      </c>
      <c r="AK313" s="41"/>
      <c r="AL313" s="73"/>
      <c r="AM313" s="53">
        <f>(AM$29/AM$27)^2*(AM310-('Valve Sizing'!$V$4*'Valve Sizing'!$G$7))</f>
        <v>19.936072580785623</v>
      </c>
      <c r="AN313" s="41"/>
      <c r="AO313" s="73"/>
      <c r="AP313" s="53">
        <f>(AP$29/AP$27)^2*(AP310-('Valve Sizing'!$V$4*'Valve Sizing'!$G$7))</f>
        <v>14.409591153246616</v>
      </c>
      <c r="AQ313" s="41"/>
      <c r="AR313" s="73"/>
      <c r="AS313" s="53">
        <f>(AS$29/AS$27)^2*(AS310-('Valve Sizing'!$V$4*'Valve Sizing'!$G$7))</f>
        <v>11.517687851674022</v>
      </c>
      <c r="AT313" s="41"/>
      <c r="AU313" s="73"/>
    </row>
    <row r="314" spans="15:47" ht="13" x14ac:dyDescent="0.25">
      <c r="O314" s="1" t="s">
        <v>69</v>
      </c>
      <c r="P314" s="17">
        <v>7</v>
      </c>
      <c r="Q314" s="65"/>
      <c r="R314" s="53">
        <f>(R308/(N_1*F_P_h))*SQRT('Valve Sizing'!$G$6/R312)</f>
        <v>0.23111616709074048</v>
      </c>
      <c r="S314" s="58"/>
      <c r="T314" s="73"/>
      <c r="U314" s="64">
        <f>(U308/(N_1*U$27))*SQRT('Valve Sizing'!$G$6/U312)</f>
        <v>6.3907449176491378</v>
      </c>
      <c r="V314" s="41"/>
      <c r="W314" s="73"/>
      <c r="X314" s="64">
        <f>(X308/(N_1*X$27))*SQRT('Valve Sizing'!$G$6/X312)</f>
        <v>15.435560214916359</v>
      </c>
      <c r="Y314" s="41"/>
      <c r="Z314" s="73"/>
      <c r="AA314" s="64">
        <f>(AA308/(N_1*AA$27))*SQRT('Valve Sizing'!$G$6/AA312)</f>
        <v>30.025299419280071</v>
      </c>
      <c r="AB314" s="41"/>
      <c r="AC314" s="73"/>
      <c r="AD314" s="64">
        <f>(AD308/(N_1*AD$27))*SQRT('Valve Sizing'!$G$6/AD312)</f>
        <v>51.605268202185059</v>
      </c>
      <c r="AE314" s="41"/>
      <c r="AF314" s="73"/>
      <c r="AG314" s="64">
        <f>(AG308/(N_1*AG$27))*SQRT('Valve Sizing'!$G$6/AG312)</f>
        <v>84.010937678370041</v>
      </c>
      <c r="AH314" s="41"/>
      <c r="AI314" s="73"/>
      <c r="AJ314" s="64">
        <f>(AJ308/(N_1*AJ$27))*SQRT('Valve Sizing'!$G$6/AJ312)</f>
        <v>130.29347132650301</v>
      </c>
      <c r="AK314" s="41"/>
      <c r="AL314" s="73"/>
      <c r="AM314" s="64">
        <f>(AM308/(N_1*AM$27))*SQRT('Valve Sizing'!$G$6/AM312)</f>
        <v>199.78600549372928</v>
      </c>
      <c r="AN314" s="41"/>
      <c r="AO314" s="73"/>
      <c r="AP314" s="64">
        <f>(AP308/(N_1*AP$27))*SQRT('Valve Sizing'!$G$6/AP312)</f>
        <v>348.67119977417235</v>
      </c>
      <c r="AQ314" s="41"/>
      <c r="AR314" s="73"/>
      <c r="AS314" s="64">
        <f>(AS308/(N_1*AS$27))*SQRT('Valve Sizing'!$G$6/AS312)</f>
        <v>1379.4957781354526</v>
      </c>
      <c r="AT314" s="41"/>
      <c r="AU314" s="73"/>
    </row>
    <row r="315" spans="15:47" ht="13" x14ac:dyDescent="0.3">
      <c r="O315" s="1" t="s">
        <v>72</v>
      </c>
      <c r="P315" s="17">
        <v>7</v>
      </c>
      <c r="Q315" s="65"/>
      <c r="R315" s="53">
        <f>(R308/(N_1*F_P_h))*SQRT('Valve Sizing'!$G$6/R313)</f>
        <v>0.19195384067008506</v>
      </c>
      <c r="S315" s="56"/>
      <c r="T315" s="72"/>
      <c r="U315" s="85">
        <f>(U308/(N_1*U$27))*SQRT('Valve Sizing'!$G$6/U313)</f>
        <v>5.3062714957269561</v>
      </c>
      <c r="V315" s="44"/>
      <c r="W315" s="72"/>
      <c r="X315" s="85">
        <f>(X308/(N_1*X$27))*SQRT('Valve Sizing'!$G$6/X313)</f>
        <v>12.936398899825658</v>
      </c>
      <c r="Y315" s="44"/>
      <c r="Z315" s="72"/>
      <c r="AA315" s="85">
        <f>(AA308/(N_1*AA$27))*SQRT('Valve Sizing'!$G$6/AA313)</f>
        <v>25.574295994926352</v>
      </c>
      <c r="AB315" s="44"/>
      <c r="AC315" s="72"/>
      <c r="AD315" s="85">
        <f>(AD308/(N_1*AD$27))*SQRT('Valve Sizing'!$G$6/AD313)</f>
        <v>44.730680342482145</v>
      </c>
      <c r="AE315" s="44"/>
      <c r="AF315" s="72"/>
      <c r="AG315" s="85">
        <f>(AG308/(N_1*AG$27))*SQRT('Valve Sizing'!$G$6/AG313)</f>
        <v>74.184389866860684</v>
      </c>
      <c r="AH315" s="44"/>
      <c r="AI315" s="72"/>
      <c r="AJ315" s="85">
        <f>(AJ308/(N_1*AJ$27))*SQRT('Valve Sizing'!$G$6/AJ313)</f>
        <v>113.22749164542869</v>
      </c>
      <c r="AK315" s="44"/>
      <c r="AL315" s="72"/>
      <c r="AM315" s="85">
        <f>(AM308/(N_1*AM$27))*SQRT('Valve Sizing'!$G$6/AM313)</f>
        <v>170.31013016029033</v>
      </c>
      <c r="AN315" s="44"/>
      <c r="AO315" s="72"/>
      <c r="AP315" s="85">
        <f>(AP308/(N_1*AP$27))*SQRT('Valve Sizing'!$G$6/AP313)</f>
        <v>264.71071872336023</v>
      </c>
      <c r="AQ315" s="44"/>
      <c r="AR315" s="72"/>
      <c r="AS315" s="85">
        <f>(AS308/(N_1*AS$27))*SQRT('Valve Sizing'!$G$6/AS313)</f>
        <v>451.3355923191242</v>
      </c>
      <c r="AT315" s="44"/>
      <c r="AU315" s="72"/>
    </row>
    <row r="316" spans="15:47" x14ac:dyDescent="0.25">
      <c r="O316" s="1" t="s">
        <v>246</v>
      </c>
      <c r="P316" s="18"/>
      <c r="Q316" s="65"/>
      <c r="R316" s="53">
        <f>IF(R312&lt;R313,R314,R315)</f>
        <v>0.23111616709074048</v>
      </c>
      <c r="S316" s="49"/>
      <c r="T316" s="72"/>
      <c r="U316" s="64">
        <f>IF(U312&lt;U313,U314,U315)</f>
        <v>6.3907449176491378</v>
      </c>
      <c r="V316" s="44"/>
      <c r="W316" s="72"/>
      <c r="X316" s="64">
        <f>IF(X312&lt;X313,X314,X315)</f>
        <v>15.435560214916359</v>
      </c>
      <c r="Y316" s="44"/>
      <c r="Z316" s="72"/>
      <c r="AA316" s="64">
        <f>IF(AA312&lt;AA313,AA314,AA315)</f>
        <v>30.025299419280071</v>
      </c>
      <c r="AB316" s="44"/>
      <c r="AC316" s="72"/>
      <c r="AD316" s="64">
        <f>IF(AD312&lt;AD313,AD314,AD315)</f>
        <v>51.605268202185059</v>
      </c>
      <c r="AE316" s="44"/>
      <c r="AF316" s="72"/>
      <c r="AG316" s="64">
        <f>IF(AG312&lt;AG313,AG314,AG315)</f>
        <v>84.010937678370041</v>
      </c>
      <c r="AH316" s="44"/>
      <c r="AI316" s="72"/>
      <c r="AJ316" s="64">
        <f>IF(AJ312&lt;AJ313,AJ314,AJ315)</f>
        <v>130.29347132650301</v>
      </c>
      <c r="AK316" s="44"/>
      <c r="AL316" s="72"/>
      <c r="AM316" s="64">
        <f>IF(AM312&lt;AM313,AM314,AM315)</f>
        <v>199.78600549372928</v>
      </c>
      <c r="AN316" s="44"/>
      <c r="AO316" s="72"/>
      <c r="AP316" s="64">
        <f>IF(AP312&lt;AP313,AP314,AP315)</f>
        <v>348.67119977417235</v>
      </c>
      <c r="AQ316" s="44"/>
      <c r="AR316" s="72"/>
      <c r="AS316" s="64">
        <f>IF(AS312&lt;AS313,AS314,AS315)</f>
        <v>1379.4957781354526</v>
      </c>
      <c r="AT316" s="44"/>
      <c r="AU316" s="72"/>
    </row>
    <row r="317" spans="15:47" ht="13" x14ac:dyDescent="0.3">
      <c r="O317" s="7" t="s">
        <v>264</v>
      </c>
      <c r="Q317" s="61"/>
      <c r="R317" s="53"/>
      <c r="S317" s="69">
        <f>IFERROR(ABS(C_h-R316),Q_max*10)</f>
        <v>4.7688838329092595</v>
      </c>
      <c r="T317" s="76">
        <f>R308</f>
        <v>1.3124847955717844</v>
      </c>
      <c r="U317" s="61"/>
      <c r="V317" s="69">
        <f>IFERROR(ABS(U$23-U316),Q_max*10)</f>
        <v>5.6092550823508622</v>
      </c>
      <c r="W317" s="75">
        <f>U308</f>
        <v>36.237251378248857</v>
      </c>
      <c r="X317" s="61"/>
      <c r="Y317" s="69">
        <f>IFERROR(ABS(X$23-X316),Q_max*10)</f>
        <v>7.5644397850836409</v>
      </c>
      <c r="Z317" s="75">
        <f>X308</f>
        <v>86.983352381365435</v>
      </c>
      <c r="AA317" s="61"/>
      <c r="AB317" s="69">
        <f>IFERROR(ABS(AA$23-AA316),Q_max*10)</f>
        <v>8.9747005807199294</v>
      </c>
      <c r="AC317" s="75">
        <f>AA308</f>
        <v>166.08309806603972</v>
      </c>
      <c r="AD317" s="61"/>
      <c r="AE317" s="69">
        <f>IFERROR(ABS(AD$23-AD316),Q_max*10)</f>
        <v>9.3947317978149414</v>
      </c>
      <c r="AF317" s="75">
        <f>AD308</f>
        <v>273.14554814982722</v>
      </c>
      <c r="AG317" s="61"/>
      <c r="AH317" s="69">
        <f>IFERROR(ABS(AG$23-AG316),Q_max*10)</f>
        <v>3.9890623216299588</v>
      </c>
      <c r="AI317" s="75">
        <f>AG308</f>
        <v>406.67650063135318</v>
      </c>
      <c r="AJ317" s="61"/>
      <c r="AK317" s="69">
        <f>IFERROR(ABS(AJ$23-AJ316),Q_max*10)</f>
        <v>9.2934713265030098</v>
      </c>
      <c r="AL317" s="75">
        <f>AJ308</f>
        <v>542.71136660133789</v>
      </c>
      <c r="AM317" s="61"/>
      <c r="AN317" s="69">
        <f>IFERROR(ABS(AM$23-AM316),Q_max*10)</f>
        <v>34.786005493729277</v>
      </c>
      <c r="AO317" s="75">
        <f>AM308</f>
        <v>662.21100409350231</v>
      </c>
      <c r="AP317" s="61"/>
      <c r="AQ317" s="69">
        <f>IFERROR(ABS(AP$23-AP316),Q_max*10)</f>
        <v>102.67119977417235</v>
      </c>
      <c r="AR317" s="75">
        <f>AP308</f>
        <v>768.80641765695123</v>
      </c>
      <c r="AS317" s="61"/>
      <c r="AT317" s="69">
        <f>IFERROR(ABS(AS$23-AS316),Q_max*10)</f>
        <v>959.49577813545261</v>
      </c>
      <c r="AU317" s="75">
        <f>AS308</f>
        <v>874.97341788936546</v>
      </c>
    </row>
    <row r="318" spans="15:47" ht="14.5" x14ac:dyDescent="0.35">
      <c r="O318" s="6"/>
      <c r="P318" s="6"/>
      <c r="Q318" s="60"/>
      <c r="R318" s="67"/>
      <c r="S318" s="56"/>
      <c r="T318" s="72"/>
      <c r="V318" s="11"/>
      <c r="W318" s="38"/>
      <c r="Y318" s="11"/>
      <c r="Z318" s="38"/>
      <c r="AB318" s="11"/>
      <c r="AC318" s="38"/>
      <c r="AE318" s="11"/>
      <c r="AF318" s="38"/>
      <c r="AH318" s="11"/>
      <c r="AI318" s="38"/>
      <c r="AK318" s="11"/>
      <c r="AL318" s="38"/>
      <c r="AN318" s="11"/>
      <c r="AO318" s="38"/>
      <c r="AQ318" s="11"/>
      <c r="AR318" s="38"/>
      <c r="AT318" s="11"/>
      <c r="AU318" s="38"/>
    </row>
    <row r="319" spans="15:47" ht="14" x14ac:dyDescent="0.3">
      <c r="O319" s="8" t="s">
        <v>235</v>
      </c>
      <c r="P319" s="6"/>
      <c r="Q319" s="60"/>
      <c r="R319" s="53">
        <f>R308*1.02</f>
        <v>1.3387344914832202</v>
      </c>
      <c r="S319" s="58" t="s">
        <v>238</v>
      </c>
      <c r="T319" s="73" t="s">
        <v>241</v>
      </c>
      <c r="U319" s="84">
        <f>U308*1.01</f>
        <v>36.599623892031346</v>
      </c>
      <c r="V319" s="58" t="s">
        <v>238</v>
      </c>
      <c r="W319" s="73" t="s">
        <v>241</v>
      </c>
      <c r="X319" s="84">
        <f>X308*1.01</f>
        <v>87.853185905179089</v>
      </c>
      <c r="Y319" s="58" t="s">
        <v>238</v>
      </c>
      <c r="Z319" s="73" t="s">
        <v>241</v>
      </c>
      <c r="AA319" s="84">
        <f>AA308*1.01</f>
        <v>167.74392904670012</v>
      </c>
      <c r="AB319" s="58" t="s">
        <v>238</v>
      </c>
      <c r="AC319" s="73" t="s">
        <v>241</v>
      </c>
      <c r="AD319" s="84">
        <f>AD308*1.01</f>
        <v>275.87700363132552</v>
      </c>
      <c r="AE319" s="58" t="s">
        <v>238</v>
      </c>
      <c r="AF319" s="73" t="s">
        <v>241</v>
      </c>
      <c r="AG319" s="84">
        <f>AG308*1.01</f>
        <v>410.7432656376667</v>
      </c>
      <c r="AH319" s="58" t="s">
        <v>238</v>
      </c>
      <c r="AI319" s="73" t="s">
        <v>241</v>
      </c>
      <c r="AJ319" s="84">
        <f>AJ308*1.01</f>
        <v>548.13848026735127</v>
      </c>
      <c r="AK319" s="58" t="s">
        <v>238</v>
      </c>
      <c r="AL319" s="73" t="s">
        <v>241</v>
      </c>
      <c r="AM319" s="84">
        <f>AM308*1.01</f>
        <v>668.83311413443732</v>
      </c>
      <c r="AN319" s="58" t="s">
        <v>238</v>
      </c>
      <c r="AO319" s="73" t="s">
        <v>241</v>
      </c>
      <c r="AP319" s="84">
        <f>AP308*1.01</f>
        <v>776.49448183352069</v>
      </c>
      <c r="AQ319" s="58" t="s">
        <v>238</v>
      </c>
      <c r="AR319" s="73" t="s">
        <v>241</v>
      </c>
      <c r="AS319" s="84">
        <f>AS308*1.01</f>
        <v>883.72315206825908</v>
      </c>
      <c r="AT319" s="58" t="s">
        <v>238</v>
      </c>
      <c r="AU319" s="73" t="s">
        <v>241</v>
      </c>
    </row>
    <row r="320" spans="15:47" ht="13" x14ac:dyDescent="0.25">
      <c r="O320" s="6"/>
      <c r="P320" s="6"/>
      <c r="Q320" s="60"/>
      <c r="R320" s="70"/>
      <c r="S320" s="63" t="s">
        <v>250</v>
      </c>
      <c r="T320" s="71" t="s">
        <v>242</v>
      </c>
      <c r="U320" s="61"/>
      <c r="V320" s="63" t="s">
        <v>250</v>
      </c>
      <c r="W320" s="71" t="s">
        <v>242</v>
      </c>
      <c r="X320" s="61"/>
      <c r="Y320" s="63" t="s">
        <v>250</v>
      </c>
      <c r="Z320" s="71" t="s">
        <v>242</v>
      </c>
      <c r="AA320" s="61"/>
      <c r="AB320" s="63" t="s">
        <v>250</v>
      </c>
      <c r="AC320" s="71" t="s">
        <v>242</v>
      </c>
      <c r="AD320" s="61"/>
      <c r="AE320" s="63" t="s">
        <v>250</v>
      </c>
      <c r="AF320" s="71" t="s">
        <v>242</v>
      </c>
      <c r="AG320" s="61"/>
      <c r="AH320" s="63" t="s">
        <v>250</v>
      </c>
      <c r="AI320" s="71" t="s">
        <v>242</v>
      </c>
      <c r="AJ320" s="61"/>
      <c r="AK320" s="63" t="s">
        <v>250</v>
      </c>
      <c r="AL320" s="71" t="s">
        <v>242</v>
      </c>
      <c r="AM320" s="61"/>
      <c r="AN320" s="63" t="s">
        <v>250</v>
      </c>
      <c r="AO320" s="71" t="s">
        <v>242</v>
      </c>
      <c r="AP320" s="61"/>
      <c r="AQ320" s="63" t="s">
        <v>250</v>
      </c>
      <c r="AR320" s="71" t="s">
        <v>242</v>
      </c>
      <c r="AS320" s="61"/>
      <c r="AT320" s="63" t="s">
        <v>250</v>
      </c>
      <c r="AU320" s="71" t="s">
        <v>242</v>
      </c>
    </row>
    <row r="321" spans="15:47" ht="13" x14ac:dyDescent="0.3">
      <c r="O321" s="6" t="s">
        <v>231</v>
      </c>
      <c r="P321" s="6"/>
      <c r="Q321" s="60"/>
      <c r="R321" s="85">
        <f>P_1_minQ-(R319^2*R_up)+dpup_minQ</f>
        <v>56.916082667678531</v>
      </c>
      <c r="S321" s="56"/>
      <c r="T321" s="72"/>
      <c r="U321" s="53">
        <f>P_1_minQ-(U319^2*R_up)+dpup_minQ</f>
        <v>56.870904003071999</v>
      </c>
      <c r="V321" s="44"/>
      <c r="W321" s="72"/>
      <c r="X321" s="53">
        <f>P_1_minQ-(X319^2*R_up)+dpup_minQ</f>
        <v>56.655481854991898</v>
      </c>
      <c r="Y321" s="44"/>
      <c r="Z321" s="72"/>
      <c r="AA321" s="53">
        <f>P_1_minQ-(AA319^2*R_up)+dpup_minQ</f>
        <v>55.965855260654358</v>
      </c>
      <c r="AB321" s="44"/>
      <c r="AC321" s="72"/>
      <c r="AD321" s="53">
        <f>P_1_minQ-(AD319^2*R_up)+dpup_minQ</f>
        <v>54.345791248476921</v>
      </c>
      <c r="AE321" s="44"/>
      <c r="AF321" s="72"/>
      <c r="AG321" s="53">
        <f>P_1_minQ-(AG319^2*R_up)+dpup_minQ</f>
        <v>51.218404921759713</v>
      </c>
      <c r="AH321" s="44"/>
      <c r="AI321" s="72"/>
      <c r="AJ321" s="53">
        <f>P_1_minQ-(AJ319^2*R_up)+dpup_minQ</f>
        <v>46.769037705173879</v>
      </c>
      <c r="AK321" s="44"/>
      <c r="AL321" s="72"/>
      <c r="AM321" s="53">
        <f>P_1_minQ-(AM319^2*R_up)+dpup_minQ</f>
        <v>41.808485830369158</v>
      </c>
      <c r="AN321" s="44"/>
      <c r="AO321" s="72"/>
      <c r="AP321" s="53">
        <f>P_1_minQ-(AP319^2*R_up)+dpup_minQ</f>
        <v>36.55330360290754</v>
      </c>
      <c r="AQ321" s="44"/>
      <c r="AR321" s="72"/>
      <c r="AS321" s="53">
        <f>P_1_minQ-(AS319^2*R_up)+dpup_minQ</f>
        <v>30.541046622713296</v>
      </c>
      <c r="AT321" s="44"/>
      <c r="AU321" s="72"/>
    </row>
    <row r="322" spans="15:47" ht="13" x14ac:dyDescent="0.3">
      <c r="O322" s="6" t="s">
        <v>233</v>
      </c>
      <c r="P322" s="6"/>
      <c r="Q322" s="60"/>
      <c r="R322" s="85">
        <f>P_2_minQ+(R319^2*R_dn)-dpdn_minQ</f>
        <v>24.656783466464294</v>
      </c>
      <c r="S322" s="66"/>
      <c r="T322" s="74"/>
      <c r="U322" s="53">
        <f>P_2_minQ+(U319^2*R_dn)-dpdn_minQ</f>
        <v>24.665819199385602</v>
      </c>
      <c r="V322" s="45"/>
      <c r="W322" s="74"/>
      <c r="X322" s="53">
        <f>P_2_minQ+(X319^2*R_dn)-dpdn_minQ</f>
        <v>24.708903629001622</v>
      </c>
      <c r="Y322" s="45"/>
      <c r="Z322" s="74"/>
      <c r="AA322" s="53">
        <f>P_2_minQ+(AA319^2*R_dn)-dpdn_minQ</f>
        <v>24.846828947869128</v>
      </c>
      <c r="AB322" s="45"/>
      <c r="AC322" s="74"/>
      <c r="AD322" s="53">
        <f>P_2_minQ+(AD319^2*R_dn)-dpdn_minQ</f>
        <v>25.170841750304618</v>
      </c>
      <c r="AE322" s="45"/>
      <c r="AF322" s="74"/>
      <c r="AG322" s="53">
        <f>P_2_minQ+(AG319^2*R_dn)-dpdn_minQ</f>
        <v>25.796319015648059</v>
      </c>
      <c r="AH322" s="45"/>
      <c r="AI322" s="74"/>
      <c r="AJ322" s="53">
        <f>P_2_minQ+(AJ319^2*R_dn)-dpdn_minQ</f>
        <v>26.686192458965227</v>
      </c>
      <c r="AK322" s="45"/>
      <c r="AL322" s="74"/>
      <c r="AM322" s="53">
        <f>P_2_minQ+(AM319^2*R_dn)-dpdn_minQ</f>
        <v>27.678302833926171</v>
      </c>
      <c r="AN322" s="45"/>
      <c r="AO322" s="74"/>
      <c r="AP322" s="53">
        <f>P_2_minQ+(AP319^2*R_dn)-dpdn_minQ</f>
        <v>28.729339279418493</v>
      </c>
      <c r="AQ322" s="45"/>
      <c r="AR322" s="74"/>
      <c r="AS322" s="53">
        <f>P_2_minQ+(AS319^2*R_dn)-dpdn_minQ</f>
        <v>29.931790675457343</v>
      </c>
      <c r="AT322" s="45"/>
      <c r="AU322" s="74"/>
    </row>
    <row r="323" spans="15:47" x14ac:dyDescent="0.25">
      <c r="O323" s="6" t="s">
        <v>243</v>
      </c>
      <c r="Q323" s="60"/>
      <c r="R323" s="53">
        <f>R321-R322</f>
        <v>32.259299201214233</v>
      </c>
      <c r="S323" s="56"/>
      <c r="T323" s="72"/>
      <c r="U323" s="64">
        <f>U321-U322</f>
        <v>32.205084803686397</v>
      </c>
      <c r="V323" s="44"/>
      <c r="W323" s="72"/>
      <c r="X323" s="64">
        <f>X321-X322</f>
        <v>31.946578225990276</v>
      </c>
      <c r="Y323" s="44"/>
      <c r="Z323" s="72"/>
      <c r="AA323" s="64">
        <f>AA321-AA322</f>
        <v>31.11902631278523</v>
      </c>
      <c r="AB323" s="44"/>
      <c r="AC323" s="72"/>
      <c r="AD323" s="64">
        <f>AD321-AD322</f>
        <v>29.174949498172303</v>
      </c>
      <c r="AE323" s="44"/>
      <c r="AF323" s="72"/>
      <c r="AG323" s="64">
        <f>AG321-AG322</f>
        <v>25.422085906111654</v>
      </c>
      <c r="AH323" s="44"/>
      <c r="AI323" s="72"/>
      <c r="AJ323" s="64">
        <f>AJ321-AJ322</f>
        <v>20.082845246208652</v>
      </c>
      <c r="AK323" s="44"/>
      <c r="AL323" s="72"/>
      <c r="AM323" s="64">
        <f>AM321-AM322</f>
        <v>14.130182996442986</v>
      </c>
      <c r="AN323" s="44"/>
      <c r="AO323" s="72"/>
      <c r="AP323" s="64">
        <f>AP321-AP322</f>
        <v>7.8239643234890472</v>
      </c>
      <c r="AQ323" s="44"/>
      <c r="AR323" s="72"/>
      <c r="AS323" s="64">
        <f>AS321-AS322</f>
        <v>0.60925594725595289</v>
      </c>
      <c r="AT323" s="44"/>
      <c r="AU323" s="72"/>
    </row>
    <row r="324" spans="15:47" ht="13" x14ac:dyDescent="0.3">
      <c r="O324" s="6" t="s">
        <v>75</v>
      </c>
      <c r="P324" s="6">
        <v>3</v>
      </c>
      <c r="Q324" s="65"/>
      <c r="R324" s="85">
        <f>(F_LP_h/F_P_h)^2*(R321-('Valve Sizing'!$V$4*'Valve Sizing'!$G$7))</f>
        <v>46.76511312202846</v>
      </c>
      <c r="S324" s="58"/>
      <c r="T324" s="73"/>
      <c r="U324" s="53">
        <f>(U$29/U$27)^2*(U321-('Valve Sizing'!$V$4*'Valve Sizing'!$G$7))</f>
        <v>46.714966774900304</v>
      </c>
      <c r="V324" s="41"/>
      <c r="W324" s="73"/>
      <c r="X324" s="53">
        <f>(X$29/X$27)^2*(X321-('Valve Sizing'!$V$4*'Valve Sizing'!$G$7))</f>
        <v>45.486910881853646</v>
      </c>
      <c r="Y324" s="41"/>
      <c r="Z324" s="73"/>
      <c r="AA324" s="53">
        <f>(AA$29/AA$27)^2*(AA321-('Valve Sizing'!$V$4*'Valve Sizing'!$G$7))</f>
        <v>42.91018209228951</v>
      </c>
      <c r="AB324" s="41"/>
      <c r="AC324" s="73"/>
      <c r="AD324" s="53">
        <f>(AD$29/AD$27)^2*(AD321-('Valve Sizing'!$V$4*'Valve Sizing'!$G$7))</f>
        <v>38.876136232115456</v>
      </c>
      <c r="AE324" s="41"/>
      <c r="AF324" s="73"/>
      <c r="AG324" s="53">
        <f>(AG$29/AG$27)^2*(AG321-('Valve Sizing'!$V$4*'Valve Sizing'!$G$7))</f>
        <v>32.703487399240757</v>
      </c>
      <c r="AH324" s="41"/>
      <c r="AI324" s="73"/>
      <c r="AJ324" s="53">
        <f>(AJ$29/AJ$27)^2*(AJ321-('Valve Sizing'!$V$4*'Valve Sizing'!$G$7))</f>
        <v>26.795029744986607</v>
      </c>
      <c r="AK324" s="41"/>
      <c r="AL324" s="73"/>
      <c r="AM324" s="53">
        <f>(AM$29/AM$27)^2*(AM321-('Valve Sizing'!$V$4*'Valve Sizing'!$G$7))</f>
        <v>19.7936407357391</v>
      </c>
      <c r="AN324" s="41"/>
      <c r="AO324" s="73"/>
      <c r="AP324" s="53">
        <f>(AP$29/AP$27)^2*(AP321-('Valve Sizing'!$V$4*'Valve Sizing'!$G$7))</f>
        <v>14.251255668527399</v>
      </c>
      <c r="AQ324" s="41"/>
      <c r="AR324" s="73"/>
      <c r="AS324" s="53">
        <f>(AS$29/AS$27)^2*(AS321-('Valve Sizing'!$V$4*'Valve Sizing'!$G$7))</f>
        <v>11.322209888375118</v>
      </c>
      <c r="AT324" s="41"/>
      <c r="AU324" s="73"/>
    </row>
    <row r="325" spans="15:47" ht="13" x14ac:dyDescent="0.25">
      <c r="O325" s="1" t="s">
        <v>69</v>
      </c>
      <c r="P325" s="17">
        <v>7</v>
      </c>
      <c r="Q325" s="65"/>
      <c r="R325" s="53">
        <f>(R319/(N_1*F_P_h))*SQRT('Valve Sizing'!$G$6/R323)</f>
        <v>0.23573850073780053</v>
      </c>
      <c r="S325" s="58"/>
      <c r="T325" s="73"/>
      <c r="U325" s="64">
        <f>(U319/(N_1*U$27))*SQRT('Valve Sizing'!$G$6/U323)</f>
        <v>6.4547595592767086</v>
      </c>
      <c r="V325" s="41"/>
      <c r="W325" s="73"/>
      <c r="X325" s="64">
        <f>(X319/(N_1*X$27))*SQRT('Valve Sizing'!$G$6/X323)</f>
        <v>15.591419580985914</v>
      </c>
      <c r="Y325" s="41"/>
      <c r="Z325" s="73"/>
      <c r="AA325" s="64">
        <f>(AA319/(N_1*AA$27))*SQRT('Valve Sizing'!$G$6/AA323)</f>
        <v>30.336498632213882</v>
      </c>
      <c r="AB325" s="41"/>
      <c r="AC325" s="73"/>
      <c r="AD325" s="64">
        <f>(AD319/(N_1*AD$27))*SQRT('Valve Sizing'!$G$6/AD323)</f>
        <v>52.175580467869771</v>
      </c>
      <c r="AE325" s="41"/>
      <c r="AF325" s="73"/>
      <c r="AG325" s="64">
        <f>(AG319/(N_1*AG$27))*SQRT('Valve Sizing'!$G$6/AG323)</f>
        <v>85.075579366074066</v>
      </c>
      <c r="AH325" s="41"/>
      <c r="AI325" s="73"/>
      <c r="AJ325" s="64">
        <f>(AJ319/(N_1*AJ$27))*SQRT('Valve Sizing'!$G$6/AJ323)</f>
        <v>132.38014996625023</v>
      </c>
      <c r="AK325" s="41"/>
      <c r="AL325" s="73"/>
      <c r="AM325" s="64">
        <f>(AM319/(N_1*AM$27))*SQRT('Valve Sizing'!$G$6/AM323)</f>
        <v>204.31853432680794</v>
      </c>
      <c r="AN325" s="41"/>
      <c r="AO325" s="73"/>
      <c r="AP325" s="64">
        <f>(AP319/(N_1*AP$27))*SQRT('Valve Sizing'!$G$6/AP323)</f>
        <v>362.83176345936096</v>
      </c>
      <c r="AQ325" s="41"/>
      <c r="AR325" s="73"/>
      <c r="AS325" s="64">
        <f>(AS319/(N_1*AS$27))*SQRT('Valve Sizing'!$G$6/AS323)</f>
        <v>1982.0003215917686</v>
      </c>
      <c r="AT325" s="41"/>
      <c r="AU325" s="73"/>
    </row>
    <row r="326" spans="15:47" ht="13" x14ac:dyDescent="0.3">
      <c r="O326" s="1" t="s">
        <v>72</v>
      </c>
      <c r="P326" s="17">
        <v>7</v>
      </c>
      <c r="Q326" s="65"/>
      <c r="R326" s="53">
        <f>(R319/(N_1*F_P_h))*SQRT('Valve Sizing'!$G$6/R324)</f>
        <v>0.19579292155761202</v>
      </c>
      <c r="S326" s="56"/>
      <c r="T326" s="72"/>
      <c r="U326" s="85">
        <f>(U319/(N_1*U$27))*SQRT('Valve Sizing'!$G$6/U324)</f>
        <v>5.3593765389732244</v>
      </c>
      <c r="V326" s="44"/>
      <c r="W326" s="72"/>
      <c r="X326" s="85">
        <f>(X319/(N_1*X$27))*SQRT('Valve Sizing'!$G$6/X324)</f>
        <v>13.066359744459156</v>
      </c>
      <c r="Y326" s="44"/>
      <c r="Z326" s="72"/>
      <c r="AA326" s="85">
        <f>(AA319/(N_1*AA$27))*SQRT('Valve Sizing'!$G$6/AA324)</f>
        <v>25.834393794603304</v>
      </c>
      <c r="AB326" s="44"/>
      <c r="AC326" s="72"/>
      <c r="AD326" s="85">
        <f>(AD319/(N_1*AD$27))*SQRT('Valve Sizing'!$G$6/AD324)</f>
        <v>45.199205214653105</v>
      </c>
      <c r="AE326" s="44"/>
      <c r="AF326" s="72"/>
      <c r="AG326" s="85">
        <f>(AG319/(N_1*AG$27))*SQRT('Valve Sizing'!$G$6/AG324)</f>
        <v>75.009016792181285</v>
      </c>
      <c r="AH326" s="44"/>
      <c r="AI326" s="72"/>
      <c r="AJ326" s="85">
        <f>(AJ319/(N_1*AJ$27))*SQRT('Valve Sizing'!$G$6/AJ324)</f>
        <v>114.60626728928106</v>
      </c>
      <c r="AK326" s="44"/>
      <c r="AL326" s="72"/>
      <c r="AM326" s="85">
        <f>(AM319/(N_1*AM$27))*SQRT('Valve Sizing'!$G$6/AM324)</f>
        <v>172.6310118217819</v>
      </c>
      <c r="AN326" s="44"/>
      <c r="AO326" s="72"/>
      <c r="AP326" s="85">
        <f>(AP319/(N_1*AP$27))*SQRT('Valve Sizing'!$G$6/AP324)</f>
        <v>268.83893395646555</v>
      </c>
      <c r="AQ326" s="44"/>
      <c r="AR326" s="72"/>
      <c r="AS326" s="85">
        <f>(AS319/(N_1*AS$27))*SQRT('Valve Sizing'!$G$6/AS324)</f>
        <v>459.76722459377874</v>
      </c>
      <c r="AT326" s="44"/>
      <c r="AU326" s="72"/>
    </row>
    <row r="327" spans="15:47" x14ac:dyDescent="0.25">
      <c r="O327" s="1" t="s">
        <v>246</v>
      </c>
      <c r="P327" s="18"/>
      <c r="Q327" s="65"/>
      <c r="R327" s="53">
        <f>IF(R323&lt;R324,R325,R326)</f>
        <v>0.23573850073780053</v>
      </c>
      <c r="S327" s="49"/>
      <c r="T327" s="72"/>
      <c r="U327" s="64">
        <f>IF(U323&lt;U324,U325,U326)</f>
        <v>6.4547595592767086</v>
      </c>
      <c r="V327" s="44"/>
      <c r="W327" s="72"/>
      <c r="X327" s="64">
        <f>IF(X323&lt;X324,X325,X326)</f>
        <v>15.591419580985914</v>
      </c>
      <c r="Y327" s="44"/>
      <c r="Z327" s="72"/>
      <c r="AA327" s="64">
        <f>IF(AA323&lt;AA324,AA325,AA326)</f>
        <v>30.336498632213882</v>
      </c>
      <c r="AB327" s="44"/>
      <c r="AC327" s="72"/>
      <c r="AD327" s="64">
        <f>IF(AD323&lt;AD324,AD325,AD326)</f>
        <v>52.175580467869771</v>
      </c>
      <c r="AE327" s="44"/>
      <c r="AF327" s="72"/>
      <c r="AG327" s="64">
        <f>IF(AG323&lt;AG324,AG325,AG326)</f>
        <v>85.075579366074066</v>
      </c>
      <c r="AH327" s="44"/>
      <c r="AI327" s="72"/>
      <c r="AJ327" s="64">
        <f>IF(AJ323&lt;AJ324,AJ325,AJ326)</f>
        <v>132.38014996625023</v>
      </c>
      <c r="AK327" s="44"/>
      <c r="AL327" s="72"/>
      <c r="AM327" s="64">
        <f>IF(AM323&lt;AM324,AM325,AM326)</f>
        <v>204.31853432680794</v>
      </c>
      <c r="AN327" s="44"/>
      <c r="AO327" s="72"/>
      <c r="AP327" s="64">
        <f>IF(AP323&lt;AP324,AP325,AP326)</f>
        <v>362.83176345936096</v>
      </c>
      <c r="AQ327" s="44"/>
      <c r="AR327" s="72"/>
      <c r="AS327" s="64">
        <f>IF(AS323&lt;AS324,AS325,AS326)</f>
        <v>1982.0003215917686</v>
      </c>
      <c r="AT327" s="44"/>
      <c r="AU327" s="72"/>
    </row>
    <row r="328" spans="15:47" ht="13" x14ac:dyDescent="0.3">
      <c r="O328" s="7" t="s">
        <v>264</v>
      </c>
      <c r="Q328" s="61"/>
      <c r="R328" s="53"/>
      <c r="S328" s="69">
        <f>IFERROR(ABS(C_h-R327),Q_max*10)</f>
        <v>4.7642614992621999</v>
      </c>
      <c r="T328" s="76">
        <f>R319</f>
        <v>1.3387344914832202</v>
      </c>
      <c r="U328" s="61"/>
      <c r="V328" s="69">
        <f>IFERROR(ABS(U$23-U327),Q_max*10)</f>
        <v>5.5452404407232914</v>
      </c>
      <c r="W328" s="75">
        <f>U319</f>
        <v>36.599623892031346</v>
      </c>
      <c r="X328" s="61"/>
      <c r="Y328" s="69">
        <f>IFERROR(ABS(X$23-X327),Q_max*10)</f>
        <v>7.4085804190140863</v>
      </c>
      <c r="Z328" s="75">
        <f>X319</f>
        <v>87.853185905179089</v>
      </c>
      <c r="AA328" s="61"/>
      <c r="AB328" s="69">
        <f>IFERROR(ABS(AA$23-AA327),Q_max*10)</f>
        <v>8.6635013677861181</v>
      </c>
      <c r="AC328" s="75">
        <f>AA319</f>
        <v>167.74392904670012</v>
      </c>
      <c r="AD328" s="61"/>
      <c r="AE328" s="69">
        <f>IFERROR(ABS(AD$23-AD327),Q_max*10)</f>
        <v>8.8244195321302286</v>
      </c>
      <c r="AF328" s="75">
        <f>AD319</f>
        <v>275.87700363132552</v>
      </c>
      <c r="AG328" s="61"/>
      <c r="AH328" s="69">
        <f>IFERROR(ABS(AG$23-AG327),Q_max*10)</f>
        <v>2.9244206339259335</v>
      </c>
      <c r="AI328" s="75">
        <f>AG319</f>
        <v>410.7432656376667</v>
      </c>
      <c r="AJ328" s="61"/>
      <c r="AK328" s="69">
        <f>IFERROR(ABS(AJ$23-AJ327),Q_max*10)</f>
        <v>11.380149966250229</v>
      </c>
      <c r="AL328" s="75">
        <f>AJ319</f>
        <v>548.13848026735127</v>
      </c>
      <c r="AM328" s="61"/>
      <c r="AN328" s="69">
        <f>IFERROR(ABS(AM$23-AM327),Q_max*10)</f>
        <v>39.318534326807935</v>
      </c>
      <c r="AO328" s="75">
        <f>AM319</f>
        <v>668.83311413443732</v>
      </c>
      <c r="AP328" s="61"/>
      <c r="AQ328" s="69">
        <f>IFERROR(ABS(AP$23-AP327),Q_max*10)</f>
        <v>116.83176345936096</v>
      </c>
      <c r="AR328" s="75">
        <f>AP319</f>
        <v>776.49448183352069</v>
      </c>
      <c r="AS328" s="61"/>
      <c r="AT328" s="69">
        <f>IFERROR(ABS(AS$23-AS327),Q_max*10)</f>
        <v>1562.0003215917686</v>
      </c>
      <c r="AU328" s="75">
        <f>AS319</f>
        <v>883.72315206825908</v>
      </c>
    </row>
    <row r="329" spans="15:47" ht="14.5" x14ac:dyDescent="0.35">
      <c r="O329" s="8"/>
      <c r="P329" s="6"/>
      <c r="Q329" s="60"/>
      <c r="R329" s="67"/>
      <c r="S329" s="58"/>
      <c r="T329" s="73"/>
      <c r="V329" s="11"/>
      <c r="W329" s="38"/>
      <c r="Y329" s="11"/>
      <c r="Z329" s="38"/>
      <c r="AB329" s="11"/>
      <c r="AC329" s="38"/>
      <c r="AE329" s="11"/>
      <c r="AF329" s="38"/>
      <c r="AH329" s="11"/>
      <c r="AI329" s="38"/>
      <c r="AK329" s="11"/>
      <c r="AL329" s="38"/>
      <c r="AN329" s="11"/>
      <c r="AO329" s="38"/>
      <c r="AQ329" s="11"/>
      <c r="AR329" s="38"/>
      <c r="AT329" s="11"/>
      <c r="AU329" s="38"/>
    </row>
    <row r="330" spans="15:47" ht="14" x14ac:dyDescent="0.3">
      <c r="O330" s="8" t="s">
        <v>235</v>
      </c>
      <c r="P330" s="6"/>
      <c r="Q330" s="60"/>
      <c r="R330" s="53">
        <f>R319*1.02</f>
        <v>1.3655091813128846</v>
      </c>
      <c r="S330" s="58" t="s">
        <v>238</v>
      </c>
      <c r="T330" s="73" t="s">
        <v>241</v>
      </c>
      <c r="U330" s="84">
        <f>U319*1.01</f>
        <v>36.965620130951663</v>
      </c>
      <c r="V330" s="58" t="s">
        <v>238</v>
      </c>
      <c r="W330" s="73" t="s">
        <v>241</v>
      </c>
      <c r="X330" s="84">
        <f>X319*1.01</f>
        <v>88.731717764230879</v>
      </c>
      <c r="Y330" s="58" t="s">
        <v>238</v>
      </c>
      <c r="Z330" s="73" t="s">
        <v>241</v>
      </c>
      <c r="AA330" s="84">
        <f>AA319*1.01</f>
        <v>169.42136833716711</v>
      </c>
      <c r="AB330" s="58" t="s">
        <v>238</v>
      </c>
      <c r="AC330" s="73" t="s">
        <v>241</v>
      </c>
      <c r="AD330" s="84">
        <f>AD319*1.01</f>
        <v>278.63577366763877</v>
      </c>
      <c r="AE330" s="58" t="s">
        <v>238</v>
      </c>
      <c r="AF330" s="73" t="s">
        <v>241</v>
      </c>
      <c r="AG330" s="84">
        <f>AG319*1.01</f>
        <v>414.85069829404335</v>
      </c>
      <c r="AH330" s="58" t="s">
        <v>238</v>
      </c>
      <c r="AI330" s="73" t="s">
        <v>241</v>
      </c>
      <c r="AJ330" s="84">
        <f>AJ319*1.01</f>
        <v>553.61986507002484</v>
      </c>
      <c r="AK330" s="58" t="s">
        <v>238</v>
      </c>
      <c r="AL330" s="73" t="s">
        <v>241</v>
      </c>
      <c r="AM330" s="84">
        <f>AM319*1.01</f>
        <v>675.52144527578173</v>
      </c>
      <c r="AN330" s="58" t="s">
        <v>238</v>
      </c>
      <c r="AO330" s="73" t="s">
        <v>241</v>
      </c>
      <c r="AP330" s="84">
        <f>AP319*1.01</f>
        <v>784.25942665185596</v>
      </c>
      <c r="AQ330" s="58" t="s">
        <v>238</v>
      </c>
      <c r="AR330" s="73" t="s">
        <v>241</v>
      </c>
      <c r="AS330" s="84">
        <f>AS319*1.01</f>
        <v>892.5603835889417</v>
      </c>
      <c r="AT330" s="58" t="s">
        <v>238</v>
      </c>
      <c r="AU330" s="73" t="s">
        <v>241</v>
      </c>
    </row>
    <row r="331" spans="15:47" ht="13" x14ac:dyDescent="0.25">
      <c r="O331" s="6"/>
      <c r="P331" s="6"/>
      <c r="Q331" s="60"/>
      <c r="R331" s="70"/>
      <c r="S331" s="63" t="s">
        <v>250</v>
      </c>
      <c r="T331" s="71" t="s">
        <v>242</v>
      </c>
      <c r="U331" s="61"/>
      <c r="V331" s="63" t="s">
        <v>250</v>
      </c>
      <c r="W331" s="71" t="s">
        <v>242</v>
      </c>
      <c r="X331" s="61"/>
      <c r="Y331" s="63" t="s">
        <v>250</v>
      </c>
      <c r="Z331" s="71" t="s">
        <v>242</v>
      </c>
      <c r="AA331" s="61"/>
      <c r="AB331" s="63" t="s">
        <v>250</v>
      </c>
      <c r="AC331" s="71" t="s">
        <v>242</v>
      </c>
      <c r="AD331" s="61"/>
      <c r="AE331" s="63" t="s">
        <v>250</v>
      </c>
      <c r="AF331" s="71" t="s">
        <v>242</v>
      </c>
      <c r="AG331" s="61"/>
      <c r="AH331" s="63" t="s">
        <v>250</v>
      </c>
      <c r="AI331" s="71" t="s">
        <v>242</v>
      </c>
      <c r="AJ331" s="61"/>
      <c r="AK331" s="63" t="s">
        <v>250</v>
      </c>
      <c r="AL331" s="71" t="s">
        <v>242</v>
      </c>
      <c r="AM331" s="61"/>
      <c r="AN331" s="63" t="s">
        <v>250</v>
      </c>
      <c r="AO331" s="71" t="s">
        <v>242</v>
      </c>
      <c r="AP331" s="61"/>
      <c r="AQ331" s="63" t="s">
        <v>250</v>
      </c>
      <c r="AR331" s="71" t="s">
        <v>242</v>
      </c>
      <c r="AS331" s="61"/>
      <c r="AT331" s="63" t="s">
        <v>250</v>
      </c>
      <c r="AU331" s="71" t="s">
        <v>242</v>
      </c>
    </row>
    <row r="332" spans="15:47" ht="13" x14ac:dyDescent="0.3">
      <c r="O332" s="6" t="s">
        <v>231</v>
      </c>
      <c r="P332" s="6"/>
      <c r="Q332" s="60"/>
      <c r="R332" s="85">
        <f>P_1_minQ-(R330^2*R_up)+dpup_minQ</f>
        <v>56.916080222380131</v>
      </c>
      <c r="S332" s="56"/>
      <c r="T332" s="72"/>
      <c r="U332" s="53">
        <f>P_1_minQ-(U330^2*R_up)+dpup_minQ</f>
        <v>56.869994695316926</v>
      </c>
      <c r="V332" s="44"/>
      <c r="W332" s="72"/>
      <c r="X332" s="53">
        <f>P_1_minQ-(X330^2*R_up)+dpup_minQ</f>
        <v>56.650242562060413</v>
      </c>
      <c r="Y332" s="44"/>
      <c r="Z332" s="72"/>
      <c r="AA332" s="53">
        <f>P_1_minQ-(AA330^2*R_up)+dpup_minQ</f>
        <v>55.946754473176696</v>
      </c>
      <c r="AB332" s="44"/>
      <c r="AC332" s="72"/>
      <c r="AD332" s="53">
        <f>P_1_minQ-(AD330^2*R_up)+dpup_minQ</f>
        <v>54.294127174354486</v>
      </c>
      <c r="AE332" s="44"/>
      <c r="AF332" s="72"/>
      <c r="AG332" s="53">
        <f>P_1_minQ-(AG330^2*R_up)+dpup_minQ</f>
        <v>51.103880382470265</v>
      </c>
      <c r="AH332" s="44"/>
      <c r="AI332" s="72"/>
      <c r="AJ332" s="53">
        <f>P_1_minQ-(AJ330^2*R_up)+dpup_minQ</f>
        <v>46.565080884831055</v>
      </c>
      <c r="AK332" s="44"/>
      <c r="AL332" s="72"/>
      <c r="AM332" s="53">
        <f>P_1_minQ-(AM330^2*R_up)+dpup_minQ</f>
        <v>41.504821917342753</v>
      </c>
      <c r="AN332" s="44"/>
      <c r="AO332" s="72"/>
      <c r="AP332" s="53">
        <f>P_1_minQ-(AP330^2*R_up)+dpup_minQ</f>
        <v>36.144010527109153</v>
      </c>
      <c r="AQ332" s="44"/>
      <c r="AR332" s="72"/>
      <c r="AS332" s="53">
        <f>P_1_minQ-(AS330^2*R_up)+dpup_minQ</f>
        <v>30.010907181613014</v>
      </c>
      <c r="AT332" s="44"/>
      <c r="AU332" s="72"/>
    </row>
    <row r="333" spans="15:47" ht="13" x14ac:dyDescent="0.3">
      <c r="O333" s="6" t="s">
        <v>233</v>
      </c>
      <c r="P333" s="6"/>
      <c r="Q333" s="60"/>
      <c r="R333" s="85">
        <f>P_2_minQ+(R330^2*R_dn)-dpdn_minQ</f>
        <v>24.656783955523974</v>
      </c>
      <c r="S333" s="66"/>
      <c r="T333" s="74"/>
      <c r="U333" s="53">
        <f>P_2_minQ+(U330^2*R_dn)-dpdn_minQ</f>
        <v>24.666001060936615</v>
      </c>
      <c r="V333" s="45"/>
      <c r="W333" s="74"/>
      <c r="X333" s="53">
        <f>P_2_minQ+(X330^2*R_dn)-dpdn_minQ</f>
        <v>24.709951487587919</v>
      </c>
      <c r="Y333" s="45"/>
      <c r="Z333" s="74"/>
      <c r="AA333" s="53">
        <f>P_2_minQ+(AA330^2*R_dn)-dpdn_minQ</f>
        <v>24.850649105364663</v>
      </c>
      <c r="AB333" s="45"/>
      <c r="AC333" s="74"/>
      <c r="AD333" s="53">
        <f>P_2_minQ+(AD330^2*R_dn)-dpdn_minQ</f>
        <v>25.181174565129105</v>
      </c>
      <c r="AE333" s="45"/>
      <c r="AF333" s="74"/>
      <c r="AG333" s="53">
        <f>P_2_minQ+(AG330^2*R_dn)-dpdn_minQ</f>
        <v>25.819223923505948</v>
      </c>
      <c r="AH333" s="45"/>
      <c r="AI333" s="74"/>
      <c r="AJ333" s="53">
        <f>P_2_minQ+(AJ330^2*R_dn)-dpdn_minQ</f>
        <v>26.726983823033791</v>
      </c>
      <c r="AK333" s="45"/>
      <c r="AL333" s="74"/>
      <c r="AM333" s="53">
        <f>P_2_minQ+(AM330^2*R_dn)-dpdn_minQ</f>
        <v>27.739035616531449</v>
      </c>
      <c r="AN333" s="45"/>
      <c r="AO333" s="74"/>
      <c r="AP333" s="53">
        <f>P_2_minQ+(AP330^2*R_dn)-dpdn_minQ</f>
        <v>28.811197894578168</v>
      </c>
      <c r="AQ333" s="45"/>
      <c r="AR333" s="74"/>
      <c r="AS333" s="53">
        <f>P_2_minQ+(AS330^2*R_dn)-dpdn_minQ</f>
        <v>30.037818563677398</v>
      </c>
      <c r="AT333" s="45"/>
      <c r="AU333" s="74"/>
    </row>
    <row r="334" spans="15:47" x14ac:dyDescent="0.25">
      <c r="O334" s="6" t="s">
        <v>243</v>
      </c>
      <c r="Q334" s="60"/>
      <c r="R334" s="53">
        <f>R332-R333</f>
        <v>32.259296266856154</v>
      </c>
      <c r="S334" s="56"/>
      <c r="T334" s="72"/>
      <c r="U334" s="64">
        <f>U332-U333</f>
        <v>32.203993634380311</v>
      </c>
      <c r="V334" s="44"/>
      <c r="W334" s="72"/>
      <c r="X334" s="64">
        <f>X332-X333</f>
        <v>31.940291074472494</v>
      </c>
      <c r="Y334" s="44"/>
      <c r="Z334" s="72"/>
      <c r="AA334" s="64">
        <f>AA332-AA333</f>
        <v>31.096105367812033</v>
      </c>
      <c r="AB334" s="44"/>
      <c r="AC334" s="72"/>
      <c r="AD334" s="64">
        <f>AD332-AD333</f>
        <v>29.112952609225381</v>
      </c>
      <c r="AE334" s="44"/>
      <c r="AF334" s="72"/>
      <c r="AG334" s="64">
        <f>AG332-AG333</f>
        <v>25.284656458964317</v>
      </c>
      <c r="AH334" s="44"/>
      <c r="AI334" s="72"/>
      <c r="AJ334" s="64">
        <f>AJ332-AJ333</f>
        <v>19.838097061797264</v>
      </c>
      <c r="AK334" s="44"/>
      <c r="AL334" s="72"/>
      <c r="AM334" s="64">
        <f>AM332-AM333</f>
        <v>13.765786300811303</v>
      </c>
      <c r="AN334" s="44"/>
      <c r="AO334" s="72"/>
      <c r="AP334" s="64">
        <f>AP332-AP333</f>
        <v>7.3328126325309846</v>
      </c>
      <c r="AQ334" s="44"/>
      <c r="AR334" s="72"/>
      <c r="AS334" s="64">
        <f>AS332-AS333</f>
        <v>-2.6911382064383815E-2</v>
      </c>
      <c r="AT334" s="44"/>
      <c r="AU334" s="72"/>
    </row>
    <row r="335" spans="15:47" ht="13" x14ac:dyDescent="0.3">
      <c r="O335" s="6" t="s">
        <v>75</v>
      </c>
      <c r="P335" s="6">
        <v>3</v>
      </c>
      <c r="Q335" s="65"/>
      <c r="R335" s="85">
        <f>(F_LP_h/F_P_h)^2*(R332-('Valve Sizing'!$V$4*'Valve Sizing'!$G$7))</f>
        <v>46.765111097193035</v>
      </c>
      <c r="S335" s="58"/>
      <c r="T335" s="73"/>
      <c r="U335" s="53">
        <f>(U$29/U$27)^2*(U332-('Valve Sizing'!$V$4*'Valve Sizing'!$G$7))</f>
        <v>46.714214025573902</v>
      </c>
      <c r="V335" s="41"/>
      <c r="W335" s="73"/>
      <c r="X335" s="53">
        <f>(X$29/X$27)^2*(X332-('Valve Sizing'!$V$4*'Valve Sizing'!$G$7))</f>
        <v>45.482671489300643</v>
      </c>
      <c r="Y335" s="41"/>
      <c r="Z335" s="73"/>
      <c r="AA335" s="53">
        <f>(AA$29/AA$27)^2*(AA332-('Valve Sizing'!$V$4*'Valve Sizing'!$G$7))</f>
        <v>42.895421056801112</v>
      </c>
      <c r="AB335" s="41"/>
      <c r="AC335" s="73"/>
      <c r="AD335" s="53">
        <f>(AD$29/AD$27)^2*(AD332-('Valve Sizing'!$V$4*'Valve Sizing'!$G$7))</f>
        <v>38.838876752454965</v>
      </c>
      <c r="AE335" s="41"/>
      <c r="AF335" s="73"/>
      <c r="AG335" s="53">
        <f>(AG$29/AG$27)^2*(AG332-('Valve Sizing'!$V$4*'Valve Sizing'!$G$7))</f>
        <v>32.629728562449358</v>
      </c>
      <c r="AH335" s="41"/>
      <c r="AI335" s="73"/>
      <c r="AJ335" s="53">
        <f>(AJ$29/AJ$27)^2*(AJ332-('Valve Sizing'!$V$4*'Valve Sizing'!$G$7))</f>
        <v>26.677068394153778</v>
      </c>
      <c r="AK335" s="41"/>
      <c r="AL335" s="73"/>
      <c r="AM335" s="53">
        <f>(AM$29/AM$27)^2*(AM332-('Valve Sizing'!$V$4*'Valve Sizing'!$G$7))</f>
        <v>19.648346010607135</v>
      </c>
      <c r="AN335" s="41"/>
      <c r="AO335" s="73"/>
      <c r="AP335" s="53">
        <f>(AP$29/AP$27)^2*(AP332-('Valve Sizing'!$V$4*'Valve Sizing'!$G$7))</f>
        <v>14.089737640565319</v>
      </c>
      <c r="AQ335" s="41"/>
      <c r="AR335" s="73"/>
      <c r="AS335" s="53">
        <f>(AS$29/AS$27)^2*(AS332-('Valve Sizing'!$V$4*'Valve Sizing'!$G$7))</f>
        <v>11.122802818013902</v>
      </c>
      <c r="AT335" s="41"/>
      <c r="AU335" s="73"/>
    </row>
    <row r="336" spans="15:47" ht="13" x14ac:dyDescent="0.25">
      <c r="O336" s="1" t="s">
        <v>69</v>
      </c>
      <c r="P336" s="17">
        <v>7</v>
      </c>
      <c r="Q336" s="65"/>
      <c r="R336" s="53">
        <f>(R330/(N_1*F_P_h))*SQRT('Valve Sizing'!$G$6/R334)</f>
        <v>0.24045328168856669</v>
      </c>
      <c r="S336" s="58"/>
      <c r="T336" s="73"/>
      <c r="U336" s="64">
        <f>(U330/(N_1*U$27))*SQRT('Valve Sizing'!$G$6/U334)</f>
        <v>6.519417600916757</v>
      </c>
      <c r="V336" s="41"/>
      <c r="W336" s="73"/>
      <c r="X336" s="64">
        <f>(X330/(N_1*X$27))*SQRT('Valve Sizing'!$G$6/X334)</f>
        <v>15.748883559194537</v>
      </c>
      <c r="Y336" s="41"/>
      <c r="Z336" s="73"/>
      <c r="AA336" s="64">
        <f>(AA330/(N_1*AA$27))*SQRT('Valve Sizing'!$G$6/AA334)</f>
        <v>30.651153862956992</v>
      </c>
      <c r="AB336" s="41"/>
      <c r="AC336" s="73"/>
      <c r="AD336" s="64">
        <f>(AD330/(N_1*AD$27))*SQRT('Valve Sizing'!$G$6/AD334)</f>
        <v>52.753416696048212</v>
      </c>
      <c r="AE336" s="41"/>
      <c r="AF336" s="73"/>
      <c r="AG336" s="64">
        <f>(AG330/(N_1*AG$27))*SQRT('Valve Sizing'!$G$6/AG334)</f>
        <v>86.15953599716174</v>
      </c>
      <c r="AH336" s="41"/>
      <c r="AI336" s="73"/>
      <c r="AJ336" s="64">
        <f>(AJ330/(N_1*AJ$27))*SQRT('Valve Sizing'!$G$6/AJ334)</f>
        <v>134.52619480996842</v>
      </c>
      <c r="AK336" s="41"/>
      <c r="AL336" s="73"/>
      <c r="AM336" s="64">
        <f>(AM330/(N_1*AM$27))*SQRT('Valve Sizing'!$G$6/AM334)</f>
        <v>209.07519948023722</v>
      </c>
      <c r="AN336" s="41"/>
      <c r="AO336" s="73"/>
      <c r="AP336" s="64">
        <f>(AP330/(N_1*AP$27))*SQRT('Valve Sizing'!$G$6/AP334)</f>
        <v>378.53392682659427</v>
      </c>
      <c r="AQ336" s="41"/>
      <c r="AR336" s="73"/>
      <c r="AS336" s="64" t="e">
        <f>(AS330/(N_1*AS$27))*SQRT('Valve Sizing'!$G$6/AS334)</f>
        <v>#NUM!</v>
      </c>
      <c r="AT336" s="41"/>
      <c r="AU336" s="73"/>
    </row>
    <row r="337" spans="15:47" ht="13" x14ac:dyDescent="0.3">
      <c r="O337" s="1" t="s">
        <v>72</v>
      </c>
      <c r="P337" s="17">
        <v>7</v>
      </c>
      <c r="Q337" s="65"/>
      <c r="R337" s="53">
        <f>(R330/(N_1*F_P_h))*SQRT('Valve Sizing'!$G$6/R335)</f>
        <v>0.19970878431225883</v>
      </c>
      <c r="S337" s="56"/>
      <c r="T337" s="72"/>
      <c r="U337" s="85">
        <f>(U330/(N_1*U$27))*SQRT('Valve Sizing'!$G$6/U335)</f>
        <v>5.4130139162851636</v>
      </c>
      <c r="V337" s="44"/>
      <c r="W337" s="72"/>
      <c r="X337" s="85">
        <f>(X330/(N_1*X$27))*SQRT('Valve Sizing'!$G$6/X335)</f>
        <v>13.19763836798959</v>
      </c>
      <c r="Y337" s="44"/>
      <c r="Z337" s="72"/>
      <c r="AA337" s="85">
        <f>(AA330/(N_1*AA$27))*SQRT('Valve Sizing'!$G$6/AA335)</f>
        <v>26.097226821235523</v>
      </c>
      <c r="AB337" s="44"/>
      <c r="AC337" s="72"/>
      <c r="AD337" s="85">
        <f>(AD330/(N_1*AD$27))*SQRT('Valve Sizing'!$G$6/AD335)</f>
        <v>45.67308940492466</v>
      </c>
      <c r="AE337" s="44"/>
      <c r="AF337" s="72"/>
      <c r="AG337" s="85">
        <f>(AG330/(N_1*AG$27))*SQRT('Valve Sizing'!$G$6/AG335)</f>
        <v>75.844684584868659</v>
      </c>
      <c r="AH337" s="44"/>
      <c r="AI337" s="72"/>
      <c r="AJ337" s="85">
        <f>(AJ330/(N_1*AJ$27))*SQRT('Valve Sizing'!$G$6/AJ335)</f>
        <v>116.00796600222577</v>
      </c>
      <c r="AK337" s="44"/>
      <c r="AL337" s="72"/>
      <c r="AM337" s="85">
        <f>(AM330/(N_1*AM$27))*SQRT('Valve Sizing'!$G$6/AM335)</f>
        <v>175.00079947010425</v>
      </c>
      <c r="AN337" s="44"/>
      <c r="AO337" s="72"/>
      <c r="AP337" s="85">
        <f>(AP330/(N_1*AP$27))*SQRT('Valve Sizing'!$G$6/AP335)</f>
        <v>273.07921824756983</v>
      </c>
      <c r="AQ337" s="44"/>
      <c r="AR337" s="72"/>
      <c r="AS337" s="85">
        <f>(AS330/(N_1*AS$27))*SQRT('Valve Sizing'!$G$6/AS335)</f>
        <v>468.5089200149298</v>
      </c>
      <c r="AT337" s="44"/>
      <c r="AU337" s="72"/>
    </row>
    <row r="338" spans="15:47" x14ac:dyDescent="0.25">
      <c r="O338" s="1" t="s">
        <v>246</v>
      </c>
      <c r="P338" s="18"/>
      <c r="Q338" s="65"/>
      <c r="R338" s="53">
        <f>IF(R334&lt;R335,R336,R337)</f>
        <v>0.24045328168856669</v>
      </c>
      <c r="S338" s="49"/>
      <c r="T338" s="72"/>
      <c r="U338" s="64">
        <f>IF(U334&lt;U335,U336,U337)</f>
        <v>6.519417600916757</v>
      </c>
      <c r="V338" s="44"/>
      <c r="W338" s="72"/>
      <c r="X338" s="64">
        <f>IF(X334&lt;X335,X336,X337)</f>
        <v>15.748883559194537</v>
      </c>
      <c r="Y338" s="44"/>
      <c r="Z338" s="72"/>
      <c r="AA338" s="64">
        <f>IF(AA334&lt;AA335,AA336,AA337)</f>
        <v>30.651153862956992</v>
      </c>
      <c r="AB338" s="44"/>
      <c r="AC338" s="72"/>
      <c r="AD338" s="64">
        <f>IF(AD334&lt;AD335,AD336,AD337)</f>
        <v>52.753416696048212</v>
      </c>
      <c r="AE338" s="44"/>
      <c r="AF338" s="72"/>
      <c r="AG338" s="64">
        <f>IF(AG334&lt;AG335,AG336,AG337)</f>
        <v>86.15953599716174</v>
      </c>
      <c r="AH338" s="44"/>
      <c r="AI338" s="72"/>
      <c r="AJ338" s="64">
        <f>IF(AJ334&lt;AJ335,AJ336,AJ337)</f>
        <v>134.52619480996842</v>
      </c>
      <c r="AK338" s="44"/>
      <c r="AL338" s="72"/>
      <c r="AM338" s="64">
        <f>IF(AM334&lt;AM335,AM336,AM337)</f>
        <v>209.07519948023722</v>
      </c>
      <c r="AN338" s="44"/>
      <c r="AO338" s="72"/>
      <c r="AP338" s="64">
        <f>IF(AP334&lt;AP335,AP336,AP337)</f>
        <v>378.53392682659427</v>
      </c>
      <c r="AQ338" s="44"/>
      <c r="AR338" s="72"/>
      <c r="AS338" s="64" t="e">
        <f>IF(AS334&lt;AS335,AS336,AS337)</f>
        <v>#NUM!</v>
      </c>
      <c r="AT338" s="44"/>
      <c r="AU338" s="72"/>
    </row>
    <row r="339" spans="15:47" ht="13" x14ac:dyDescent="0.3">
      <c r="O339" s="7" t="s">
        <v>264</v>
      </c>
      <c r="Q339" s="61"/>
      <c r="R339" s="53"/>
      <c r="S339" s="69">
        <f>IFERROR(ABS(C_h-R338),Q_max*10)</f>
        <v>4.7595467183114337</v>
      </c>
      <c r="T339" s="76">
        <f>R330</f>
        <v>1.3655091813128846</v>
      </c>
      <c r="U339" s="61"/>
      <c r="V339" s="69">
        <f>IFERROR(ABS(U$23-U338),Q_max*10)</f>
        <v>5.480582399083243</v>
      </c>
      <c r="W339" s="75">
        <f>U330</f>
        <v>36.965620130951663</v>
      </c>
      <c r="X339" s="61"/>
      <c r="Y339" s="69">
        <f>IFERROR(ABS(X$23-X338),Q_max*10)</f>
        <v>7.2511164408054629</v>
      </c>
      <c r="Z339" s="75">
        <f>X330</f>
        <v>88.731717764230879</v>
      </c>
      <c r="AA339" s="61"/>
      <c r="AB339" s="69">
        <f>IFERROR(ABS(AA$23-AA338),Q_max*10)</f>
        <v>8.348846137043008</v>
      </c>
      <c r="AC339" s="75">
        <f>AA330</f>
        <v>169.42136833716711</v>
      </c>
      <c r="AD339" s="61"/>
      <c r="AE339" s="69">
        <f>IFERROR(ABS(AD$23-AD338),Q_max*10)</f>
        <v>8.2465833039517875</v>
      </c>
      <c r="AF339" s="75">
        <f>AD330</f>
        <v>278.63577366763877</v>
      </c>
      <c r="AG339" s="61"/>
      <c r="AH339" s="69">
        <f>IFERROR(ABS(AG$23-AG338),Q_max*10)</f>
        <v>1.8404640028382602</v>
      </c>
      <c r="AI339" s="75">
        <f>AG330</f>
        <v>414.85069829404335</v>
      </c>
      <c r="AJ339" s="61"/>
      <c r="AK339" s="69">
        <f>IFERROR(ABS(AJ$23-AJ338),Q_max*10)</f>
        <v>13.526194809968416</v>
      </c>
      <c r="AL339" s="75">
        <f>AJ330</f>
        <v>553.61986507002484</v>
      </c>
      <c r="AM339" s="61"/>
      <c r="AN339" s="69">
        <f>IFERROR(ABS(AM$23-AM338),Q_max*10)</f>
        <v>44.075199480237217</v>
      </c>
      <c r="AO339" s="75">
        <f>AM330</f>
        <v>675.52144527578173</v>
      </c>
      <c r="AP339" s="61"/>
      <c r="AQ339" s="69">
        <f>IFERROR(ABS(AP$23-AP338),Q_max*10)</f>
        <v>132.53392682659427</v>
      </c>
      <c r="AR339" s="75">
        <f>AP330</f>
        <v>784.25942665185596</v>
      </c>
      <c r="AS339" s="61"/>
      <c r="AT339" s="69">
        <f>IFERROR(ABS(AS$23-AS338),Q_max*10)</f>
        <v>5500</v>
      </c>
      <c r="AU339" s="75">
        <f>AS330</f>
        <v>892.5603835889417</v>
      </c>
    </row>
    <row r="340" spans="15:47" ht="14.5" x14ac:dyDescent="0.35">
      <c r="O340" s="6"/>
      <c r="P340" s="6"/>
      <c r="Q340" s="60"/>
      <c r="R340" s="67"/>
      <c r="S340" s="56"/>
      <c r="T340" s="72"/>
      <c r="V340" s="11"/>
      <c r="W340" s="38"/>
      <c r="Y340" s="11"/>
      <c r="Z340" s="38"/>
      <c r="AB340" s="11"/>
      <c r="AC340" s="38"/>
      <c r="AE340" s="11"/>
      <c r="AF340" s="38"/>
      <c r="AH340" s="11"/>
      <c r="AI340" s="38"/>
      <c r="AK340" s="11"/>
      <c r="AL340" s="38"/>
      <c r="AN340" s="11"/>
      <c r="AO340" s="38"/>
      <c r="AQ340" s="11"/>
      <c r="AR340" s="38"/>
      <c r="AT340" s="11"/>
      <c r="AU340" s="38"/>
    </row>
    <row r="341" spans="15:47" ht="14" x14ac:dyDescent="0.3">
      <c r="O341" s="8" t="s">
        <v>235</v>
      </c>
      <c r="P341" s="6"/>
      <c r="Q341" s="60"/>
      <c r="R341" s="53">
        <f>R330*1.02</f>
        <v>1.3928193649391423</v>
      </c>
      <c r="S341" s="58" t="s">
        <v>238</v>
      </c>
      <c r="T341" s="73" t="s">
        <v>241</v>
      </c>
      <c r="U341" s="84">
        <f>U330*1.01</f>
        <v>37.335276332261181</v>
      </c>
      <c r="V341" s="58" t="s">
        <v>238</v>
      </c>
      <c r="W341" s="73" t="s">
        <v>241</v>
      </c>
      <c r="X341" s="84">
        <f>X330*1.01</f>
        <v>89.619034941873196</v>
      </c>
      <c r="Y341" s="58" t="s">
        <v>238</v>
      </c>
      <c r="Z341" s="73" t="s">
        <v>241</v>
      </c>
      <c r="AA341" s="84">
        <f>AA330*1.01</f>
        <v>171.1155820205388</v>
      </c>
      <c r="AB341" s="58" t="s">
        <v>238</v>
      </c>
      <c r="AC341" s="73" t="s">
        <v>241</v>
      </c>
      <c r="AD341" s="84">
        <f>AD330*1.01</f>
        <v>281.42213140431517</v>
      </c>
      <c r="AE341" s="58" t="s">
        <v>238</v>
      </c>
      <c r="AF341" s="73" t="s">
        <v>241</v>
      </c>
      <c r="AG341" s="84">
        <f>AG330*1.01</f>
        <v>418.99920527698379</v>
      </c>
      <c r="AH341" s="58" t="s">
        <v>238</v>
      </c>
      <c r="AI341" s="73" t="s">
        <v>241</v>
      </c>
      <c r="AJ341" s="84">
        <f>AJ330*1.01</f>
        <v>559.15606372072511</v>
      </c>
      <c r="AK341" s="58" t="s">
        <v>238</v>
      </c>
      <c r="AL341" s="73" t="s">
        <v>241</v>
      </c>
      <c r="AM341" s="84">
        <f>AM330*1.01</f>
        <v>682.27665972853958</v>
      </c>
      <c r="AN341" s="58" t="s">
        <v>238</v>
      </c>
      <c r="AO341" s="73" t="s">
        <v>241</v>
      </c>
      <c r="AP341" s="84">
        <f>AP330*1.01</f>
        <v>792.10202091837448</v>
      </c>
      <c r="AQ341" s="58" t="s">
        <v>238</v>
      </c>
      <c r="AR341" s="73" t="s">
        <v>241</v>
      </c>
      <c r="AS341" s="84">
        <f>AS330*1.01</f>
        <v>901.48598742483114</v>
      </c>
      <c r="AT341" s="58" t="s">
        <v>238</v>
      </c>
      <c r="AU341" s="73" t="s">
        <v>241</v>
      </c>
    </row>
    <row r="342" spans="15:47" ht="13" x14ac:dyDescent="0.25">
      <c r="O342" s="6"/>
      <c r="P342" s="6"/>
      <c r="Q342" s="60"/>
      <c r="R342" s="70"/>
      <c r="S342" s="63" t="s">
        <v>250</v>
      </c>
      <c r="T342" s="71" t="s">
        <v>242</v>
      </c>
      <c r="U342" s="61"/>
      <c r="V342" s="63" t="s">
        <v>250</v>
      </c>
      <c r="W342" s="71" t="s">
        <v>242</v>
      </c>
      <c r="X342" s="61"/>
      <c r="Y342" s="63" t="s">
        <v>250</v>
      </c>
      <c r="Z342" s="71" t="s">
        <v>242</v>
      </c>
      <c r="AA342" s="61"/>
      <c r="AB342" s="63" t="s">
        <v>250</v>
      </c>
      <c r="AC342" s="71" t="s">
        <v>242</v>
      </c>
      <c r="AD342" s="61"/>
      <c r="AE342" s="63" t="s">
        <v>250</v>
      </c>
      <c r="AF342" s="71" t="s">
        <v>242</v>
      </c>
      <c r="AG342" s="61"/>
      <c r="AH342" s="63" t="s">
        <v>250</v>
      </c>
      <c r="AI342" s="71" t="s">
        <v>242</v>
      </c>
      <c r="AJ342" s="61"/>
      <c r="AK342" s="63" t="s">
        <v>250</v>
      </c>
      <c r="AL342" s="71" t="s">
        <v>242</v>
      </c>
      <c r="AM342" s="61"/>
      <c r="AN342" s="63" t="s">
        <v>250</v>
      </c>
      <c r="AO342" s="71" t="s">
        <v>242</v>
      </c>
      <c r="AP342" s="61"/>
      <c r="AQ342" s="63" t="s">
        <v>250</v>
      </c>
      <c r="AR342" s="71" t="s">
        <v>242</v>
      </c>
      <c r="AS342" s="61"/>
      <c r="AT342" s="63" t="s">
        <v>250</v>
      </c>
      <c r="AU342" s="71" t="s">
        <v>242</v>
      </c>
    </row>
    <row r="343" spans="15:47" ht="13" x14ac:dyDescent="0.3">
      <c r="O343" s="6" t="s">
        <v>231</v>
      </c>
      <c r="P343" s="6"/>
      <c r="Q343" s="60"/>
      <c r="R343" s="85">
        <f>P_1_minQ-(R341^2*R_up)+dpup_minQ</f>
        <v>56.916077678291678</v>
      </c>
      <c r="S343" s="56"/>
      <c r="T343" s="72"/>
      <c r="U343" s="53">
        <f>P_1_minQ-(U341^2*R_up)+dpup_minQ</f>
        <v>56.869067110475974</v>
      </c>
      <c r="V343" s="44"/>
      <c r="W343" s="72"/>
      <c r="X343" s="53">
        <f>P_1_minQ-(X341^2*R_up)+dpup_minQ</f>
        <v>56.644897959341009</v>
      </c>
      <c r="Y343" s="44"/>
      <c r="Z343" s="72"/>
      <c r="AA343" s="53">
        <f>P_1_minQ-(AA341^2*R_up)+dpup_minQ</f>
        <v>55.927269759870725</v>
      </c>
      <c r="AB343" s="44"/>
      <c r="AC343" s="72"/>
      <c r="AD343" s="53">
        <f>P_1_minQ-(AD341^2*R_up)+dpup_minQ</f>
        <v>54.241424652342197</v>
      </c>
      <c r="AE343" s="44"/>
      <c r="AF343" s="72"/>
      <c r="AG343" s="53">
        <f>P_1_minQ-(AG341^2*R_up)+dpup_minQ</f>
        <v>50.987053899941102</v>
      </c>
      <c r="AH343" s="44"/>
      <c r="AI343" s="72"/>
      <c r="AJ343" s="53">
        <f>P_1_minQ-(AJ341^2*R_up)+dpup_minQ</f>
        <v>46.357024532399336</v>
      </c>
      <c r="AK343" s="44"/>
      <c r="AL343" s="72"/>
      <c r="AM343" s="53">
        <f>P_1_minQ-(AM341^2*R_up)+dpup_minQ</f>
        <v>41.195054359664525</v>
      </c>
      <c r="AN343" s="44"/>
      <c r="AO343" s="72"/>
      <c r="AP343" s="53">
        <f>P_1_minQ-(AP341^2*R_up)+dpup_minQ</f>
        <v>35.726490660487237</v>
      </c>
      <c r="AQ343" s="44"/>
      <c r="AR343" s="72"/>
      <c r="AS343" s="53">
        <f>P_1_minQ-(AS341^2*R_up)+dpup_minQ</f>
        <v>29.470111937746612</v>
      </c>
      <c r="AT343" s="44"/>
      <c r="AU343" s="72"/>
    </row>
    <row r="344" spans="15:47" ht="13" x14ac:dyDescent="0.3">
      <c r="O344" s="6" t="s">
        <v>233</v>
      </c>
      <c r="P344" s="6"/>
      <c r="Q344" s="60"/>
      <c r="R344" s="85">
        <f>P_2_minQ+(R341^2*R_dn)-dpdn_minQ</f>
        <v>24.656784464341666</v>
      </c>
      <c r="S344" s="66"/>
      <c r="T344" s="74"/>
      <c r="U344" s="53">
        <f>P_2_minQ+(U341^2*R_dn)-dpdn_minQ</f>
        <v>24.666186577904806</v>
      </c>
      <c r="V344" s="45"/>
      <c r="W344" s="74"/>
      <c r="X344" s="53">
        <f>P_2_minQ+(X341^2*R_dn)-dpdn_minQ</f>
        <v>24.711020408131798</v>
      </c>
      <c r="Y344" s="45"/>
      <c r="Z344" s="74"/>
      <c r="AA344" s="53">
        <f>P_2_minQ+(AA341^2*R_dn)-dpdn_minQ</f>
        <v>24.854546048025856</v>
      </c>
      <c r="AB344" s="45"/>
      <c r="AC344" s="74"/>
      <c r="AD344" s="53">
        <f>P_2_minQ+(AD341^2*R_dn)-dpdn_minQ</f>
        <v>25.191715069531561</v>
      </c>
      <c r="AE344" s="45"/>
      <c r="AF344" s="74"/>
      <c r="AG344" s="53">
        <f>P_2_minQ+(AG341^2*R_dn)-dpdn_minQ</f>
        <v>25.842589220011781</v>
      </c>
      <c r="AH344" s="45"/>
      <c r="AI344" s="74"/>
      <c r="AJ344" s="53">
        <f>P_2_minQ+(AJ341^2*R_dn)-dpdn_minQ</f>
        <v>26.768595093520133</v>
      </c>
      <c r="AK344" s="45"/>
      <c r="AL344" s="74"/>
      <c r="AM344" s="53">
        <f>P_2_minQ+(AM341^2*R_dn)-dpdn_minQ</f>
        <v>27.800989128067098</v>
      </c>
      <c r="AN344" s="45"/>
      <c r="AO344" s="74"/>
      <c r="AP344" s="53">
        <f>P_2_minQ+(AP341^2*R_dn)-dpdn_minQ</f>
        <v>28.894701867902555</v>
      </c>
      <c r="AQ344" s="45"/>
      <c r="AR344" s="74"/>
      <c r="AS344" s="53">
        <f>P_2_minQ+(AS341^2*R_dn)-dpdn_minQ</f>
        <v>30.145977612450679</v>
      </c>
      <c r="AT344" s="45"/>
      <c r="AU344" s="74"/>
    </row>
    <row r="345" spans="15:47" x14ac:dyDescent="0.25">
      <c r="O345" s="6" t="s">
        <v>243</v>
      </c>
      <c r="Q345" s="60"/>
      <c r="R345" s="53">
        <f>R343-R344</f>
        <v>32.259293213950016</v>
      </c>
      <c r="S345" s="56"/>
      <c r="T345" s="72"/>
      <c r="U345" s="64">
        <f>U343-U344</f>
        <v>32.202880532571172</v>
      </c>
      <c r="V345" s="44"/>
      <c r="W345" s="72"/>
      <c r="X345" s="64">
        <f>X343-X344</f>
        <v>31.933877551209211</v>
      </c>
      <c r="Y345" s="44"/>
      <c r="Z345" s="72"/>
      <c r="AA345" s="64">
        <f>AA343-AA344</f>
        <v>31.072723711844869</v>
      </c>
      <c r="AB345" s="44"/>
      <c r="AC345" s="72"/>
      <c r="AD345" s="64">
        <f>AD343-AD344</f>
        <v>29.049709582810635</v>
      </c>
      <c r="AE345" s="44"/>
      <c r="AF345" s="72"/>
      <c r="AG345" s="64">
        <f>AG343-AG344</f>
        <v>25.144464679929321</v>
      </c>
      <c r="AH345" s="44"/>
      <c r="AI345" s="72"/>
      <c r="AJ345" s="64">
        <f>AJ343-AJ344</f>
        <v>19.588429438879203</v>
      </c>
      <c r="AK345" s="44"/>
      <c r="AL345" s="72"/>
      <c r="AM345" s="64">
        <f>AM343-AM344</f>
        <v>13.394065231597427</v>
      </c>
      <c r="AN345" s="44"/>
      <c r="AO345" s="72"/>
      <c r="AP345" s="64">
        <f>AP343-AP344</f>
        <v>6.8317887925846819</v>
      </c>
      <c r="AQ345" s="44"/>
      <c r="AR345" s="72"/>
      <c r="AS345" s="64">
        <f>AS343-AS344</f>
        <v>-0.67586567470406678</v>
      </c>
      <c r="AT345" s="44"/>
      <c r="AU345" s="72"/>
    </row>
    <row r="346" spans="15:47" ht="13" x14ac:dyDescent="0.3">
      <c r="O346" s="6" t="s">
        <v>75</v>
      </c>
      <c r="P346" s="6">
        <v>3</v>
      </c>
      <c r="Q346" s="65"/>
      <c r="R346" s="85">
        <f>(F_LP_h/F_P_h)^2*(R343-('Valve Sizing'!$V$4*'Valve Sizing'!$G$7))</f>
        <v>46.765108990554253</v>
      </c>
      <c r="S346" s="58"/>
      <c r="T346" s="73"/>
      <c r="U346" s="53">
        <f>(U$29/U$27)^2*(U343-('Valve Sizing'!$V$4*'Valve Sizing'!$G$7))</f>
        <v>46.71344614598604</v>
      </c>
      <c r="V346" s="41"/>
      <c r="W346" s="73"/>
      <c r="X346" s="53">
        <f>(X$29/X$27)^2*(X343-('Valve Sizing'!$V$4*'Valve Sizing'!$G$7))</f>
        <v>45.478346884957325</v>
      </c>
      <c r="Y346" s="41"/>
      <c r="Z346" s="73"/>
      <c r="AA346" s="53">
        <f>(AA$29/AA$27)^2*(AA343-('Valve Sizing'!$V$4*'Valve Sizing'!$G$7))</f>
        <v>42.880363324499392</v>
      </c>
      <c r="AB346" s="41"/>
      <c r="AC346" s="73"/>
      <c r="AD346" s="53">
        <f>(AD$29/AD$27)^2*(AD343-('Valve Sizing'!$V$4*'Valve Sizing'!$G$7))</f>
        <v>38.8008683572533</v>
      </c>
      <c r="AE346" s="41"/>
      <c r="AF346" s="73"/>
      <c r="AG346" s="53">
        <f>(AG$29/AG$27)^2*(AG343-('Valve Sizing'!$V$4*'Valve Sizing'!$G$7))</f>
        <v>32.554487173038453</v>
      </c>
      <c r="AH346" s="41"/>
      <c r="AI346" s="73"/>
      <c r="AJ346" s="53">
        <f>(AJ$29/AJ$27)^2*(AJ343-('Valve Sizing'!$V$4*'Valve Sizing'!$G$7))</f>
        <v>26.556736020169211</v>
      </c>
      <c r="AK346" s="41"/>
      <c r="AL346" s="73"/>
      <c r="AM346" s="53">
        <f>(AM$29/AM$27)^2*(AM343-('Valve Sizing'!$V$4*'Valve Sizing'!$G$7))</f>
        <v>19.500130861500022</v>
      </c>
      <c r="AN346" s="41"/>
      <c r="AO346" s="73"/>
      <c r="AP346" s="53">
        <f>(AP$29/AP$27)^2*(AP343-('Valve Sizing'!$V$4*'Valve Sizing'!$G$7))</f>
        <v>13.92497310024121</v>
      </c>
      <c r="AQ346" s="41"/>
      <c r="AR346" s="73"/>
      <c r="AS346" s="53">
        <f>(AS$29/AS$27)^2*(AS343-('Valve Sizing'!$V$4*'Valve Sizing'!$G$7))</f>
        <v>10.919387665538425</v>
      </c>
      <c r="AT346" s="41"/>
      <c r="AU346" s="73"/>
    </row>
    <row r="347" spans="15:47" ht="13" x14ac:dyDescent="0.25">
      <c r="O347" s="1" t="s">
        <v>69</v>
      </c>
      <c r="P347" s="17">
        <v>7</v>
      </c>
      <c r="Q347" s="65"/>
      <c r="R347" s="53">
        <f>(R341/(N_1*F_P_h))*SQRT('Valve Sizing'!$G$6/R345)</f>
        <v>0.24526235892772105</v>
      </c>
      <c r="S347" s="58"/>
      <c r="T347" s="73"/>
      <c r="U347" s="64">
        <f>(U341/(N_1*U$27))*SQRT('Valve Sizing'!$G$6/U345)</f>
        <v>6.5847255754406246</v>
      </c>
      <c r="V347" s="41"/>
      <c r="W347" s="73"/>
      <c r="X347" s="64">
        <f>(X341/(N_1*X$27))*SQRT('Valve Sizing'!$G$6/X345)</f>
        <v>15.907969613407722</v>
      </c>
      <c r="Y347" s="41"/>
      <c r="Z347" s="73"/>
      <c r="AA347" s="64">
        <f>(AA341/(N_1*AA$27))*SQRT('Valve Sizing'!$G$6/AA345)</f>
        <v>30.969310749617833</v>
      </c>
      <c r="AB347" s="41"/>
      <c r="AC347" s="73"/>
      <c r="AD347" s="64">
        <f>(AD341/(N_1*AD$27))*SQRT('Valve Sizing'!$G$6/AD345)</f>
        <v>53.338917304689936</v>
      </c>
      <c r="AE347" s="41"/>
      <c r="AF347" s="73"/>
      <c r="AG347" s="64">
        <f>(AG341/(N_1*AG$27))*SQRT('Valve Sizing'!$G$6/AG345)</f>
        <v>87.263385268157748</v>
      </c>
      <c r="AH347" s="41"/>
      <c r="AI347" s="73"/>
      <c r="AJ347" s="64">
        <f>(AJ341/(N_1*AJ$27))*SQRT('Valve Sizing'!$G$6/AJ345)</f>
        <v>136.73460138300774</v>
      </c>
      <c r="AK347" s="41"/>
      <c r="AL347" s="73"/>
      <c r="AM347" s="64">
        <f>(AM341/(N_1*AM$27))*SQRT('Valve Sizing'!$G$6/AM345)</f>
        <v>214.07610795950475</v>
      </c>
      <c r="AN347" s="41"/>
      <c r="AO347" s="73"/>
      <c r="AP347" s="64">
        <f>(AP341/(N_1*AP$27))*SQRT('Valve Sizing'!$G$6/AP345)</f>
        <v>396.09035032964022</v>
      </c>
      <c r="AQ347" s="41"/>
      <c r="AR347" s="73"/>
      <c r="AS347" s="64" t="e">
        <f>(AS341/(N_1*AS$27))*SQRT('Valve Sizing'!$G$6/AS345)</f>
        <v>#NUM!</v>
      </c>
      <c r="AT347" s="41"/>
      <c r="AU347" s="73"/>
    </row>
    <row r="348" spans="15:47" ht="13" x14ac:dyDescent="0.3">
      <c r="O348" s="1" t="s">
        <v>72</v>
      </c>
      <c r="P348" s="17">
        <v>7</v>
      </c>
      <c r="Q348" s="65"/>
      <c r="R348" s="53">
        <f>(R341/(N_1*F_P_h))*SQRT('Valve Sizing'!$G$6/R346)</f>
        <v>0.20370296458663134</v>
      </c>
      <c r="S348" s="56"/>
      <c r="T348" s="72"/>
      <c r="U348" s="85">
        <f>(U341/(N_1*U$27))*SQRT('Valve Sizing'!$G$6/U346)</f>
        <v>5.4671889899520876</v>
      </c>
      <c r="V348" s="44"/>
      <c r="W348" s="72"/>
      <c r="X348" s="85">
        <f>(X341/(N_1*X$27))*SQRT('Valve Sizing'!$G$6/X346)</f>
        <v>13.330248503151989</v>
      </c>
      <c r="Y348" s="44"/>
      <c r="Z348" s="72"/>
      <c r="AA348" s="85">
        <f>(AA341/(N_1*AA$27))*SQRT('Valve Sizing'!$G$6/AA346)</f>
        <v>26.36282661400832</v>
      </c>
      <c r="AB348" s="44"/>
      <c r="AC348" s="72"/>
      <c r="AD348" s="85">
        <f>(AD341/(N_1*AD$27))*SQRT('Valve Sizing'!$G$6/AD346)</f>
        <v>46.15240859850541</v>
      </c>
      <c r="AE348" s="44"/>
      <c r="AF348" s="72"/>
      <c r="AG348" s="85">
        <f>(AG341/(N_1*AG$27))*SQRT('Valve Sizing'!$G$6/AG346)</f>
        <v>76.691604634258468</v>
      </c>
      <c r="AH348" s="44"/>
      <c r="AI348" s="72"/>
      <c r="AJ348" s="85">
        <f>(AJ341/(N_1*AJ$27))*SQRT('Valve Sizing'!$G$6/AJ346)</f>
        <v>117.43319823766795</v>
      </c>
      <c r="AK348" s="44"/>
      <c r="AL348" s="72"/>
      <c r="AM348" s="85">
        <f>(AM341/(N_1*AM$27))*SQRT('Valve Sizing'!$G$6/AM346)</f>
        <v>177.42125312542021</v>
      </c>
      <c r="AN348" s="44"/>
      <c r="AO348" s="72"/>
      <c r="AP348" s="85">
        <f>(AP341/(N_1*AP$27))*SQRT('Valve Sizing'!$G$6/AP346)</f>
        <v>277.43694617862093</v>
      </c>
      <c r="AQ348" s="44"/>
      <c r="AR348" s="72"/>
      <c r="AS348" s="85">
        <f>(AS341/(N_1*AS$27))*SQRT('Valve Sizing'!$G$6/AS346)</f>
        <v>477.58119116071384</v>
      </c>
      <c r="AT348" s="44"/>
      <c r="AU348" s="72"/>
    </row>
    <row r="349" spans="15:47" x14ac:dyDescent="0.25">
      <c r="O349" s="1" t="s">
        <v>246</v>
      </c>
      <c r="P349" s="18"/>
      <c r="Q349" s="65"/>
      <c r="R349" s="53">
        <f>IF(R345&lt;R346,R347,R348)</f>
        <v>0.24526235892772105</v>
      </c>
      <c r="S349" s="49"/>
      <c r="T349" s="72"/>
      <c r="U349" s="64">
        <f>IF(U345&lt;U346,U347,U348)</f>
        <v>6.5847255754406246</v>
      </c>
      <c r="V349" s="44"/>
      <c r="W349" s="72"/>
      <c r="X349" s="64">
        <f>IF(X345&lt;X346,X347,X348)</f>
        <v>15.907969613407722</v>
      </c>
      <c r="Y349" s="44"/>
      <c r="Z349" s="72"/>
      <c r="AA349" s="64">
        <f>IF(AA345&lt;AA346,AA347,AA348)</f>
        <v>30.969310749617833</v>
      </c>
      <c r="AB349" s="44"/>
      <c r="AC349" s="72"/>
      <c r="AD349" s="64">
        <f>IF(AD345&lt;AD346,AD347,AD348)</f>
        <v>53.338917304689936</v>
      </c>
      <c r="AE349" s="44"/>
      <c r="AF349" s="72"/>
      <c r="AG349" s="64">
        <f>IF(AG345&lt;AG346,AG347,AG348)</f>
        <v>87.263385268157748</v>
      </c>
      <c r="AH349" s="44"/>
      <c r="AI349" s="72"/>
      <c r="AJ349" s="64">
        <f>IF(AJ345&lt;AJ346,AJ347,AJ348)</f>
        <v>136.73460138300774</v>
      </c>
      <c r="AK349" s="44"/>
      <c r="AL349" s="72"/>
      <c r="AM349" s="64">
        <f>IF(AM345&lt;AM346,AM347,AM348)</f>
        <v>214.07610795950475</v>
      </c>
      <c r="AN349" s="44"/>
      <c r="AO349" s="72"/>
      <c r="AP349" s="64">
        <f>IF(AP345&lt;AP346,AP347,AP348)</f>
        <v>396.09035032964022</v>
      </c>
      <c r="AQ349" s="44"/>
      <c r="AR349" s="72"/>
      <c r="AS349" s="64" t="e">
        <f>IF(AS345&lt;AS346,AS347,AS348)</f>
        <v>#NUM!</v>
      </c>
      <c r="AT349" s="44"/>
      <c r="AU349" s="72"/>
    </row>
    <row r="350" spans="15:47" ht="13" x14ac:dyDescent="0.3">
      <c r="O350" s="7" t="s">
        <v>264</v>
      </c>
      <c r="Q350" s="61"/>
      <c r="R350" s="53"/>
      <c r="S350" s="69">
        <f>IFERROR(ABS(C_h-R349),Q_max*10)</f>
        <v>4.7547376410722793</v>
      </c>
      <c r="T350" s="76">
        <f>R341</f>
        <v>1.3928193649391423</v>
      </c>
      <c r="U350" s="61"/>
      <c r="V350" s="69">
        <f>IFERROR(ABS(U$23-U349),Q_max*10)</f>
        <v>5.4152744245593754</v>
      </c>
      <c r="W350" s="75">
        <f>U341</f>
        <v>37.335276332261181</v>
      </c>
      <c r="X350" s="61"/>
      <c r="Y350" s="69">
        <f>IFERROR(ABS(X$23-X349),Q_max*10)</f>
        <v>7.0920303865922776</v>
      </c>
      <c r="Z350" s="75">
        <f>X341</f>
        <v>89.619034941873196</v>
      </c>
      <c r="AA350" s="61"/>
      <c r="AB350" s="69">
        <f>IFERROR(ABS(AA$23-AA349),Q_max*10)</f>
        <v>8.0306892503821672</v>
      </c>
      <c r="AC350" s="75">
        <f>AA341</f>
        <v>171.1155820205388</v>
      </c>
      <c r="AD350" s="61"/>
      <c r="AE350" s="69">
        <f>IFERROR(ABS(AD$23-AD349),Q_max*10)</f>
        <v>7.6610826953100641</v>
      </c>
      <c r="AF350" s="75">
        <f>AD341</f>
        <v>281.42213140431517</v>
      </c>
      <c r="AG350" s="61"/>
      <c r="AH350" s="69">
        <f>IFERROR(ABS(AG$23-AG349),Q_max*10)</f>
        <v>0.73661473184225201</v>
      </c>
      <c r="AI350" s="75">
        <f>AG341</f>
        <v>418.99920527698379</v>
      </c>
      <c r="AJ350" s="61"/>
      <c r="AK350" s="69">
        <f>IFERROR(ABS(AJ$23-AJ349),Q_max*10)</f>
        <v>15.734601383007742</v>
      </c>
      <c r="AL350" s="75">
        <f>AJ341</f>
        <v>559.15606372072511</v>
      </c>
      <c r="AM350" s="61"/>
      <c r="AN350" s="69">
        <f>IFERROR(ABS(AM$23-AM349),Q_max*10)</f>
        <v>49.076107959504753</v>
      </c>
      <c r="AO350" s="75">
        <f>AM341</f>
        <v>682.27665972853958</v>
      </c>
      <c r="AP350" s="61"/>
      <c r="AQ350" s="69">
        <f>IFERROR(ABS(AP$23-AP349),Q_max*10)</f>
        <v>150.09035032964022</v>
      </c>
      <c r="AR350" s="75">
        <f>AP341</f>
        <v>792.10202091837448</v>
      </c>
      <c r="AS350" s="61"/>
      <c r="AT350" s="69">
        <f>IFERROR(ABS(AS$23-AS349),Q_max*10)</f>
        <v>5500</v>
      </c>
      <c r="AU350" s="75">
        <f>AS341</f>
        <v>901.48598742483114</v>
      </c>
    </row>
    <row r="351" spans="15:47" ht="14.5" x14ac:dyDescent="0.35">
      <c r="O351" s="8"/>
      <c r="P351" s="6"/>
      <c r="Q351" s="60"/>
      <c r="R351" s="67"/>
      <c r="S351" s="66"/>
      <c r="T351" s="74"/>
      <c r="V351" s="11"/>
      <c r="W351" s="38"/>
      <c r="Y351" s="11"/>
      <c r="Z351" s="38"/>
      <c r="AB351" s="11"/>
      <c r="AC351" s="38"/>
      <c r="AE351" s="11"/>
      <c r="AF351" s="38"/>
      <c r="AH351" s="11"/>
      <c r="AI351" s="38"/>
      <c r="AK351" s="11"/>
      <c r="AL351" s="38"/>
      <c r="AN351" s="11"/>
      <c r="AO351" s="38"/>
      <c r="AQ351" s="11"/>
      <c r="AR351" s="38"/>
      <c r="AT351" s="11"/>
      <c r="AU351" s="38"/>
    </row>
    <row r="352" spans="15:47" ht="14" x14ac:dyDescent="0.3">
      <c r="O352" s="8" t="s">
        <v>235</v>
      </c>
      <c r="P352" s="6"/>
      <c r="Q352" s="60"/>
      <c r="R352" s="53">
        <f>R341*1.02</f>
        <v>1.4206757522379252</v>
      </c>
      <c r="S352" s="58" t="s">
        <v>238</v>
      </c>
      <c r="T352" s="73" t="s">
        <v>241</v>
      </c>
      <c r="U352" s="84">
        <f>U341*1.01</f>
        <v>37.708629095583795</v>
      </c>
      <c r="V352" s="58" t="s">
        <v>238</v>
      </c>
      <c r="W352" s="73" t="s">
        <v>241</v>
      </c>
      <c r="X352" s="84">
        <f>X341*1.01</f>
        <v>90.515225291291927</v>
      </c>
      <c r="Y352" s="58" t="s">
        <v>238</v>
      </c>
      <c r="Z352" s="73" t="s">
        <v>241</v>
      </c>
      <c r="AA352" s="84">
        <f>AA341*1.01</f>
        <v>172.82673784074419</v>
      </c>
      <c r="AB352" s="58" t="s">
        <v>238</v>
      </c>
      <c r="AC352" s="73" t="s">
        <v>241</v>
      </c>
      <c r="AD352" s="84">
        <f>AD341*1.01</f>
        <v>284.23635271835832</v>
      </c>
      <c r="AE352" s="58" t="s">
        <v>238</v>
      </c>
      <c r="AF352" s="73" t="s">
        <v>241</v>
      </c>
      <c r="AG352" s="84">
        <f>AG341*1.01</f>
        <v>423.18919732975365</v>
      </c>
      <c r="AH352" s="58" t="s">
        <v>238</v>
      </c>
      <c r="AI352" s="73" t="s">
        <v>241</v>
      </c>
      <c r="AJ352" s="84">
        <f>AJ341*1.01</f>
        <v>564.74762435793241</v>
      </c>
      <c r="AK352" s="58" t="s">
        <v>238</v>
      </c>
      <c r="AL352" s="73" t="s">
        <v>241</v>
      </c>
      <c r="AM352" s="84">
        <f>AM341*1.01</f>
        <v>689.09942632582499</v>
      </c>
      <c r="AN352" s="58" t="s">
        <v>238</v>
      </c>
      <c r="AO352" s="73" t="s">
        <v>241</v>
      </c>
      <c r="AP352" s="84">
        <f>AP341*1.01</f>
        <v>800.02304112755826</v>
      </c>
      <c r="AQ352" s="58" t="s">
        <v>238</v>
      </c>
      <c r="AR352" s="73" t="s">
        <v>241</v>
      </c>
      <c r="AS352" s="84">
        <f>AS341*1.01</f>
        <v>910.50084729907951</v>
      </c>
      <c r="AT352" s="58" t="s">
        <v>238</v>
      </c>
      <c r="AU352" s="73" t="s">
        <v>241</v>
      </c>
    </row>
    <row r="353" spans="15:47" ht="13" x14ac:dyDescent="0.25">
      <c r="O353" s="6"/>
      <c r="P353" s="6"/>
      <c r="Q353" s="60"/>
      <c r="R353" s="70"/>
      <c r="S353" s="63" t="s">
        <v>250</v>
      </c>
      <c r="T353" s="71" t="s">
        <v>242</v>
      </c>
      <c r="U353" s="61"/>
      <c r="V353" s="63" t="s">
        <v>250</v>
      </c>
      <c r="W353" s="71" t="s">
        <v>242</v>
      </c>
      <c r="X353" s="61"/>
      <c r="Y353" s="63" t="s">
        <v>250</v>
      </c>
      <c r="Z353" s="71" t="s">
        <v>242</v>
      </c>
      <c r="AA353" s="61"/>
      <c r="AB353" s="63" t="s">
        <v>250</v>
      </c>
      <c r="AC353" s="71" t="s">
        <v>242</v>
      </c>
      <c r="AD353" s="61"/>
      <c r="AE353" s="63" t="s">
        <v>250</v>
      </c>
      <c r="AF353" s="71" t="s">
        <v>242</v>
      </c>
      <c r="AG353" s="61"/>
      <c r="AH353" s="63" t="s">
        <v>250</v>
      </c>
      <c r="AI353" s="71" t="s">
        <v>242</v>
      </c>
      <c r="AJ353" s="61"/>
      <c r="AK353" s="63" t="s">
        <v>250</v>
      </c>
      <c r="AL353" s="71" t="s">
        <v>242</v>
      </c>
      <c r="AM353" s="61"/>
      <c r="AN353" s="63" t="s">
        <v>250</v>
      </c>
      <c r="AO353" s="71" t="s">
        <v>242</v>
      </c>
      <c r="AP353" s="61"/>
      <c r="AQ353" s="63" t="s">
        <v>250</v>
      </c>
      <c r="AR353" s="71" t="s">
        <v>242</v>
      </c>
      <c r="AS353" s="61"/>
      <c r="AT353" s="63" t="s">
        <v>250</v>
      </c>
      <c r="AU353" s="71" t="s">
        <v>242</v>
      </c>
    </row>
    <row r="354" spans="15:47" ht="13" x14ac:dyDescent="0.3">
      <c r="O354" s="6" t="s">
        <v>231</v>
      </c>
      <c r="P354" s="6"/>
      <c r="Q354" s="60"/>
      <c r="R354" s="85">
        <f>P_1_minQ-(R352^2*R_up)+dpup_minQ</f>
        <v>56.916075031422054</v>
      </c>
      <c r="S354" s="56"/>
      <c r="T354" s="72"/>
      <c r="U354" s="53">
        <f>P_1_minQ-(U352^2*R_up)+dpup_minQ</f>
        <v>56.868120881179728</v>
      </c>
      <c r="V354" s="44"/>
      <c r="W354" s="72"/>
      <c r="X354" s="53">
        <f>P_1_minQ-(X352^2*R_up)+dpup_minQ</f>
        <v>56.639445930106945</v>
      </c>
      <c r="Y354" s="44"/>
      <c r="Z354" s="72"/>
      <c r="AA354" s="53">
        <f>P_1_minQ-(AA352^2*R_up)+dpup_minQ</f>
        <v>55.907393403827314</v>
      </c>
      <c r="AB354" s="44"/>
      <c r="AC354" s="72"/>
      <c r="AD354" s="53">
        <f>P_1_minQ-(AD352^2*R_up)+dpup_minQ</f>
        <v>54.187662809637452</v>
      </c>
      <c r="AE354" s="44"/>
      <c r="AF354" s="72"/>
      <c r="AG354" s="53">
        <f>P_1_minQ-(AG352^2*R_up)+dpup_minQ</f>
        <v>50.867879205113098</v>
      </c>
      <c r="AH354" s="44"/>
      <c r="AI354" s="72"/>
      <c r="AJ354" s="53">
        <f>P_1_minQ-(AJ352^2*R_up)+dpup_minQ</f>
        <v>46.14478624728374</v>
      </c>
      <c r="AK354" s="44"/>
      <c r="AL354" s="72"/>
      <c r="AM354" s="53">
        <f>P_1_minQ-(AM352^2*R_up)+dpup_minQ</f>
        <v>40.879060474076965</v>
      </c>
      <c r="AN354" s="44"/>
      <c r="AO354" s="72"/>
      <c r="AP354" s="53">
        <f>P_1_minQ-(AP352^2*R_up)+dpup_minQ</f>
        <v>35.300578644546206</v>
      </c>
      <c r="AQ354" s="44"/>
      <c r="AR354" s="72"/>
      <c r="AS354" s="53">
        <f>P_1_minQ-(AS352^2*R_up)+dpup_minQ</f>
        <v>28.918446709478498</v>
      </c>
      <c r="AT354" s="44"/>
      <c r="AU354" s="72"/>
    </row>
    <row r="355" spans="15:47" ht="13" x14ac:dyDescent="0.3">
      <c r="O355" s="6" t="s">
        <v>233</v>
      </c>
      <c r="P355" s="6"/>
      <c r="Q355" s="60"/>
      <c r="R355" s="85">
        <f>P_2_minQ+(R352^2*R_dn)-dpdn_minQ</f>
        <v>24.65678499371559</v>
      </c>
      <c r="S355" s="66"/>
      <c r="T355" s="74"/>
      <c r="U355" s="53">
        <f>P_2_minQ+(U352^2*R_dn)-dpdn_minQ</f>
        <v>24.666375823764056</v>
      </c>
      <c r="V355" s="45"/>
      <c r="W355" s="74"/>
      <c r="X355" s="53">
        <f>P_2_minQ+(X352^2*R_dn)-dpdn_minQ</f>
        <v>24.712110813978612</v>
      </c>
      <c r="Y355" s="45"/>
      <c r="Z355" s="74"/>
      <c r="AA355" s="53">
        <f>P_2_minQ+(AA352^2*R_dn)-dpdn_minQ</f>
        <v>24.858521319234541</v>
      </c>
      <c r="AB355" s="45"/>
      <c r="AC355" s="74"/>
      <c r="AD355" s="53">
        <f>P_2_minQ+(AD352^2*R_dn)-dpdn_minQ</f>
        <v>25.20246743807251</v>
      </c>
      <c r="AE355" s="45"/>
      <c r="AF355" s="74"/>
      <c r="AG355" s="53">
        <f>P_2_minQ+(AG352^2*R_dn)-dpdn_minQ</f>
        <v>25.866424158977381</v>
      </c>
      <c r="AH355" s="45"/>
      <c r="AI355" s="74"/>
      <c r="AJ355" s="53">
        <f>P_2_minQ+(AJ352^2*R_dn)-dpdn_minQ</f>
        <v>26.811042750543251</v>
      </c>
      <c r="AK355" s="45"/>
      <c r="AL355" s="74"/>
      <c r="AM355" s="53">
        <f>P_2_minQ+(AM352^2*R_dn)-dpdn_minQ</f>
        <v>27.864187905184608</v>
      </c>
      <c r="AN355" s="45"/>
      <c r="AO355" s="74"/>
      <c r="AP355" s="53">
        <f>P_2_minQ+(AP352^2*R_dn)-dpdn_minQ</f>
        <v>28.979884271090757</v>
      </c>
      <c r="AQ355" s="45"/>
      <c r="AR355" s="74"/>
      <c r="AS355" s="53">
        <f>P_2_minQ+(AS352^2*R_dn)-dpdn_minQ</f>
        <v>30.256310658104301</v>
      </c>
      <c r="AT355" s="45"/>
      <c r="AU355" s="74"/>
    </row>
    <row r="356" spans="15:47" x14ac:dyDescent="0.25">
      <c r="O356" s="6" t="s">
        <v>243</v>
      </c>
      <c r="Q356" s="60"/>
      <c r="R356" s="53">
        <f>R354-R355</f>
        <v>32.259290037706464</v>
      </c>
      <c r="S356" s="56"/>
      <c r="T356" s="72"/>
      <c r="U356" s="64">
        <f>U354-U355</f>
        <v>32.201745057415671</v>
      </c>
      <c r="V356" s="44"/>
      <c r="W356" s="72"/>
      <c r="X356" s="64">
        <f>X354-X355</f>
        <v>31.927335116128333</v>
      </c>
      <c r="Y356" s="44"/>
      <c r="Z356" s="72"/>
      <c r="AA356" s="64">
        <f>AA354-AA355</f>
        <v>31.048872084592773</v>
      </c>
      <c r="AB356" s="44"/>
      <c r="AC356" s="72"/>
      <c r="AD356" s="64">
        <f>AD354-AD355</f>
        <v>28.985195371564942</v>
      </c>
      <c r="AE356" s="44"/>
      <c r="AF356" s="72"/>
      <c r="AG356" s="64">
        <f>AG354-AG355</f>
        <v>25.001455046135717</v>
      </c>
      <c r="AH356" s="44"/>
      <c r="AI356" s="72"/>
      <c r="AJ356" s="64">
        <f>AJ354-AJ355</f>
        <v>19.333743496740489</v>
      </c>
      <c r="AK356" s="44"/>
      <c r="AL356" s="72"/>
      <c r="AM356" s="64">
        <f>AM354-AM355</f>
        <v>13.014872568892358</v>
      </c>
      <c r="AN356" s="44"/>
      <c r="AO356" s="72"/>
      <c r="AP356" s="64">
        <f>AP354-AP355</f>
        <v>6.3206943734554493</v>
      </c>
      <c r="AQ356" s="44"/>
      <c r="AR356" s="72"/>
      <c r="AS356" s="64">
        <f>AS354-AS355</f>
        <v>-1.3378639486258024</v>
      </c>
      <c r="AT356" s="44"/>
      <c r="AU356" s="72"/>
    </row>
    <row r="357" spans="15:47" ht="13" x14ac:dyDescent="0.3">
      <c r="O357" s="6" t="s">
        <v>75</v>
      </c>
      <c r="P357" s="6">
        <v>3</v>
      </c>
      <c r="Q357" s="65"/>
      <c r="R357" s="85">
        <f>(F_LP_h/F_P_h)^2*(R354-('Valve Sizing'!$V$4*'Valve Sizing'!$G$7))</f>
        <v>46.765106798807274</v>
      </c>
      <c r="S357" s="58"/>
      <c r="T357" s="73"/>
      <c r="U357" s="53">
        <f>(U$29/U$27)^2*(U354-('Valve Sizing'!$V$4*'Valve Sizing'!$G$7))</f>
        <v>46.712662832018459</v>
      </c>
      <c r="V357" s="41"/>
      <c r="W357" s="73"/>
      <c r="X357" s="53">
        <f>(X$29/X$27)^2*(X354-('Valve Sizing'!$V$4*'Valve Sizing'!$G$7))</f>
        <v>45.473935356066704</v>
      </c>
      <c r="Y357" s="41"/>
      <c r="Z357" s="73"/>
      <c r="AA357" s="53">
        <f>(AA$29/AA$27)^2*(AA354-('Valve Sizing'!$V$4*'Valve Sizing'!$G$7))</f>
        <v>42.865002931778413</v>
      </c>
      <c r="AB357" s="41"/>
      <c r="AC357" s="73"/>
      <c r="AD357" s="53">
        <f>(AD$29/AD$27)^2*(AD354-('Valve Sizing'!$V$4*'Valve Sizing'!$G$7))</f>
        <v>38.76209599330808</v>
      </c>
      <c r="AE357" s="41"/>
      <c r="AF357" s="73"/>
      <c r="AG357" s="53">
        <f>(AG$29/AG$27)^2*(AG354-('Valve Sizing'!$V$4*'Valve Sizing'!$G$7))</f>
        <v>32.477733431700379</v>
      </c>
      <c r="AH357" s="41"/>
      <c r="AI357" s="73"/>
      <c r="AJ357" s="53">
        <f>(AJ$29/AJ$27)^2*(AJ354-('Valve Sizing'!$V$4*'Valve Sizing'!$G$7))</f>
        <v>26.433984965467552</v>
      </c>
      <c r="AK357" s="41"/>
      <c r="AL357" s="73"/>
      <c r="AM357" s="53">
        <f>(AM$29/AM$27)^2*(AM354-('Valve Sizing'!$V$4*'Valve Sizing'!$G$7))</f>
        <v>19.348936587895853</v>
      </c>
      <c r="AN357" s="41"/>
      <c r="AO357" s="73"/>
      <c r="AP357" s="53">
        <f>(AP$29/AP$27)^2*(AP354-('Valve Sizing'!$V$4*'Valve Sizing'!$G$7))</f>
        <v>13.756896792656581</v>
      </c>
      <c r="AQ357" s="41"/>
      <c r="AR357" s="73"/>
      <c r="AS357" s="53">
        <f>(AS$29/AS$27)^2*(AS354-('Valve Sizing'!$V$4*'Valve Sizing'!$G$7))</f>
        <v>10.711883868498193</v>
      </c>
      <c r="AT357" s="41"/>
      <c r="AU357" s="73"/>
    </row>
    <row r="358" spans="15:47" ht="13" x14ac:dyDescent="0.25">
      <c r="O358" s="1" t="s">
        <v>69</v>
      </c>
      <c r="P358" s="17">
        <v>7</v>
      </c>
      <c r="Q358" s="65"/>
      <c r="R358" s="53">
        <f>(R352/(N_1*F_P_h))*SQRT('Valve Sizing'!$G$6/R356)</f>
        <v>0.25016761842200264</v>
      </c>
      <c r="S358" s="58"/>
      <c r="T358" s="73"/>
      <c r="U358" s="64">
        <f>(U352/(N_1*U$27))*SQRT('Valve Sizing'!$G$6/U356)</f>
        <v>6.6506900840587795</v>
      </c>
      <c r="V358" s="41"/>
      <c r="W358" s="73"/>
      <c r="X358" s="64">
        <f>(X352/(N_1*X$27))*SQRT('Valve Sizing'!$G$6/X356)</f>
        <v>16.068695426296241</v>
      </c>
      <c r="Y358" s="41"/>
      <c r="Z358" s="73"/>
      <c r="AA358" s="64">
        <f>(AA352/(N_1*AA$27))*SQRT('Valve Sizing'!$G$6/AA356)</f>
        <v>31.291015757491586</v>
      </c>
      <c r="AB358" s="41"/>
      <c r="AC358" s="73"/>
      <c r="AD358" s="64">
        <f>(AD352/(N_1*AD$27))*SQRT('Valve Sizing'!$G$6/AD356)</f>
        <v>53.932226680755555</v>
      </c>
      <c r="AE358" s="41"/>
      <c r="AF358" s="73"/>
      <c r="AG358" s="64">
        <f>(AG352/(N_1*AG$27))*SQRT('Valve Sizing'!$G$6/AG356)</f>
        <v>88.38773100816266</v>
      </c>
      <c r="AH358" s="41"/>
      <c r="AI358" s="73"/>
      <c r="AJ358" s="64">
        <f>(AJ352/(N_1*AJ$27))*SQRT('Valve Sizing'!$G$6/AJ356)</f>
        <v>139.0085888837632</v>
      </c>
      <c r="AK358" s="41"/>
      <c r="AL358" s="73"/>
      <c r="AM358" s="64">
        <f>(AM352/(N_1*AM$27))*SQRT('Valve Sizing'!$G$6/AM356)</f>
        <v>219.34403022935561</v>
      </c>
      <c r="AN358" s="41"/>
      <c r="AO358" s="73"/>
      <c r="AP358" s="64">
        <f>(AP352/(N_1*AP$27))*SQRT('Valve Sizing'!$G$6/AP356)</f>
        <v>415.91104721986295</v>
      </c>
      <c r="AQ358" s="41"/>
      <c r="AR358" s="73"/>
      <c r="AS358" s="64" t="e">
        <f>(AS352/(N_1*AS$27))*SQRT('Valve Sizing'!$G$6/AS356)</f>
        <v>#NUM!</v>
      </c>
      <c r="AT358" s="41"/>
      <c r="AU358" s="73"/>
    </row>
    <row r="359" spans="15:47" ht="13" x14ac:dyDescent="0.3">
      <c r="O359" s="1" t="s">
        <v>72</v>
      </c>
      <c r="P359" s="17">
        <v>7</v>
      </c>
      <c r="Q359" s="65"/>
      <c r="R359" s="53">
        <f>(R352/(N_1*F_P_h))*SQRT('Valve Sizing'!$G$6/R357)</f>
        <v>0.20777702874732176</v>
      </c>
      <c r="S359" s="56"/>
      <c r="T359" s="72"/>
      <c r="U359" s="85">
        <f>(U352/(N_1*U$27))*SQRT('Valve Sizing'!$G$6/U357)</f>
        <v>5.5219071770691022</v>
      </c>
      <c r="V359" s="44"/>
      <c r="W359" s="72"/>
      <c r="X359" s="85">
        <f>(X352/(N_1*X$27))*SQRT('Valve Sizing'!$G$6/X357)</f>
        <v>13.464204037048233</v>
      </c>
      <c r="Y359" s="44"/>
      <c r="Z359" s="72"/>
      <c r="AA359" s="85">
        <f>(AA352/(N_1*AA$27))*SQRT('Valve Sizing'!$G$6/AA357)</f>
        <v>26.631225160591036</v>
      </c>
      <c r="AB359" s="44"/>
      <c r="AC359" s="72"/>
      <c r="AD359" s="85">
        <f>(AD352/(N_1*AD$27))*SQRT('Valve Sizing'!$G$6/AD357)</f>
        <v>46.63723999785644</v>
      </c>
      <c r="AE359" s="44"/>
      <c r="AF359" s="72"/>
      <c r="AG359" s="85">
        <f>(AG352/(N_1*AG$27))*SQRT('Valve Sizing'!$G$6/AG357)</f>
        <v>77.54999447243712</v>
      </c>
      <c r="AH359" s="44"/>
      <c r="AI359" s="72"/>
      <c r="AJ359" s="85">
        <f>(AJ352/(N_1*AJ$27))*SQRT('Valve Sizing'!$G$6/AJ357)</f>
        <v>118.88259916068395</v>
      </c>
      <c r="AK359" s="44"/>
      <c r="AL359" s="72"/>
      <c r="AM359" s="85">
        <f>(AM352/(N_1*AM$27))*SQRT('Valve Sizing'!$G$6/AM357)</f>
        <v>179.8942277441819</v>
      </c>
      <c r="AN359" s="44"/>
      <c r="AO359" s="72"/>
      <c r="AP359" s="85">
        <f>(AP352/(N_1*AP$27))*SQRT('Valve Sizing'!$G$6/AP357)</f>
        <v>281.91787429747376</v>
      </c>
      <c r="AQ359" s="44"/>
      <c r="AR359" s="72"/>
      <c r="AS359" s="85">
        <f>(AS352/(N_1*AS$27))*SQRT('Valve Sizing'!$G$6/AS357)</f>
        <v>487.00655049753811</v>
      </c>
      <c r="AT359" s="44"/>
      <c r="AU359" s="72"/>
    </row>
    <row r="360" spans="15:47" x14ac:dyDescent="0.25">
      <c r="O360" s="1" t="s">
        <v>246</v>
      </c>
      <c r="P360" s="18"/>
      <c r="Q360" s="65"/>
      <c r="R360" s="53">
        <f>IF(R356&lt;R357,R358,R359)</f>
        <v>0.25016761842200264</v>
      </c>
      <c r="S360" s="49"/>
      <c r="T360" s="72"/>
      <c r="U360" s="64">
        <f>IF(U356&lt;U357,U358,U359)</f>
        <v>6.6506900840587795</v>
      </c>
      <c r="V360" s="44"/>
      <c r="W360" s="72"/>
      <c r="X360" s="64">
        <f>IF(X356&lt;X357,X358,X359)</f>
        <v>16.068695426296241</v>
      </c>
      <c r="Y360" s="44"/>
      <c r="Z360" s="72"/>
      <c r="AA360" s="64">
        <f>IF(AA356&lt;AA357,AA358,AA359)</f>
        <v>31.291015757491586</v>
      </c>
      <c r="AB360" s="44"/>
      <c r="AC360" s="72"/>
      <c r="AD360" s="64">
        <f>IF(AD356&lt;AD357,AD358,AD359)</f>
        <v>53.932226680755555</v>
      </c>
      <c r="AE360" s="44"/>
      <c r="AF360" s="72"/>
      <c r="AG360" s="64">
        <f>IF(AG356&lt;AG357,AG358,AG359)</f>
        <v>88.38773100816266</v>
      </c>
      <c r="AH360" s="44"/>
      <c r="AI360" s="72"/>
      <c r="AJ360" s="64">
        <f>IF(AJ356&lt;AJ357,AJ358,AJ359)</f>
        <v>139.0085888837632</v>
      </c>
      <c r="AK360" s="44"/>
      <c r="AL360" s="72"/>
      <c r="AM360" s="64">
        <f>IF(AM356&lt;AM357,AM358,AM359)</f>
        <v>219.34403022935561</v>
      </c>
      <c r="AN360" s="44"/>
      <c r="AO360" s="72"/>
      <c r="AP360" s="64">
        <f>IF(AP356&lt;AP357,AP358,AP359)</f>
        <v>415.91104721986295</v>
      </c>
      <c r="AQ360" s="44"/>
      <c r="AR360" s="72"/>
      <c r="AS360" s="64" t="e">
        <f>IF(AS356&lt;AS357,AS358,AS359)</f>
        <v>#NUM!</v>
      </c>
      <c r="AT360" s="44"/>
      <c r="AU360" s="72"/>
    </row>
    <row r="361" spans="15:47" ht="13" x14ac:dyDescent="0.3">
      <c r="O361" s="7" t="s">
        <v>264</v>
      </c>
      <c r="Q361" s="61"/>
      <c r="R361" s="53"/>
      <c r="S361" s="69">
        <f>IFERROR(ABS(C_h-R360),Q_max*10)</f>
        <v>4.7498323815779973</v>
      </c>
      <c r="T361" s="76">
        <f>R352</f>
        <v>1.4206757522379252</v>
      </c>
      <c r="U361" s="61"/>
      <c r="V361" s="69">
        <f>IFERROR(ABS(U$23-U360),Q_max*10)</f>
        <v>5.3493099159412205</v>
      </c>
      <c r="W361" s="75">
        <f>U352</f>
        <v>37.708629095583795</v>
      </c>
      <c r="X361" s="61"/>
      <c r="Y361" s="69">
        <f>IFERROR(ABS(X$23-X360),Q_max*10)</f>
        <v>6.9313045737037591</v>
      </c>
      <c r="Z361" s="75">
        <f>X352</f>
        <v>90.515225291291927</v>
      </c>
      <c r="AA361" s="61"/>
      <c r="AB361" s="69">
        <f>IFERROR(ABS(AA$23-AA360),Q_max*10)</f>
        <v>7.7089842425084143</v>
      </c>
      <c r="AC361" s="75">
        <f>AA352</f>
        <v>172.82673784074419</v>
      </c>
      <c r="AD361" s="61"/>
      <c r="AE361" s="69">
        <f>IFERROR(ABS(AD$23-AD360),Q_max*10)</f>
        <v>7.067773319244445</v>
      </c>
      <c r="AF361" s="75">
        <f>AD352</f>
        <v>284.23635271835832</v>
      </c>
      <c r="AG361" s="61"/>
      <c r="AH361" s="69">
        <f>IFERROR(ABS(AG$23-AG360),Q_max*10)</f>
        <v>0.38773100816266037</v>
      </c>
      <c r="AI361" s="75">
        <f>AG352</f>
        <v>423.18919732975365</v>
      </c>
      <c r="AJ361" s="61"/>
      <c r="AK361" s="69">
        <f>IFERROR(ABS(AJ$23-AJ360),Q_max*10)</f>
        <v>18.008588883763196</v>
      </c>
      <c r="AL361" s="75">
        <f>AJ352</f>
        <v>564.74762435793241</v>
      </c>
      <c r="AM361" s="61"/>
      <c r="AN361" s="69">
        <f>IFERROR(ABS(AM$23-AM360),Q_max*10)</f>
        <v>54.34403022935561</v>
      </c>
      <c r="AO361" s="75">
        <f>AM352</f>
        <v>689.09942632582499</v>
      </c>
      <c r="AP361" s="61"/>
      <c r="AQ361" s="69">
        <f>IFERROR(ABS(AP$23-AP360),Q_max*10)</f>
        <v>169.91104721986295</v>
      </c>
      <c r="AR361" s="75">
        <f>AP352</f>
        <v>800.02304112755826</v>
      </c>
      <c r="AS361" s="61"/>
      <c r="AT361" s="69">
        <f>IFERROR(ABS(AS$23-AS360),Q_max*10)</f>
        <v>5500</v>
      </c>
      <c r="AU361" s="75">
        <f>AS352</f>
        <v>910.50084729907951</v>
      </c>
    </row>
    <row r="362" spans="15:47" ht="14.5" x14ac:dyDescent="0.35">
      <c r="O362" s="6"/>
      <c r="P362" s="6"/>
      <c r="Q362" s="60"/>
      <c r="R362" s="67"/>
      <c r="S362" s="56"/>
      <c r="T362" s="72"/>
      <c r="V362" s="11"/>
      <c r="W362" s="38"/>
      <c r="Y362" s="11"/>
      <c r="Z362" s="38"/>
      <c r="AB362" s="11"/>
      <c r="AC362" s="38"/>
      <c r="AE362" s="11"/>
      <c r="AF362" s="38"/>
      <c r="AH362" s="11"/>
      <c r="AI362" s="38"/>
      <c r="AK362" s="11"/>
      <c r="AL362" s="38"/>
      <c r="AN362" s="11"/>
      <c r="AO362" s="38"/>
      <c r="AQ362" s="11"/>
      <c r="AR362" s="38"/>
      <c r="AT362" s="11"/>
      <c r="AU362" s="38"/>
    </row>
    <row r="363" spans="15:47" ht="14" x14ac:dyDescent="0.3">
      <c r="O363" s="8" t="s">
        <v>235</v>
      </c>
      <c r="P363" s="6"/>
      <c r="Q363" s="60"/>
      <c r="R363" s="53">
        <f>R352*1.02</f>
        <v>1.4490892672826836</v>
      </c>
      <c r="S363" s="58" t="s">
        <v>238</v>
      </c>
      <c r="T363" s="73" t="s">
        <v>241</v>
      </c>
      <c r="U363" s="84">
        <f>U352*1.01</f>
        <v>38.085715386539633</v>
      </c>
      <c r="V363" s="58" t="s">
        <v>238</v>
      </c>
      <c r="W363" s="73" t="s">
        <v>241</v>
      </c>
      <c r="X363" s="84">
        <f>X352*1.01</f>
        <v>91.42037754420484</v>
      </c>
      <c r="Y363" s="58" t="s">
        <v>238</v>
      </c>
      <c r="Z363" s="73" t="s">
        <v>241</v>
      </c>
      <c r="AA363" s="84">
        <f>AA352*1.01</f>
        <v>174.55500521915164</v>
      </c>
      <c r="AB363" s="58" t="s">
        <v>238</v>
      </c>
      <c r="AC363" s="73" t="s">
        <v>241</v>
      </c>
      <c r="AD363" s="84">
        <f>AD352*1.01</f>
        <v>287.0787162455419</v>
      </c>
      <c r="AE363" s="58" t="s">
        <v>238</v>
      </c>
      <c r="AF363" s="73" t="s">
        <v>241</v>
      </c>
      <c r="AG363" s="84">
        <f>AG352*1.01</f>
        <v>427.42108930305119</v>
      </c>
      <c r="AH363" s="58" t="s">
        <v>238</v>
      </c>
      <c r="AI363" s="73" t="s">
        <v>241</v>
      </c>
      <c r="AJ363" s="84">
        <f>AJ352*1.01</f>
        <v>570.39510060151179</v>
      </c>
      <c r="AK363" s="58" t="s">
        <v>238</v>
      </c>
      <c r="AL363" s="73" t="s">
        <v>241</v>
      </c>
      <c r="AM363" s="84">
        <f>AM352*1.01</f>
        <v>695.99042058908321</v>
      </c>
      <c r="AN363" s="58" t="s">
        <v>238</v>
      </c>
      <c r="AO363" s="73" t="s">
        <v>241</v>
      </c>
      <c r="AP363" s="84">
        <f>AP352*1.01</f>
        <v>808.0232715388338</v>
      </c>
      <c r="AQ363" s="58" t="s">
        <v>238</v>
      </c>
      <c r="AR363" s="73" t="s">
        <v>241</v>
      </c>
      <c r="AS363" s="84">
        <f>AS352*1.01</f>
        <v>919.6058557720703</v>
      </c>
      <c r="AT363" s="58" t="s">
        <v>238</v>
      </c>
      <c r="AU363" s="73" t="s">
        <v>241</v>
      </c>
    </row>
    <row r="364" spans="15:47" ht="13" x14ac:dyDescent="0.25">
      <c r="O364" s="6"/>
      <c r="P364" s="6"/>
      <c r="Q364" s="60"/>
      <c r="R364" s="70"/>
      <c r="S364" s="63" t="s">
        <v>250</v>
      </c>
      <c r="T364" s="71" t="s">
        <v>242</v>
      </c>
      <c r="U364" s="61"/>
      <c r="V364" s="63" t="s">
        <v>250</v>
      </c>
      <c r="W364" s="71" t="s">
        <v>242</v>
      </c>
      <c r="X364" s="61"/>
      <c r="Y364" s="63" t="s">
        <v>250</v>
      </c>
      <c r="Z364" s="71" t="s">
        <v>242</v>
      </c>
      <c r="AA364" s="61"/>
      <c r="AB364" s="63" t="s">
        <v>250</v>
      </c>
      <c r="AC364" s="71" t="s">
        <v>242</v>
      </c>
      <c r="AD364" s="61"/>
      <c r="AE364" s="63" t="s">
        <v>250</v>
      </c>
      <c r="AF364" s="71" t="s">
        <v>242</v>
      </c>
      <c r="AG364" s="61"/>
      <c r="AH364" s="63" t="s">
        <v>250</v>
      </c>
      <c r="AI364" s="71" t="s">
        <v>242</v>
      </c>
      <c r="AJ364" s="61"/>
      <c r="AK364" s="63" t="s">
        <v>250</v>
      </c>
      <c r="AL364" s="71" t="s">
        <v>242</v>
      </c>
      <c r="AM364" s="61"/>
      <c r="AN364" s="63" t="s">
        <v>250</v>
      </c>
      <c r="AO364" s="71" t="s">
        <v>242</v>
      </c>
      <c r="AP364" s="61"/>
      <c r="AQ364" s="63" t="s">
        <v>250</v>
      </c>
      <c r="AR364" s="71" t="s">
        <v>242</v>
      </c>
      <c r="AS364" s="61"/>
      <c r="AT364" s="63" t="s">
        <v>250</v>
      </c>
      <c r="AU364" s="71" t="s">
        <v>242</v>
      </c>
    </row>
    <row r="365" spans="15:47" ht="13" x14ac:dyDescent="0.3">
      <c r="O365" s="6" t="s">
        <v>231</v>
      </c>
      <c r="P365" s="6"/>
      <c r="Q365" s="60"/>
      <c r="R365" s="85">
        <f>P_1_minQ-(R363^2*R_up)+dpup_minQ</f>
        <v>56.916072277618895</v>
      </c>
      <c r="S365" s="56"/>
      <c r="T365" s="72"/>
      <c r="U365" s="53">
        <f>P_1_minQ-(U363^2*R_up)+dpup_minQ</f>
        <v>56.867155632674617</v>
      </c>
      <c r="V365" s="44"/>
      <c r="W365" s="72"/>
      <c r="X365" s="53">
        <f>P_1_minQ-(X363^2*R_up)+dpup_minQ</f>
        <v>56.633884315085275</v>
      </c>
      <c r="Y365" s="44"/>
      <c r="Z365" s="72"/>
      <c r="AA365" s="53">
        <f>P_1_minQ-(AA363^2*R_up)+dpup_minQ</f>
        <v>55.887117533027421</v>
      </c>
      <c r="AB365" s="44"/>
      <c r="AC365" s="72"/>
      <c r="AD365" s="53">
        <f>P_1_minQ-(AD363^2*R_up)+dpup_minQ</f>
        <v>54.132820353894346</v>
      </c>
      <c r="AE365" s="44"/>
      <c r="AF365" s="72"/>
      <c r="AG365" s="53">
        <f>P_1_minQ-(AG363^2*R_up)+dpup_minQ</f>
        <v>50.746309098919049</v>
      </c>
      <c r="AH365" s="44"/>
      <c r="AI365" s="72"/>
      <c r="AJ365" s="53">
        <f>P_1_minQ-(AJ363^2*R_up)+dpup_minQ</f>
        <v>45.928281972637329</v>
      </c>
      <c r="AK365" s="44"/>
      <c r="AL365" s="72"/>
      <c r="AM365" s="53">
        <f>P_1_minQ-(AM363^2*R_up)+dpup_minQ</f>
        <v>40.556715111389089</v>
      </c>
      <c r="AN365" s="44"/>
      <c r="AO365" s="72"/>
      <c r="AP365" s="53">
        <f>P_1_minQ-(AP363^2*R_up)+dpup_minQ</f>
        <v>34.866105797084764</v>
      </c>
      <c r="AQ365" s="44"/>
      <c r="AR365" s="72"/>
      <c r="AS365" s="53">
        <f>P_1_minQ-(AS363^2*R_up)+dpup_minQ</f>
        <v>28.355693010122199</v>
      </c>
      <c r="AT365" s="44"/>
      <c r="AU365" s="72"/>
    </row>
    <row r="366" spans="15:47" ht="13" x14ac:dyDescent="0.3">
      <c r="O366" s="6" t="s">
        <v>233</v>
      </c>
      <c r="P366" s="6"/>
      <c r="Q366" s="60"/>
      <c r="R366" s="85">
        <f>P_2_minQ+(R363^2*R_dn)-dpdn_minQ</f>
        <v>24.656785544476222</v>
      </c>
      <c r="S366" s="66"/>
      <c r="T366" s="74"/>
      <c r="U366" s="53">
        <f>P_2_minQ+(U363^2*R_dn)-dpdn_minQ</f>
        <v>24.666568873465078</v>
      </c>
      <c r="V366" s="45"/>
      <c r="W366" s="74"/>
      <c r="X366" s="53">
        <f>P_2_minQ+(X363^2*R_dn)-dpdn_minQ</f>
        <v>24.713223136982947</v>
      </c>
      <c r="Y366" s="45"/>
      <c r="Z366" s="74"/>
      <c r="AA366" s="53">
        <f>P_2_minQ+(AA363^2*R_dn)-dpdn_minQ</f>
        <v>24.862576493394517</v>
      </c>
      <c r="AB366" s="45"/>
      <c r="AC366" s="74"/>
      <c r="AD366" s="53">
        <f>P_2_minQ+(AD363^2*R_dn)-dpdn_minQ</f>
        <v>25.213435929221131</v>
      </c>
      <c r="AE366" s="45"/>
      <c r="AF366" s="74"/>
      <c r="AG366" s="53">
        <f>P_2_minQ+(AG363^2*R_dn)-dpdn_minQ</f>
        <v>25.890738180216189</v>
      </c>
      <c r="AH366" s="45"/>
      <c r="AI366" s="74"/>
      <c r="AJ366" s="53">
        <f>P_2_minQ+(AJ363^2*R_dn)-dpdn_minQ</f>
        <v>26.854343605472536</v>
      </c>
      <c r="AK366" s="45"/>
      <c r="AL366" s="74"/>
      <c r="AM366" s="53">
        <f>P_2_minQ+(AM363^2*R_dn)-dpdn_minQ</f>
        <v>27.928656977722181</v>
      </c>
      <c r="AN366" s="45"/>
      <c r="AO366" s="74"/>
      <c r="AP366" s="53">
        <f>P_2_minQ+(AP363^2*R_dn)-dpdn_minQ</f>
        <v>29.066778840583048</v>
      </c>
      <c r="AQ366" s="45"/>
      <c r="AR366" s="74"/>
      <c r="AS366" s="53">
        <f>P_2_minQ+(AS363^2*R_dn)-dpdn_minQ</f>
        <v>30.368861397975561</v>
      </c>
      <c r="AT366" s="45"/>
      <c r="AU366" s="74"/>
    </row>
    <row r="367" spans="15:47" x14ac:dyDescent="0.25">
      <c r="O367" s="6" t="s">
        <v>243</v>
      </c>
      <c r="Q367" s="60"/>
      <c r="R367" s="53">
        <f>R365-R366</f>
        <v>32.259286733142673</v>
      </c>
      <c r="S367" s="56"/>
      <c r="T367" s="72"/>
      <c r="U367" s="64">
        <f>U365-U366</f>
        <v>32.200586759209543</v>
      </c>
      <c r="V367" s="44"/>
      <c r="W367" s="72"/>
      <c r="X367" s="64">
        <f>X365-X366</f>
        <v>31.920661178102328</v>
      </c>
      <c r="Y367" s="44"/>
      <c r="Z367" s="72"/>
      <c r="AA367" s="64">
        <f>AA365-AA366</f>
        <v>31.024541039632904</v>
      </c>
      <c r="AB367" s="44"/>
      <c r="AC367" s="72"/>
      <c r="AD367" s="64">
        <f>AD365-AD366</f>
        <v>28.919384424673215</v>
      </c>
      <c r="AE367" s="44"/>
      <c r="AF367" s="72"/>
      <c r="AG367" s="64">
        <f>AG365-AG366</f>
        <v>24.85557091870286</v>
      </c>
      <c r="AH367" s="44"/>
      <c r="AI367" s="72"/>
      <c r="AJ367" s="64">
        <f>AJ365-AJ366</f>
        <v>19.073938367164793</v>
      </c>
      <c r="AK367" s="44"/>
      <c r="AL367" s="72"/>
      <c r="AM367" s="64">
        <f>AM365-AM366</f>
        <v>12.628058133666908</v>
      </c>
      <c r="AN367" s="44"/>
      <c r="AO367" s="72"/>
      <c r="AP367" s="64">
        <f>AP365-AP366</f>
        <v>5.7993269565017158</v>
      </c>
      <c r="AQ367" s="44"/>
      <c r="AR367" s="72"/>
      <c r="AS367" s="64">
        <f>AS365-AS366</f>
        <v>-2.0131683878533622</v>
      </c>
      <c r="AT367" s="44"/>
      <c r="AU367" s="72"/>
    </row>
    <row r="368" spans="15:47" ht="13" x14ac:dyDescent="0.3">
      <c r="O368" s="6" t="s">
        <v>75</v>
      </c>
      <c r="P368" s="6">
        <v>3</v>
      </c>
      <c r="Q368" s="65"/>
      <c r="R368" s="85">
        <f>(F_LP_h/F_P_h)^2*(R365-('Valve Sizing'!$V$4*'Valve Sizing'!$G$7))</f>
        <v>46.765104518513709</v>
      </c>
      <c r="S368" s="58"/>
      <c r="T368" s="73"/>
      <c r="U368" s="53">
        <f>(U$29/U$27)^2*(U365-('Valve Sizing'!$V$4*'Valve Sizing'!$G$7))</f>
        <v>46.711863773440129</v>
      </c>
      <c r="V368" s="41"/>
      <c r="W368" s="73"/>
      <c r="X368" s="53">
        <f>(X$29/X$27)^2*(X365-('Valve Sizing'!$V$4*'Valve Sizing'!$G$7))</f>
        <v>45.469435155445382</v>
      </c>
      <c r="Y368" s="41"/>
      <c r="Z368" s="73"/>
      <c r="AA368" s="53">
        <f>(AA$29/AA$27)^2*(AA365-('Valve Sizing'!$V$4*'Valve Sizing'!$G$7))</f>
        <v>42.849333795163737</v>
      </c>
      <c r="AB368" s="41"/>
      <c r="AC368" s="73"/>
      <c r="AD368" s="53">
        <f>(AD$29/AD$27)^2*(AD365-('Valve Sizing'!$V$4*'Valve Sizing'!$G$7))</f>
        <v>38.72254430484756</v>
      </c>
      <c r="AE368" s="41"/>
      <c r="AF368" s="73"/>
      <c r="AG368" s="53">
        <f>(AG$29/AG$27)^2*(AG365-('Valve Sizing'!$V$4*'Valve Sizing'!$G$7))</f>
        <v>32.399436940161415</v>
      </c>
      <c r="AH368" s="41"/>
      <c r="AI368" s="73"/>
      <c r="AJ368" s="53">
        <f>(AJ$29/AJ$27)^2*(AJ365-('Valve Sizing'!$V$4*'Valve Sizing'!$G$7))</f>
        <v>26.308766614566395</v>
      </c>
      <c r="AK368" s="41"/>
      <c r="AL368" s="73"/>
      <c r="AM368" s="53">
        <f>(AM$29/AM$27)^2*(AM365-('Valve Sizing'!$V$4*'Valve Sizing'!$G$7))</f>
        <v>19.194703309392242</v>
      </c>
      <c r="AN368" s="41"/>
      <c r="AO368" s="73"/>
      <c r="AP368" s="53">
        <f>(AP$29/AP$27)^2*(AP365-('Valve Sizing'!$V$4*'Valve Sizing'!$G$7))</f>
        <v>13.585442151289504</v>
      </c>
      <c r="AQ368" s="41"/>
      <c r="AR368" s="73"/>
      <c r="AS368" s="53">
        <f>(AS$29/AS$27)^2*(AS365-('Valve Sizing'!$V$4*'Valve Sizing'!$G$7))</f>
        <v>10.500209245137452</v>
      </c>
      <c r="AT368" s="41"/>
      <c r="AU368" s="73"/>
    </row>
    <row r="369" spans="15:47" ht="13" x14ac:dyDescent="0.25">
      <c r="O369" s="1" t="s">
        <v>69</v>
      </c>
      <c r="P369" s="17">
        <v>7</v>
      </c>
      <c r="Q369" s="65"/>
      <c r="R369" s="53">
        <f>(R363/(N_1*F_P_h))*SQRT('Valve Sizing'!$G$6/R367)</f>
        <v>0.25517098385999271</v>
      </c>
      <c r="S369" s="58"/>
      <c r="T369" s="73"/>
      <c r="U369" s="64">
        <f>(U363/(N_1*U$27))*SQRT('Valve Sizing'!$G$6/U367)</f>
        <v>6.7173177970961815</v>
      </c>
      <c r="V369" s="41"/>
      <c r="W369" s="73"/>
      <c r="X369" s="64">
        <f>(X363/(N_1*X$27))*SQRT('Valve Sizing'!$G$6/X367)</f>
        <v>16.231078902925347</v>
      </c>
      <c r="Y369" s="41"/>
      <c r="Z369" s="73"/>
      <c r="AA369" s="64">
        <f>(AA363/(N_1*AA$27))*SQRT('Valve Sizing'!$G$6/AA367)</f>
        <v>31.616316200495891</v>
      </c>
      <c r="AB369" s="41"/>
      <c r="AC369" s="73"/>
      <c r="AD369" s="64">
        <f>(AD363/(N_1*AD$27))*SQRT('Valve Sizing'!$G$6/AD367)</f>
        <v>54.533493334262801</v>
      </c>
      <c r="AE369" s="41"/>
      <c r="AF369" s="73"/>
      <c r="AG369" s="64">
        <f>(AG363/(N_1*AG$27))*SQRT('Valve Sizing'!$G$6/AG367)</f>
        <v>89.533204747868211</v>
      </c>
      <c r="AH369" s="41"/>
      <c r="AI369" s="73"/>
      <c r="AJ369" s="64">
        <f>(AJ363/(N_1*AJ$27))*SQRT('Valve Sizing'!$G$6/AJ367)</f>
        <v>141.35162228544559</v>
      </c>
      <c r="AK369" s="41"/>
      <c r="AL369" s="73"/>
      <c r="AM369" s="64">
        <f>(AM363/(N_1*AM$27))*SQRT('Valve Sizing'!$G$6/AM367)</f>
        <v>224.90487362029623</v>
      </c>
      <c r="AN369" s="41"/>
      <c r="AO369" s="73"/>
      <c r="AP369" s="64">
        <f>(AP363/(N_1*AP$27))*SQRT('Valve Sizing'!$G$6/AP367)</f>
        <v>438.54627686065299</v>
      </c>
      <c r="AQ369" s="41"/>
      <c r="AR369" s="73"/>
      <c r="AS369" s="64" t="e">
        <f>(AS363/(N_1*AS$27))*SQRT('Valve Sizing'!$G$6/AS367)</f>
        <v>#NUM!</v>
      </c>
      <c r="AT369" s="41"/>
      <c r="AU369" s="73"/>
    </row>
    <row r="370" spans="15:47" ht="13" x14ac:dyDescent="0.3">
      <c r="O370" s="1" t="s">
        <v>72</v>
      </c>
      <c r="P370" s="17">
        <v>7</v>
      </c>
      <c r="Q370" s="65"/>
      <c r="R370" s="53">
        <f>(R363/(N_1*F_P_h))*SQRT('Valve Sizing'!$G$6/R368)</f>
        <v>0.21193257448924546</v>
      </c>
      <c r="S370" s="56"/>
      <c r="T370" s="72"/>
      <c r="U370" s="85">
        <f>(U363/(N_1*U$27))*SQRT('Valve Sizing'!$G$6/U368)</f>
        <v>5.5771739501211552</v>
      </c>
      <c r="V370" s="44"/>
      <c r="W370" s="72"/>
      <c r="X370" s="85">
        <f>(X363/(N_1*X$27))*SQRT('Valve Sizing'!$G$6/X368)</f>
        <v>13.599519013218575</v>
      </c>
      <c r="Y370" s="44"/>
      <c r="Z370" s="72"/>
      <c r="AA370" s="85">
        <f>(AA363/(N_1*AA$27))*SQRT('Valve Sizing'!$G$6/AA368)</f>
        <v>26.90245490598349</v>
      </c>
      <c r="AB370" s="44"/>
      <c r="AC370" s="72"/>
      <c r="AD370" s="85">
        <f>(AD363/(N_1*AD$27))*SQRT('Valve Sizing'!$G$6/AD368)</f>
        <v>47.127662366003712</v>
      </c>
      <c r="AE370" s="44"/>
      <c r="AF370" s="72"/>
      <c r="AG370" s="85">
        <f>(AG363/(N_1*AG$27))*SQRT('Valve Sizing'!$G$6/AG368)</f>
        <v>78.420078018637327</v>
      </c>
      <c r="AH370" s="44"/>
      <c r="AI370" s="72"/>
      <c r="AJ370" s="85">
        <f>(AJ363/(N_1*AJ$27))*SQRT('Valve Sizing'!$G$6/AJ368)</f>
        <v>120.35682998176399</v>
      </c>
      <c r="AK370" s="44"/>
      <c r="AL370" s="72"/>
      <c r="AM370" s="85">
        <f>(AM363/(N_1*AM$27))*SQRT('Valve Sizing'!$G$6/AM368)</f>
        <v>182.42167999144584</v>
      </c>
      <c r="AN370" s="44"/>
      <c r="AO370" s="72"/>
      <c r="AP370" s="85">
        <f>(AP363/(N_1*AP$27))*SQRT('Valve Sizing'!$G$6/AP368)</f>
        <v>286.52817702230345</v>
      </c>
      <c r="AQ370" s="44"/>
      <c r="AR370" s="72"/>
      <c r="AS370" s="85">
        <f>(AS363/(N_1*AS$27))*SQRT('Valve Sizing'!$G$6/AS368)</f>
        <v>496.80976963904862</v>
      </c>
      <c r="AT370" s="44"/>
      <c r="AU370" s="72"/>
    </row>
    <row r="371" spans="15:47" x14ac:dyDescent="0.25">
      <c r="O371" s="1" t="s">
        <v>246</v>
      </c>
      <c r="P371" s="18"/>
      <c r="Q371" s="65"/>
      <c r="R371" s="53">
        <f>IF(R367&lt;R368,R369,R370)</f>
        <v>0.25517098385999271</v>
      </c>
      <c r="S371" s="49"/>
      <c r="T371" s="72"/>
      <c r="U371" s="64">
        <f>IF(U367&lt;U368,U369,U370)</f>
        <v>6.7173177970961815</v>
      </c>
      <c r="V371" s="44"/>
      <c r="W371" s="72"/>
      <c r="X371" s="64">
        <f>IF(X367&lt;X368,X369,X370)</f>
        <v>16.231078902925347</v>
      </c>
      <c r="Y371" s="44"/>
      <c r="Z371" s="72"/>
      <c r="AA371" s="64">
        <f>IF(AA367&lt;AA368,AA369,AA370)</f>
        <v>31.616316200495891</v>
      </c>
      <c r="AB371" s="44"/>
      <c r="AC371" s="72"/>
      <c r="AD371" s="64">
        <f>IF(AD367&lt;AD368,AD369,AD370)</f>
        <v>54.533493334262801</v>
      </c>
      <c r="AE371" s="44"/>
      <c r="AF371" s="72"/>
      <c r="AG371" s="64">
        <f>IF(AG367&lt;AG368,AG369,AG370)</f>
        <v>89.533204747868211</v>
      </c>
      <c r="AH371" s="44"/>
      <c r="AI371" s="72"/>
      <c r="AJ371" s="64">
        <f>IF(AJ367&lt;AJ368,AJ369,AJ370)</f>
        <v>141.35162228544559</v>
      </c>
      <c r="AK371" s="44"/>
      <c r="AL371" s="72"/>
      <c r="AM371" s="64">
        <f>IF(AM367&lt;AM368,AM369,AM370)</f>
        <v>224.90487362029623</v>
      </c>
      <c r="AN371" s="44"/>
      <c r="AO371" s="72"/>
      <c r="AP371" s="64">
        <f>IF(AP367&lt;AP368,AP369,AP370)</f>
        <v>438.54627686065299</v>
      </c>
      <c r="AQ371" s="44"/>
      <c r="AR371" s="72"/>
      <c r="AS371" s="64" t="e">
        <f>IF(AS367&lt;AS368,AS369,AS370)</f>
        <v>#NUM!</v>
      </c>
      <c r="AT371" s="44"/>
      <c r="AU371" s="72"/>
    </row>
    <row r="372" spans="15:47" ht="13" x14ac:dyDescent="0.3">
      <c r="O372" s="7" t="s">
        <v>264</v>
      </c>
      <c r="Q372" s="61"/>
      <c r="R372" s="53"/>
      <c r="S372" s="69">
        <f>IFERROR(ABS(C_h-R371),Q_max*10)</f>
        <v>4.7448290161400077</v>
      </c>
      <c r="T372" s="76">
        <f>R363</f>
        <v>1.4490892672826836</v>
      </c>
      <c r="U372" s="61"/>
      <c r="V372" s="69">
        <f>IFERROR(ABS(U$23-U371),Q_max*10)</f>
        <v>5.2826822029038185</v>
      </c>
      <c r="W372" s="75">
        <f>U363</f>
        <v>38.085715386539633</v>
      </c>
      <c r="X372" s="61"/>
      <c r="Y372" s="69">
        <f>IFERROR(ABS(X$23-X371),Q_max*10)</f>
        <v>6.7689210970746529</v>
      </c>
      <c r="Z372" s="75">
        <f>X363</f>
        <v>91.42037754420484</v>
      </c>
      <c r="AA372" s="61"/>
      <c r="AB372" s="69">
        <f>IFERROR(ABS(AA$23-AA371),Q_max*10)</f>
        <v>7.3836837995041087</v>
      </c>
      <c r="AC372" s="75">
        <f>AA363</f>
        <v>174.55500521915164</v>
      </c>
      <c r="AD372" s="61"/>
      <c r="AE372" s="69">
        <f>IFERROR(ABS(AD$23-AD371),Q_max*10)</f>
        <v>6.4665066657371995</v>
      </c>
      <c r="AF372" s="75">
        <f>AD363</f>
        <v>287.0787162455419</v>
      </c>
      <c r="AG372" s="61"/>
      <c r="AH372" s="69">
        <f>IFERROR(ABS(AG$23-AG371),Q_max*10)</f>
        <v>1.5332047478682114</v>
      </c>
      <c r="AI372" s="75">
        <f>AG363</f>
        <v>427.42108930305119</v>
      </c>
      <c r="AJ372" s="61"/>
      <c r="AK372" s="69">
        <f>IFERROR(ABS(AJ$23-AJ371),Q_max*10)</f>
        <v>20.351622285445586</v>
      </c>
      <c r="AL372" s="75">
        <f>AJ363</f>
        <v>570.39510060151179</v>
      </c>
      <c r="AM372" s="61"/>
      <c r="AN372" s="69">
        <f>IFERROR(ABS(AM$23-AM371),Q_max*10)</f>
        <v>59.904873620296229</v>
      </c>
      <c r="AO372" s="75">
        <f>AM363</f>
        <v>695.99042058908321</v>
      </c>
      <c r="AP372" s="61"/>
      <c r="AQ372" s="69">
        <f>IFERROR(ABS(AP$23-AP371),Q_max*10)</f>
        <v>192.54627686065299</v>
      </c>
      <c r="AR372" s="75">
        <f>AP363</f>
        <v>808.0232715388338</v>
      </c>
      <c r="AS372" s="61"/>
      <c r="AT372" s="69">
        <f>IFERROR(ABS(AS$23-AS371),Q_max*10)</f>
        <v>5500</v>
      </c>
      <c r="AU372" s="75">
        <f>AS363</f>
        <v>919.6058557720703</v>
      </c>
    </row>
    <row r="373" spans="15:47" ht="14.5" x14ac:dyDescent="0.35">
      <c r="O373" s="8"/>
      <c r="P373" s="6"/>
      <c r="Q373" s="60"/>
      <c r="R373" s="67"/>
      <c r="S373" s="58"/>
      <c r="T373" s="73"/>
      <c r="V373" s="11"/>
      <c r="W373" s="38"/>
      <c r="Y373" s="11"/>
      <c r="Z373" s="38"/>
      <c r="AB373" s="11"/>
      <c r="AC373" s="38"/>
      <c r="AE373" s="11"/>
      <c r="AF373" s="38"/>
      <c r="AH373" s="11"/>
      <c r="AI373" s="38"/>
      <c r="AK373" s="11"/>
      <c r="AL373" s="38"/>
      <c r="AN373" s="11"/>
      <c r="AO373" s="38"/>
      <c r="AQ373" s="11"/>
      <c r="AR373" s="38"/>
      <c r="AT373" s="11"/>
      <c r="AU373" s="38"/>
    </row>
    <row r="374" spans="15:47" ht="14" x14ac:dyDescent="0.3">
      <c r="O374" s="8" t="s">
        <v>235</v>
      </c>
      <c r="P374" s="6"/>
      <c r="Q374" s="60"/>
      <c r="R374" s="53">
        <f>R363*1.02</f>
        <v>1.4780710526283374</v>
      </c>
      <c r="S374" s="58" t="s">
        <v>238</v>
      </c>
      <c r="T374" s="73" t="s">
        <v>241</v>
      </c>
      <c r="U374" s="84">
        <f>U363*1.01</f>
        <v>38.466572540405032</v>
      </c>
      <c r="V374" s="58" t="s">
        <v>238</v>
      </c>
      <c r="W374" s="73" t="s">
        <v>241</v>
      </c>
      <c r="X374" s="84">
        <f>X363*1.01</f>
        <v>92.334581319646887</v>
      </c>
      <c r="Y374" s="58" t="s">
        <v>238</v>
      </c>
      <c r="Z374" s="73" t="s">
        <v>241</v>
      </c>
      <c r="AA374" s="84">
        <f>AA363*1.01</f>
        <v>176.30055527134314</v>
      </c>
      <c r="AB374" s="58" t="s">
        <v>238</v>
      </c>
      <c r="AC374" s="73" t="s">
        <v>241</v>
      </c>
      <c r="AD374" s="84">
        <f>AD363*1.01</f>
        <v>289.94950340799733</v>
      </c>
      <c r="AE374" s="58" t="s">
        <v>238</v>
      </c>
      <c r="AF374" s="73" t="s">
        <v>241</v>
      </c>
      <c r="AG374" s="84">
        <f>AG363*1.01</f>
        <v>431.69530019608169</v>
      </c>
      <c r="AH374" s="58" t="s">
        <v>238</v>
      </c>
      <c r="AI374" s="73" t="s">
        <v>241</v>
      </c>
      <c r="AJ374" s="84">
        <f>AJ363*1.01</f>
        <v>576.09905160752692</v>
      </c>
      <c r="AK374" s="58" t="s">
        <v>238</v>
      </c>
      <c r="AL374" s="73" t="s">
        <v>241</v>
      </c>
      <c r="AM374" s="84">
        <f>AM363*1.01</f>
        <v>702.95032479497411</v>
      </c>
      <c r="AN374" s="58" t="s">
        <v>238</v>
      </c>
      <c r="AO374" s="73" t="s">
        <v>241</v>
      </c>
      <c r="AP374" s="84">
        <f>AP363*1.01</f>
        <v>816.10350425422212</v>
      </c>
      <c r="AQ374" s="58" t="s">
        <v>238</v>
      </c>
      <c r="AR374" s="73" t="s">
        <v>241</v>
      </c>
      <c r="AS374" s="84">
        <f>AS363*1.01</f>
        <v>928.80191432979097</v>
      </c>
      <c r="AT374" s="58" t="s">
        <v>238</v>
      </c>
      <c r="AU374" s="73" t="s">
        <v>241</v>
      </c>
    </row>
    <row r="375" spans="15:47" ht="13" x14ac:dyDescent="0.25">
      <c r="O375" s="6"/>
      <c r="P375" s="6"/>
      <c r="Q375" s="60"/>
      <c r="R375" s="70"/>
      <c r="S375" s="63" t="s">
        <v>250</v>
      </c>
      <c r="T375" s="71" t="s">
        <v>242</v>
      </c>
      <c r="U375" s="61"/>
      <c r="V375" s="63" t="s">
        <v>250</v>
      </c>
      <c r="W375" s="71" t="s">
        <v>242</v>
      </c>
      <c r="X375" s="61"/>
      <c r="Y375" s="63" t="s">
        <v>250</v>
      </c>
      <c r="Z375" s="71" t="s">
        <v>242</v>
      </c>
      <c r="AA375" s="61"/>
      <c r="AB375" s="63" t="s">
        <v>250</v>
      </c>
      <c r="AC375" s="71" t="s">
        <v>242</v>
      </c>
      <c r="AD375" s="61"/>
      <c r="AE375" s="63" t="s">
        <v>250</v>
      </c>
      <c r="AF375" s="71" t="s">
        <v>242</v>
      </c>
      <c r="AG375" s="61"/>
      <c r="AH375" s="63" t="s">
        <v>250</v>
      </c>
      <c r="AI375" s="71" t="s">
        <v>242</v>
      </c>
      <c r="AJ375" s="61"/>
      <c r="AK375" s="63" t="s">
        <v>250</v>
      </c>
      <c r="AL375" s="71" t="s">
        <v>242</v>
      </c>
      <c r="AM375" s="61"/>
      <c r="AN375" s="63" t="s">
        <v>250</v>
      </c>
      <c r="AO375" s="71" t="s">
        <v>242</v>
      </c>
      <c r="AP375" s="61"/>
      <c r="AQ375" s="63" t="s">
        <v>250</v>
      </c>
      <c r="AR375" s="71" t="s">
        <v>242</v>
      </c>
      <c r="AS375" s="61"/>
      <c r="AT375" s="63" t="s">
        <v>250</v>
      </c>
      <c r="AU375" s="71" t="s">
        <v>242</v>
      </c>
    </row>
    <row r="376" spans="15:47" ht="13" x14ac:dyDescent="0.3">
      <c r="O376" s="6" t="s">
        <v>231</v>
      </c>
      <c r="P376" s="6"/>
      <c r="Q376" s="60"/>
      <c r="R376" s="85">
        <f>P_1_minQ-(R374^2*R_up)+dpup_minQ</f>
        <v>56.916069412562088</v>
      </c>
      <c r="S376" s="56"/>
      <c r="T376" s="72"/>
      <c r="U376" s="53">
        <f>P_1_minQ-(U374^2*R_up)+dpup_minQ</f>
        <v>56.866170982674561</v>
      </c>
      <c r="V376" s="44"/>
      <c r="W376" s="72"/>
      <c r="X376" s="53">
        <f>P_1_minQ-(X374^2*R_up)+dpup_minQ</f>
        <v>56.62821091160167</v>
      </c>
      <c r="Y376" s="44"/>
      <c r="Z376" s="72"/>
      <c r="AA376" s="53">
        <f>P_1_minQ-(AA374^2*R_up)+dpup_minQ</f>
        <v>55.866434117224451</v>
      </c>
      <c r="AB376" s="44"/>
      <c r="AC376" s="72"/>
      <c r="AD376" s="53">
        <f>P_1_minQ-(AD374^2*R_up)+dpup_minQ</f>
        <v>54.076875564790804</v>
      </c>
      <c r="AE376" s="44"/>
      <c r="AF376" s="72"/>
      <c r="AG376" s="53">
        <f>P_1_minQ-(AG374^2*R_up)+dpup_minQ</f>
        <v>50.622295433590509</v>
      </c>
      <c r="AH376" s="44"/>
      <c r="AI376" s="72"/>
      <c r="AJ376" s="53">
        <f>P_1_minQ-(AJ374^2*R_up)+dpup_minQ</f>
        <v>45.707425962070516</v>
      </c>
      <c r="AK376" s="44"/>
      <c r="AL376" s="72"/>
      <c r="AM376" s="53">
        <f>P_1_minQ-(AM374^2*R_up)+dpup_minQ</f>
        <v>40.227890606911195</v>
      </c>
      <c r="AN376" s="44"/>
      <c r="AO376" s="72"/>
      <c r="AP376" s="53">
        <f>P_1_minQ-(AP374^2*R_up)+dpup_minQ</f>
        <v>34.422900045389355</v>
      </c>
      <c r="AQ376" s="44"/>
      <c r="AR376" s="72"/>
      <c r="AS376" s="53">
        <f>P_1_minQ-(AS374^2*R_up)+dpup_minQ</f>
        <v>27.781627961408837</v>
      </c>
      <c r="AT376" s="44"/>
      <c r="AU376" s="72"/>
    </row>
    <row r="377" spans="15:47" ht="13" x14ac:dyDescent="0.3">
      <c r="O377" s="6" t="s">
        <v>233</v>
      </c>
      <c r="P377" s="6"/>
      <c r="Q377" s="60"/>
      <c r="R377" s="85">
        <f>P_2_minQ+(R374^2*R_dn)-dpdn_minQ</f>
        <v>24.656786117487584</v>
      </c>
      <c r="S377" s="66"/>
      <c r="T377" s="74"/>
      <c r="U377" s="53">
        <f>P_2_minQ+(U374^2*R_dn)-dpdn_minQ</f>
        <v>24.66676580346509</v>
      </c>
      <c r="V377" s="45"/>
      <c r="W377" s="74"/>
      <c r="X377" s="53">
        <f>P_2_minQ+(X374^2*R_dn)-dpdn_minQ</f>
        <v>24.714357817679666</v>
      </c>
      <c r="Y377" s="45"/>
      <c r="Z377" s="74"/>
      <c r="AA377" s="53">
        <f>P_2_minQ+(AA374^2*R_dn)-dpdn_minQ</f>
        <v>24.866713176555109</v>
      </c>
      <c r="AB377" s="45"/>
      <c r="AC377" s="74"/>
      <c r="AD377" s="53">
        <f>P_2_minQ+(AD374^2*R_dn)-dpdn_minQ</f>
        <v>25.224624887041841</v>
      </c>
      <c r="AE377" s="45"/>
      <c r="AF377" s="74"/>
      <c r="AG377" s="53">
        <f>P_2_minQ+(AG374^2*R_dn)-dpdn_minQ</f>
        <v>25.915540913281898</v>
      </c>
      <c r="AH377" s="45"/>
      <c r="AI377" s="74"/>
      <c r="AJ377" s="53">
        <f>P_2_minQ+(AJ374^2*R_dn)-dpdn_minQ</f>
        <v>26.898514807585897</v>
      </c>
      <c r="AK377" s="45"/>
      <c r="AL377" s="74"/>
      <c r="AM377" s="53">
        <f>P_2_minQ+(AM374^2*R_dn)-dpdn_minQ</f>
        <v>27.994421878617761</v>
      </c>
      <c r="AN377" s="45"/>
      <c r="AO377" s="74"/>
      <c r="AP377" s="53">
        <f>P_2_minQ+(AP374^2*R_dn)-dpdn_minQ</f>
        <v>29.15541999092213</v>
      </c>
      <c r="AQ377" s="45"/>
      <c r="AR377" s="74"/>
      <c r="AS377" s="53">
        <f>P_2_minQ+(AS374^2*R_dn)-dpdn_minQ</f>
        <v>30.483674407718233</v>
      </c>
      <c r="AT377" s="45"/>
      <c r="AU377" s="74"/>
    </row>
    <row r="378" spans="15:47" x14ac:dyDescent="0.25">
      <c r="O378" s="6" t="s">
        <v>243</v>
      </c>
      <c r="Q378" s="60"/>
      <c r="R378" s="53">
        <f>R376-R377</f>
        <v>32.259283295074503</v>
      </c>
      <c r="S378" s="56"/>
      <c r="T378" s="72"/>
      <c r="U378" s="64">
        <f>U376-U377</f>
        <v>32.199405179209471</v>
      </c>
      <c r="V378" s="44"/>
      <c r="W378" s="72"/>
      <c r="X378" s="64">
        <f>X376-X377</f>
        <v>31.913853093922004</v>
      </c>
      <c r="Y378" s="44"/>
      <c r="Z378" s="72"/>
      <c r="AA378" s="64">
        <f>AA376-AA377</f>
        <v>30.999720940669341</v>
      </c>
      <c r="AB378" s="44"/>
      <c r="AC378" s="72"/>
      <c r="AD378" s="64">
        <f>AD376-AD377</f>
        <v>28.852250677748962</v>
      </c>
      <c r="AE378" s="44"/>
      <c r="AF378" s="72"/>
      <c r="AG378" s="64">
        <f>AG376-AG377</f>
        <v>24.706754520308611</v>
      </c>
      <c r="AH378" s="44"/>
      <c r="AI378" s="72"/>
      <c r="AJ378" s="64">
        <f>AJ376-AJ377</f>
        <v>18.808911154484619</v>
      </c>
      <c r="AK378" s="44"/>
      <c r="AL378" s="72"/>
      <c r="AM378" s="64">
        <f>AM376-AM377</f>
        <v>12.233468728293435</v>
      </c>
      <c r="AN378" s="44"/>
      <c r="AO378" s="72"/>
      <c r="AP378" s="64">
        <f>AP376-AP377</f>
        <v>5.2674800544672244</v>
      </c>
      <c r="AQ378" s="44"/>
      <c r="AR378" s="72"/>
      <c r="AS378" s="64">
        <f>AS376-AS377</f>
        <v>-2.7020464463093958</v>
      </c>
      <c r="AT378" s="44"/>
      <c r="AU378" s="72"/>
    </row>
    <row r="379" spans="15:47" ht="13" x14ac:dyDescent="0.3">
      <c r="O379" s="6" t="s">
        <v>75</v>
      </c>
      <c r="P379" s="6">
        <v>3</v>
      </c>
      <c r="Q379" s="65"/>
      <c r="R379" s="85">
        <f>(F_LP_h/F_P_h)^2*(R376-('Valve Sizing'!$V$4*'Valve Sizing'!$G$7))</f>
        <v>46.765102146096289</v>
      </c>
      <c r="S379" s="58"/>
      <c r="T379" s="73"/>
      <c r="U379" s="53">
        <f>(U$29/U$27)^2*(U376-('Valve Sizing'!$V$4*'Valve Sizing'!$G$7))</f>
        <v>46.711048653784381</v>
      </c>
      <c r="V379" s="41"/>
      <c r="W379" s="73"/>
      <c r="X379" s="53">
        <f>(X$29/X$27)^2*(X376-('Valve Sizing'!$V$4*'Valve Sizing'!$G$7))</f>
        <v>45.464844500791571</v>
      </c>
      <c r="Y379" s="41"/>
      <c r="Z379" s="73"/>
      <c r="AA379" s="53">
        <f>(AA$29/AA$27)^2*(AA376-('Valve Sizing'!$V$4*'Valve Sizing'!$G$7))</f>
        <v>42.8333497089031</v>
      </c>
      <c r="AB379" s="41"/>
      <c r="AC379" s="73"/>
      <c r="AD379" s="53">
        <f>(AD$29/AD$27)^2*(AD376-('Valve Sizing'!$V$4*'Valve Sizing'!$G$7))</f>
        <v>38.682197627448986</v>
      </c>
      <c r="AE379" s="41"/>
      <c r="AF379" s="73"/>
      <c r="AG379" s="53">
        <f>(AG$29/AG$27)^2*(AG376-('Valve Sizing'!$V$4*'Valve Sizing'!$G$7))</f>
        <v>32.319566689142526</v>
      </c>
      <c r="AH379" s="41"/>
      <c r="AI379" s="73"/>
      <c r="AJ379" s="53">
        <f>(AJ$29/AJ$27)^2*(AJ376-('Valve Sizing'!$V$4*'Valve Sizing'!$G$7))</f>
        <v>26.181031374812122</v>
      </c>
      <c r="AK379" s="41"/>
      <c r="AL379" s="73"/>
      <c r="AM379" s="53">
        <f>(AM$29/AM$27)^2*(AM376-('Valve Sizing'!$V$4*'Valve Sizing'!$G$7))</f>
        <v>19.037369941990711</v>
      </c>
      <c r="AN379" s="41"/>
      <c r="AO379" s="73"/>
      <c r="AP379" s="53">
        <f>(AP$29/AP$27)^2*(AP376-('Valve Sizing'!$V$4*'Valve Sizing'!$G$7))</f>
        <v>13.410541271630949</v>
      </c>
      <c r="AQ379" s="41"/>
      <c r="AR379" s="73"/>
      <c r="AS379" s="53">
        <f>(AS$29/AS$27)^2*(AS376-('Valve Sizing'!$V$4*'Valve Sizing'!$G$7))</f>
        <v>10.28427996184716</v>
      </c>
      <c r="AT379" s="41"/>
      <c r="AU379" s="73"/>
    </row>
    <row r="380" spans="15:47" ht="13" x14ac:dyDescent="0.25">
      <c r="O380" s="1" t="s">
        <v>69</v>
      </c>
      <c r="P380" s="17">
        <v>7</v>
      </c>
      <c r="Q380" s="65"/>
      <c r="R380" s="53">
        <f>(R374/(N_1*F_P_h))*SQRT('Valve Sizing'!$G$6/R378)</f>
        <v>0.26027441740670593</v>
      </c>
      <c r="S380" s="58"/>
      <c r="T380" s="73"/>
      <c r="U380" s="64">
        <f>(U374/(N_1*U$27))*SQRT('Valve Sizing'!$G$6/U378)</f>
        <v>6.7846154547782058</v>
      </c>
      <c r="V380" s="41"/>
      <c r="W380" s="73"/>
      <c r="X380" s="64">
        <f>(X374/(N_1*X$27))*SQRT('Valve Sizing'!$G$6/X378)</f>
        <v>16.395138174425593</v>
      </c>
      <c r="Y380" s="41"/>
      <c r="Z380" s="73"/>
      <c r="AA380" s="64">
        <f>(AA374/(N_1*AA$27))*SQRT('Valve Sizing'!$G$6/AA378)</f>
        <v>31.945260263328468</v>
      </c>
      <c r="AB380" s="41"/>
      <c r="AC380" s="73"/>
      <c r="AD380" s="64">
        <f>(AD374/(N_1*AD$27))*SQRT('Valve Sizing'!$G$6/AD378)</f>
        <v>55.142870059792912</v>
      </c>
      <c r="AE380" s="41"/>
      <c r="AF380" s="73"/>
      <c r="AG380" s="64">
        <f>(AG374/(N_1*AG$27))*SQRT('Valve Sizing'!$G$6/AG378)</f>
        <v>90.700467405601103</v>
      </c>
      <c r="AH380" s="41"/>
      <c r="AI380" s="73"/>
      <c r="AJ380" s="64">
        <f>(AJ374/(N_1*AJ$27))*SQRT('Valve Sizing'!$G$6/AJ378)</f>
        <v>143.7674371742859</v>
      </c>
      <c r="AK380" s="41"/>
      <c r="AL380" s="73"/>
      <c r="AM380" s="64">
        <f>(AM374/(N_1*AM$27))*SQRT('Valve Sizing'!$G$6/AM378)</f>
        <v>230.7882630140779</v>
      </c>
      <c r="AN380" s="41"/>
      <c r="AO380" s="73"/>
      <c r="AP380" s="64">
        <f>(AP374/(N_1*AP$27))*SQRT('Valve Sizing'!$G$6/AP378)</f>
        <v>464.75508406412041</v>
      </c>
      <c r="AQ380" s="41"/>
      <c r="AR380" s="73"/>
      <c r="AS380" s="64" t="e">
        <f>(AS374/(N_1*AS$27))*SQRT('Valve Sizing'!$G$6/AS378)</f>
        <v>#NUM!</v>
      </c>
      <c r="AT380" s="41"/>
      <c r="AU380" s="73"/>
    </row>
    <row r="381" spans="15:47" ht="13" x14ac:dyDescent="0.3">
      <c r="O381" s="1" t="s">
        <v>72</v>
      </c>
      <c r="P381" s="17">
        <v>7</v>
      </c>
      <c r="Q381" s="65"/>
      <c r="R381" s="53">
        <f>(R374/(N_1*F_P_h))*SQRT('Valve Sizing'!$G$6/R379)</f>
        <v>0.21617123146226846</v>
      </c>
      <c r="S381" s="56"/>
      <c r="T381" s="72"/>
      <c r="U381" s="85">
        <f>(U374/(N_1*U$27))*SQRT('Valve Sizing'!$G$6/U379)</f>
        <v>5.6329948375740084</v>
      </c>
      <c r="V381" s="44"/>
      <c r="W381" s="72"/>
      <c r="X381" s="85">
        <f>(X374/(N_1*X$27))*SQRT('Valve Sizing'!$G$6/X379)</f>
        <v>13.736207633750482</v>
      </c>
      <c r="Y381" s="44"/>
      <c r="Z381" s="72"/>
      <c r="AA381" s="85">
        <f>(AA374/(N_1*AA$27))*SQRT('Valve Sizing'!$G$6/AA379)</f>
        <v>27.176548761600621</v>
      </c>
      <c r="AB381" s="44"/>
      <c r="AC381" s="72"/>
      <c r="AD381" s="85">
        <f>(AD374/(N_1*AD$27))*SQRT('Valve Sizing'!$G$6/AD379)</f>
        <v>47.623756071432261</v>
      </c>
      <c r="AE381" s="44"/>
      <c r="AF381" s="72"/>
      <c r="AG381" s="85">
        <f>(AG374/(N_1*AG$27))*SQRT('Valve Sizing'!$G$6/AG379)</f>
        <v>79.302085835720575</v>
      </c>
      <c r="AH381" s="44"/>
      <c r="AI381" s="72"/>
      <c r="AJ381" s="85">
        <f>(AJ374/(N_1*AJ$27))*SQRT('Valve Sizing'!$G$6/AJ379)</f>
        <v>121.8565793798752</v>
      </c>
      <c r="AK381" s="44"/>
      <c r="AL381" s="72"/>
      <c r="AM381" s="85">
        <f>(AM374/(N_1*AM$27))*SQRT('Valve Sizing'!$G$6/AM379)</f>
        <v>185.00567561485923</v>
      </c>
      <c r="AN381" s="44"/>
      <c r="AO381" s="72"/>
      <c r="AP381" s="85">
        <f>(AP374/(N_1*AP$27))*SQRT('Valve Sizing'!$G$6/AP379)</f>
        <v>291.27448677038785</v>
      </c>
      <c r="AQ381" s="44"/>
      <c r="AR381" s="72"/>
      <c r="AS381" s="85">
        <f>(AS374/(N_1*AS$27))*SQRT('Valve Sizing'!$G$6/AS379)</f>
        <v>507.0181810001439</v>
      </c>
      <c r="AT381" s="44"/>
      <c r="AU381" s="72"/>
    </row>
    <row r="382" spans="15:47" x14ac:dyDescent="0.25">
      <c r="O382" s="1" t="s">
        <v>246</v>
      </c>
      <c r="P382" s="18"/>
      <c r="Q382" s="65"/>
      <c r="R382" s="53">
        <f>IF(R378&lt;R379,R380,R381)</f>
        <v>0.26027441740670593</v>
      </c>
      <c r="S382" s="49"/>
      <c r="T382" s="72"/>
      <c r="U382" s="64">
        <f>IF(U378&lt;U379,U380,U381)</f>
        <v>6.7846154547782058</v>
      </c>
      <c r="V382" s="44"/>
      <c r="W382" s="72"/>
      <c r="X382" s="64">
        <f>IF(X378&lt;X379,X380,X381)</f>
        <v>16.395138174425593</v>
      </c>
      <c r="Y382" s="44"/>
      <c r="Z382" s="72"/>
      <c r="AA382" s="64">
        <f>IF(AA378&lt;AA379,AA380,AA381)</f>
        <v>31.945260263328468</v>
      </c>
      <c r="AB382" s="44"/>
      <c r="AC382" s="72"/>
      <c r="AD382" s="64">
        <f>IF(AD378&lt;AD379,AD380,AD381)</f>
        <v>55.142870059792912</v>
      </c>
      <c r="AE382" s="44"/>
      <c r="AF382" s="72"/>
      <c r="AG382" s="64">
        <f>IF(AG378&lt;AG379,AG380,AG381)</f>
        <v>90.700467405601103</v>
      </c>
      <c r="AH382" s="44"/>
      <c r="AI382" s="72"/>
      <c r="AJ382" s="64">
        <f>IF(AJ378&lt;AJ379,AJ380,AJ381)</f>
        <v>143.7674371742859</v>
      </c>
      <c r="AK382" s="44"/>
      <c r="AL382" s="72"/>
      <c r="AM382" s="64">
        <f>IF(AM378&lt;AM379,AM380,AM381)</f>
        <v>230.7882630140779</v>
      </c>
      <c r="AN382" s="44"/>
      <c r="AO382" s="72"/>
      <c r="AP382" s="64">
        <f>IF(AP378&lt;AP379,AP380,AP381)</f>
        <v>464.75508406412041</v>
      </c>
      <c r="AQ382" s="44"/>
      <c r="AR382" s="72"/>
      <c r="AS382" s="64" t="e">
        <f>IF(AS378&lt;AS379,AS380,AS381)</f>
        <v>#NUM!</v>
      </c>
      <c r="AT382" s="44"/>
      <c r="AU382" s="72"/>
    </row>
    <row r="383" spans="15:47" ht="13" x14ac:dyDescent="0.3">
      <c r="O383" s="7" t="s">
        <v>264</v>
      </c>
      <c r="Q383" s="61"/>
      <c r="R383" s="53"/>
      <c r="S383" s="69">
        <f>IFERROR(ABS(C_h-R382),Q_max*10)</f>
        <v>4.7397255825932945</v>
      </c>
      <c r="T383" s="76">
        <f>R374</f>
        <v>1.4780710526283374</v>
      </c>
      <c r="U383" s="61"/>
      <c r="V383" s="69">
        <f>IFERROR(ABS(U$23-U382),Q_max*10)</f>
        <v>5.2153845452217942</v>
      </c>
      <c r="W383" s="75">
        <f>U374</f>
        <v>38.466572540405032</v>
      </c>
      <c r="X383" s="61"/>
      <c r="Y383" s="69">
        <f>IFERROR(ABS(X$23-X382),Q_max*10)</f>
        <v>6.6048618255744067</v>
      </c>
      <c r="Z383" s="75">
        <f>X374</f>
        <v>92.334581319646887</v>
      </c>
      <c r="AA383" s="61"/>
      <c r="AB383" s="69">
        <f>IFERROR(ABS(AA$23-AA382),Q_max*10)</f>
        <v>7.0547397366715323</v>
      </c>
      <c r="AC383" s="75">
        <f>AA374</f>
        <v>176.30055527134314</v>
      </c>
      <c r="AD383" s="61"/>
      <c r="AE383" s="69">
        <f>IFERROR(ABS(AD$23-AD382),Q_max*10)</f>
        <v>5.8571299402070878</v>
      </c>
      <c r="AF383" s="75">
        <f>AD374</f>
        <v>289.94950340799733</v>
      </c>
      <c r="AG383" s="61"/>
      <c r="AH383" s="69">
        <f>IFERROR(ABS(AG$23-AG382),Q_max*10)</f>
        <v>2.7004674056011027</v>
      </c>
      <c r="AI383" s="75">
        <f>AG374</f>
        <v>431.69530019608169</v>
      </c>
      <c r="AJ383" s="61"/>
      <c r="AK383" s="69">
        <f>IFERROR(ABS(AJ$23-AJ382),Q_max*10)</f>
        <v>22.767437174285902</v>
      </c>
      <c r="AL383" s="75">
        <f>AJ374</f>
        <v>576.09905160752692</v>
      </c>
      <c r="AM383" s="61"/>
      <c r="AN383" s="69">
        <f>IFERROR(ABS(AM$23-AM382),Q_max*10)</f>
        <v>65.788263014077899</v>
      </c>
      <c r="AO383" s="75">
        <f>AM374</f>
        <v>702.95032479497411</v>
      </c>
      <c r="AP383" s="61"/>
      <c r="AQ383" s="69">
        <f>IFERROR(ABS(AP$23-AP382),Q_max*10)</f>
        <v>218.75508406412041</v>
      </c>
      <c r="AR383" s="75">
        <f>AP374</f>
        <v>816.10350425422212</v>
      </c>
      <c r="AS383" s="61"/>
      <c r="AT383" s="69">
        <f>IFERROR(ABS(AS$23-AS382),Q_max*10)</f>
        <v>5500</v>
      </c>
      <c r="AU383" s="75">
        <f>AS374</f>
        <v>928.80191432979097</v>
      </c>
    </row>
    <row r="384" spans="15:47" ht="14.5" x14ac:dyDescent="0.35">
      <c r="O384" s="6"/>
      <c r="P384" s="6"/>
      <c r="Q384" s="60"/>
      <c r="R384" s="67"/>
      <c r="S384" s="56"/>
      <c r="T384" s="72"/>
      <c r="V384" s="11"/>
      <c r="W384" s="38"/>
      <c r="Y384" s="11"/>
      <c r="Z384" s="38"/>
      <c r="AB384" s="11"/>
      <c r="AC384" s="38"/>
      <c r="AE384" s="11"/>
      <c r="AF384" s="38"/>
      <c r="AH384" s="11"/>
      <c r="AI384" s="38"/>
      <c r="AK384" s="11"/>
      <c r="AL384" s="38"/>
      <c r="AN384" s="11"/>
      <c r="AO384" s="38"/>
      <c r="AQ384" s="11"/>
      <c r="AR384" s="38"/>
      <c r="AT384" s="11"/>
      <c r="AU384" s="38"/>
    </row>
    <row r="385" spans="15:47" ht="14" x14ac:dyDescent="0.3">
      <c r="O385" s="8" t="s">
        <v>235</v>
      </c>
      <c r="P385" s="6"/>
      <c r="Q385" s="60"/>
      <c r="R385" s="53">
        <f>R374*1.02</f>
        <v>1.5076324736809041</v>
      </c>
      <c r="S385" s="58" t="s">
        <v>238</v>
      </c>
      <c r="T385" s="73" t="s">
        <v>241</v>
      </c>
      <c r="U385" s="84">
        <f>U374*1.01</f>
        <v>38.85123826580908</v>
      </c>
      <c r="V385" s="58" t="s">
        <v>238</v>
      </c>
      <c r="W385" s="73" t="s">
        <v>241</v>
      </c>
      <c r="X385" s="84">
        <f>X374*1.01</f>
        <v>93.257927132843363</v>
      </c>
      <c r="Y385" s="58" t="s">
        <v>238</v>
      </c>
      <c r="Z385" s="73" t="s">
        <v>241</v>
      </c>
      <c r="AA385" s="84">
        <f>AA374*1.01</f>
        <v>178.06356082405657</v>
      </c>
      <c r="AB385" s="58" t="s">
        <v>238</v>
      </c>
      <c r="AC385" s="73" t="s">
        <v>241</v>
      </c>
      <c r="AD385" s="84">
        <f>AD374*1.01</f>
        <v>292.84899844207729</v>
      </c>
      <c r="AE385" s="58" t="s">
        <v>238</v>
      </c>
      <c r="AF385" s="73" t="s">
        <v>241</v>
      </c>
      <c r="AG385" s="84">
        <f>AG374*1.01</f>
        <v>436.01225319804252</v>
      </c>
      <c r="AH385" s="58" t="s">
        <v>238</v>
      </c>
      <c r="AI385" s="73" t="s">
        <v>241</v>
      </c>
      <c r="AJ385" s="84">
        <f>AJ374*1.01</f>
        <v>581.86004212360217</v>
      </c>
      <c r="AK385" s="58" t="s">
        <v>238</v>
      </c>
      <c r="AL385" s="73" t="s">
        <v>241</v>
      </c>
      <c r="AM385" s="84">
        <f>AM374*1.01</f>
        <v>709.97982804292383</v>
      </c>
      <c r="AN385" s="58" t="s">
        <v>238</v>
      </c>
      <c r="AO385" s="73" t="s">
        <v>241</v>
      </c>
      <c r="AP385" s="84">
        <f>AP374*1.01</f>
        <v>824.26453929676438</v>
      </c>
      <c r="AQ385" s="58" t="s">
        <v>238</v>
      </c>
      <c r="AR385" s="73" t="s">
        <v>241</v>
      </c>
      <c r="AS385" s="84">
        <f>AS374*1.01</f>
        <v>938.08993347308888</v>
      </c>
      <c r="AT385" s="58" t="s">
        <v>238</v>
      </c>
      <c r="AU385" s="73" t="s">
        <v>241</v>
      </c>
    </row>
    <row r="386" spans="15:47" ht="13" x14ac:dyDescent="0.25">
      <c r="O386" s="6"/>
      <c r="P386" s="6"/>
      <c r="Q386" s="60"/>
      <c r="R386" s="70"/>
      <c r="S386" s="63" t="s">
        <v>250</v>
      </c>
      <c r="T386" s="71" t="s">
        <v>242</v>
      </c>
      <c r="U386" s="61"/>
      <c r="V386" s="63" t="s">
        <v>250</v>
      </c>
      <c r="W386" s="71" t="s">
        <v>242</v>
      </c>
      <c r="X386" s="61"/>
      <c r="Y386" s="63" t="s">
        <v>250</v>
      </c>
      <c r="Z386" s="71" t="s">
        <v>242</v>
      </c>
      <c r="AA386" s="61"/>
      <c r="AB386" s="63" t="s">
        <v>250</v>
      </c>
      <c r="AC386" s="71" t="s">
        <v>242</v>
      </c>
      <c r="AD386" s="61"/>
      <c r="AE386" s="63" t="s">
        <v>250</v>
      </c>
      <c r="AF386" s="71" t="s">
        <v>242</v>
      </c>
      <c r="AG386" s="61"/>
      <c r="AH386" s="63" t="s">
        <v>250</v>
      </c>
      <c r="AI386" s="71" t="s">
        <v>242</v>
      </c>
      <c r="AJ386" s="61"/>
      <c r="AK386" s="63" t="s">
        <v>250</v>
      </c>
      <c r="AL386" s="71" t="s">
        <v>242</v>
      </c>
      <c r="AM386" s="61"/>
      <c r="AN386" s="63" t="s">
        <v>250</v>
      </c>
      <c r="AO386" s="71" t="s">
        <v>242</v>
      </c>
      <c r="AP386" s="61"/>
      <c r="AQ386" s="63" t="s">
        <v>250</v>
      </c>
      <c r="AR386" s="71" t="s">
        <v>242</v>
      </c>
      <c r="AS386" s="61"/>
      <c r="AT386" s="63" t="s">
        <v>250</v>
      </c>
      <c r="AU386" s="71" t="s">
        <v>242</v>
      </c>
    </row>
    <row r="387" spans="15:47" ht="13" x14ac:dyDescent="0.3">
      <c r="O387" s="6" t="s">
        <v>231</v>
      </c>
      <c r="P387" s="6"/>
      <c r="Q387" s="60"/>
      <c r="R387" s="85">
        <f>P_1_minQ-(R385^2*R_up)+dpup_minQ</f>
        <v>56.916066431756981</v>
      </c>
      <c r="S387" s="56"/>
      <c r="T387" s="72"/>
      <c r="U387" s="53">
        <f>P_1_minQ-(U385^2*R_up)+dpup_minQ</f>
        <v>56.865166541209504</v>
      </c>
      <c r="V387" s="44"/>
      <c r="W387" s="72"/>
      <c r="X387" s="53">
        <f>P_1_minQ-(X385^2*R_up)+dpup_minQ</f>
        <v>56.62242347270805</v>
      </c>
      <c r="Y387" s="44"/>
      <c r="Z387" s="72"/>
      <c r="AA387" s="53">
        <f>P_1_minQ-(AA385^2*R_up)+dpup_minQ</f>
        <v>55.845334964763843</v>
      </c>
      <c r="AB387" s="44"/>
      <c r="AC387" s="72"/>
      <c r="AD387" s="53">
        <f>P_1_minQ-(AD385^2*R_up)+dpup_minQ</f>
        <v>54.019806285426284</v>
      </c>
      <c r="AE387" s="44"/>
      <c r="AF387" s="72"/>
      <c r="AG387" s="53">
        <f>P_1_minQ-(AG385^2*R_up)+dpup_minQ</f>
        <v>50.495789093588854</v>
      </c>
      <c r="AH387" s="44"/>
      <c r="AI387" s="72"/>
      <c r="AJ387" s="53">
        <f>P_1_minQ-(AJ385^2*R_up)+dpup_minQ</f>
        <v>45.482130745691315</v>
      </c>
      <c r="AK387" s="44"/>
      <c r="AL387" s="72"/>
      <c r="AM387" s="53">
        <f>P_1_minQ-(AM385^2*R_up)+dpup_minQ</f>
        <v>39.89245672989329</v>
      </c>
      <c r="AN387" s="44"/>
      <c r="AO387" s="72"/>
      <c r="AP387" s="53">
        <f>P_1_minQ-(AP385^2*R_up)+dpup_minQ</f>
        <v>33.970785858084859</v>
      </c>
      <c r="AQ387" s="44"/>
      <c r="AR387" s="72"/>
      <c r="AS387" s="53">
        <f>P_1_minQ-(AS385^2*R_up)+dpup_minQ</f>
        <v>27.196024205216336</v>
      </c>
      <c r="AT387" s="44"/>
      <c r="AU387" s="72"/>
    </row>
    <row r="388" spans="15:47" ht="13" x14ac:dyDescent="0.3">
      <c r="O388" s="6" t="s">
        <v>233</v>
      </c>
      <c r="P388" s="6"/>
      <c r="Q388" s="60"/>
      <c r="R388" s="85">
        <f>P_2_minQ+(R385^2*R_dn)-dpdn_minQ</f>
        <v>24.656786713648604</v>
      </c>
      <c r="S388" s="66"/>
      <c r="T388" s="74"/>
      <c r="U388" s="53">
        <f>P_2_minQ+(U385^2*R_dn)-dpdn_minQ</f>
        <v>24.666966691758102</v>
      </c>
      <c r="V388" s="45"/>
      <c r="W388" s="74"/>
      <c r="X388" s="53">
        <f>P_2_minQ+(X385^2*R_dn)-dpdn_minQ</f>
        <v>24.715515305458393</v>
      </c>
      <c r="Y388" s="45"/>
      <c r="Z388" s="74"/>
      <c r="AA388" s="53">
        <f>P_2_minQ+(AA385^2*R_dn)-dpdn_minQ</f>
        <v>24.870933007047231</v>
      </c>
      <c r="AB388" s="45"/>
      <c r="AC388" s="74"/>
      <c r="AD388" s="53">
        <f>P_2_minQ+(AD385^2*R_dn)-dpdn_minQ</f>
        <v>25.236038742914744</v>
      </c>
      <c r="AE388" s="45"/>
      <c r="AF388" s="74"/>
      <c r="AG388" s="53">
        <f>P_2_minQ+(AG385^2*R_dn)-dpdn_minQ</f>
        <v>25.940842181282228</v>
      </c>
      <c r="AH388" s="45"/>
      <c r="AI388" s="74"/>
      <c r="AJ388" s="53">
        <f>P_2_minQ+(AJ385^2*R_dn)-dpdn_minQ</f>
        <v>26.943573850861739</v>
      </c>
      <c r="AK388" s="45"/>
      <c r="AL388" s="74"/>
      <c r="AM388" s="53">
        <f>P_2_minQ+(AM385^2*R_dn)-dpdn_minQ</f>
        <v>28.061508654021342</v>
      </c>
      <c r="AN388" s="45"/>
      <c r="AO388" s="74"/>
      <c r="AP388" s="53">
        <f>P_2_minQ+(AP385^2*R_dn)-dpdn_minQ</f>
        <v>29.245842828383029</v>
      </c>
      <c r="AQ388" s="45"/>
      <c r="AR388" s="74"/>
      <c r="AS388" s="53">
        <f>P_2_minQ+(AS385^2*R_dn)-dpdn_minQ</f>
        <v>30.600795158956732</v>
      </c>
      <c r="AT388" s="45"/>
      <c r="AU388" s="74"/>
    </row>
    <row r="389" spans="15:47" x14ac:dyDescent="0.25">
      <c r="O389" s="6" t="s">
        <v>243</v>
      </c>
      <c r="Q389" s="60"/>
      <c r="R389" s="53">
        <f>R387-R388</f>
        <v>32.259279718108374</v>
      </c>
      <c r="S389" s="56"/>
      <c r="T389" s="72"/>
      <c r="U389" s="64">
        <f>U387-U388</f>
        <v>32.198199849451399</v>
      </c>
      <c r="V389" s="44"/>
      <c r="W389" s="72"/>
      <c r="X389" s="64">
        <f>X387-X388</f>
        <v>31.906908167249657</v>
      </c>
      <c r="Y389" s="44"/>
      <c r="Z389" s="72"/>
      <c r="AA389" s="64">
        <f>AA387-AA388</f>
        <v>30.974401957716612</v>
      </c>
      <c r="AB389" s="44"/>
      <c r="AC389" s="72"/>
      <c r="AD389" s="64">
        <f>AD387-AD388</f>
        <v>28.783767542511541</v>
      </c>
      <c r="AE389" s="44"/>
      <c r="AF389" s="72"/>
      <c r="AG389" s="64">
        <f>AG387-AG388</f>
        <v>24.554946912306626</v>
      </c>
      <c r="AH389" s="44"/>
      <c r="AI389" s="72"/>
      <c r="AJ389" s="64">
        <f>AJ387-AJ388</f>
        <v>18.538556894829576</v>
      </c>
      <c r="AK389" s="44"/>
      <c r="AL389" s="72"/>
      <c r="AM389" s="64">
        <f>AM387-AM388</f>
        <v>11.830948075871948</v>
      </c>
      <c r="AN389" s="44"/>
      <c r="AO389" s="72"/>
      <c r="AP389" s="64">
        <f>AP387-AP388</f>
        <v>4.72494302970183</v>
      </c>
      <c r="AQ389" s="44"/>
      <c r="AR389" s="72"/>
      <c r="AS389" s="64">
        <f>AS387-AS388</f>
        <v>-3.4047709537403961</v>
      </c>
      <c r="AT389" s="44"/>
      <c r="AU389" s="72"/>
    </row>
    <row r="390" spans="15:47" ht="13" x14ac:dyDescent="0.3">
      <c r="O390" s="6" t="s">
        <v>75</v>
      </c>
      <c r="P390" s="6">
        <v>3</v>
      </c>
      <c r="Q390" s="65"/>
      <c r="R390" s="85">
        <f>(F_LP_h/F_P_h)^2*(R387-('Valve Sizing'!$V$4*'Valve Sizing'!$G$7))</f>
        <v>46.765099677833199</v>
      </c>
      <c r="S390" s="58"/>
      <c r="T390" s="73"/>
      <c r="U390" s="53">
        <f>(U$29/U$27)^2*(U387-('Valve Sizing'!$V$4*'Valve Sizing'!$G$7))</f>
        <v>46.710217150223549</v>
      </c>
      <c r="V390" s="41"/>
      <c r="W390" s="73"/>
      <c r="X390" s="53">
        <f>(X$29/X$27)^2*(X387-('Valve Sizing'!$V$4*'Valve Sizing'!$G$7))</f>
        <v>45.460161573979221</v>
      </c>
      <c r="Y390" s="41"/>
      <c r="Z390" s="73"/>
      <c r="AA390" s="53">
        <f>(AA$29/AA$27)^2*(AA387-('Valve Sizing'!$V$4*'Valve Sizing'!$G$7))</f>
        <v>42.817044342508638</v>
      </c>
      <c r="AB390" s="41"/>
      <c r="AC390" s="73"/>
      <c r="AD390" s="53">
        <f>(AD$29/AD$27)^2*(AD387-('Valve Sizing'!$V$4*'Valve Sizing'!$G$7))</f>
        <v>38.641039981834709</v>
      </c>
      <c r="AE390" s="41"/>
      <c r="AF390" s="73"/>
      <c r="AG390" s="53">
        <f>(AG$29/AG$27)^2*(AG387-('Valve Sizing'!$V$4*'Valve Sizing'!$G$7))</f>
        <v>32.238091046078146</v>
      </c>
      <c r="AH390" s="41"/>
      <c r="AI390" s="73"/>
      <c r="AJ390" s="53">
        <f>(AJ$29/AJ$27)^2*(AJ387-('Valve Sizing'!$V$4*'Valve Sizing'!$G$7))</f>
        <v>26.050728656738787</v>
      </c>
      <c r="AK390" s="41"/>
      <c r="AL390" s="73"/>
      <c r="AM390" s="53">
        <f>(AM$29/AM$27)^2*(AM387-('Valve Sizing'!$V$4*'Valve Sizing'!$G$7))</f>
        <v>18.876874173904405</v>
      </c>
      <c r="AN390" s="41"/>
      <c r="AO390" s="73"/>
      <c r="AP390" s="53">
        <f>(AP$29/AP$27)^2*(AP387-('Valve Sizing'!$V$4*'Valve Sizing'!$G$7))</f>
        <v>13.232124884291256</v>
      </c>
      <c r="AQ390" s="41"/>
      <c r="AR390" s="73"/>
      <c r="AS390" s="53">
        <f>(AS$29/AS$27)^2*(AS387-('Valve Sizing'!$V$4*'Valve Sizing'!$G$7))</f>
        <v>10.064010499962734</v>
      </c>
      <c r="AT390" s="41"/>
      <c r="AU390" s="73"/>
    </row>
    <row r="391" spans="15:47" ht="13" x14ac:dyDescent="0.25">
      <c r="O391" s="1" t="s">
        <v>69</v>
      </c>
      <c r="P391" s="17">
        <v>7</v>
      </c>
      <c r="Q391" s="65"/>
      <c r="R391" s="53">
        <f>(R385/(N_1*F_P_h))*SQRT('Valve Sizing'!$G$6/R389)</f>
        <v>0.26547992047328095</v>
      </c>
      <c r="S391" s="58"/>
      <c r="T391" s="73"/>
      <c r="U391" s="64">
        <f>(U385/(N_1*U$27))*SQRT('Valve Sizing'!$G$6/U389)</f>
        <v>6.8525898680273443</v>
      </c>
      <c r="V391" s="41"/>
      <c r="W391" s="73"/>
      <c r="X391" s="64">
        <f>(X385/(N_1*X$27))*SQRT('Valve Sizing'!$G$6/X389)</f>
        <v>16.560891601747706</v>
      </c>
      <c r="Y391" s="41"/>
      <c r="Z391" s="73"/>
      <c r="AA391" s="64">
        <f>(AA385/(N_1*AA$27))*SQRT('Valve Sizing'!$G$6/AA389)</f>
        <v>32.277897024375783</v>
      </c>
      <c r="AB391" s="41"/>
      <c r="AC391" s="73"/>
      <c r="AD391" s="64">
        <f>(AD385/(N_1*AD$27))*SQRT('Valve Sizing'!$G$6/AD389)</f>
        <v>55.760514105864921</v>
      </c>
      <c r="AE391" s="41"/>
      <c r="AF391" s="73"/>
      <c r="AG391" s="64">
        <f>(AG385/(N_1*AG$27))*SQRT('Valve Sizing'!$G$6/AG389)</f>
        <v>91.890211100873401</v>
      </c>
      <c r="AH391" s="41"/>
      <c r="AI391" s="73"/>
      <c r="AJ391" s="64">
        <f>(AJ385/(N_1*AJ$27))*SQRT('Valve Sizing'!$G$6/AJ389)</f>
        <v>146.26006773446485</v>
      </c>
      <c r="AK391" s="41"/>
      <c r="AL391" s="73"/>
      <c r="AM391" s="64">
        <f>(AM385/(N_1*AM$27))*SQRT('Valve Sizing'!$G$6/AM389)</f>
        <v>237.02825880723216</v>
      </c>
      <c r="AN391" s="41"/>
      <c r="AO391" s="73"/>
      <c r="AP391" s="64">
        <f>(AP385/(N_1*AP$27))*SQRT('Valve Sizing'!$G$6/AP389)</f>
        <v>495.61984186203858</v>
      </c>
      <c r="AQ391" s="41"/>
      <c r="AR391" s="73"/>
      <c r="AS391" s="64" t="e">
        <f>(AS385/(N_1*AS$27))*SQRT('Valve Sizing'!$G$6/AS389)</f>
        <v>#NUM!</v>
      </c>
      <c r="AT391" s="41"/>
      <c r="AU391" s="73"/>
    </row>
    <row r="392" spans="15:47" ht="13" x14ac:dyDescent="0.3">
      <c r="O392" s="1" t="s">
        <v>72</v>
      </c>
      <c r="P392" s="17">
        <v>7</v>
      </c>
      <c r="Q392" s="65"/>
      <c r="R392" s="53">
        <f>(R385/(N_1*F_P_h))*SQRT('Valve Sizing'!$G$6/R390)</f>
        <v>0.2204946619103704</v>
      </c>
      <c r="S392" s="56"/>
      <c r="T392" s="72"/>
      <c r="U392" s="85">
        <f>(U385/(N_1*U$27))*SQRT('Valve Sizing'!$G$6/U390)</f>
        <v>5.6893754244722583</v>
      </c>
      <c r="V392" s="44"/>
      <c r="W392" s="72"/>
      <c r="X392" s="85">
        <f>(X385/(N_1*X$27))*SQRT('Valve Sizing'!$G$6/X390)</f>
        <v>13.874284261425645</v>
      </c>
      <c r="Y392" s="44"/>
      <c r="Z392" s="72"/>
      <c r="AA392" s="85">
        <f>(AA385/(N_1*AA$27))*SQRT('Valve Sizing'!$G$6/AA390)</f>
        <v>27.453540114603257</v>
      </c>
      <c r="AB392" s="44"/>
      <c r="AC392" s="72"/>
      <c r="AD392" s="85">
        <f>(AD385/(N_1*AD$27))*SQRT('Valve Sizing'!$G$6/AD390)</f>
        <v>48.125603134630687</v>
      </c>
      <c r="AE392" s="44"/>
      <c r="AF392" s="72"/>
      <c r="AG392" s="85">
        <f>(AG385/(N_1*AG$27))*SQRT('Valve Sizing'!$G$6/AG390)</f>
        <v>80.196255399458494</v>
      </c>
      <c r="AH392" s="44"/>
      <c r="AI392" s="72"/>
      <c r="AJ392" s="85">
        <f>(AJ385/(N_1*AJ$27))*SQRT('Valve Sizing'!$G$6/AJ390)</f>
        <v>123.38256502201205</v>
      </c>
      <c r="AK392" s="44"/>
      <c r="AL392" s="72"/>
      <c r="AM392" s="85">
        <f>(AM385/(N_1*AM$27))*SQRT('Valve Sizing'!$G$6/AM390)</f>
        <v>187.64839748465232</v>
      </c>
      <c r="AN392" s="44"/>
      <c r="AO392" s="72"/>
      <c r="AP392" s="85">
        <f>(AP385/(N_1*AP$27))*SQRT('Valve Sizing'!$G$6/AP390)</f>
        <v>296.16393891250362</v>
      </c>
      <c r="AQ392" s="44"/>
      <c r="AR392" s="72"/>
      <c r="AS392" s="85">
        <f>(AS385/(N_1*AS$27))*SQRT('Valve Sizing'!$G$6/AS390)</f>
        <v>517.66203030168128</v>
      </c>
      <c r="AT392" s="44"/>
      <c r="AU392" s="72"/>
    </row>
    <row r="393" spans="15:47" x14ac:dyDescent="0.25">
      <c r="O393" s="1" t="s">
        <v>246</v>
      </c>
      <c r="P393" s="18"/>
      <c r="Q393" s="65"/>
      <c r="R393" s="53">
        <f>IF(R389&lt;R390,R391,R392)</f>
        <v>0.26547992047328095</v>
      </c>
      <c r="S393" s="49"/>
      <c r="T393" s="72"/>
      <c r="U393" s="64">
        <f>IF(U389&lt;U390,U391,U392)</f>
        <v>6.8525898680273443</v>
      </c>
      <c r="V393" s="44"/>
      <c r="W393" s="72"/>
      <c r="X393" s="64">
        <f>IF(X389&lt;X390,X391,X392)</f>
        <v>16.560891601747706</v>
      </c>
      <c r="Y393" s="44"/>
      <c r="Z393" s="72"/>
      <c r="AA393" s="64">
        <f>IF(AA389&lt;AA390,AA391,AA392)</f>
        <v>32.277897024375783</v>
      </c>
      <c r="AB393" s="44"/>
      <c r="AC393" s="72"/>
      <c r="AD393" s="64">
        <f>IF(AD389&lt;AD390,AD391,AD392)</f>
        <v>55.760514105864921</v>
      </c>
      <c r="AE393" s="44"/>
      <c r="AF393" s="72"/>
      <c r="AG393" s="64">
        <f>IF(AG389&lt;AG390,AG391,AG392)</f>
        <v>91.890211100873401</v>
      </c>
      <c r="AH393" s="44"/>
      <c r="AI393" s="72"/>
      <c r="AJ393" s="64">
        <f>IF(AJ389&lt;AJ390,AJ391,AJ392)</f>
        <v>146.26006773446485</v>
      </c>
      <c r="AK393" s="44"/>
      <c r="AL393" s="72"/>
      <c r="AM393" s="64">
        <f>IF(AM389&lt;AM390,AM391,AM392)</f>
        <v>237.02825880723216</v>
      </c>
      <c r="AN393" s="44"/>
      <c r="AO393" s="72"/>
      <c r="AP393" s="64">
        <f>IF(AP389&lt;AP390,AP391,AP392)</f>
        <v>495.61984186203858</v>
      </c>
      <c r="AQ393" s="44"/>
      <c r="AR393" s="72"/>
      <c r="AS393" s="64" t="e">
        <f>IF(AS389&lt;AS390,AS391,AS392)</f>
        <v>#NUM!</v>
      </c>
      <c r="AT393" s="44"/>
      <c r="AU393" s="72"/>
    </row>
    <row r="394" spans="15:47" ht="13" x14ac:dyDescent="0.3">
      <c r="O394" s="7" t="s">
        <v>264</v>
      </c>
      <c r="Q394" s="61"/>
      <c r="R394" s="53"/>
      <c r="S394" s="69">
        <f>IFERROR(ABS(C_h-R393),Q_max*10)</f>
        <v>4.7345200795267193</v>
      </c>
      <c r="T394" s="76">
        <f>R385</f>
        <v>1.5076324736809041</v>
      </c>
      <c r="U394" s="61"/>
      <c r="V394" s="69">
        <f>IFERROR(ABS(U$23-U393),Q_max*10)</f>
        <v>5.1474101319726557</v>
      </c>
      <c r="W394" s="75">
        <f>U385</f>
        <v>38.85123826580908</v>
      </c>
      <c r="X394" s="61"/>
      <c r="Y394" s="69">
        <f>IFERROR(ABS(X$23-X393),Q_max*10)</f>
        <v>6.4391083982522943</v>
      </c>
      <c r="Z394" s="75">
        <f>X385</f>
        <v>93.257927132843363</v>
      </c>
      <c r="AA394" s="61"/>
      <c r="AB394" s="69">
        <f>IFERROR(ABS(AA$23-AA393),Q_max*10)</f>
        <v>6.7221029756242174</v>
      </c>
      <c r="AC394" s="75">
        <f>AA385</f>
        <v>178.06356082405657</v>
      </c>
      <c r="AD394" s="61"/>
      <c r="AE394" s="69">
        <f>IFERROR(ABS(AD$23-AD393),Q_max*10)</f>
        <v>5.239485894135079</v>
      </c>
      <c r="AF394" s="75">
        <f>AD385</f>
        <v>292.84899844207729</v>
      </c>
      <c r="AG394" s="61"/>
      <c r="AH394" s="69">
        <f>IFERROR(ABS(AG$23-AG393),Q_max*10)</f>
        <v>3.8902111008734011</v>
      </c>
      <c r="AI394" s="75">
        <f>AG385</f>
        <v>436.01225319804252</v>
      </c>
      <c r="AJ394" s="61"/>
      <c r="AK394" s="69">
        <f>IFERROR(ABS(AJ$23-AJ393),Q_max*10)</f>
        <v>25.260067734464855</v>
      </c>
      <c r="AL394" s="75">
        <f>AJ385</f>
        <v>581.86004212360217</v>
      </c>
      <c r="AM394" s="61"/>
      <c r="AN394" s="69">
        <f>IFERROR(ABS(AM$23-AM393),Q_max*10)</f>
        <v>72.028258807232163</v>
      </c>
      <c r="AO394" s="75">
        <f>AM385</f>
        <v>709.97982804292383</v>
      </c>
      <c r="AP394" s="61"/>
      <c r="AQ394" s="69">
        <f>IFERROR(ABS(AP$23-AP393),Q_max*10)</f>
        <v>249.61984186203858</v>
      </c>
      <c r="AR394" s="75">
        <f>AP385</f>
        <v>824.26453929676438</v>
      </c>
      <c r="AS394" s="61"/>
      <c r="AT394" s="69">
        <f>IFERROR(ABS(AS$23-AS393),Q_max*10)</f>
        <v>5500</v>
      </c>
      <c r="AU394" s="75">
        <f>AS385</f>
        <v>938.08993347308888</v>
      </c>
    </row>
    <row r="395" spans="15:47" ht="14.5" x14ac:dyDescent="0.35">
      <c r="O395" s="6"/>
      <c r="P395" s="6"/>
      <c r="Q395" s="60"/>
      <c r="R395" s="67"/>
      <c r="S395" s="56"/>
      <c r="T395" s="72"/>
      <c r="V395" s="11"/>
      <c r="W395" s="38"/>
      <c r="Y395" s="11"/>
      <c r="Z395" s="38"/>
      <c r="AB395" s="11"/>
      <c r="AC395" s="38"/>
      <c r="AE395" s="11"/>
      <c r="AF395" s="38"/>
      <c r="AH395" s="11"/>
      <c r="AI395" s="38"/>
      <c r="AK395" s="11"/>
      <c r="AL395" s="38"/>
      <c r="AN395" s="11"/>
      <c r="AO395" s="38"/>
      <c r="AQ395" s="11"/>
      <c r="AR395" s="38"/>
      <c r="AT395" s="11"/>
      <c r="AU395" s="38"/>
    </row>
    <row r="396" spans="15:47" ht="14" x14ac:dyDescent="0.3">
      <c r="O396" s="8" t="s">
        <v>235</v>
      </c>
      <c r="P396" s="6"/>
      <c r="Q396" s="60"/>
      <c r="R396" s="53">
        <f>R385*1.02</f>
        <v>1.5377851231545223</v>
      </c>
      <c r="S396" s="58" t="s">
        <v>238</v>
      </c>
      <c r="T396" s="73" t="s">
        <v>241</v>
      </c>
      <c r="U396" s="84">
        <f>U385*1.01</f>
        <v>39.239750648467172</v>
      </c>
      <c r="V396" s="58" t="s">
        <v>238</v>
      </c>
      <c r="W396" s="73" t="s">
        <v>241</v>
      </c>
      <c r="X396" s="84">
        <f>X385*1.01</f>
        <v>94.190506404171799</v>
      </c>
      <c r="Y396" s="58" t="s">
        <v>238</v>
      </c>
      <c r="Z396" s="73" t="s">
        <v>241</v>
      </c>
      <c r="AA396" s="84">
        <f>AA385*1.01</f>
        <v>179.84419643229714</v>
      </c>
      <c r="AB396" s="58" t="s">
        <v>238</v>
      </c>
      <c r="AC396" s="73" t="s">
        <v>241</v>
      </c>
      <c r="AD396" s="84">
        <f>AD385*1.01</f>
        <v>295.77748842649805</v>
      </c>
      <c r="AE396" s="58" t="s">
        <v>238</v>
      </c>
      <c r="AF396" s="73" t="s">
        <v>241</v>
      </c>
      <c r="AG396" s="84">
        <f>AG385*1.01</f>
        <v>440.37237573002295</v>
      </c>
      <c r="AH396" s="58" t="s">
        <v>238</v>
      </c>
      <c r="AI396" s="73" t="s">
        <v>241</v>
      </c>
      <c r="AJ396" s="84">
        <f>AJ385*1.01</f>
        <v>587.67864254483823</v>
      </c>
      <c r="AK396" s="58" t="s">
        <v>238</v>
      </c>
      <c r="AL396" s="73" t="s">
        <v>241</v>
      </c>
      <c r="AM396" s="84">
        <f>AM385*1.01</f>
        <v>717.07962632335307</v>
      </c>
      <c r="AN396" s="58" t="s">
        <v>238</v>
      </c>
      <c r="AO396" s="73" t="s">
        <v>241</v>
      </c>
      <c r="AP396" s="84">
        <f>AP385*1.01</f>
        <v>832.50718468973207</v>
      </c>
      <c r="AQ396" s="58" t="s">
        <v>238</v>
      </c>
      <c r="AR396" s="73" t="s">
        <v>241</v>
      </c>
      <c r="AS396" s="84">
        <f>AS385*1.01</f>
        <v>947.47083280781976</v>
      </c>
      <c r="AT396" s="58" t="s">
        <v>238</v>
      </c>
      <c r="AU396" s="73" t="s">
        <v>241</v>
      </c>
    </row>
    <row r="397" spans="15:47" ht="13" x14ac:dyDescent="0.25">
      <c r="O397" s="6"/>
      <c r="P397" s="6"/>
      <c r="Q397" s="60"/>
      <c r="R397" s="70"/>
      <c r="S397" s="63" t="s">
        <v>250</v>
      </c>
      <c r="T397" s="71" t="s">
        <v>242</v>
      </c>
      <c r="U397" s="61"/>
      <c r="V397" s="63" t="s">
        <v>250</v>
      </c>
      <c r="W397" s="71" t="s">
        <v>242</v>
      </c>
      <c r="X397" s="61"/>
      <c r="Y397" s="63" t="s">
        <v>250</v>
      </c>
      <c r="Z397" s="71" t="s">
        <v>242</v>
      </c>
      <c r="AA397" s="61"/>
      <c r="AB397" s="63" t="s">
        <v>250</v>
      </c>
      <c r="AC397" s="71" t="s">
        <v>242</v>
      </c>
      <c r="AD397" s="61"/>
      <c r="AE397" s="63" t="s">
        <v>250</v>
      </c>
      <c r="AF397" s="71" t="s">
        <v>242</v>
      </c>
      <c r="AG397" s="61"/>
      <c r="AH397" s="63" t="s">
        <v>250</v>
      </c>
      <c r="AI397" s="71" t="s">
        <v>242</v>
      </c>
      <c r="AJ397" s="61"/>
      <c r="AK397" s="63" t="s">
        <v>250</v>
      </c>
      <c r="AL397" s="71" t="s">
        <v>242</v>
      </c>
      <c r="AM397" s="61"/>
      <c r="AN397" s="63" t="s">
        <v>250</v>
      </c>
      <c r="AO397" s="71" t="s">
        <v>242</v>
      </c>
      <c r="AP397" s="61"/>
      <c r="AQ397" s="63" t="s">
        <v>250</v>
      </c>
      <c r="AR397" s="71" t="s">
        <v>242</v>
      </c>
      <c r="AS397" s="61"/>
      <c r="AT397" s="63" t="s">
        <v>250</v>
      </c>
      <c r="AU397" s="71" t="s">
        <v>242</v>
      </c>
    </row>
    <row r="398" spans="15:47" ht="13" x14ac:dyDescent="0.3">
      <c r="O398" s="6" t="s">
        <v>231</v>
      </c>
      <c r="P398" s="6"/>
      <c r="Q398" s="60"/>
      <c r="R398" s="85">
        <f>P_1_minQ-(R396^2*R_up)+dpup_minQ</f>
        <v>56.916063330527358</v>
      </c>
      <c r="S398" s="56"/>
      <c r="T398" s="72"/>
      <c r="U398" s="53">
        <f>P_1_minQ-(U396^2*R_up)+dpup_minQ</f>
        <v>56.864141910470991</v>
      </c>
      <c r="V398" s="44"/>
      <c r="W398" s="72"/>
      <c r="X398" s="53">
        <f>P_1_minQ-(X396^2*R_up)+dpup_minQ</f>
        <v>56.616519706292664</v>
      </c>
      <c r="Y398" s="44"/>
      <c r="Z398" s="72"/>
      <c r="AA398" s="53">
        <f>P_1_minQ-(AA396^2*R_up)+dpup_minQ</f>
        <v>55.823811719338785</v>
      </c>
      <c r="AB398" s="44"/>
      <c r="AC398" s="72"/>
      <c r="AD398" s="53">
        <f>P_1_minQ-(AD396^2*R_up)+dpup_minQ</f>
        <v>53.961589913546533</v>
      </c>
      <c r="AE398" s="44"/>
      <c r="AF398" s="72"/>
      <c r="AG398" s="53">
        <f>P_1_minQ-(AG396^2*R_up)+dpup_minQ</f>
        <v>50.366739976153177</v>
      </c>
      <c r="AH398" s="44"/>
      <c r="AI398" s="72"/>
      <c r="AJ398" s="53">
        <f>P_1_minQ-(AJ396^2*R_up)+dpup_minQ</f>
        <v>45.252307095462889</v>
      </c>
      <c r="AK398" s="44"/>
      <c r="AL398" s="72"/>
      <c r="AM398" s="53">
        <f>P_1_minQ-(AM396^2*R_up)+dpup_minQ</f>
        <v>39.550280631947324</v>
      </c>
      <c r="AN398" s="44"/>
      <c r="AO398" s="72"/>
      <c r="AP398" s="53">
        <f>P_1_minQ-(AP396^2*R_up)+dpup_minQ</f>
        <v>33.509584175615551</v>
      </c>
      <c r="AQ398" s="44"/>
      <c r="AR398" s="72"/>
      <c r="AS398" s="53">
        <f>P_1_minQ-(AS396^2*R_up)+dpup_minQ</f>
        <v>26.598649813524368</v>
      </c>
      <c r="AT398" s="44"/>
      <c r="AU398" s="72"/>
    </row>
    <row r="399" spans="15:47" ht="13" x14ac:dyDescent="0.3">
      <c r="O399" s="6" t="s">
        <v>233</v>
      </c>
      <c r="P399" s="6"/>
      <c r="Q399" s="60"/>
      <c r="R399" s="85">
        <f>P_2_minQ+(R396^2*R_dn)-dpdn_minQ</f>
        <v>24.656787333894531</v>
      </c>
      <c r="S399" s="66"/>
      <c r="T399" s="74"/>
      <c r="U399" s="53">
        <f>P_2_minQ+(U396^2*R_dn)-dpdn_minQ</f>
        <v>24.667171617905801</v>
      </c>
      <c r="V399" s="45"/>
      <c r="W399" s="74"/>
      <c r="X399" s="53">
        <f>P_2_minQ+(X396^2*R_dn)-dpdn_minQ</f>
        <v>24.716696058741469</v>
      </c>
      <c r="Y399" s="45"/>
      <c r="Z399" s="74"/>
      <c r="AA399" s="53">
        <f>P_2_minQ+(AA396^2*R_dn)-dpdn_minQ</f>
        <v>24.875237656132246</v>
      </c>
      <c r="AB399" s="45"/>
      <c r="AC399" s="74"/>
      <c r="AD399" s="53">
        <f>P_2_minQ+(AD396^2*R_dn)-dpdn_minQ</f>
        <v>25.247682017290696</v>
      </c>
      <c r="AE399" s="45"/>
      <c r="AF399" s="74"/>
      <c r="AG399" s="53">
        <f>P_2_minQ+(AG396^2*R_dn)-dpdn_minQ</f>
        <v>25.966652004769365</v>
      </c>
      <c r="AH399" s="45"/>
      <c r="AI399" s="74"/>
      <c r="AJ399" s="53">
        <f>P_2_minQ+(AJ396^2*R_dn)-dpdn_minQ</f>
        <v>26.989538580907421</v>
      </c>
      <c r="AK399" s="45"/>
      <c r="AL399" s="74"/>
      <c r="AM399" s="53">
        <f>P_2_minQ+(AM396^2*R_dn)-dpdn_minQ</f>
        <v>28.129943873610536</v>
      </c>
      <c r="AN399" s="45"/>
      <c r="AO399" s="74"/>
      <c r="AP399" s="53">
        <f>P_2_minQ+(AP396^2*R_dn)-dpdn_minQ</f>
        <v>29.338083164876892</v>
      </c>
      <c r="AQ399" s="45"/>
      <c r="AR399" s="74"/>
      <c r="AS399" s="53">
        <f>P_2_minQ+(AS396^2*R_dn)-dpdn_minQ</f>
        <v>30.720270037295126</v>
      </c>
      <c r="AT399" s="45"/>
      <c r="AU399" s="74"/>
    </row>
    <row r="400" spans="15:47" x14ac:dyDescent="0.25">
      <c r="O400" s="6" t="s">
        <v>243</v>
      </c>
      <c r="Q400" s="60"/>
      <c r="R400" s="53">
        <f>R398-R399</f>
        <v>32.259275996632823</v>
      </c>
      <c r="S400" s="56"/>
      <c r="T400" s="72"/>
      <c r="U400" s="64">
        <f>U398-U399</f>
        <v>32.19697029256519</v>
      </c>
      <c r="V400" s="44"/>
      <c r="W400" s="72"/>
      <c r="X400" s="64">
        <f>X398-X399</f>
        <v>31.899823647551194</v>
      </c>
      <c r="Y400" s="44"/>
      <c r="Z400" s="72"/>
      <c r="AA400" s="64">
        <f>AA398-AA399</f>
        <v>30.948574063206539</v>
      </c>
      <c r="AB400" s="44"/>
      <c r="AC400" s="72"/>
      <c r="AD400" s="64">
        <f>AD398-AD399</f>
        <v>28.713907896255837</v>
      </c>
      <c r="AE400" s="44"/>
      <c r="AF400" s="72"/>
      <c r="AG400" s="64">
        <f>AG398-AG399</f>
        <v>24.400087971383812</v>
      </c>
      <c r="AH400" s="44"/>
      <c r="AI400" s="72"/>
      <c r="AJ400" s="64">
        <f>AJ398-AJ399</f>
        <v>18.262768514555468</v>
      </c>
      <c r="AK400" s="44"/>
      <c r="AL400" s="72"/>
      <c r="AM400" s="64">
        <f>AM398-AM399</f>
        <v>11.420336758336788</v>
      </c>
      <c r="AN400" s="44"/>
      <c r="AO400" s="72"/>
      <c r="AP400" s="64">
        <f>AP398-AP399</f>
        <v>4.171501010738659</v>
      </c>
      <c r="AQ400" s="44"/>
      <c r="AR400" s="72"/>
      <c r="AS400" s="64">
        <f>AS398-AS399</f>
        <v>-4.1216202237707584</v>
      </c>
      <c r="AT400" s="44"/>
      <c r="AU400" s="72"/>
    </row>
    <row r="401" spans="15:47" ht="13" x14ac:dyDescent="0.3">
      <c r="O401" s="6" t="s">
        <v>75</v>
      </c>
      <c r="P401" s="6">
        <v>3</v>
      </c>
      <c r="Q401" s="65"/>
      <c r="R401" s="85">
        <f>(F_LP_h/F_P_h)^2*(R398-('Valve Sizing'!$V$4*'Valve Sizing'!$G$7))</f>
        <v>46.765097109852285</v>
      </c>
      <c r="S401" s="58"/>
      <c r="T401" s="73"/>
      <c r="U401" s="53">
        <f>(U$29/U$27)^2*(U398-('Valve Sizing'!$V$4*'Valve Sizing'!$G$7))</f>
        <v>46.709368933441141</v>
      </c>
      <c r="V401" s="41"/>
      <c r="W401" s="73"/>
      <c r="X401" s="53">
        <f>(X$29/X$27)^2*(X398-('Valve Sizing'!$V$4*'Valve Sizing'!$G$7))</f>
        <v>45.455384520337944</v>
      </c>
      <c r="Y401" s="41"/>
      <c r="Z401" s="73"/>
      <c r="AA401" s="53">
        <f>(AA$29/AA$27)^2*(AA398-('Valve Sizing'!$V$4*'Valve Sizing'!$G$7))</f>
        <v>42.800411238249644</v>
      </c>
      <c r="AB401" s="41"/>
      <c r="AC401" s="73"/>
      <c r="AD401" s="53">
        <f>(AD$29/AD$27)^2*(AD398-('Valve Sizing'!$V$4*'Valve Sizing'!$G$7))</f>
        <v>38.599055067543574</v>
      </c>
      <c r="AE401" s="41"/>
      <c r="AF401" s="73"/>
      <c r="AG401" s="53">
        <f>(AG$29/AG$27)^2*(AG398-('Valve Sizing'!$V$4*'Valve Sizing'!$G$7))</f>
        <v>32.15497774258818</v>
      </c>
      <c r="AH401" s="41"/>
      <c r="AI401" s="73"/>
      <c r="AJ401" s="53">
        <f>(AJ$29/AJ$27)^2*(AJ398-('Valve Sizing'!$V$4*'Valve Sizing'!$G$7))</f>
        <v>25.917806854032179</v>
      </c>
      <c r="AK401" s="41"/>
      <c r="AL401" s="73"/>
      <c r="AM401" s="53">
        <f>(AM$29/AM$27)^2*(AM398-('Valve Sizing'!$V$4*'Valve Sizing'!$G$7))</f>
        <v>18.713152440879565</v>
      </c>
      <c r="AN401" s="41"/>
      <c r="AO401" s="73"/>
      <c r="AP401" s="53">
        <f>(AP$29/AP$27)^2*(AP398-('Valve Sizing'!$V$4*'Valve Sizing'!$G$7))</f>
        <v>13.050122327566037</v>
      </c>
      <c r="AQ401" s="41"/>
      <c r="AR401" s="73"/>
      <c r="AS401" s="53">
        <f>(AS$29/AS$27)^2*(AS398-('Valve Sizing'!$V$4*'Valve Sizing'!$G$7))</f>
        <v>9.8393136218944299</v>
      </c>
      <c r="AT401" s="41"/>
      <c r="AU401" s="73"/>
    </row>
    <row r="402" spans="15:47" ht="13" x14ac:dyDescent="0.25">
      <c r="O402" s="1" t="s">
        <v>69</v>
      </c>
      <c r="P402" s="17">
        <v>7</v>
      </c>
      <c r="Q402" s="65"/>
      <c r="R402" s="53">
        <f>(R396/(N_1*F_P_h))*SQRT('Valve Sizing'!$G$6/R400)</f>
        <v>0.27078953450207649</v>
      </c>
      <c r="S402" s="58"/>
      <c r="T402" s="73"/>
      <c r="U402" s="64">
        <f>(U396/(N_1*U$27))*SQRT('Valve Sizing'!$G$6/U400)</f>
        <v>6.9212479192708889</v>
      </c>
      <c r="V402" s="41"/>
      <c r="W402" s="73"/>
      <c r="X402" s="64">
        <f>(X396/(N_1*X$27))*SQRT('Valve Sizing'!$G$6/X400)</f>
        <v>16.72835777950392</v>
      </c>
      <c r="Y402" s="41"/>
      <c r="Z402" s="73"/>
      <c r="AA402" s="64">
        <f>(AA396/(N_1*AA$27))*SQRT('Valve Sizing'!$G$6/AA400)</f>
        <v>32.614276479402982</v>
      </c>
      <c r="AB402" s="41"/>
      <c r="AC402" s="73"/>
      <c r="AD402" s="64">
        <f>(AD396/(N_1*AD$27))*SQRT('Valve Sizing'!$G$6/AD400)</f>
        <v>56.386587352634642</v>
      </c>
      <c r="AE402" s="41"/>
      <c r="AF402" s="73"/>
      <c r="AG402" s="64">
        <f>(AG396/(N_1*AG$27))*SQRT('Valve Sizing'!$G$6/AG400)</f>
        <v>93.103161107015325</v>
      </c>
      <c r="AH402" s="41"/>
      <c r="AI402" s="73"/>
      <c r="AJ402" s="64">
        <f>(AJ396/(N_1*AJ$27))*SQRT('Valve Sizing'!$G$6/AJ400)</f>
        <v>148.83387836279513</v>
      </c>
      <c r="AK402" s="41"/>
      <c r="AL402" s="73"/>
      <c r="AM402" s="64">
        <f>(AM396/(N_1*AM$27))*SQRT('Valve Sizing'!$G$6/AM400)</f>
        <v>243.66425227365295</v>
      </c>
      <c r="AN402" s="41"/>
      <c r="AO402" s="73"/>
      <c r="AP402" s="64">
        <f>(AP396/(N_1*AP$27))*SQRT('Valve Sizing'!$G$6/AP400)</f>
        <v>532.74841979908319</v>
      </c>
      <c r="AQ402" s="41"/>
      <c r="AR402" s="73"/>
      <c r="AS402" s="64" t="e">
        <f>(AS396/(N_1*AS$27))*SQRT('Valve Sizing'!$G$6/AS400)</f>
        <v>#NUM!</v>
      </c>
      <c r="AT402" s="41"/>
      <c r="AU402" s="73"/>
    </row>
    <row r="403" spans="15:47" ht="13" x14ac:dyDescent="0.3">
      <c r="O403" s="1" t="s">
        <v>72</v>
      </c>
      <c r="P403" s="17">
        <v>7</v>
      </c>
      <c r="Q403" s="65"/>
      <c r="R403" s="53">
        <f>(R396/(N_1*F_P_h))*SQRT('Valve Sizing'!$G$6/R401)</f>
        <v>0.22490456132359546</v>
      </c>
      <c r="S403" s="56"/>
      <c r="T403" s="72"/>
      <c r="U403" s="85">
        <f>(U396/(N_1*U$27))*SQRT('Valve Sizing'!$G$6/U401)</f>
        <v>5.7463213530445039</v>
      </c>
      <c r="V403" s="44"/>
      <c r="W403" s="72"/>
      <c r="X403" s="85">
        <f>(X396/(N_1*X$27))*SQRT('Valve Sizing'!$G$6/X401)</f>
        <v>14.013763421906203</v>
      </c>
      <c r="Y403" s="44"/>
      <c r="Z403" s="72"/>
      <c r="AA403" s="85">
        <f>(AA396/(N_1*AA$27))*SQRT('Valve Sizing'!$G$6/AA401)</f>
        <v>27.73346283748316</v>
      </c>
      <c r="AB403" s="44"/>
      <c r="AC403" s="72"/>
      <c r="AD403" s="85">
        <f>(AD396/(N_1*AD$27))*SQRT('Valve Sizing'!$G$6/AD401)</f>
        <v>48.633287276357969</v>
      </c>
      <c r="AE403" s="44"/>
      <c r="AF403" s="72"/>
      <c r="AG403" s="85">
        <f>(AG396/(N_1*AG$27))*SQRT('Valve Sizing'!$G$6/AG401)</f>
        <v>81.102831381373974</v>
      </c>
      <c r="AH403" s="44"/>
      <c r="AI403" s="72"/>
      <c r="AJ403" s="85">
        <f>(AJ396/(N_1*AJ$27))*SQRT('Valve Sizing'!$G$6/AJ401)</f>
        <v>124.93553518707557</v>
      </c>
      <c r="AK403" s="44"/>
      <c r="AL403" s="72"/>
      <c r="AM403" s="85">
        <f>(AM396/(N_1*AM$27))*SQRT('Valve Sizing'!$G$6/AM401)</f>
        <v>190.35215437205261</v>
      </c>
      <c r="AN403" s="44"/>
      <c r="AO403" s="72"/>
      <c r="AP403" s="85">
        <f>(AP396/(N_1*AP$27))*SQRT('Valve Sizing'!$G$6/AP401)</f>
        <v>301.20422225524629</v>
      </c>
      <c r="AQ403" s="44"/>
      <c r="AR403" s="72"/>
      <c r="AS403" s="85">
        <f>(AS396/(N_1*AS$27))*SQRT('Valve Sizing'!$G$6/AS401)</f>
        <v>528.77489039076875</v>
      </c>
      <c r="AT403" s="44"/>
      <c r="AU403" s="72"/>
    </row>
    <row r="404" spans="15:47" x14ac:dyDescent="0.25">
      <c r="O404" s="1" t="s">
        <v>246</v>
      </c>
      <c r="P404" s="18"/>
      <c r="Q404" s="65"/>
      <c r="R404" s="53">
        <f>IF(R400&lt;R401,R402,R403)</f>
        <v>0.27078953450207649</v>
      </c>
      <c r="S404" s="49"/>
      <c r="T404" s="72"/>
      <c r="U404" s="64">
        <f>IF(U400&lt;U401,U402,U403)</f>
        <v>6.9212479192708889</v>
      </c>
      <c r="V404" s="44"/>
      <c r="W404" s="72"/>
      <c r="X404" s="64">
        <f>IF(X400&lt;X401,X402,X403)</f>
        <v>16.72835777950392</v>
      </c>
      <c r="Y404" s="44"/>
      <c r="Z404" s="72"/>
      <c r="AA404" s="64">
        <f>IF(AA400&lt;AA401,AA402,AA403)</f>
        <v>32.614276479402982</v>
      </c>
      <c r="AB404" s="44"/>
      <c r="AC404" s="72"/>
      <c r="AD404" s="64">
        <f>IF(AD400&lt;AD401,AD402,AD403)</f>
        <v>56.386587352634642</v>
      </c>
      <c r="AE404" s="44"/>
      <c r="AF404" s="72"/>
      <c r="AG404" s="64">
        <f>IF(AG400&lt;AG401,AG402,AG403)</f>
        <v>93.103161107015325</v>
      </c>
      <c r="AH404" s="44"/>
      <c r="AI404" s="72"/>
      <c r="AJ404" s="64">
        <f>IF(AJ400&lt;AJ401,AJ402,AJ403)</f>
        <v>148.83387836279513</v>
      </c>
      <c r="AK404" s="44"/>
      <c r="AL404" s="72"/>
      <c r="AM404" s="64">
        <f>IF(AM400&lt;AM401,AM402,AM403)</f>
        <v>243.66425227365295</v>
      </c>
      <c r="AN404" s="44"/>
      <c r="AO404" s="72"/>
      <c r="AP404" s="64">
        <f>IF(AP400&lt;AP401,AP402,AP403)</f>
        <v>532.74841979908319</v>
      </c>
      <c r="AQ404" s="44"/>
      <c r="AR404" s="72"/>
      <c r="AS404" s="64" t="e">
        <f>IF(AS400&lt;AS401,AS402,AS403)</f>
        <v>#NUM!</v>
      </c>
      <c r="AT404" s="44"/>
      <c r="AU404" s="72"/>
    </row>
    <row r="405" spans="15:47" ht="13" x14ac:dyDescent="0.3">
      <c r="O405" s="7" t="s">
        <v>264</v>
      </c>
      <c r="Q405" s="61"/>
      <c r="R405" s="53"/>
      <c r="S405" s="69">
        <f>IFERROR(ABS(C_h-R404),Q_max*10)</f>
        <v>4.7292104654979239</v>
      </c>
      <c r="T405" s="76">
        <f>R396</f>
        <v>1.5377851231545223</v>
      </c>
      <c r="U405" s="61"/>
      <c r="V405" s="69">
        <f>IFERROR(ABS(U$23-U404),Q_max*10)</f>
        <v>5.0787520807291111</v>
      </c>
      <c r="W405" s="75">
        <f>U396</f>
        <v>39.239750648467172</v>
      </c>
      <c r="X405" s="61"/>
      <c r="Y405" s="69">
        <f>IFERROR(ABS(X$23-X404),Q_max*10)</f>
        <v>6.27164222049608</v>
      </c>
      <c r="Z405" s="75">
        <f>X396</f>
        <v>94.190506404171799</v>
      </c>
      <c r="AA405" s="61"/>
      <c r="AB405" s="69">
        <f>IFERROR(ABS(AA$23-AA404),Q_max*10)</f>
        <v>6.3857235205970184</v>
      </c>
      <c r="AC405" s="75">
        <f>AA396</f>
        <v>179.84419643229714</v>
      </c>
      <c r="AD405" s="61"/>
      <c r="AE405" s="69">
        <f>IFERROR(ABS(AD$23-AD404),Q_max*10)</f>
        <v>4.6134126473653581</v>
      </c>
      <c r="AF405" s="75">
        <f>AD396</f>
        <v>295.77748842649805</v>
      </c>
      <c r="AG405" s="61"/>
      <c r="AH405" s="69">
        <f>IFERROR(ABS(AG$23-AG404),Q_max*10)</f>
        <v>5.1031611070153247</v>
      </c>
      <c r="AI405" s="75">
        <f>AG396</f>
        <v>440.37237573002295</v>
      </c>
      <c r="AJ405" s="61"/>
      <c r="AK405" s="69">
        <f>IFERROR(ABS(AJ$23-AJ404),Q_max*10)</f>
        <v>27.833878362795133</v>
      </c>
      <c r="AL405" s="75">
        <f>AJ396</f>
        <v>587.67864254483823</v>
      </c>
      <c r="AM405" s="61"/>
      <c r="AN405" s="69">
        <f>IFERROR(ABS(AM$23-AM404),Q_max*10)</f>
        <v>78.664252273652949</v>
      </c>
      <c r="AO405" s="75">
        <f>AM396</f>
        <v>717.07962632335307</v>
      </c>
      <c r="AP405" s="61"/>
      <c r="AQ405" s="69">
        <f>IFERROR(ABS(AP$23-AP404),Q_max*10)</f>
        <v>286.74841979908319</v>
      </c>
      <c r="AR405" s="75">
        <f>AP396</f>
        <v>832.50718468973207</v>
      </c>
      <c r="AS405" s="61"/>
      <c r="AT405" s="69">
        <f>IFERROR(ABS(AS$23-AS404),Q_max*10)</f>
        <v>5500</v>
      </c>
      <c r="AU405" s="75">
        <f>AS396</f>
        <v>947.47083280781976</v>
      </c>
    </row>
    <row r="406" spans="15:47" ht="14.5" x14ac:dyDescent="0.35">
      <c r="O406" s="6"/>
      <c r="P406" s="6"/>
      <c r="Q406" s="60"/>
      <c r="R406" s="67"/>
      <c r="S406" s="58"/>
      <c r="T406" s="73"/>
      <c r="V406" s="11"/>
      <c r="W406" s="38"/>
      <c r="Y406" s="11"/>
      <c r="Z406" s="38"/>
      <c r="AB406" s="11"/>
      <c r="AC406" s="38"/>
      <c r="AE406" s="11"/>
      <c r="AF406" s="38"/>
      <c r="AH406" s="11"/>
      <c r="AI406" s="38"/>
      <c r="AK406" s="11"/>
      <c r="AL406" s="38"/>
      <c r="AN406" s="11"/>
      <c r="AO406" s="38"/>
      <c r="AQ406" s="11"/>
      <c r="AR406" s="38"/>
      <c r="AT406" s="11"/>
      <c r="AU406" s="38"/>
    </row>
    <row r="407" spans="15:47" ht="14" x14ac:dyDescent="0.3">
      <c r="O407" s="8" t="s">
        <v>235</v>
      </c>
      <c r="P407" s="6"/>
      <c r="Q407" s="60"/>
      <c r="R407" s="53">
        <f>R396*1.02</f>
        <v>1.5685408256176128</v>
      </c>
      <c r="S407" s="58" t="s">
        <v>238</v>
      </c>
      <c r="T407" s="73" t="s">
        <v>241</v>
      </c>
      <c r="U407" s="84">
        <f>U396*1.01</f>
        <v>39.632148154951842</v>
      </c>
      <c r="V407" s="58" t="s">
        <v>238</v>
      </c>
      <c r="W407" s="73" t="s">
        <v>241</v>
      </c>
      <c r="X407" s="84">
        <f>X396*1.01</f>
        <v>95.132411468213519</v>
      </c>
      <c r="Y407" s="58" t="s">
        <v>238</v>
      </c>
      <c r="Z407" s="73" t="s">
        <v>241</v>
      </c>
      <c r="AA407" s="84">
        <f>AA396*1.01</f>
        <v>181.6426383966201</v>
      </c>
      <c r="AB407" s="58" t="s">
        <v>238</v>
      </c>
      <c r="AC407" s="73" t="s">
        <v>241</v>
      </c>
      <c r="AD407" s="84">
        <f>AD396*1.01</f>
        <v>298.73526331076306</v>
      </c>
      <c r="AE407" s="58" t="s">
        <v>238</v>
      </c>
      <c r="AF407" s="73" t="s">
        <v>241</v>
      </c>
      <c r="AG407" s="84">
        <f>AG396*1.01</f>
        <v>444.77609948732317</v>
      </c>
      <c r="AH407" s="58" t="s">
        <v>238</v>
      </c>
      <c r="AI407" s="73" t="s">
        <v>241</v>
      </c>
      <c r="AJ407" s="84">
        <f>AJ396*1.01</f>
        <v>593.55542897028658</v>
      </c>
      <c r="AK407" s="58" t="s">
        <v>238</v>
      </c>
      <c r="AL407" s="73" t="s">
        <v>241</v>
      </c>
      <c r="AM407" s="84">
        <f>AM396*1.01</f>
        <v>724.25042258658664</v>
      </c>
      <c r="AN407" s="58" t="s">
        <v>238</v>
      </c>
      <c r="AO407" s="73" t="s">
        <v>241</v>
      </c>
      <c r="AP407" s="84">
        <f>AP396*1.01</f>
        <v>840.83225653662942</v>
      </c>
      <c r="AQ407" s="58" t="s">
        <v>238</v>
      </c>
      <c r="AR407" s="73" t="s">
        <v>241</v>
      </c>
      <c r="AS407" s="84">
        <f>AS396*1.01</f>
        <v>956.945541135898</v>
      </c>
      <c r="AT407" s="58" t="s">
        <v>238</v>
      </c>
      <c r="AU407" s="73" t="s">
        <v>241</v>
      </c>
    </row>
    <row r="408" spans="15:47" ht="13" x14ac:dyDescent="0.25">
      <c r="O408" s="6"/>
      <c r="P408" s="6"/>
      <c r="Q408" s="60"/>
      <c r="R408" s="70"/>
      <c r="S408" s="63" t="s">
        <v>250</v>
      </c>
      <c r="T408" s="71" t="s">
        <v>242</v>
      </c>
      <c r="U408" s="61"/>
      <c r="V408" s="63" t="s">
        <v>250</v>
      </c>
      <c r="W408" s="71" t="s">
        <v>242</v>
      </c>
      <c r="X408" s="61"/>
      <c r="Y408" s="63" t="s">
        <v>250</v>
      </c>
      <c r="Z408" s="71" t="s">
        <v>242</v>
      </c>
      <c r="AA408" s="61"/>
      <c r="AB408" s="63" t="s">
        <v>250</v>
      </c>
      <c r="AC408" s="71" t="s">
        <v>242</v>
      </c>
      <c r="AD408" s="61"/>
      <c r="AE408" s="63" t="s">
        <v>250</v>
      </c>
      <c r="AF408" s="71" t="s">
        <v>242</v>
      </c>
      <c r="AG408" s="61"/>
      <c r="AH408" s="63" t="s">
        <v>250</v>
      </c>
      <c r="AI408" s="71" t="s">
        <v>242</v>
      </c>
      <c r="AJ408" s="61"/>
      <c r="AK408" s="63" t="s">
        <v>250</v>
      </c>
      <c r="AL408" s="71" t="s">
        <v>242</v>
      </c>
      <c r="AM408" s="61"/>
      <c r="AN408" s="63" t="s">
        <v>250</v>
      </c>
      <c r="AO408" s="71" t="s">
        <v>242</v>
      </c>
      <c r="AP408" s="61"/>
      <c r="AQ408" s="63" t="s">
        <v>250</v>
      </c>
      <c r="AR408" s="71" t="s">
        <v>242</v>
      </c>
      <c r="AS408" s="61"/>
      <c r="AT408" s="63" t="s">
        <v>250</v>
      </c>
      <c r="AU408" s="71" t="s">
        <v>242</v>
      </c>
    </row>
    <row r="409" spans="15:47" ht="13" x14ac:dyDescent="0.3">
      <c r="O409" s="6" t="s">
        <v>231</v>
      </c>
      <c r="P409" s="6"/>
      <c r="Q409" s="60"/>
      <c r="R409" s="85">
        <f>P_1_minQ-(R407^2*R_up)+dpup_minQ</f>
        <v>56.916060104008054</v>
      </c>
      <c r="S409" s="56"/>
      <c r="T409" s="72"/>
      <c r="U409" s="53">
        <f>P_1_minQ-(U407^2*R_up)+dpup_minQ</f>
        <v>56.863096684654643</v>
      </c>
      <c r="V409" s="44"/>
      <c r="W409" s="72"/>
      <c r="X409" s="53">
        <f>P_1_minQ-(X407^2*R_up)+dpup_minQ</f>
        <v>56.610497274172324</v>
      </c>
      <c r="Y409" s="44"/>
      <c r="Z409" s="72"/>
      <c r="AA409" s="53">
        <f>P_1_minQ-(AA407^2*R_up)+dpup_minQ</f>
        <v>55.801855856680675</v>
      </c>
      <c r="AB409" s="44"/>
      <c r="AC409" s="72"/>
      <c r="AD409" s="53">
        <f>P_1_minQ-(AD407^2*R_up)+dpup_minQ</f>
        <v>53.902203392592</v>
      </c>
      <c r="AE409" s="44"/>
      <c r="AF409" s="72"/>
      <c r="AG409" s="53">
        <f>P_1_minQ-(AG407^2*R_up)+dpup_minQ</f>
        <v>50.235096971457033</v>
      </c>
      <c r="AH409" s="44"/>
      <c r="AI409" s="72"/>
      <c r="AJ409" s="53">
        <f>P_1_minQ-(AJ407^2*R_up)+dpup_minQ</f>
        <v>45.017863989864878</v>
      </c>
      <c r="AK409" s="44"/>
      <c r="AL409" s="72"/>
      <c r="AM409" s="53">
        <f>P_1_minQ-(AM407^2*R_up)+dpup_minQ</f>
        <v>39.20122679443265</v>
      </c>
      <c r="AN409" s="44"/>
      <c r="AO409" s="72"/>
      <c r="AP409" s="53">
        <f>P_1_minQ-(AP407^2*R_up)+dpup_minQ</f>
        <v>33.039112339328597</v>
      </c>
      <c r="AQ409" s="44"/>
      <c r="AR409" s="72"/>
      <c r="AS409" s="53">
        <f>P_1_minQ-(AS407^2*R_up)+dpup_minQ</f>
        <v>25.989268196559387</v>
      </c>
      <c r="AT409" s="44"/>
      <c r="AU409" s="72"/>
    </row>
    <row r="410" spans="15:47" ht="13" x14ac:dyDescent="0.3">
      <c r="O410" s="6" t="s">
        <v>233</v>
      </c>
      <c r="P410" s="6"/>
      <c r="Q410" s="60"/>
      <c r="R410" s="85">
        <f>P_2_minQ+(R407^2*R_dn)-dpdn_minQ</f>
        <v>24.656787979198391</v>
      </c>
      <c r="S410" s="66"/>
      <c r="T410" s="74"/>
      <c r="U410" s="53">
        <f>P_2_minQ+(U407^2*R_dn)-dpdn_minQ</f>
        <v>24.667380663069071</v>
      </c>
      <c r="V410" s="45"/>
      <c r="W410" s="74"/>
      <c r="X410" s="53">
        <f>P_2_minQ+(X407^2*R_dn)-dpdn_minQ</f>
        <v>24.717900545165538</v>
      </c>
      <c r="Y410" s="45"/>
      <c r="Z410" s="74"/>
      <c r="AA410" s="53">
        <f>P_2_minQ+(AA407^2*R_dn)-dpdn_minQ</f>
        <v>24.879628828663868</v>
      </c>
      <c r="AB410" s="45"/>
      <c r="AC410" s="74"/>
      <c r="AD410" s="53">
        <f>P_2_minQ+(AD407^2*R_dn)-dpdn_minQ</f>
        <v>25.2595593214816</v>
      </c>
      <c r="AE410" s="45"/>
      <c r="AF410" s="74"/>
      <c r="AG410" s="53">
        <f>P_2_minQ+(AG407^2*R_dn)-dpdn_minQ</f>
        <v>25.992980605708595</v>
      </c>
      <c r="AH410" s="45"/>
      <c r="AI410" s="74"/>
      <c r="AJ410" s="53">
        <f>P_2_minQ+(AJ407^2*R_dn)-dpdn_minQ</f>
        <v>27.036427202027024</v>
      </c>
      <c r="AK410" s="45"/>
      <c r="AL410" s="74"/>
      <c r="AM410" s="53">
        <f>P_2_minQ+(AM407^2*R_dn)-dpdn_minQ</f>
        <v>28.199754641113472</v>
      </c>
      <c r="AN410" s="45"/>
      <c r="AO410" s="74"/>
      <c r="AP410" s="53">
        <f>P_2_minQ+(AP407^2*R_dn)-dpdn_minQ</f>
        <v>29.432177532134279</v>
      </c>
      <c r="AQ410" s="45"/>
      <c r="AR410" s="74"/>
      <c r="AS410" s="53">
        <f>P_2_minQ+(AS407^2*R_dn)-dpdn_minQ</f>
        <v>30.842146360688123</v>
      </c>
      <c r="AT410" s="45"/>
      <c r="AU410" s="74"/>
    </row>
    <row r="411" spans="15:47" x14ac:dyDescent="0.25">
      <c r="O411" s="6" t="s">
        <v>243</v>
      </c>
      <c r="Q411" s="60"/>
      <c r="R411" s="53">
        <f>R409-R410</f>
        <v>32.259272124809662</v>
      </c>
      <c r="S411" s="56"/>
      <c r="T411" s="72"/>
      <c r="U411" s="64">
        <f>U409-U410</f>
        <v>32.195716021585568</v>
      </c>
      <c r="V411" s="44"/>
      <c r="W411" s="72"/>
      <c r="X411" s="64">
        <f>X409-X410</f>
        <v>31.892596729006787</v>
      </c>
      <c r="Y411" s="44"/>
      <c r="Z411" s="72"/>
      <c r="AA411" s="64">
        <f>AA409-AA410</f>
        <v>30.922227028016806</v>
      </c>
      <c r="AB411" s="44"/>
      <c r="AC411" s="72"/>
      <c r="AD411" s="64">
        <f>AD409-AD410</f>
        <v>28.6426440711104</v>
      </c>
      <c r="AE411" s="44"/>
      <c r="AF411" s="72"/>
      <c r="AG411" s="64">
        <f>AG409-AG410</f>
        <v>24.242116365748437</v>
      </c>
      <c r="AH411" s="44"/>
      <c r="AI411" s="72"/>
      <c r="AJ411" s="64">
        <f>AJ409-AJ410</f>
        <v>17.981436787837854</v>
      </c>
      <c r="AK411" s="44"/>
      <c r="AL411" s="72"/>
      <c r="AM411" s="64">
        <f>AM409-AM410</f>
        <v>11.001472153319177</v>
      </c>
      <c r="AN411" s="44"/>
      <c r="AO411" s="72"/>
      <c r="AP411" s="64">
        <f>AP409-AP410</f>
        <v>3.6069348071943175</v>
      </c>
      <c r="AQ411" s="44"/>
      <c r="AR411" s="72"/>
      <c r="AS411" s="64">
        <f>AS409-AS410</f>
        <v>-4.852878164128736</v>
      </c>
      <c r="AT411" s="44"/>
      <c r="AU411" s="72"/>
    </row>
    <row r="412" spans="15:47" ht="13" x14ac:dyDescent="0.3">
      <c r="O412" s="6" t="s">
        <v>75</v>
      </c>
      <c r="P412" s="6">
        <v>3</v>
      </c>
      <c r="Q412" s="65"/>
      <c r="R412" s="85">
        <f>(F_LP_h/F_P_h)^2*(R409-('Valve Sizing'!$V$4*'Valve Sizing'!$G$7))</f>
        <v>46.76509443812494</v>
      </c>
      <c r="S412" s="58"/>
      <c r="T412" s="73"/>
      <c r="U412" s="53">
        <f>(U$29/U$27)^2*(U409-('Valve Sizing'!$V$4*'Valve Sizing'!$G$7))</f>
        <v>46.708503667501411</v>
      </c>
      <c r="V412" s="41"/>
      <c r="W412" s="73"/>
      <c r="X412" s="53">
        <f>(X$29/X$27)^2*(X409-('Valve Sizing'!$V$4*'Valve Sizing'!$G$7))</f>
        <v>45.450511447918473</v>
      </c>
      <c r="Y412" s="41"/>
      <c r="Z412" s="73"/>
      <c r="AA412" s="53">
        <f>(AA$29/AA$27)^2*(AA409-('Valve Sizing'!$V$4*'Valve Sizing'!$G$7))</f>
        <v>42.783443808595038</v>
      </c>
      <c r="AB412" s="41"/>
      <c r="AC412" s="73"/>
      <c r="AD412" s="53">
        <f>(AD$29/AD$27)^2*(AD409-('Valve Sizing'!$V$4*'Valve Sizing'!$G$7))</f>
        <v>38.556226256475185</v>
      </c>
      <c r="AE412" s="41"/>
      <c r="AF412" s="73"/>
      <c r="AG412" s="53">
        <f>(AG$29/AG$27)^2*(AG409-('Valve Sizing'!$V$4*'Valve Sizing'!$G$7))</f>
        <v>32.070193861698058</v>
      </c>
      <c r="AH412" s="41"/>
      <c r="AI412" s="73"/>
      <c r="AJ412" s="53">
        <f>(AJ$29/AJ$27)^2*(AJ409-('Valve Sizing'!$V$4*'Valve Sizing'!$G$7))</f>
        <v>25.78221332309117</v>
      </c>
      <c r="AK412" s="41"/>
      <c r="AL412" s="73"/>
      <c r="AM412" s="53">
        <f>(AM$29/AM$27)^2*(AM409-('Valve Sizing'!$V$4*'Valve Sizing'!$G$7))</f>
        <v>18.546139901020929</v>
      </c>
      <c r="AN412" s="41"/>
      <c r="AO412" s="73"/>
      <c r="AP412" s="53">
        <f>(AP$29/AP$27)^2*(AP409-('Valve Sizing'!$V$4*'Valve Sizing'!$G$7))</f>
        <v>12.864461519450634</v>
      </c>
      <c r="AQ412" s="41"/>
      <c r="AR412" s="73"/>
      <c r="AS412" s="53">
        <f>(AS$29/AS$27)^2*(AS409-('Valve Sizing'!$V$4*'Valve Sizing'!$G$7))</f>
        <v>9.6101003365769522</v>
      </c>
      <c r="AT412" s="41"/>
      <c r="AU412" s="73"/>
    </row>
    <row r="413" spans="15:47" ht="13" x14ac:dyDescent="0.25">
      <c r="O413" s="1" t="s">
        <v>69</v>
      </c>
      <c r="P413" s="17">
        <v>7</v>
      </c>
      <c r="Q413" s="65"/>
      <c r="R413" s="53">
        <f>(R407/(N_1*F_P_h))*SQRT('Valve Sizing'!$G$6/R411)</f>
        <v>0.27620534176747868</v>
      </c>
      <c r="S413" s="58"/>
      <c r="T413" s="73"/>
      <c r="U413" s="64">
        <f>(U407/(N_1*U$27))*SQRT('Valve Sizing'!$G$6/U411)</f>
        <v>6.9905965632597642</v>
      </c>
      <c r="V413" s="41"/>
      <c r="W413" s="73"/>
      <c r="X413" s="64">
        <f>(X407/(N_1*X$27))*SQRT('Valve Sizing'!$G$6/X411)</f>
        <v>16.897555539898342</v>
      </c>
      <c r="Y413" s="41"/>
      <c r="Z413" s="73"/>
      <c r="AA413" s="64">
        <f>(AA407/(N_1*AA$27))*SQRT('Valve Sizing'!$G$6/AA411)</f>
        <v>32.954449566056866</v>
      </c>
      <c r="AB413" s="41"/>
      <c r="AC413" s="73"/>
      <c r="AD413" s="64">
        <f>(AD407/(N_1*AD$27))*SQRT('Valve Sizing'!$G$6/AD411)</f>
        <v>57.021256498405592</v>
      </c>
      <c r="AE413" s="41"/>
      <c r="AF413" s="73"/>
      <c r="AG413" s="64">
        <f>(AG407/(N_1*AG$27))*SQRT('Valve Sizing'!$G$6/AG411)</f>
        <v>94.340077955699442</v>
      </c>
      <c r="AH413" s="41"/>
      <c r="AI413" s="73"/>
      <c r="AJ413" s="64">
        <f>(AJ407/(N_1*AJ$27))*SQRT('Valve Sizing'!$G$6/AJ411)</f>
        <v>151.49359948389204</v>
      </c>
      <c r="AK413" s="41"/>
      <c r="AL413" s="73"/>
      <c r="AM413" s="64">
        <f>(AM407/(N_1*AM$27))*SQRT('Valve Sizing'!$G$6/AM411)</f>
        <v>250.74209262418711</v>
      </c>
      <c r="AN413" s="41"/>
      <c r="AO413" s="73"/>
      <c r="AP413" s="64">
        <f>(AP407/(N_1*AP$27))*SQRT('Valve Sizing'!$G$6/AP411)</f>
        <v>578.65615128239722</v>
      </c>
      <c r="AQ413" s="41"/>
      <c r="AR413" s="73"/>
      <c r="AS413" s="64" t="e">
        <f>(AS407/(N_1*AS$27))*SQRT('Valve Sizing'!$G$6/AS411)</f>
        <v>#NUM!</v>
      </c>
      <c r="AT413" s="41"/>
      <c r="AU413" s="73"/>
    </row>
    <row r="414" spans="15:47" ht="13" x14ac:dyDescent="0.3">
      <c r="O414" s="1" t="s">
        <v>72</v>
      </c>
      <c r="P414" s="17">
        <v>7</v>
      </c>
      <c r="Q414" s="65"/>
      <c r="R414" s="53">
        <f>(R407/(N_1*F_P_h))*SQRT('Valve Sizing'!$G$6/R412)</f>
        <v>0.22940265910304602</v>
      </c>
      <c r="S414" s="56"/>
      <c r="T414" s="72"/>
      <c r="U414" s="85">
        <f>(U407/(N_1*U$27))*SQRT('Valve Sizing'!$G$6/U412)</f>
        <v>5.8038383233157536</v>
      </c>
      <c r="V414" s="44"/>
      <c r="W414" s="72"/>
      <c r="X414" s="85">
        <f>(X407/(N_1*X$27))*SQRT('Valve Sizing'!$G$6/X412)</f>
        <v>14.154659805961026</v>
      </c>
      <c r="Y414" s="44"/>
      <c r="Z414" s="72"/>
      <c r="AA414" s="85">
        <f>(AA407/(N_1*AA$27))*SQRT('Valve Sizing'!$G$6/AA412)</f>
        <v>28.016351297910877</v>
      </c>
      <c r="AB414" s="44"/>
      <c r="AC414" s="72"/>
      <c r="AD414" s="85">
        <f>(AD407/(N_1*AD$27))*SQRT('Valve Sizing'!$G$6/AD412)</f>
        <v>49.146893967708202</v>
      </c>
      <c r="AE414" s="44"/>
      <c r="AF414" s="72"/>
      <c r="AG414" s="85">
        <f>(AG407/(N_1*AG$27))*SQRT('Valve Sizing'!$G$6/AG412)</f>
        <v>82.022065945956669</v>
      </c>
      <c r="AH414" s="44"/>
      <c r="AI414" s="72"/>
      <c r="AJ414" s="85">
        <f>(AJ407/(N_1*AJ$27))*SQRT('Valve Sizing'!$G$6/AJ412)</f>
        <v>126.51627050266831</v>
      </c>
      <c r="AK414" s="44"/>
      <c r="AL414" s="72"/>
      <c r="AM414" s="85">
        <f>(AM407/(N_1*AM$27))*SQRT('Valve Sizing'!$G$6/AM412)</f>
        <v>193.11939054778892</v>
      </c>
      <c r="AN414" s="44"/>
      <c r="AO414" s="72"/>
      <c r="AP414" s="85">
        <f>(AP407/(N_1*AP$27))*SQRT('Valve Sizing'!$G$6/AP412)</f>
        <v>306.40363587434518</v>
      </c>
      <c r="AQ414" s="44"/>
      <c r="AR414" s="72"/>
      <c r="AS414" s="85">
        <f>(AS407/(N_1*AS$27))*SQRT('Valve Sizing'!$G$6/AS412)</f>
        <v>540.3941494098965</v>
      </c>
      <c r="AT414" s="44"/>
      <c r="AU414" s="72"/>
    </row>
    <row r="415" spans="15:47" x14ac:dyDescent="0.25">
      <c r="O415" s="1" t="s">
        <v>246</v>
      </c>
      <c r="P415" s="18"/>
      <c r="Q415" s="65"/>
      <c r="R415" s="53">
        <f>IF(R411&lt;R412,R413,R414)</f>
        <v>0.27620534176747868</v>
      </c>
      <c r="S415" s="49"/>
      <c r="T415" s="72"/>
      <c r="U415" s="64">
        <f>IF(U411&lt;U412,U413,U414)</f>
        <v>6.9905965632597642</v>
      </c>
      <c r="V415" s="44"/>
      <c r="W415" s="72"/>
      <c r="X415" s="64">
        <f>IF(X411&lt;X412,X413,X414)</f>
        <v>16.897555539898342</v>
      </c>
      <c r="Y415" s="44"/>
      <c r="Z415" s="72"/>
      <c r="AA415" s="64">
        <f>IF(AA411&lt;AA412,AA413,AA414)</f>
        <v>32.954449566056866</v>
      </c>
      <c r="AB415" s="44"/>
      <c r="AC415" s="72"/>
      <c r="AD415" s="64">
        <f>IF(AD411&lt;AD412,AD413,AD414)</f>
        <v>57.021256498405592</v>
      </c>
      <c r="AE415" s="44"/>
      <c r="AF415" s="72"/>
      <c r="AG415" s="64">
        <f>IF(AG411&lt;AG412,AG413,AG414)</f>
        <v>94.340077955699442</v>
      </c>
      <c r="AH415" s="44"/>
      <c r="AI415" s="72"/>
      <c r="AJ415" s="64">
        <f>IF(AJ411&lt;AJ412,AJ413,AJ414)</f>
        <v>151.49359948389204</v>
      </c>
      <c r="AK415" s="44"/>
      <c r="AL415" s="72"/>
      <c r="AM415" s="64">
        <f>IF(AM411&lt;AM412,AM413,AM414)</f>
        <v>250.74209262418711</v>
      </c>
      <c r="AN415" s="44"/>
      <c r="AO415" s="72"/>
      <c r="AP415" s="64">
        <f>IF(AP411&lt;AP412,AP413,AP414)</f>
        <v>578.65615128239722</v>
      </c>
      <c r="AQ415" s="44"/>
      <c r="AR415" s="72"/>
      <c r="AS415" s="64" t="e">
        <f>IF(AS411&lt;AS412,AS413,AS414)</f>
        <v>#NUM!</v>
      </c>
      <c r="AT415" s="44"/>
      <c r="AU415" s="72"/>
    </row>
    <row r="416" spans="15:47" ht="13" x14ac:dyDescent="0.3">
      <c r="O416" s="7" t="s">
        <v>264</v>
      </c>
      <c r="Q416" s="61"/>
      <c r="R416" s="53"/>
      <c r="S416" s="69">
        <f>IFERROR(ABS(C_h-R415),Q_max*10)</f>
        <v>4.7237946582325216</v>
      </c>
      <c r="T416" s="76">
        <f>R407</f>
        <v>1.5685408256176128</v>
      </c>
      <c r="U416" s="61"/>
      <c r="V416" s="69">
        <f>IFERROR(ABS(U$23-U415),Q_max*10)</f>
        <v>5.0094034367402358</v>
      </c>
      <c r="W416" s="75">
        <f>U407</f>
        <v>39.632148154951842</v>
      </c>
      <c r="X416" s="61"/>
      <c r="Y416" s="69">
        <f>IFERROR(ABS(X$23-X415),Q_max*10)</f>
        <v>6.1024444601016583</v>
      </c>
      <c r="Z416" s="75">
        <f>X407</f>
        <v>95.132411468213519</v>
      </c>
      <c r="AA416" s="61"/>
      <c r="AB416" s="69">
        <f>IFERROR(ABS(AA$23-AA415),Q_max*10)</f>
        <v>6.0455504339431343</v>
      </c>
      <c r="AC416" s="75">
        <f>AA407</f>
        <v>181.6426383966201</v>
      </c>
      <c r="AD416" s="61"/>
      <c r="AE416" s="69">
        <f>IFERROR(ABS(AD$23-AD415),Q_max*10)</f>
        <v>3.9787435015944084</v>
      </c>
      <c r="AF416" s="75">
        <f>AD407</f>
        <v>298.73526331076306</v>
      </c>
      <c r="AG416" s="61"/>
      <c r="AH416" s="69">
        <f>IFERROR(ABS(AG$23-AG415),Q_max*10)</f>
        <v>6.3400779556994422</v>
      </c>
      <c r="AI416" s="75">
        <f>AG407</f>
        <v>444.77609948732317</v>
      </c>
      <c r="AJ416" s="61"/>
      <c r="AK416" s="69">
        <f>IFERROR(ABS(AJ$23-AJ415),Q_max*10)</f>
        <v>30.493599483892041</v>
      </c>
      <c r="AL416" s="75">
        <f>AJ407</f>
        <v>593.55542897028658</v>
      </c>
      <c r="AM416" s="61"/>
      <c r="AN416" s="69">
        <f>IFERROR(ABS(AM$23-AM415),Q_max*10)</f>
        <v>85.742092624187109</v>
      </c>
      <c r="AO416" s="75">
        <f>AM407</f>
        <v>724.25042258658664</v>
      </c>
      <c r="AP416" s="61"/>
      <c r="AQ416" s="69">
        <f>IFERROR(ABS(AP$23-AP415),Q_max*10)</f>
        <v>332.65615128239722</v>
      </c>
      <c r="AR416" s="75">
        <f>AP407</f>
        <v>840.83225653662942</v>
      </c>
      <c r="AS416" s="61"/>
      <c r="AT416" s="69">
        <f>IFERROR(ABS(AS$23-AS415),Q_max*10)</f>
        <v>5500</v>
      </c>
      <c r="AU416" s="75">
        <f>AS407</f>
        <v>956.945541135898</v>
      </c>
    </row>
    <row r="417" spans="15:47" ht="14.5" x14ac:dyDescent="0.35">
      <c r="O417" s="8"/>
      <c r="P417" s="6"/>
      <c r="Q417" s="60"/>
      <c r="R417" s="67"/>
      <c r="S417" s="56"/>
      <c r="T417" s="72"/>
      <c r="V417" s="11"/>
      <c r="W417" s="38"/>
      <c r="Y417" s="11"/>
      <c r="Z417" s="38"/>
      <c r="AB417" s="11"/>
      <c r="AC417" s="38"/>
      <c r="AE417" s="11"/>
      <c r="AF417" s="38"/>
      <c r="AH417" s="11"/>
      <c r="AI417" s="38"/>
      <c r="AK417" s="11"/>
      <c r="AL417" s="38"/>
      <c r="AN417" s="11"/>
      <c r="AO417" s="38"/>
      <c r="AQ417" s="11"/>
      <c r="AR417" s="38"/>
      <c r="AT417" s="11"/>
      <c r="AU417" s="38"/>
    </row>
    <row r="418" spans="15:47" ht="14" x14ac:dyDescent="0.3">
      <c r="O418" s="8" t="s">
        <v>235</v>
      </c>
      <c r="P418" s="6"/>
      <c r="Q418" s="60"/>
      <c r="R418" s="53">
        <f>R407*1.02</f>
        <v>1.5999116421299651</v>
      </c>
      <c r="S418" s="58" t="s">
        <v>238</v>
      </c>
      <c r="T418" s="73" t="s">
        <v>241</v>
      </c>
      <c r="U418" s="84">
        <f>U407*1.01</f>
        <v>40.028469636501363</v>
      </c>
      <c r="V418" s="58" t="s">
        <v>238</v>
      </c>
      <c r="W418" s="73" t="s">
        <v>241</v>
      </c>
      <c r="X418" s="84">
        <f>X407*1.01</f>
        <v>96.083735582895656</v>
      </c>
      <c r="Y418" s="58" t="s">
        <v>238</v>
      </c>
      <c r="Z418" s="73" t="s">
        <v>241</v>
      </c>
      <c r="AA418" s="84">
        <f>AA407*1.01</f>
        <v>183.45906478058629</v>
      </c>
      <c r="AB418" s="58" t="s">
        <v>238</v>
      </c>
      <c r="AC418" s="73" t="s">
        <v>241</v>
      </c>
      <c r="AD418" s="84">
        <f>AD407*1.01</f>
        <v>301.72261594387066</v>
      </c>
      <c r="AE418" s="58" t="s">
        <v>238</v>
      </c>
      <c r="AF418" s="73" t="s">
        <v>241</v>
      </c>
      <c r="AG418" s="84">
        <f>AG407*1.01</f>
        <v>449.22386048219641</v>
      </c>
      <c r="AH418" s="58" t="s">
        <v>238</v>
      </c>
      <c r="AI418" s="73" t="s">
        <v>241</v>
      </c>
      <c r="AJ418" s="84">
        <f>AJ407*1.01</f>
        <v>599.49098325998943</v>
      </c>
      <c r="AK418" s="58" t="s">
        <v>238</v>
      </c>
      <c r="AL418" s="73" t="s">
        <v>241</v>
      </c>
      <c r="AM418" s="84">
        <f>AM407*1.01</f>
        <v>731.49292681245254</v>
      </c>
      <c r="AN418" s="58" t="s">
        <v>238</v>
      </c>
      <c r="AO418" s="73" t="s">
        <v>241</v>
      </c>
      <c r="AP418" s="84">
        <f>AP407*1.01</f>
        <v>849.24057910199576</v>
      </c>
      <c r="AQ418" s="58" t="s">
        <v>238</v>
      </c>
      <c r="AR418" s="73" t="s">
        <v>241</v>
      </c>
      <c r="AS418" s="84">
        <f>AS407*1.01</f>
        <v>966.51499654725694</v>
      </c>
      <c r="AT418" s="58" t="s">
        <v>238</v>
      </c>
      <c r="AU418" s="73" t="s">
        <v>241</v>
      </c>
    </row>
    <row r="419" spans="15:47" ht="13" x14ac:dyDescent="0.25">
      <c r="O419" s="6"/>
      <c r="P419" s="6"/>
      <c r="Q419" s="60"/>
      <c r="R419" s="70"/>
      <c r="S419" s="63" t="s">
        <v>250</v>
      </c>
      <c r="T419" s="71" t="s">
        <v>242</v>
      </c>
      <c r="U419" s="61"/>
      <c r="V419" s="63" t="s">
        <v>250</v>
      </c>
      <c r="W419" s="71" t="s">
        <v>242</v>
      </c>
      <c r="X419" s="61"/>
      <c r="Y419" s="63" t="s">
        <v>250</v>
      </c>
      <c r="Z419" s="71" t="s">
        <v>242</v>
      </c>
      <c r="AA419" s="61"/>
      <c r="AB419" s="63" t="s">
        <v>250</v>
      </c>
      <c r="AC419" s="71" t="s">
        <v>242</v>
      </c>
      <c r="AD419" s="61"/>
      <c r="AE419" s="63" t="s">
        <v>250</v>
      </c>
      <c r="AF419" s="71" t="s">
        <v>242</v>
      </c>
      <c r="AG419" s="61"/>
      <c r="AH419" s="63" t="s">
        <v>250</v>
      </c>
      <c r="AI419" s="71" t="s">
        <v>242</v>
      </c>
      <c r="AJ419" s="61"/>
      <c r="AK419" s="63" t="s">
        <v>250</v>
      </c>
      <c r="AL419" s="71" t="s">
        <v>242</v>
      </c>
      <c r="AM419" s="61"/>
      <c r="AN419" s="63" t="s">
        <v>250</v>
      </c>
      <c r="AO419" s="71" t="s">
        <v>242</v>
      </c>
      <c r="AP419" s="61"/>
      <c r="AQ419" s="63" t="s">
        <v>250</v>
      </c>
      <c r="AR419" s="71" t="s">
        <v>242</v>
      </c>
      <c r="AS419" s="61"/>
      <c r="AT419" s="63" t="s">
        <v>250</v>
      </c>
      <c r="AU419" s="71" t="s">
        <v>242</v>
      </c>
    </row>
    <row r="420" spans="15:47" ht="13" x14ac:dyDescent="0.3">
      <c r="O420" s="6" t="s">
        <v>231</v>
      </c>
      <c r="P420" s="6"/>
      <c r="Q420" s="60"/>
      <c r="R420" s="85">
        <f>P_1_minQ-(R418^2*R_up)+dpup_minQ</f>
        <v>56.916056747137368</v>
      </c>
      <c r="S420" s="56"/>
      <c r="T420" s="72"/>
      <c r="U420" s="53">
        <f>P_1_minQ-(U418^2*R_up)+dpup_minQ</f>
        <v>56.862030449799384</v>
      </c>
      <c r="V420" s="44"/>
      <c r="W420" s="72"/>
      <c r="X420" s="53">
        <f>P_1_minQ-(X418^2*R_up)+dpup_minQ</f>
        <v>56.604353791166368</v>
      </c>
      <c r="Y420" s="44"/>
      <c r="Z420" s="72"/>
      <c r="AA420" s="53">
        <f>P_1_minQ-(AA418^2*R_up)+dpup_minQ</f>
        <v>55.779458681183137</v>
      </c>
      <c r="AB420" s="44"/>
      <c r="AC420" s="72"/>
      <c r="AD420" s="53">
        <f>P_1_minQ-(AD418^2*R_up)+dpup_minQ</f>
        <v>53.841623202566282</v>
      </c>
      <c r="AE420" s="44"/>
      <c r="AF420" s="72"/>
      <c r="AG420" s="53">
        <f>P_1_minQ-(AG418^2*R_up)+dpup_minQ</f>
        <v>50.100807942366501</v>
      </c>
      <c r="AH420" s="44"/>
      <c r="AI420" s="72"/>
      <c r="AJ420" s="53">
        <f>P_1_minQ-(AJ418^2*R_up)+dpup_minQ</f>
        <v>44.778708577844341</v>
      </c>
      <c r="AK420" s="44"/>
      <c r="AL420" s="72"/>
      <c r="AM420" s="53">
        <f>P_1_minQ-(AM418^2*R_up)+dpup_minQ</f>
        <v>38.845156974783926</v>
      </c>
      <c r="AN420" s="44"/>
      <c r="AO420" s="72"/>
      <c r="AP420" s="53">
        <f>P_1_minQ-(AP418^2*R_up)+dpup_minQ</f>
        <v>32.559184019132282</v>
      </c>
      <c r="AQ420" s="44"/>
      <c r="AR420" s="72"/>
      <c r="AS420" s="53">
        <f>P_1_minQ-(AS418^2*R_up)+dpup_minQ</f>
        <v>25.367638009093412</v>
      </c>
      <c r="AT420" s="44"/>
      <c r="AU420" s="72"/>
    </row>
    <row r="421" spans="15:47" ht="13" x14ac:dyDescent="0.3">
      <c r="O421" s="6" t="s">
        <v>233</v>
      </c>
      <c r="P421" s="6"/>
      <c r="Q421" s="60"/>
      <c r="R421" s="85">
        <f>P_2_minQ+(R418^2*R_dn)-dpdn_minQ</f>
        <v>24.65678865057253</v>
      </c>
      <c r="S421" s="66"/>
      <c r="T421" s="74"/>
      <c r="U421" s="53">
        <f>P_2_minQ+(U418^2*R_dn)-dpdn_minQ</f>
        <v>24.667593910040125</v>
      </c>
      <c r="V421" s="45"/>
      <c r="W421" s="74"/>
      <c r="X421" s="53">
        <f>P_2_minQ+(X418^2*R_dn)-dpdn_minQ</f>
        <v>24.719129241766726</v>
      </c>
      <c r="Y421" s="45"/>
      <c r="Z421" s="74"/>
      <c r="AA421" s="53">
        <f>P_2_minQ+(AA418^2*R_dn)-dpdn_minQ</f>
        <v>24.884108263763373</v>
      </c>
      <c r="AB421" s="45"/>
      <c r="AC421" s="74"/>
      <c r="AD421" s="53">
        <f>P_2_minQ+(AD418^2*R_dn)-dpdn_minQ</f>
        <v>25.271675359486746</v>
      </c>
      <c r="AE421" s="45"/>
      <c r="AF421" s="74"/>
      <c r="AG421" s="53">
        <f>P_2_minQ+(AG418^2*R_dn)-dpdn_minQ</f>
        <v>26.019838411526703</v>
      </c>
      <c r="AH421" s="45"/>
      <c r="AI421" s="74"/>
      <c r="AJ421" s="53">
        <f>P_2_minQ+(AJ418^2*R_dn)-dpdn_minQ</f>
        <v>27.084258284431133</v>
      </c>
      <c r="AK421" s="45"/>
      <c r="AL421" s="74"/>
      <c r="AM421" s="53">
        <f>P_2_minQ+(AM418^2*R_dn)-dpdn_minQ</f>
        <v>28.270968605043215</v>
      </c>
      <c r="AN421" s="45"/>
      <c r="AO421" s="74"/>
      <c r="AP421" s="53">
        <f>P_2_minQ+(AP418^2*R_dn)-dpdn_minQ</f>
        <v>29.528163196173544</v>
      </c>
      <c r="AQ421" s="45"/>
      <c r="AR421" s="74"/>
      <c r="AS421" s="53">
        <f>P_2_minQ+(AS418^2*R_dn)-dpdn_minQ</f>
        <v>30.96647239818132</v>
      </c>
      <c r="AT421" s="45"/>
      <c r="AU421" s="74"/>
    </row>
    <row r="422" spans="15:47" x14ac:dyDescent="0.25">
      <c r="O422" s="6" t="s">
        <v>243</v>
      </c>
      <c r="Q422" s="60"/>
      <c r="R422" s="53">
        <f>R420-R421</f>
        <v>32.259268096564838</v>
      </c>
      <c r="S422" s="56"/>
      <c r="T422" s="72"/>
      <c r="U422" s="64">
        <f>U420-U421</f>
        <v>32.194436539759259</v>
      </c>
      <c r="V422" s="44"/>
      <c r="W422" s="72"/>
      <c r="X422" s="64">
        <f>X420-X421</f>
        <v>31.885224549399641</v>
      </c>
      <c r="Y422" s="44"/>
      <c r="Z422" s="72"/>
      <c r="AA422" s="64">
        <f>AA420-AA421</f>
        <v>30.895350417419763</v>
      </c>
      <c r="AB422" s="44"/>
      <c r="AC422" s="72"/>
      <c r="AD422" s="64">
        <f>AD420-AD421</f>
        <v>28.569947843079536</v>
      </c>
      <c r="AE422" s="44"/>
      <c r="AF422" s="72"/>
      <c r="AG422" s="64">
        <f>AG420-AG421</f>
        <v>24.080969530839798</v>
      </c>
      <c r="AH422" s="44"/>
      <c r="AI422" s="72"/>
      <c r="AJ422" s="64">
        <f>AJ420-AJ421</f>
        <v>17.694450293413208</v>
      </c>
      <c r="AK422" s="44"/>
      <c r="AL422" s="72"/>
      <c r="AM422" s="64">
        <f>AM420-AM421</f>
        <v>10.57418836974071</v>
      </c>
      <c r="AN422" s="44"/>
      <c r="AO422" s="72"/>
      <c r="AP422" s="64">
        <f>AP420-AP421</f>
        <v>3.0310208229587374</v>
      </c>
      <c r="AQ422" s="44"/>
      <c r="AR422" s="72"/>
      <c r="AS422" s="64">
        <f>AS420-AS421</f>
        <v>-5.5988343890879086</v>
      </c>
      <c r="AT422" s="44"/>
      <c r="AU422" s="72"/>
    </row>
    <row r="423" spans="15:47" ht="13" x14ac:dyDescent="0.3">
      <c r="O423" s="6" t="s">
        <v>75</v>
      </c>
      <c r="P423" s="6">
        <v>3</v>
      </c>
      <c r="Q423" s="65"/>
      <c r="R423" s="85">
        <f>(F_LP_h/F_P_h)^2*(R420-('Valve Sizing'!$V$4*'Valve Sizing'!$G$7))</f>
        <v>46.765091658459809</v>
      </c>
      <c r="S423" s="58"/>
      <c r="T423" s="73"/>
      <c r="U423" s="53">
        <f>(U$29/U$27)^2*(U420-('Valve Sizing'!$V$4*'Valve Sizing'!$G$7))</f>
        <v>46.707621009716291</v>
      </c>
      <c r="V423" s="41"/>
      <c r="W423" s="73"/>
      <c r="X423" s="53">
        <f>(X$29/X$27)^2*(X420-('Valve Sizing'!$V$4*'Valve Sizing'!$G$7))</f>
        <v>45.445540426743371</v>
      </c>
      <c r="Y423" s="41"/>
      <c r="Z423" s="73"/>
      <c r="AA423" s="53">
        <f>(AA$29/AA$27)^2*(AA420-('Valve Sizing'!$V$4*'Valve Sizing'!$G$7))</f>
        <v>42.766135333604382</v>
      </c>
      <c r="AB423" s="41"/>
      <c r="AC423" s="73"/>
      <c r="AD423" s="53">
        <f>(AD$29/AD$27)^2*(AD420-('Valve Sizing'!$V$4*'Valve Sizing'!$G$7))</f>
        <v>38.512536586304329</v>
      </c>
      <c r="AE423" s="41"/>
      <c r="AF423" s="73"/>
      <c r="AG423" s="53">
        <f>(AG$29/AG$27)^2*(AG420-('Valve Sizing'!$V$4*'Valve Sizing'!$G$7))</f>
        <v>31.983705824802051</v>
      </c>
      <c r="AH423" s="41"/>
      <c r="AI423" s="73"/>
      <c r="AJ423" s="53">
        <f>(AJ$29/AJ$27)^2*(AJ420-('Valve Sizing'!$V$4*'Valve Sizing'!$G$7))</f>
        <v>25.643894362178244</v>
      </c>
      <c r="AK423" s="41"/>
      <c r="AL423" s="73"/>
      <c r="AM423" s="53">
        <f>(AM$29/AM$27)^2*(AM420-('Valve Sizing'!$V$4*'Valve Sizing'!$G$7))</f>
        <v>18.375770409111134</v>
      </c>
      <c r="AN423" s="41"/>
      <c r="AO423" s="73"/>
      <c r="AP423" s="53">
        <f>(AP$29/AP$27)^2*(AP420-('Valve Sizing'!$V$4*'Valve Sizing'!$G$7))</f>
        <v>12.675068929092117</v>
      </c>
      <c r="AQ423" s="41"/>
      <c r="AR423" s="73"/>
      <c r="AS423" s="53">
        <f>(AS$29/AS$27)^2*(AS420-('Valve Sizing'!$V$4*'Valve Sizing'!$G$7))</f>
        <v>9.3762798642245944</v>
      </c>
      <c r="AT423" s="41"/>
      <c r="AU423" s="73"/>
    </row>
    <row r="424" spans="15:47" ht="13" x14ac:dyDescent="0.25">
      <c r="O424" s="1" t="s">
        <v>69</v>
      </c>
      <c r="P424" s="17">
        <v>7</v>
      </c>
      <c r="Q424" s="65"/>
      <c r="R424" s="53">
        <f>(R418/(N_1*F_P_h))*SQRT('Valve Sizing'!$G$6/R422)</f>
        <v>0.28172946619273692</v>
      </c>
      <c r="S424" s="58"/>
      <c r="T424" s="73"/>
      <c r="U424" s="64">
        <f>(U418/(N_1*U$27))*SQRT('Valve Sizing'!$G$6/U422)</f>
        <v>7.0606428278987607</v>
      </c>
      <c r="V424" s="41"/>
      <c r="W424" s="73"/>
      <c r="X424" s="64">
        <f>(X418/(N_1*X$27))*SQRT('Valve Sizing'!$G$6/X422)</f>
        <v>17.068503956748973</v>
      </c>
      <c r="Y424" s="41"/>
      <c r="Z424" s="73"/>
      <c r="AA424" s="64">
        <f>(AA418/(N_1*AA$27))*SQRT('Valve Sizing'!$G$6/AA422)</f>
        <v>33.298468189215043</v>
      </c>
      <c r="AB424" s="41"/>
      <c r="AC424" s="73"/>
      <c r="AD424" s="64">
        <f>(AD418/(N_1*AD$27))*SQRT('Valve Sizing'!$G$6/AD422)</f>
        <v>57.664693255472493</v>
      </c>
      <c r="AE424" s="41"/>
      <c r="AF424" s="73"/>
      <c r="AG424" s="64">
        <f>(AG418/(N_1*AG$27))*SQRT('Valve Sizing'!$G$6/AG422)</f>
        <v>95.601759707546535</v>
      </c>
      <c r="AH424" s="41"/>
      <c r="AI424" s="73"/>
      <c r="AJ424" s="64">
        <f>(AJ418/(N_1*AJ$27))*SQRT('Valve Sizing'!$G$6/AJ422)</f>
        <v>154.24436824279127</v>
      </c>
      <c r="AK424" s="41"/>
      <c r="AL424" s="73"/>
      <c r="AM424" s="64">
        <f>(AM418/(N_1*AM$27))*SQRT('Valve Sizing'!$G$6/AM422)</f>
        <v>258.31552019938761</v>
      </c>
      <c r="AN424" s="41"/>
      <c r="AO424" s="73"/>
      <c r="AP424" s="64">
        <f>(AP418/(N_1*AP$27))*SQRT('Valve Sizing'!$G$6/AP422)</f>
        <v>637.55350018085596</v>
      </c>
      <c r="AQ424" s="41"/>
      <c r="AR424" s="73"/>
      <c r="AS424" s="64" t="e">
        <f>(AS418/(N_1*AS$27))*SQRT('Valve Sizing'!$G$6/AS422)</f>
        <v>#NUM!</v>
      </c>
      <c r="AT424" s="41"/>
      <c r="AU424" s="73"/>
    </row>
    <row r="425" spans="15:47" ht="13" x14ac:dyDescent="0.3">
      <c r="O425" s="1" t="s">
        <v>72</v>
      </c>
      <c r="P425" s="17">
        <v>7</v>
      </c>
      <c r="Q425" s="65"/>
      <c r="R425" s="53">
        <f>(R418/(N_1*F_P_h))*SQRT('Valve Sizing'!$G$6/R423)</f>
        <v>0.23399071923918091</v>
      </c>
      <c r="S425" s="56"/>
      <c r="T425" s="72"/>
      <c r="U425" s="85">
        <f>(U418/(N_1*U$27))*SQRT('Valve Sizing'!$G$6/U423)</f>
        <v>5.861932093727221</v>
      </c>
      <c r="V425" s="44"/>
      <c r="W425" s="72"/>
      <c r="X425" s="85">
        <f>(X418/(N_1*X$27))*SQRT('Valve Sizing'!$G$6/X423)</f>
        <v>14.296988271733101</v>
      </c>
      <c r="Y425" s="44"/>
      <c r="Z425" s="72"/>
      <c r="AA425" s="85">
        <f>(AA418/(N_1*AA$27))*SQRT('Valve Sizing'!$G$6/AA423)</f>
        <v>28.302240368855195</v>
      </c>
      <c r="AB425" s="44"/>
      <c r="AC425" s="72"/>
      <c r="AD425" s="85">
        <f>(AD418/(N_1*AD$27))*SQRT('Valve Sizing'!$G$6/AD423)</f>
        <v>49.666510482052871</v>
      </c>
      <c r="AE425" s="44"/>
      <c r="AF425" s="72"/>
      <c r="AG425" s="85">
        <f>(AG418/(N_1*AG$27))*SQRT('Valve Sizing'!$G$6/AG423)</f>
        <v>82.954219063122792</v>
      </c>
      <c r="AH425" s="44"/>
      <c r="AI425" s="72"/>
      <c r="AJ425" s="85">
        <f>(AJ418/(N_1*AJ$27))*SQRT('Valve Sizing'!$G$6/AJ423)</f>
        <v>128.12558580421864</v>
      </c>
      <c r="AK425" s="44"/>
      <c r="AL425" s="72"/>
      <c r="AM425" s="85">
        <f>(AM418/(N_1*AM$27))*SQRT('Valve Sizing'!$G$6/AM423)</f>
        <v>195.95269629297005</v>
      </c>
      <c r="AN425" s="44"/>
      <c r="AO425" s="72"/>
      <c r="AP425" s="85">
        <f>(AP418/(N_1*AP$27))*SQRT('Valve Sizing'!$G$6/AP423)</f>
        <v>311.7711532669166</v>
      </c>
      <c r="AQ425" s="44"/>
      <c r="AR425" s="72"/>
      <c r="AS425" s="85">
        <f>(AS418/(N_1*AS$27))*SQRT('Valve Sizing'!$G$6/AS423)</f>
        <v>552.5615896555172</v>
      </c>
      <c r="AT425" s="44"/>
      <c r="AU425" s="72"/>
    </row>
    <row r="426" spans="15:47" x14ac:dyDescent="0.25">
      <c r="O426" s="1" t="s">
        <v>246</v>
      </c>
      <c r="P426" s="18"/>
      <c r="Q426" s="65"/>
      <c r="R426" s="53">
        <f>IF(R422&lt;R423,R424,R425)</f>
        <v>0.28172946619273692</v>
      </c>
      <c r="S426" s="49"/>
      <c r="T426" s="72"/>
      <c r="U426" s="64">
        <f>IF(U422&lt;U423,U424,U425)</f>
        <v>7.0606428278987607</v>
      </c>
      <c r="V426" s="44"/>
      <c r="W426" s="72"/>
      <c r="X426" s="64">
        <f>IF(X422&lt;X423,X424,X425)</f>
        <v>17.068503956748973</v>
      </c>
      <c r="Y426" s="44"/>
      <c r="Z426" s="72"/>
      <c r="AA426" s="64">
        <f>IF(AA422&lt;AA423,AA424,AA425)</f>
        <v>33.298468189215043</v>
      </c>
      <c r="AB426" s="44"/>
      <c r="AC426" s="72"/>
      <c r="AD426" s="64">
        <f>IF(AD422&lt;AD423,AD424,AD425)</f>
        <v>57.664693255472493</v>
      </c>
      <c r="AE426" s="44"/>
      <c r="AF426" s="72"/>
      <c r="AG426" s="64">
        <f>IF(AG422&lt;AG423,AG424,AG425)</f>
        <v>95.601759707546535</v>
      </c>
      <c r="AH426" s="44"/>
      <c r="AI426" s="72"/>
      <c r="AJ426" s="64">
        <f>IF(AJ422&lt;AJ423,AJ424,AJ425)</f>
        <v>154.24436824279127</v>
      </c>
      <c r="AK426" s="44"/>
      <c r="AL426" s="72"/>
      <c r="AM426" s="64">
        <f>IF(AM422&lt;AM423,AM424,AM425)</f>
        <v>258.31552019938761</v>
      </c>
      <c r="AN426" s="44"/>
      <c r="AO426" s="72"/>
      <c r="AP426" s="64">
        <f>IF(AP422&lt;AP423,AP424,AP425)</f>
        <v>637.55350018085596</v>
      </c>
      <c r="AQ426" s="44"/>
      <c r="AR426" s="72"/>
      <c r="AS426" s="64" t="e">
        <f>IF(AS422&lt;AS423,AS424,AS425)</f>
        <v>#NUM!</v>
      </c>
      <c r="AT426" s="44"/>
      <c r="AU426" s="72"/>
    </row>
    <row r="427" spans="15:47" ht="13" x14ac:dyDescent="0.3">
      <c r="O427" s="7" t="s">
        <v>264</v>
      </c>
      <c r="Q427" s="61"/>
      <c r="R427" s="53"/>
      <c r="S427" s="69">
        <f>IFERROR(ABS(C_h-R426),Q_max*10)</f>
        <v>4.7182705338072628</v>
      </c>
      <c r="T427" s="76">
        <f>R418</f>
        <v>1.5999116421299651</v>
      </c>
      <c r="U427" s="61"/>
      <c r="V427" s="69">
        <f>IFERROR(ABS(U$23-U426),Q_max*10)</f>
        <v>4.9393571721012393</v>
      </c>
      <c r="W427" s="75">
        <f>U418</f>
        <v>40.028469636501363</v>
      </c>
      <c r="X427" s="61"/>
      <c r="Y427" s="69">
        <f>IFERROR(ABS(X$23-X426),Q_max*10)</f>
        <v>5.9314960432510269</v>
      </c>
      <c r="Z427" s="75">
        <f>X418</f>
        <v>96.083735582895656</v>
      </c>
      <c r="AA427" s="61"/>
      <c r="AB427" s="69">
        <f>IFERROR(ABS(AA$23-AA426),Q_max*10)</f>
        <v>5.7015318107849566</v>
      </c>
      <c r="AC427" s="75">
        <f>AA418</f>
        <v>183.45906478058629</v>
      </c>
      <c r="AD427" s="61"/>
      <c r="AE427" s="69">
        <f>IFERROR(ABS(AD$23-AD426),Q_max*10)</f>
        <v>3.3353067445275073</v>
      </c>
      <c r="AF427" s="75">
        <f>AD418</f>
        <v>301.72261594387066</v>
      </c>
      <c r="AG427" s="61"/>
      <c r="AH427" s="69">
        <f>IFERROR(ABS(AG$23-AG426),Q_max*10)</f>
        <v>7.6017597075465346</v>
      </c>
      <c r="AI427" s="75">
        <f>AG418</f>
        <v>449.22386048219641</v>
      </c>
      <c r="AJ427" s="61"/>
      <c r="AK427" s="69">
        <f>IFERROR(ABS(AJ$23-AJ426),Q_max*10)</f>
        <v>33.244368242791268</v>
      </c>
      <c r="AL427" s="75">
        <f>AJ418</f>
        <v>599.49098325998943</v>
      </c>
      <c r="AM427" s="61"/>
      <c r="AN427" s="69">
        <f>IFERROR(ABS(AM$23-AM426),Q_max*10)</f>
        <v>93.315520199387606</v>
      </c>
      <c r="AO427" s="75">
        <f>AM418</f>
        <v>731.49292681245254</v>
      </c>
      <c r="AP427" s="61"/>
      <c r="AQ427" s="69">
        <f>IFERROR(ABS(AP$23-AP426),Q_max*10)</f>
        <v>391.55350018085596</v>
      </c>
      <c r="AR427" s="75">
        <f>AP418</f>
        <v>849.24057910199576</v>
      </c>
      <c r="AS427" s="61"/>
      <c r="AT427" s="69">
        <f>IFERROR(ABS(AS$23-AS426),Q_max*10)</f>
        <v>5500</v>
      </c>
      <c r="AU427" s="75">
        <f>AS418</f>
        <v>966.51499654725694</v>
      </c>
    </row>
    <row r="428" spans="15:47" ht="14.5" x14ac:dyDescent="0.35">
      <c r="O428" s="6"/>
      <c r="P428" s="6"/>
      <c r="Q428" s="60"/>
      <c r="R428" s="67"/>
      <c r="S428" s="66"/>
      <c r="T428" s="74"/>
      <c r="V428" s="11"/>
      <c r="W428" s="38"/>
      <c r="Y428" s="11"/>
      <c r="Z428" s="38"/>
      <c r="AB428" s="11"/>
      <c r="AC428" s="38"/>
      <c r="AE428" s="11"/>
      <c r="AF428" s="38"/>
      <c r="AH428" s="11"/>
      <c r="AI428" s="38"/>
      <c r="AK428" s="11"/>
      <c r="AL428" s="38"/>
      <c r="AN428" s="11"/>
      <c r="AO428" s="38"/>
      <c r="AQ428" s="11"/>
      <c r="AR428" s="38"/>
      <c r="AT428" s="11"/>
      <c r="AU428" s="38"/>
    </row>
    <row r="429" spans="15:47" ht="14" x14ac:dyDescent="0.3">
      <c r="O429" s="8" t="s">
        <v>235</v>
      </c>
      <c r="P429" s="6"/>
      <c r="Q429" s="60"/>
      <c r="R429" s="53">
        <f>R418*1.02</f>
        <v>1.6319098749725645</v>
      </c>
      <c r="S429" s="58" t="s">
        <v>238</v>
      </c>
      <c r="T429" s="73" t="s">
        <v>241</v>
      </c>
      <c r="U429" s="84">
        <f>U418*1.01</f>
        <v>40.428754332866376</v>
      </c>
      <c r="V429" s="58" t="s">
        <v>238</v>
      </c>
      <c r="W429" s="73" t="s">
        <v>241</v>
      </c>
      <c r="X429" s="84">
        <f>X418*1.01</f>
        <v>97.044572938724613</v>
      </c>
      <c r="Y429" s="58" t="s">
        <v>238</v>
      </c>
      <c r="Z429" s="73" t="s">
        <v>241</v>
      </c>
      <c r="AA429" s="84">
        <f>AA418*1.01</f>
        <v>185.29365542839216</v>
      </c>
      <c r="AB429" s="58" t="s">
        <v>238</v>
      </c>
      <c r="AC429" s="73" t="s">
        <v>241</v>
      </c>
      <c r="AD429" s="84">
        <f>AD418*1.01</f>
        <v>304.7398421033094</v>
      </c>
      <c r="AE429" s="58" t="s">
        <v>238</v>
      </c>
      <c r="AF429" s="73" t="s">
        <v>241</v>
      </c>
      <c r="AG429" s="84">
        <f>AG418*1.01</f>
        <v>453.71609908701839</v>
      </c>
      <c r="AH429" s="58" t="s">
        <v>238</v>
      </c>
      <c r="AI429" s="73" t="s">
        <v>241</v>
      </c>
      <c r="AJ429" s="84">
        <f>AJ418*1.01</f>
        <v>605.48589309258932</v>
      </c>
      <c r="AK429" s="58" t="s">
        <v>238</v>
      </c>
      <c r="AL429" s="73" t="s">
        <v>241</v>
      </c>
      <c r="AM429" s="84">
        <f>AM418*1.01</f>
        <v>738.80785608057704</v>
      </c>
      <c r="AN429" s="58" t="s">
        <v>238</v>
      </c>
      <c r="AO429" s="73" t="s">
        <v>241</v>
      </c>
      <c r="AP429" s="84">
        <f>AP418*1.01</f>
        <v>857.73298489301578</v>
      </c>
      <c r="AQ429" s="58" t="s">
        <v>238</v>
      </c>
      <c r="AR429" s="73" t="s">
        <v>241</v>
      </c>
      <c r="AS429" s="84">
        <f>AS418*1.01</f>
        <v>976.18014651272949</v>
      </c>
      <c r="AT429" s="58" t="s">
        <v>238</v>
      </c>
      <c r="AU429" s="73" t="s">
        <v>241</v>
      </c>
    </row>
    <row r="430" spans="15:47" ht="13" x14ac:dyDescent="0.25">
      <c r="O430" s="6"/>
      <c r="P430" s="6"/>
      <c r="Q430" s="60"/>
      <c r="R430" s="70"/>
      <c r="S430" s="63" t="s">
        <v>250</v>
      </c>
      <c r="T430" s="71" t="s">
        <v>242</v>
      </c>
      <c r="U430" s="61"/>
      <c r="V430" s="63" t="s">
        <v>250</v>
      </c>
      <c r="W430" s="71" t="s">
        <v>242</v>
      </c>
      <c r="X430" s="61"/>
      <c r="Y430" s="63" t="s">
        <v>250</v>
      </c>
      <c r="Z430" s="71" t="s">
        <v>242</v>
      </c>
      <c r="AA430" s="61"/>
      <c r="AB430" s="63" t="s">
        <v>250</v>
      </c>
      <c r="AC430" s="71" t="s">
        <v>242</v>
      </c>
      <c r="AD430" s="61"/>
      <c r="AE430" s="63" t="s">
        <v>250</v>
      </c>
      <c r="AF430" s="71" t="s">
        <v>242</v>
      </c>
      <c r="AG430" s="61"/>
      <c r="AH430" s="63" t="s">
        <v>250</v>
      </c>
      <c r="AI430" s="71" t="s">
        <v>242</v>
      </c>
      <c r="AJ430" s="61"/>
      <c r="AK430" s="63" t="s">
        <v>250</v>
      </c>
      <c r="AL430" s="71" t="s">
        <v>242</v>
      </c>
      <c r="AM430" s="61"/>
      <c r="AN430" s="63" t="s">
        <v>250</v>
      </c>
      <c r="AO430" s="71" t="s">
        <v>242</v>
      </c>
      <c r="AP430" s="61"/>
      <c r="AQ430" s="63" t="s">
        <v>250</v>
      </c>
      <c r="AR430" s="71" t="s">
        <v>242</v>
      </c>
      <c r="AS430" s="61"/>
      <c r="AT430" s="63" t="s">
        <v>250</v>
      </c>
      <c r="AU430" s="71" t="s">
        <v>242</v>
      </c>
    </row>
    <row r="431" spans="15:47" ht="13" x14ac:dyDescent="0.3">
      <c r="O431" s="6" t="s">
        <v>231</v>
      </c>
      <c r="P431" s="6"/>
      <c r="Q431" s="60"/>
      <c r="R431" s="85">
        <f>P_1_minQ-(R429^2*R_up)+dpup_minQ</f>
        <v>56.916053254649107</v>
      </c>
      <c r="S431" s="56"/>
      <c r="T431" s="72"/>
      <c r="U431" s="53">
        <f>P_1_minQ-(U429^2*R_up)+dpup_minQ</f>
        <v>56.860942783623528</v>
      </c>
      <c r="V431" s="44"/>
      <c r="W431" s="72"/>
      <c r="X431" s="53">
        <f>P_1_minQ-(X429^2*R_up)+dpup_minQ</f>
        <v>56.598086824151991</v>
      </c>
      <c r="Y431" s="44"/>
      <c r="Z431" s="72"/>
      <c r="AA431" s="53">
        <f>P_1_minQ-(AA429^2*R_up)+dpup_minQ</f>
        <v>55.756611322458099</v>
      </c>
      <c r="AB431" s="44"/>
      <c r="AC431" s="72"/>
      <c r="AD431" s="53">
        <f>P_1_minQ-(AD429^2*R_up)+dpup_minQ</f>
        <v>53.77982535072104</v>
      </c>
      <c r="AE431" s="44"/>
      <c r="AF431" s="72"/>
      <c r="AG431" s="53">
        <f>P_1_minQ-(AG429^2*R_up)+dpup_minQ</f>
        <v>49.963819703791252</v>
      </c>
      <c r="AH431" s="44"/>
      <c r="AI431" s="72"/>
      <c r="AJ431" s="53">
        <f>P_1_minQ-(AJ429^2*R_up)+dpup_minQ</f>
        <v>44.534746142042195</v>
      </c>
      <c r="AK431" s="44"/>
      <c r="AL431" s="72"/>
      <c r="AM431" s="53">
        <f>P_1_minQ-(AM429^2*R_up)+dpup_minQ</f>
        <v>38.48193015176026</v>
      </c>
      <c r="AN431" s="44"/>
      <c r="AO431" s="72"/>
      <c r="AP431" s="53">
        <f>P_1_minQ-(AP429^2*R_up)+dpup_minQ</f>
        <v>32.06960913970002</v>
      </c>
      <c r="AQ431" s="44"/>
      <c r="AR431" s="72"/>
      <c r="AS431" s="53">
        <f>P_1_minQ-(AS429^2*R_up)+dpup_minQ</f>
        <v>24.733513054859369</v>
      </c>
      <c r="AT431" s="44"/>
      <c r="AU431" s="72"/>
    </row>
    <row r="432" spans="15:47" ht="13" x14ac:dyDescent="0.3">
      <c r="O432" s="6" t="s">
        <v>233</v>
      </c>
      <c r="P432" s="6"/>
      <c r="Q432" s="60"/>
      <c r="R432" s="85">
        <f>P_2_minQ+(R429^2*R_dn)-dpdn_minQ</f>
        <v>24.656789349070181</v>
      </c>
      <c r="S432" s="66"/>
      <c r="T432" s="74"/>
      <c r="U432" s="53">
        <f>P_2_minQ+(U429^2*R_dn)-dpdn_minQ</f>
        <v>24.667811443275294</v>
      </c>
      <c r="V432" s="45"/>
      <c r="W432" s="74"/>
      <c r="X432" s="53">
        <f>P_2_minQ+(X429^2*R_dn)-dpdn_minQ</f>
        <v>24.720382635169603</v>
      </c>
      <c r="Y432" s="45"/>
      <c r="Z432" s="74"/>
      <c r="AA432" s="53">
        <f>P_2_minQ+(AA429^2*R_dn)-dpdn_minQ</f>
        <v>24.888677735508381</v>
      </c>
      <c r="AB432" s="45"/>
      <c r="AC432" s="74"/>
      <c r="AD432" s="53">
        <f>P_2_minQ+(AD429^2*R_dn)-dpdn_minQ</f>
        <v>25.284034929855792</v>
      </c>
      <c r="AE432" s="45"/>
      <c r="AF432" s="74"/>
      <c r="AG432" s="53">
        <f>P_2_minQ+(AG429^2*R_dn)-dpdn_minQ</f>
        <v>26.047236059241751</v>
      </c>
      <c r="AH432" s="45"/>
      <c r="AI432" s="74"/>
      <c r="AJ432" s="53">
        <f>P_2_minQ+(AJ429^2*R_dn)-dpdn_minQ</f>
        <v>27.133050771591563</v>
      </c>
      <c r="AK432" s="45"/>
      <c r="AL432" s="74"/>
      <c r="AM432" s="53">
        <f>P_2_minQ+(AM429^2*R_dn)-dpdn_minQ</f>
        <v>28.343613969647947</v>
      </c>
      <c r="AN432" s="45"/>
      <c r="AO432" s="74"/>
      <c r="AP432" s="53">
        <f>P_2_minQ+(AP429^2*R_dn)-dpdn_minQ</f>
        <v>29.626078172059998</v>
      </c>
      <c r="AQ432" s="45"/>
      <c r="AR432" s="74"/>
      <c r="AS432" s="53">
        <f>P_2_minQ+(AS429^2*R_dn)-dpdn_minQ</f>
        <v>31.093297389028127</v>
      </c>
      <c r="AT432" s="45"/>
      <c r="AU432" s="74"/>
    </row>
    <row r="433" spans="15:47" x14ac:dyDescent="0.25">
      <c r="O433" s="6" t="s">
        <v>243</v>
      </c>
      <c r="Q433" s="60"/>
      <c r="R433" s="53">
        <f>R431-R432</f>
        <v>32.259263905578926</v>
      </c>
      <c r="S433" s="56"/>
      <c r="T433" s="72"/>
      <c r="U433" s="64">
        <f>U431-U432</f>
        <v>32.193131340348231</v>
      </c>
      <c r="V433" s="44"/>
      <c r="W433" s="72"/>
      <c r="X433" s="64">
        <f>X431-X432</f>
        <v>31.877704188982388</v>
      </c>
      <c r="Y433" s="44"/>
      <c r="Z433" s="72"/>
      <c r="AA433" s="64">
        <f>AA431-AA432</f>
        <v>30.867933586949718</v>
      </c>
      <c r="AB433" s="44"/>
      <c r="AC433" s="72"/>
      <c r="AD433" s="64">
        <f>AD431-AD432</f>
        <v>28.495790420865248</v>
      </c>
      <c r="AE433" s="44"/>
      <c r="AF433" s="72"/>
      <c r="AG433" s="64">
        <f>AG431-AG432</f>
        <v>23.916583644549501</v>
      </c>
      <c r="AH433" s="44"/>
      <c r="AI433" s="72"/>
      <c r="AJ433" s="64">
        <f>AJ431-AJ432</f>
        <v>17.401695370450632</v>
      </c>
      <c r="AK433" s="44"/>
      <c r="AL433" s="72"/>
      <c r="AM433" s="64">
        <f>AM431-AM432</f>
        <v>10.138316182112312</v>
      </c>
      <c r="AN433" s="44"/>
      <c r="AO433" s="72"/>
      <c r="AP433" s="64">
        <f>AP431-AP432</f>
        <v>2.4435309676400223</v>
      </c>
      <c r="AQ433" s="44"/>
      <c r="AR433" s="72"/>
      <c r="AS433" s="64">
        <f>AS431-AS432</f>
        <v>-6.3597843341687579</v>
      </c>
      <c r="AT433" s="44"/>
      <c r="AU433" s="72"/>
    </row>
    <row r="434" spans="15:47" ht="13" x14ac:dyDescent="0.3">
      <c r="O434" s="6" t="s">
        <v>75</v>
      </c>
      <c r="P434" s="6">
        <v>3</v>
      </c>
      <c r="Q434" s="65"/>
      <c r="R434" s="85">
        <f>(F_LP_h/F_P_h)^2*(R431-('Valve Sizing'!$V$4*'Valve Sizing'!$G$7))</f>
        <v>46.765088766496213</v>
      </c>
      <c r="S434" s="58"/>
      <c r="T434" s="73"/>
      <c r="U434" s="53">
        <f>(U$29/U$27)^2*(U431-('Valve Sizing'!$V$4*'Valve Sizing'!$G$7))</f>
        <v>46.706720610509691</v>
      </c>
      <c r="V434" s="41"/>
      <c r="W434" s="73"/>
      <c r="X434" s="53">
        <f>(X$29/X$27)^2*(X431-('Valve Sizing'!$V$4*'Valve Sizing'!$G$7))</f>
        <v>45.440469488042645</v>
      </c>
      <c r="Y434" s="41"/>
      <c r="Z434" s="73"/>
      <c r="AA434" s="53">
        <f>(AA$29/AA$27)^2*(AA431-('Valve Sizing'!$V$4*'Valve Sizing'!$G$7))</f>
        <v>42.748478958266411</v>
      </c>
      <c r="AB434" s="41"/>
      <c r="AC434" s="73"/>
      <c r="AD434" s="53">
        <f>(AD$29/AD$27)^2*(AD431-('Valve Sizing'!$V$4*'Valve Sizing'!$G$7))</f>
        <v>38.467968753763031</v>
      </c>
      <c r="AE434" s="41"/>
      <c r="AF434" s="73"/>
      <c r="AG434" s="53">
        <f>(AG$29/AG$27)^2*(AG431-('Valve Sizing'!$V$4*'Valve Sizing'!$G$7))</f>
        <v>31.895479378364435</v>
      </c>
      <c r="AH434" s="41"/>
      <c r="AI434" s="73"/>
      <c r="AJ434" s="53">
        <f>(AJ$29/AJ$27)^2*(AJ431-('Valve Sizing'!$V$4*'Valve Sizing'!$G$7))</f>
        <v>25.50279519015097</v>
      </c>
      <c r="AK434" s="41"/>
      <c r="AL434" s="73"/>
      <c r="AM434" s="53">
        <f>(AM$29/AM$27)^2*(AM431-('Valve Sizing'!$V$4*'Valve Sizing'!$G$7))</f>
        <v>18.201976490413948</v>
      </c>
      <c r="AN434" s="41"/>
      <c r="AO434" s="73"/>
      <c r="AP434" s="53">
        <f>(AP$29/AP$27)^2*(AP431-('Valve Sizing'!$V$4*'Valve Sizing'!$G$7))</f>
        <v>12.481869547667392</v>
      </c>
      <c r="AQ434" s="41"/>
      <c r="AR434" s="73"/>
      <c r="AS434" s="53">
        <f>(AS$29/AS$27)^2*(AS431-('Valve Sizing'!$V$4*'Valve Sizing'!$G$7))</f>
        <v>9.1377596003779544</v>
      </c>
      <c r="AT434" s="41"/>
      <c r="AU434" s="73"/>
    </row>
    <row r="435" spans="15:47" ht="13" x14ac:dyDescent="0.25">
      <c r="O435" s="1" t="s">
        <v>69</v>
      </c>
      <c r="P435" s="17">
        <v>7</v>
      </c>
      <c r="Q435" s="65"/>
      <c r="R435" s="53">
        <f>(R429/(N_1*F_P_h))*SQRT('Valve Sizing'!$G$6/R433)</f>
        <v>0.28736407418314697</v>
      </c>
      <c r="S435" s="58"/>
      <c r="T435" s="73"/>
      <c r="U435" s="64">
        <f>(U429/(N_1*U$27))*SQRT('Valve Sizing'!$G$6/U433)</f>
        <v>7.1313938150883516</v>
      </c>
      <c r="V435" s="41"/>
      <c r="W435" s="73"/>
      <c r="X435" s="64">
        <f>(X429/(N_1*X$27))*SQRT('Valve Sizing'!$G$6/X433)</f>
        <v>17.241222349604094</v>
      </c>
      <c r="Y435" s="41"/>
      <c r="Z435" s="73"/>
      <c r="AA435" s="64">
        <f>(AA429/(N_1*AA$27))*SQRT('Valve Sizing'!$G$6/AA433)</f>
        <v>33.646385247216095</v>
      </c>
      <c r="AB435" s="41"/>
      <c r="AC435" s="73"/>
      <c r="AD435" s="64">
        <f>(AD429/(N_1*AD$27))*SQRT('Valve Sizing'!$G$6/AD433)</f>
        <v>58.31707455585407</v>
      </c>
      <c r="AE435" s="41"/>
      <c r="AF435" s="73"/>
      <c r="AG435" s="64">
        <f>(AG429/(N_1*AG$27))*SQRT('Valve Sizing'!$G$6/AG433)</f>
        <v>96.889044404559385</v>
      </c>
      <c r="AH435" s="41"/>
      <c r="AI435" s="73"/>
      <c r="AJ435" s="64">
        <f>(AJ429/(N_1*AJ$27))*SQRT('Valve Sizing'!$G$6/AJ433)</f>
        <v>157.09177488118226</v>
      </c>
      <c r="AK435" s="41"/>
      <c r="AL435" s="73"/>
      <c r="AM435" s="64">
        <f>(AM429/(N_1*AM$27))*SQRT('Valve Sizing'!$G$6/AM433)</f>
        <v>266.44800927955447</v>
      </c>
      <c r="AN435" s="41"/>
      <c r="AO435" s="73"/>
      <c r="AP435" s="64">
        <f>(AP429/(N_1*AP$27))*SQRT('Valve Sizing'!$G$6/AP433)</f>
        <v>717.1723617587545</v>
      </c>
      <c r="AQ435" s="41"/>
      <c r="AR435" s="73"/>
      <c r="AS435" s="64" t="e">
        <f>(AS429/(N_1*AS$27))*SQRT('Valve Sizing'!$G$6/AS433)</f>
        <v>#NUM!</v>
      </c>
      <c r="AT435" s="41"/>
      <c r="AU435" s="73"/>
    </row>
    <row r="436" spans="15:47" ht="13" x14ac:dyDescent="0.3">
      <c r="O436" s="1" t="s">
        <v>72</v>
      </c>
      <c r="P436" s="17">
        <v>7</v>
      </c>
      <c r="Q436" s="65"/>
      <c r="R436" s="53">
        <f>(R429/(N_1*F_P_h))*SQRT('Valve Sizing'!$G$6/R434)</f>
        <v>0.23867054100368418</v>
      </c>
      <c r="S436" s="56"/>
      <c r="T436" s="72"/>
      <c r="U436" s="85">
        <f>(U429/(N_1*U$27))*SQRT('Valve Sizing'!$G$6/U434)</f>
        <v>5.9206084817635682</v>
      </c>
      <c r="V436" s="44"/>
      <c r="W436" s="72"/>
      <c r="X436" s="85">
        <f>(X429/(N_1*X$27))*SQRT('Valve Sizing'!$G$6/X434)</f>
        <v>14.440763847049073</v>
      </c>
      <c r="Y436" s="44"/>
      <c r="Z436" s="72"/>
      <c r="AA436" s="85">
        <f>(AA429/(N_1*AA$27))*SQRT('Valve Sizing'!$G$6/AA434)</f>
        <v>28.591165438983317</v>
      </c>
      <c r="AB436" s="44"/>
      <c r="AC436" s="72"/>
      <c r="AD436" s="85">
        <f>(AD429/(N_1*AD$27))*SQRT('Valve Sizing'!$G$6/AD434)</f>
        <v>50.192225948944241</v>
      </c>
      <c r="AE436" s="44"/>
      <c r="AF436" s="72"/>
      <c r="AG436" s="85">
        <f>(AG429/(N_1*AG$27))*SQRT('Valve Sizing'!$G$6/AG434)</f>
        <v>83.899558836852336</v>
      </c>
      <c r="AH436" s="44"/>
      <c r="AI436" s="72"/>
      <c r="AJ436" s="85">
        <f>(AJ429/(N_1*AJ$27))*SQRT('Valve Sizing'!$G$6/AJ434)</f>
        <v>129.76433212676793</v>
      </c>
      <c r="AK436" s="44"/>
      <c r="AL436" s="72"/>
      <c r="AM436" s="85">
        <f>(AM429/(N_1*AM$27))*SQRT('Valve Sizing'!$G$6/AM434)</f>
        <v>198.85481942683083</v>
      </c>
      <c r="AN436" s="44"/>
      <c r="AO436" s="72"/>
      <c r="AP436" s="85">
        <f>(AP429/(N_1*AP$27))*SQRT('Valve Sizing'!$G$6/AP434)</f>
        <v>317.31649496508044</v>
      </c>
      <c r="AQ436" s="44"/>
      <c r="AR436" s="72"/>
      <c r="AS436" s="85">
        <f>(AS429/(N_1*AS$27))*SQRT('Valve Sizing'!$G$6/AS434)</f>
        <v>565.32407775908132</v>
      </c>
      <c r="AT436" s="44"/>
      <c r="AU436" s="72"/>
    </row>
    <row r="437" spans="15:47" x14ac:dyDescent="0.25">
      <c r="O437" s="1" t="s">
        <v>246</v>
      </c>
      <c r="P437" s="18"/>
      <c r="Q437" s="65"/>
      <c r="R437" s="53">
        <f>IF(R433&lt;R434,R435,R436)</f>
        <v>0.28736407418314697</v>
      </c>
      <c r="S437" s="49"/>
      <c r="T437" s="72"/>
      <c r="U437" s="64">
        <f>IF(U433&lt;U434,U435,U436)</f>
        <v>7.1313938150883516</v>
      </c>
      <c r="V437" s="44"/>
      <c r="W437" s="72"/>
      <c r="X437" s="64">
        <f>IF(X433&lt;X434,X435,X436)</f>
        <v>17.241222349604094</v>
      </c>
      <c r="Y437" s="44"/>
      <c r="Z437" s="72"/>
      <c r="AA437" s="64">
        <f>IF(AA433&lt;AA434,AA435,AA436)</f>
        <v>33.646385247216095</v>
      </c>
      <c r="AB437" s="44"/>
      <c r="AC437" s="72"/>
      <c r="AD437" s="64">
        <f>IF(AD433&lt;AD434,AD435,AD436)</f>
        <v>58.31707455585407</v>
      </c>
      <c r="AE437" s="44"/>
      <c r="AF437" s="72"/>
      <c r="AG437" s="64">
        <f>IF(AG433&lt;AG434,AG435,AG436)</f>
        <v>96.889044404559385</v>
      </c>
      <c r="AH437" s="44"/>
      <c r="AI437" s="72"/>
      <c r="AJ437" s="64">
        <f>IF(AJ433&lt;AJ434,AJ435,AJ436)</f>
        <v>157.09177488118226</v>
      </c>
      <c r="AK437" s="44"/>
      <c r="AL437" s="72"/>
      <c r="AM437" s="64">
        <f>IF(AM433&lt;AM434,AM435,AM436)</f>
        <v>266.44800927955447</v>
      </c>
      <c r="AN437" s="44"/>
      <c r="AO437" s="72"/>
      <c r="AP437" s="64">
        <f>IF(AP433&lt;AP434,AP435,AP436)</f>
        <v>717.1723617587545</v>
      </c>
      <c r="AQ437" s="44"/>
      <c r="AR437" s="72"/>
      <c r="AS437" s="64" t="e">
        <f>IF(AS433&lt;AS434,AS435,AS436)</f>
        <v>#NUM!</v>
      </c>
      <c r="AT437" s="44"/>
      <c r="AU437" s="72"/>
    </row>
    <row r="438" spans="15:47" ht="13" x14ac:dyDescent="0.3">
      <c r="O438" s="7" t="s">
        <v>264</v>
      </c>
      <c r="Q438" s="61"/>
      <c r="R438" s="53"/>
      <c r="S438" s="69">
        <f>IFERROR(ABS(C_h-R437),Q_max*10)</f>
        <v>4.7126359258168531</v>
      </c>
      <c r="T438" s="76">
        <f>R429</f>
        <v>1.6319098749725645</v>
      </c>
      <c r="U438" s="61"/>
      <c r="V438" s="69">
        <f>IFERROR(ABS(U$23-U437),Q_max*10)</f>
        <v>4.8686061849116484</v>
      </c>
      <c r="W438" s="75">
        <f>U429</f>
        <v>40.428754332866376</v>
      </c>
      <c r="X438" s="61"/>
      <c r="Y438" s="69">
        <f>IFERROR(ABS(X$23-X437),Q_max*10)</f>
        <v>5.7587776503959063</v>
      </c>
      <c r="Z438" s="75">
        <f>X429</f>
        <v>97.044572938724613</v>
      </c>
      <c r="AA438" s="61"/>
      <c r="AB438" s="69">
        <f>IFERROR(ABS(AA$23-AA437),Q_max*10)</f>
        <v>5.3536147527839049</v>
      </c>
      <c r="AC438" s="75">
        <f>AA429</f>
        <v>185.29365542839216</v>
      </c>
      <c r="AD438" s="61"/>
      <c r="AE438" s="69">
        <f>IFERROR(ABS(AD$23-AD437),Q_max*10)</f>
        <v>2.6829254441459298</v>
      </c>
      <c r="AF438" s="75">
        <f>AD429</f>
        <v>304.7398421033094</v>
      </c>
      <c r="AG438" s="61"/>
      <c r="AH438" s="69">
        <f>IFERROR(ABS(AG$23-AG437),Q_max*10)</f>
        <v>8.8890444045593853</v>
      </c>
      <c r="AI438" s="75">
        <f>AG429</f>
        <v>453.71609908701839</v>
      </c>
      <c r="AJ438" s="61"/>
      <c r="AK438" s="69">
        <f>IFERROR(ABS(AJ$23-AJ437),Q_max*10)</f>
        <v>36.091774881182261</v>
      </c>
      <c r="AL438" s="75">
        <f>AJ429</f>
        <v>605.48589309258932</v>
      </c>
      <c r="AM438" s="61"/>
      <c r="AN438" s="69">
        <f>IFERROR(ABS(AM$23-AM437),Q_max*10)</f>
        <v>101.44800927955447</v>
      </c>
      <c r="AO438" s="75">
        <f>AM429</f>
        <v>738.80785608057704</v>
      </c>
      <c r="AP438" s="61"/>
      <c r="AQ438" s="69">
        <f>IFERROR(ABS(AP$23-AP437),Q_max*10)</f>
        <v>471.1723617587545</v>
      </c>
      <c r="AR438" s="75">
        <f>AP429</f>
        <v>857.73298489301578</v>
      </c>
      <c r="AS438" s="61"/>
      <c r="AT438" s="69">
        <f>IFERROR(ABS(AS$23-AS437),Q_max*10)</f>
        <v>5500</v>
      </c>
      <c r="AU438" s="75">
        <f>AS429</f>
        <v>976.18014651272949</v>
      </c>
    </row>
    <row r="439" spans="15:47" ht="14.5" x14ac:dyDescent="0.35">
      <c r="O439" s="6"/>
      <c r="P439" s="6"/>
      <c r="Q439" s="60"/>
      <c r="R439" s="67"/>
      <c r="S439" s="56"/>
      <c r="T439" s="72"/>
      <c r="V439" s="11"/>
      <c r="W439" s="38"/>
      <c r="Y439" s="11"/>
      <c r="Z439" s="38"/>
      <c r="AB439" s="11"/>
      <c r="AC439" s="38"/>
      <c r="AE439" s="11"/>
      <c r="AF439" s="38"/>
      <c r="AH439" s="11"/>
      <c r="AI439" s="38"/>
      <c r="AK439" s="11"/>
      <c r="AL439" s="38"/>
      <c r="AN439" s="11"/>
      <c r="AO439" s="38"/>
      <c r="AQ439" s="11"/>
      <c r="AR439" s="38"/>
      <c r="AT439" s="11"/>
      <c r="AU439" s="38"/>
    </row>
    <row r="440" spans="15:47" ht="14" x14ac:dyDescent="0.3">
      <c r="O440" s="8" t="s">
        <v>235</v>
      </c>
      <c r="P440" s="6"/>
      <c r="Q440" s="60"/>
      <c r="R440" s="53">
        <f>R429*1.02</f>
        <v>1.6645480724720159</v>
      </c>
      <c r="S440" s="58" t="s">
        <v>238</v>
      </c>
      <c r="T440" s="73" t="s">
        <v>241</v>
      </c>
      <c r="U440" s="84">
        <f>U429*1.01</f>
        <v>40.83304187619504</v>
      </c>
      <c r="V440" s="58" t="s">
        <v>238</v>
      </c>
      <c r="W440" s="73" t="s">
        <v>241</v>
      </c>
      <c r="X440" s="84">
        <f>X429*1.01</f>
        <v>98.015018668111864</v>
      </c>
      <c r="Y440" s="58" t="s">
        <v>238</v>
      </c>
      <c r="Z440" s="73" t="s">
        <v>241</v>
      </c>
      <c r="AA440" s="84">
        <f>AA429*1.01</f>
        <v>187.14659198267609</v>
      </c>
      <c r="AB440" s="58" t="s">
        <v>238</v>
      </c>
      <c r="AC440" s="73" t="s">
        <v>241</v>
      </c>
      <c r="AD440" s="84">
        <f>AD429*1.01</f>
        <v>307.78724052434251</v>
      </c>
      <c r="AE440" s="58" t="s">
        <v>238</v>
      </c>
      <c r="AF440" s="73" t="s">
        <v>241</v>
      </c>
      <c r="AG440" s="84">
        <f>AG429*1.01</f>
        <v>458.25326007788857</v>
      </c>
      <c r="AH440" s="58" t="s">
        <v>238</v>
      </c>
      <c r="AI440" s="73" t="s">
        <v>241</v>
      </c>
      <c r="AJ440" s="84">
        <f>AJ429*1.01</f>
        <v>611.54075202351521</v>
      </c>
      <c r="AK440" s="58" t="s">
        <v>238</v>
      </c>
      <c r="AL440" s="73" t="s">
        <v>241</v>
      </c>
      <c r="AM440" s="84">
        <f>AM429*1.01</f>
        <v>746.19593464138279</v>
      </c>
      <c r="AN440" s="58" t="s">
        <v>238</v>
      </c>
      <c r="AO440" s="73" t="s">
        <v>241</v>
      </c>
      <c r="AP440" s="84">
        <f>AP429*1.01</f>
        <v>866.31031474194594</v>
      </c>
      <c r="AQ440" s="58" t="s">
        <v>238</v>
      </c>
      <c r="AR440" s="73" t="s">
        <v>241</v>
      </c>
      <c r="AS440" s="84">
        <f>AS429*1.01</f>
        <v>985.94194797785678</v>
      </c>
      <c r="AT440" s="58" t="s">
        <v>238</v>
      </c>
      <c r="AU440" s="73" t="s">
        <v>241</v>
      </c>
    </row>
    <row r="441" spans="15:47" ht="13" x14ac:dyDescent="0.25">
      <c r="O441" s="6"/>
      <c r="P441" s="6"/>
      <c r="Q441" s="60"/>
      <c r="R441" s="70"/>
      <c r="S441" s="63" t="s">
        <v>250</v>
      </c>
      <c r="T441" s="71" t="s">
        <v>242</v>
      </c>
      <c r="U441" s="61"/>
      <c r="V441" s="63" t="s">
        <v>250</v>
      </c>
      <c r="W441" s="71" t="s">
        <v>242</v>
      </c>
      <c r="X441" s="61"/>
      <c r="Y441" s="63" t="s">
        <v>250</v>
      </c>
      <c r="Z441" s="71" t="s">
        <v>242</v>
      </c>
      <c r="AA441" s="61"/>
      <c r="AB441" s="63" t="s">
        <v>250</v>
      </c>
      <c r="AC441" s="71" t="s">
        <v>242</v>
      </c>
      <c r="AD441" s="61"/>
      <c r="AE441" s="63" t="s">
        <v>250</v>
      </c>
      <c r="AF441" s="71" t="s">
        <v>242</v>
      </c>
      <c r="AG441" s="61"/>
      <c r="AH441" s="63" t="s">
        <v>250</v>
      </c>
      <c r="AI441" s="71" t="s">
        <v>242</v>
      </c>
      <c r="AJ441" s="61"/>
      <c r="AK441" s="63" t="s">
        <v>250</v>
      </c>
      <c r="AL441" s="71" t="s">
        <v>242</v>
      </c>
      <c r="AM441" s="61"/>
      <c r="AN441" s="63" t="s">
        <v>250</v>
      </c>
      <c r="AO441" s="71" t="s">
        <v>242</v>
      </c>
      <c r="AP441" s="61"/>
      <c r="AQ441" s="63" t="s">
        <v>250</v>
      </c>
      <c r="AR441" s="71" t="s">
        <v>242</v>
      </c>
      <c r="AS441" s="61"/>
      <c r="AT441" s="63" t="s">
        <v>250</v>
      </c>
      <c r="AU441" s="71" t="s">
        <v>242</v>
      </c>
    </row>
    <row r="442" spans="15:47" ht="13" x14ac:dyDescent="0.3">
      <c r="O442" s="6" t="s">
        <v>231</v>
      </c>
      <c r="P442" s="6"/>
      <c r="Q442" s="60"/>
      <c r="R442" s="85">
        <f>P_1_minQ-(R440^2*R_up)+dpup_minQ</f>
        <v>56.916049621064317</v>
      </c>
      <c r="S442" s="56"/>
      <c r="T442" s="72"/>
      <c r="U442" s="53">
        <f>P_1_minQ-(U440^2*R_up)+dpup_minQ</f>
        <v>56.859833255357543</v>
      </c>
      <c r="V442" s="44"/>
      <c r="W442" s="72"/>
      <c r="X442" s="53">
        <f>P_1_minQ-(X440^2*R_up)+dpup_minQ</f>
        <v>56.591693891100633</v>
      </c>
      <c r="Y442" s="44"/>
      <c r="Z442" s="72"/>
      <c r="AA442" s="53">
        <f>P_1_minQ-(AA440^2*R_up)+dpup_minQ</f>
        <v>55.733304731822685</v>
      </c>
      <c r="AB442" s="44"/>
      <c r="AC442" s="72"/>
      <c r="AD442" s="53">
        <f>P_1_minQ-(AD440^2*R_up)+dpup_minQ</f>
        <v>53.716785362053713</v>
      </c>
      <c r="AE442" s="44"/>
      <c r="AF442" s="72"/>
      <c r="AG442" s="53">
        <f>P_1_minQ-(AG440^2*R_up)+dpup_minQ</f>
        <v>49.824078001620634</v>
      </c>
      <c r="AH442" s="44"/>
      <c r="AI442" s="72"/>
      <c r="AJ442" s="53">
        <f>P_1_minQ-(AJ440^2*R_up)+dpup_minQ</f>
        <v>44.28588006128043</v>
      </c>
      <c r="AK442" s="44"/>
      <c r="AL442" s="72"/>
      <c r="AM442" s="53">
        <f>P_1_minQ-(AM440^2*R_up)+dpup_minQ</f>
        <v>38.111402469593827</v>
      </c>
      <c r="AN442" s="44"/>
      <c r="AO442" s="72"/>
      <c r="AP442" s="53">
        <f>P_1_minQ-(AP440^2*R_up)+dpup_minQ</f>
        <v>31.570193805191174</v>
      </c>
      <c r="AQ442" s="44"/>
      <c r="AR442" s="72"/>
      <c r="AS442" s="53">
        <f>P_1_minQ-(AS440^2*R_up)+dpup_minQ</f>
        <v>24.086642189045225</v>
      </c>
      <c r="AT442" s="44"/>
      <c r="AU442" s="72"/>
    </row>
    <row r="443" spans="15:47" ht="13" x14ac:dyDescent="0.3">
      <c r="O443" s="6" t="s">
        <v>233</v>
      </c>
      <c r="P443" s="6"/>
      <c r="Q443" s="60"/>
      <c r="R443" s="85">
        <f>P_2_minQ+(R440^2*R_dn)-dpdn_minQ</f>
        <v>24.656790075787139</v>
      </c>
      <c r="S443" s="66"/>
      <c r="T443" s="74"/>
      <c r="U443" s="53">
        <f>P_2_minQ+(U440^2*R_dn)-dpdn_minQ</f>
        <v>24.668033348928493</v>
      </c>
      <c r="V443" s="45"/>
      <c r="W443" s="74"/>
      <c r="X443" s="53">
        <f>P_2_minQ+(X440^2*R_dn)-dpdn_minQ</f>
        <v>24.721661221779875</v>
      </c>
      <c r="Y443" s="45"/>
      <c r="Z443" s="74"/>
      <c r="AA443" s="53">
        <f>P_2_minQ+(AA440^2*R_dn)-dpdn_minQ</f>
        <v>24.893339053635465</v>
      </c>
      <c r="AB443" s="45"/>
      <c r="AC443" s="74"/>
      <c r="AD443" s="53">
        <f>P_2_minQ+(AD440^2*R_dn)-dpdn_minQ</f>
        <v>25.296642927589257</v>
      </c>
      <c r="AE443" s="45"/>
      <c r="AF443" s="74"/>
      <c r="AG443" s="53">
        <f>P_2_minQ+(AG440^2*R_dn)-dpdn_minQ</f>
        <v>26.075184399675873</v>
      </c>
      <c r="AH443" s="45"/>
      <c r="AI443" s="74"/>
      <c r="AJ443" s="53">
        <f>P_2_minQ+(AJ440^2*R_dn)-dpdn_minQ</f>
        <v>27.182823987743916</v>
      </c>
      <c r="AK443" s="45"/>
      <c r="AL443" s="74"/>
      <c r="AM443" s="53">
        <f>P_2_minQ+(AM440^2*R_dn)-dpdn_minQ</f>
        <v>28.417719506081237</v>
      </c>
      <c r="AN443" s="45"/>
      <c r="AO443" s="74"/>
      <c r="AP443" s="53">
        <f>P_2_minQ+(AP440^2*R_dn)-dpdn_minQ</f>
        <v>29.725961238961766</v>
      </c>
      <c r="AQ443" s="45"/>
      <c r="AR443" s="74"/>
      <c r="AS443" s="53">
        <f>P_2_minQ+(AS440^2*R_dn)-dpdn_minQ</f>
        <v>31.222671562190957</v>
      </c>
      <c r="AT443" s="45"/>
      <c r="AU443" s="74"/>
    </row>
    <row r="444" spans="15:47" x14ac:dyDescent="0.25">
      <c r="O444" s="6" t="s">
        <v>243</v>
      </c>
      <c r="Q444" s="60"/>
      <c r="R444" s="53">
        <f>R442-R443</f>
        <v>32.259259545277175</v>
      </c>
      <c r="S444" s="56"/>
      <c r="T444" s="72"/>
      <c r="U444" s="64">
        <f>U442-U443</f>
        <v>32.191799906429054</v>
      </c>
      <c r="V444" s="44"/>
      <c r="W444" s="72"/>
      <c r="X444" s="64">
        <f>X442-X443</f>
        <v>31.870032669320757</v>
      </c>
      <c r="Y444" s="44"/>
      <c r="Z444" s="72"/>
      <c r="AA444" s="64">
        <f>AA442-AA443</f>
        <v>30.83996567818722</v>
      </c>
      <c r="AB444" s="44"/>
      <c r="AC444" s="72"/>
      <c r="AD444" s="64">
        <f>AD442-AD443</f>
        <v>28.420142434464456</v>
      </c>
      <c r="AE444" s="44"/>
      <c r="AF444" s="72"/>
      <c r="AG444" s="64">
        <f>AG442-AG443</f>
        <v>23.748893601944761</v>
      </c>
      <c r="AH444" s="44"/>
      <c r="AI444" s="72"/>
      <c r="AJ444" s="64">
        <f>AJ442-AJ443</f>
        <v>17.103056073536514</v>
      </c>
      <c r="AK444" s="44"/>
      <c r="AL444" s="72"/>
      <c r="AM444" s="64">
        <f>AM442-AM443</f>
        <v>9.6936829635125896</v>
      </c>
      <c r="AN444" s="44"/>
      <c r="AO444" s="72"/>
      <c r="AP444" s="64">
        <f>AP442-AP443</f>
        <v>1.8442325662294081</v>
      </c>
      <c r="AQ444" s="44"/>
      <c r="AR444" s="72"/>
      <c r="AS444" s="64">
        <f>AS442-AS443</f>
        <v>-7.1360293731457318</v>
      </c>
      <c r="AT444" s="44"/>
      <c r="AU444" s="72"/>
    </row>
    <row r="445" spans="15:47" ht="13" x14ac:dyDescent="0.3">
      <c r="O445" s="6" t="s">
        <v>75</v>
      </c>
      <c r="P445" s="6">
        <v>3</v>
      </c>
      <c r="Q445" s="65"/>
      <c r="R445" s="85">
        <f>(F_LP_h/F_P_h)^2*(R442-('Valve Sizing'!$V$4*'Valve Sizing'!$G$7))</f>
        <v>46.765085757697278</v>
      </c>
      <c r="S445" s="58"/>
      <c r="T445" s="73"/>
      <c r="U445" s="53">
        <f>(U$29/U$27)^2*(U442-('Valve Sizing'!$V$4*'Valve Sizing'!$G$7))</f>
        <v>46.705802113279034</v>
      </c>
      <c r="V445" s="41"/>
      <c r="W445" s="73"/>
      <c r="X445" s="53">
        <f>(X$29/X$27)^2*(X442-('Valve Sizing'!$V$4*'Valve Sizing'!$G$7))</f>
        <v>45.435296623474045</v>
      </c>
      <c r="Y445" s="41"/>
      <c r="Z445" s="73"/>
      <c r="AA445" s="53">
        <f>(AA$29/AA$27)^2*(AA442-('Valve Sizing'!$V$4*'Valve Sizing'!$G$7))</f>
        <v>42.730467689784142</v>
      </c>
      <c r="AB445" s="41"/>
      <c r="AC445" s="73"/>
      <c r="AD445" s="53">
        <f>(AD$29/AD$27)^2*(AD442-('Valve Sizing'!$V$4*'Valve Sizing'!$G$7))</f>
        <v>38.422505107787657</v>
      </c>
      <c r="AE445" s="41"/>
      <c r="AF445" s="73"/>
      <c r="AG445" s="53">
        <f>(AG$29/AG$27)^2*(AG442-('Valve Sizing'!$V$4*'Valve Sizing'!$G$7))</f>
        <v>31.80547958035342</v>
      </c>
      <c r="AH445" s="41"/>
      <c r="AI445" s="73"/>
      <c r="AJ445" s="53">
        <f>(AJ$29/AJ$27)^2*(AJ442-('Valve Sizing'!$V$4*'Valve Sizing'!$G$7))</f>
        <v>25.358859924765952</v>
      </c>
      <c r="AK445" s="41"/>
      <c r="AL445" s="73"/>
      <c r="AM445" s="53">
        <f>(AM$29/AM$27)^2*(AM442-('Valve Sizing'!$V$4*'Valve Sizing'!$G$7))</f>
        <v>18.024689313950951</v>
      </c>
      <c r="AN445" s="41"/>
      <c r="AO445" s="73"/>
      <c r="AP445" s="53">
        <f>(AP$29/AP$27)^2*(AP442-('Valve Sizing'!$V$4*'Valve Sizing'!$G$7))</f>
        <v>12.284786858676032</v>
      </c>
      <c r="AQ445" s="41"/>
      <c r="AR445" s="73"/>
      <c r="AS445" s="53">
        <f>(AS$29/AS$27)^2*(AS442-('Valve Sizing'!$V$4*'Valve Sizing'!$G$7))</f>
        <v>8.8944450792279959</v>
      </c>
      <c r="AT445" s="41"/>
      <c r="AU445" s="73"/>
    </row>
    <row r="446" spans="15:47" ht="13" x14ac:dyDescent="0.25">
      <c r="O446" s="1" t="s">
        <v>69</v>
      </c>
      <c r="P446" s="17">
        <v>7</v>
      </c>
      <c r="Q446" s="65"/>
      <c r="R446" s="53">
        <f>(R440/(N_1*F_P_h))*SQRT('Valve Sizing'!$G$6/R444)</f>
        <v>0.29311137547591182</v>
      </c>
      <c r="S446" s="58"/>
      <c r="T446" s="73"/>
      <c r="U446" s="64">
        <f>(U440/(N_1*U$27))*SQRT('Valve Sizing'!$G$6/U444)</f>
        <v>7.202856701578316</v>
      </c>
      <c r="V446" s="41"/>
      <c r="W446" s="73"/>
      <c r="X446" s="64">
        <f>(X440/(N_1*X$27))*SQRT('Valve Sizing'!$G$6/X444)</f>
        <v>17.415730287955824</v>
      </c>
      <c r="Y446" s="41"/>
      <c r="Z446" s="73"/>
      <c r="AA446" s="64">
        <f>(AA440/(N_1*AA$27))*SQRT('Valve Sizing'!$G$6/AA444)</f>
        <v>33.998254659007067</v>
      </c>
      <c r="AB446" s="41"/>
      <c r="AC446" s="73"/>
      <c r="AD446" s="64">
        <f>(AD440/(N_1*AD$27))*SQRT('Valve Sizing'!$G$6/AD444)</f>
        <v>58.978582767510119</v>
      </c>
      <c r="AE446" s="41"/>
      <c r="AF446" s="73"/>
      <c r="AG446" s="64">
        <f>(AG440/(N_1*AG$27))*SQRT('Valve Sizing'!$G$6/AG444)</f>
        <v>98.202812721879781</v>
      </c>
      <c r="AH446" s="41"/>
      <c r="AI446" s="73"/>
      <c r="AJ446" s="64">
        <f>(AJ440/(N_1*AJ$27))*SQRT('Valve Sizing'!$G$6/AJ444)</f>
        <v>160.04191576133786</v>
      </c>
      <c r="AK446" s="41"/>
      <c r="AL446" s="73"/>
      <c r="AM446" s="64">
        <f>(AM440/(N_1*AM$27))*SQRT('Valve Sizing'!$G$6/AM444)</f>
        <v>275.21516660347186</v>
      </c>
      <c r="AN446" s="41"/>
      <c r="AO446" s="73"/>
      <c r="AP446" s="64">
        <f>(AP440/(N_1*AP$27))*SQRT('Valve Sizing'!$G$6/AP444)</f>
        <v>833.76948914734385</v>
      </c>
      <c r="AQ446" s="41"/>
      <c r="AR446" s="73"/>
      <c r="AS446" s="64" t="e">
        <f>(AS440/(N_1*AS$27))*SQRT('Valve Sizing'!$G$6/AS444)</f>
        <v>#NUM!</v>
      </c>
      <c r="AT446" s="41"/>
      <c r="AU446" s="73"/>
    </row>
    <row r="447" spans="15:47" ht="13" x14ac:dyDescent="0.3">
      <c r="O447" s="1" t="s">
        <v>72</v>
      </c>
      <c r="P447" s="17">
        <v>7</v>
      </c>
      <c r="Q447" s="65"/>
      <c r="R447" s="53">
        <f>(R440/(N_1*F_P_h))*SQRT('Valve Sizing'!$G$6/R445)</f>
        <v>0.2434439596551761</v>
      </c>
      <c r="S447" s="56"/>
      <c r="T447" s="72"/>
      <c r="U447" s="85">
        <f>(U440/(N_1*U$27))*SQRT('Valve Sizing'!$G$6/U445)</f>
        <v>5.9798733645877453</v>
      </c>
      <c r="V447" s="44"/>
      <c r="W447" s="72"/>
      <c r="X447" s="85">
        <f>(X440/(N_1*X$27))*SQRT('Valve Sizing'!$G$6/X445)</f>
        <v>14.586001731771889</v>
      </c>
      <c r="Y447" s="44"/>
      <c r="Z447" s="72"/>
      <c r="AA447" s="85">
        <f>(AA440/(N_1*AA$27))*SQRT('Valve Sizing'!$G$6/AA445)</f>
        <v>28.883162423351344</v>
      </c>
      <c r="AB447" s="44"/>
      <c r="AC447" s="72"/>
      <c r="AD447" s="85">
        <f>(AD440/(N_1*AD$27))*SQRT('Valve Sizing'!$G$6/AD445)</f>
        <v>50.724131410067407</v>
      </c>
      <c r="AE447" s="44"/>
      <c r="AF447" s="72"/>
      <c r="AG447" s="85">
        <f>(AG440/(N_1*AG$27))*SQRT('Valve Sizing'!$G$6/AG445)</f>
        <v>84.858361851002059</v>
      </c>
      <c r="AH447" s="44"/>
      <c r="AI447" s="72"/>
      <c r="AJ447" s="85">
        <f>(AJ440/(N_1*AJ$27))*SQRT('Valve Sizing'!$G$6/AJ445)</f>
        <v>131.43339884077523</v>
      </c>
      <c r="AK447" s="44"/>
      <c r="AL447" s="72"/>
      <c r="AM447" s="85">
        <f>(AM440/(N_1*AM$27))*SQRT('Valve Sizing'!$G$6/AM445)</f>
        <v>201.82867796991448</v>
      </c>
      <c r="AN447" s="44"/>
      <c r="AO447" s="72"/>
      <c r="AP447" s="85">
        <f>(AP440/(N_1*AP$27))*SQRT('Valve Sizing'!$G$6/AP445)</f>
        <v>323.05021096439646</v>
      </c>
      <c r="AQ447" s="44"/>
      <c r="AR447" s="72"/>
      <c r="AS447" s="85">
        <f>(AS440/(N_1*AS$27))*SQRT('Valve Sizing'!$G$6/AS445)</f>
        <v>578.73439244092856</v>
      </c>
      <c r="AT447" s="44"/>
      <c r="AU447" s="72"/>
    </row>
    <row r="448" spans="15:47" x14ac:dyDescent="0.25">
      <c r="O448" s="1" t="s">
        <v>246</v>
      </c>
      <c r="P448" s="18"/>
      <c r="Q448" s="65"/>
      <c r="R448" s="53">
        <f>IF(R444&lt;R445,R446,R447)</f>
        <v>0.29311137547591182</v>
      </c>
      <c r="S448" s="49"/>
      <c r="T448" s="72"/>
      <c r="U448" s="64">
        <f>IF(U444&lt;U445,U446,U447)</f>
        <v>7.202856701578316</v>
      </c>
      <c r="V448" s="44"/>
      <c r="W448" s="72"/>
      <c r="X448" s="64">
        <f>IF(X444&lt;X445,X446,X447)</f>
        <v>17.415730287955824</v>
      </c>
      <c r="Y448" s="44"/>
      <c r="Z448" s="72"/>
      <c r="AA448" s="64">
        <f>IF(AA444&lt;AA445,AA446,AA447)</f>
        <v>33.998254659007067</v>
      </c>
      <c r="AB448" s="44"/>
      <c r="AC448" s="72"/>
      <c r="AD448" s="64">
        <f>IF(AD444&lt;AD445,AD446,AD447)</f>
        <v>58.978582767510119</v>
      </c>
      <c r="AE448" s="44"/>
      <c r="AF448" s="72"/>
      <c r="AG448" s="64">
        <f>IF(AG444&lt;AG445,AG446,AG447)</f>
        <v>98.202812721879781</v>
      </c>
      <c r="AH448" s="44"/>
      <c r="AI448" s="72"/>
      <c r="AJ448" s="64">
        <f>IF(AJ444&lt;AJ445,AJ446,AJ447)</f>
        <v>160.04191576133786</v>
      </c>
      <c r="AK448" s="44"/>
      <c r="AL448" s="72"/>
      <c r="AM448" s="64">
        <f>IF(AM444&lt;AM445,AM446,AM447)</f>
        <v>275.21516660347186</v>
      </c>
      <c r="AN448" s="44"/>
      <c r="AO448" s="72"/>
      <c r="AP448" s="64">
        <f>IF(AP444&lt;AP445,AP446,AP447)</f>
        <v>833.76948914734385</v>
      </c>
      <c r="AQ448" s="44"/>
      <c r="AR448" s="72"/>
      <c r="AS448" s="64" t="e">
        <f>IF(AS444&lt;AS445,AS446,AS447)</f>
        <v>#NUM!</v>
      </c>
      <c r="AT448" s="44"/>
      <c r="AU448" s="72"/>
    </row>
    <row r="449" spans="15:47" ht="13" x14ac:dyDescent="0.3">
      <c r="O449" s="7" t="s">
        <v>264</v>
      </c>
      <c r="Q449" s="61"/>
      <c r="R449" s="53"/>
      <c r="S449" s="69">
        <f>IFERROR(ABS(C_h-R448),Q_max*10)</f>
        <v>4.7068886245240886</v>
      </c>
      <c r="T449" s="76">
        <f>R440</f>
        <v>1.6645480724720159</v>
      </c>
      <c r="U449" s="61"/>
      <c r="V449" s="69">
        <f>IFERROR(ABS(U$23-U448),Q_max*10)</f>
        <v>4.797143298421684</v>
      </c>
      <c r="W449" s="75">
        <f>U440</f>
        <v>40.83304187619504</v>
      </c>
      <c r="X449" s="61"/>
      <c r="Y449" s="69">
        <f>IFERROR(ABS(X$23-X448),Q_max*10)</f>
        <v>5.5842697120441755</v>
      </c>
      <c r="Z449" s="75">
        <f>X440</f>
        <v>98.015018668111864</v>
      </c>
      <c r="AA449" s="61"/>
      <c r="AB449" s="69">
        <f>IFERROR(ABS(AA$23-AA448),Q_max*10)</f>
        <v>5.0017453409929331</v>
      </c>
      <c r="AC449" s="75">
        <f>AA440</f>
        <v>187.14659198267609</v>
      </c>
      <c r="AD449" s="61"/>
      <c r="AE449" s="69">
        <f>IFERROR(ABS(AD$23-AD448),Q_max*10)</f>
        <v>2.0214172324898811</v>
      </c>
      <c r="AF449" s="75">
        <f>AD440</f>
        <v>307.78724052434251</v>
      </c>
      <c r="AG449" s="61"/>
      <c r="AH449" s="69">
        <f>IFERROR(ABS(AG$23-AG448),Q_max*10)</f>
        <v>10.202812721879781</v>
      </c>
      <c r="AI449" s="75">
        <f>AG440</f>
        <v>458.25326007788857</v>
      </c>
      <c r="AJ449" s="61"/>
      <c r="AK449" s="69">
        <f>IFERROR(ABS(AJ$23-AJ448),Q_max*10)</f>
        <v>39.041915761337862</v>
      </c>
      <c r="AL449" s="75">
        <f>AJ440</f>
        <v>611.54075202351521</v>
      </c>
      <c r="AM449" s="61"/>
      <c r="AN449" s="69">
        <f>IFERROR(ABS(AM$23-AM448),Q_max*10)</f>
        <v>110.21516660347186</v>
      </c>
      <c r="AO449" s="75">
        <f>AM440</f>
        <v>746.19593464138279</v>
      </c>
      <c r="AP449" s="61"/>
      <c r="AQ449" s="69">
        <f>IFERROR(ABS(AP$23-AP448),Q_max*10)</f>
        <v>587.76948914734385</v>
      </c>
      <c r="AR449" s="75">
        <f>AP440</f>
        <v>866.31031474194594</v>
      </c>
      <c r="AS449" s="61"/>
      <c r="AT449" s="69">
        <f>IFERROR(ABS(AS$23-AS448),Q_max*10)</f>
        <v>5500</v>
      </c>
      <c r="AU449" s="75">
        <f>AS440</f>
        <v>985.94194797785678</v>
      </c>
    </row>
    <row r="450" spans="15:47" ht="14.5" x14ac:dyDescent="0.35">
      <c r="O450" s="8"/>
      <c r="P450" s="6"/>
      <c r="Q450" s="60"/>
      <c r="R450" s="67"/>
      <c r="S450" s="58"/>
      <c r="T450" s="73"/>
      <c r="V450" s="11"/>
      <c r="W450" s="38"/>
      <c r="Y450" s="11"/>
      <c r="Z450" s="38"/>
      <c r="AB450" s="11"/>
      <c r="AC450" s="38"/>
      <c r="AE450" s="11"/>
      <c r="AF450" s="38"/>
      <c r="AH450" s="11"/>
      <c r="AI450" s="38"/>
      <c r="AK450" s="11"/>
      <c r="AL450" s="38"/>
      <c r="AN450" s="11"/>
      <c r="AO450" s="38"/>
      <c r="AQ450" s="11"/>
      <c r="AR450" s="38"/>
      <c r="AT450" s="11"/>
      <c r="AU450" s="38"/>
    </row>
    <row r="451" spans="15:47" ht="14" x14ac:dyDescent="0.3">
      <c r="O451" s="8" t="s">
        <v>235</v>
      </c>
      <c r="P451" s="6"/>
      <c r="Q451" s="60"/>
      <c r="R451" s="53">
        <f>R440*1.02</f>
        <v>1.6978390339214562</v>
      </c>
      <c r="S451" s="58" t="s">
        <v>238</v>
      </c>
      <c r="T451" s="73" t="s">
        <v>241</v>
      </c>
      <c r="U451" s="84">
        <f>U440*1.01</f>
        <v>41.241372294956989</v>
      </c>
      <c r="V451" s="58" t="s">
        <v>238</v>
      </c>
      <c r="W451" s="73" t="s">
        <v>241</v>
      </c>
      <c r="X451" s="84">
        <f>X440*1.01</f>
        <v>98.995168854792979</v>
      </c>
      <c r="Y451" s="58" t="s">
        <v>238</v>
      </c>
      <c r="Z451" s="73" t="s">
        <v>241</v>
      </c>
      <c r="AA451" s="84">
        <f>AA440*1.01</f>
        <v>189.01805790250285</v>
      </c>
      <c r="AB451" s="58" t="s">
        <v>238</v>
      </c>
      <c r="AC451" s="73" t="s">
        <v>241</v>
      </c>
      <c r="AD451" s="84">
        <f>AD440*1.01</f>
        <v>310.86511292958596</v>
      </c>
      <c r="AE451" s="58" t="s">
        <v>238</v>
      </c>
      <c r="AF451" s="73" t="s">
        <v>241</v>
      </c>
      <c r="AG451" s="84">
        <f>AG440*1.01</f>
        <v>462.83579267866747</v>
      </c>
      <c r="AH451" s="58" t="s">
        <v>238</v>
      </c>
      <c r="AI451" s="73" t="s">
        <v>241</v>
      </c>
      <c r="AJ451" s="84">
        <f>AJ440*1.01</f>
        <v>617.65615954375039</v>
      </c>
      <c r="AK451" s="58" t="s">
        <v>238</v>
      </c>
      <c r="AL451" s="73" t="s">
        <v>241</v>
      </c>
      <c r="AM451" s="84">
        <f>AM440*1.01</f>
        <v>753.65789398779657</v>
      </c>
      <c r="AN451" s="58" t="s">
        <v>238</v>
      </c>
      <c r="AO451" s="73" t="s">
        <v>241</v>
      </c>
      <c r="AP451" s="84">
        <f>AP440*1.01</f>
        <v>874.97341788936546</v>
      </c>
      <c r="AQ451" s="58" t="s">
        <v>238</v>
      </c>
      <c r="AR451" s="73" t="s">
        <v>241</v>
      </c>
      <c r="AS451" s="84">
        <f>AS440*1.01</f>
        <v>995.80136745763537</v>
      </c>
      <c r="AT451" s="58" t="s">
        <v>238</v>
      </c>
      <c r="AU451" s="73" t="s">
        <v>241</v>
      </c>
    </row>
    <row r="452" spans="15:47" ht="13" x14ac:dyDescent="0.25">
      <c r="O452" s="6"/>
      <c r="P452" s="6"/>
      <c r="Q452" s="60"/>
      <c r="R452" s="70"/>
      <c r="S452" s="63" t="s">
        <v>250</v>
      </c>
      <c r="T452" s="71" t="s">
        <v>242</v>
      </c>
      <c r="U452" s="61"/>
      <c r="V452" s="63" t="s">
        <v>250</v>
      </c>
      <c r="W452" s="71" t="s">
        <v>242</v>
      </c>
      <c r="X452" s="61"/>
      <c r="Y452" s="63" t="s">
        <v>250</v>
      </c>
      <c r="Z452" s="71" t="s">
        <v>242</v>
      </c>
      <c r="AA452" s="61"/>
      <c r="AB452" s="63" t="s">
        <v>250</v>
      </c>
      <c r="AC452" s="71" t="s">
        <v>242</v>
      </c>
      <c r="AD452" s="61"/>
      <c r="AE452" s="63" t="s">
        <v>250</v>
      </c>
      <c r="AF452" s="71" t="s">
        <v>242</v>
      </c>
      <c r="AG452" s="61"/>
      <c r="AH452" s="63" t="s">
        <v>250</v>
      </c>
      <c r="AI452" s="71" t="s">
        <v>242</v>
      </c>
      <c r="AJ452" s="61"/>
      <c r="AK452" s="63" t="s">
        <v>250</v>
      </c>
      <c r="AL452" s="71" t="s">
        <v>242</v>
      </c>
      <c r="AM452" s="61"/>
      <c r="AN452" s="63" t="s">
        <v>250</v>
      </c>
      <c r="AO452" s="71" t="s">
        <v>242</v>
      </c>
      <c r="AP452" s="61"/>
      <c r="AQ452" s="63" t="s">
        <v>250</v>
      </c>
      <c r="AR452" s="71" t="s">
        <v>242</v>
      </c>
      <c r="AS452" s="61"/>
      <c r="AT452" s="63" t="s">
        <v>250</v>
      </c>
      <c r="AU452" s="71" t="s">
        <v>242</v>
      </c>
    </row>
    <row r="453" spans="15:47" ht="13" x14ac:dyDescent="0.3">
      <c r="O453" s="6" t="s">
        <v>231</v>
      </c>
      <c r="P453" s="6"/>
      <c r="Q453" s="60"/>
      <c r="R453" s="85">
        <f>P_1_minQ-(R451^2*R_up)+dpup_minQ</f>
        <v>56.916045840682706</v>
      </c>
      <c r="S453" s="56"/>
      <c r="T453" s="72"/>
      <c r="U453" s="53">
        <f>P_1_minQ-(U451^2*R_up)+dpup_minQ</f>
        <v>56.858701425573415</v>
      </c>
      <c r="V453" s="44"/>
      <c r="W453" s="72"/>
      <c r="X453" s="53">
        <f>P_1_minQ-(X451^2*R_up)+dpup_minQ</f>
        <v>56.585172460094938</v>
      </c>
      <c r="Y453" s="44"/>
      <c r="Z453" s="72"/>
      <c r="AA453" s="53">
        <f>P_1_minQ-(AA451^2*R_up)+dpup_minQ</f>
        <v>55.709529678715505</v>
      </c>
      <c r="AB453" s="44"/>
      <c r="AC453" s="72"/>
      <c r="AD453" s="53">
        <f>P_1_minQ-(AD451^2*R_up)+dpup_minQ</f>
        <v>53.652478269614178</v>
      </c>
      <c r="AE453" s="44"/>
      <c r="AF453" s="72"/>
      <c r="AG453" s="53">
        <f>P_1_minQ-(AG451^2*R_up)+dpup_minQ</f>
        <v>49.681527491236388</v>
      </c>
      <c r="AH453" s="44"/>
      <c r="AI453" s="72"/>
      <c r="AJ453" s="53">
        <f>P_1_minQ-(AJ451^2*R_up)+dpup_minQ</f>
        <v>44.032011772295341</v>
      </c>
      <c r="AK453" s="44"/>
      <c r="AL453" s="72"/>
      <c r="AM453" s="53">
        <f>P_1_minQ-(AM451^2*R_up)+dpup_minQ</f>
        <v>37.733427181015848</v>
      </c>
      <c r="AN453" s="44"/>
      <c r="AO453" s="72"/>
      <c r="AP453" s="53">
        <f>P_1_minQ-(AP451^2*R_up)+dpup_minQ</f>
        <v>31.060740222458691</v>
      </c>
      <c r="AQ453" s="44"/>
      <c r="AR453" s="72"/>
      <c r="AS453" s="53">
        <f>P_1_minQ-(AS451^2*R_up)+dpup_minQ</f>
        <v>23.426769218828216</v>
      </c>
      <c r="AT453" s="44"/>
      <c r="AU453" s="72"/>
    </row>
    <row r="454" spans="15:47" ht="13" x14ac:dyDescent="0.3">
      <c r="O454" s="6" t="s">
        <v>233</v>
      </c>
      <c r="P454" s="6"/>
      <c r="Q454" s="60"/>
      <c r="R454" s="85">
        <f>P_2_minQ+(R451^2*R_dn)-dpdn_minQ</f>
        <v>24.656790831863461</v>
      </c>
      <c r="S454" s="66"/>
      <c r="T454" s="74"/>
      <c r="U454" s="53">
        <f>P_2_minQ+(U451^2*R_dn)-dpdn_minQ</f>
        <v>24.66825971488532</v>
      </c>
      <c r="V454" s="45"/>
      <c r="W454" s="74"/>
      <c r="X454" s="53">
        <f>P_2_minQ+(X451^2*R_dn)-dpdn_minQ</f>
        <v>24.722965507981016</v>
      </c>
      <c r="Y454" s="45"/>
      <c r="Z454" s="74"/>
      <c r="AA454" s="53">
        <f>P_2_minQ+(AA451^2*R_dn)-dpdn_minQ</f>
        <v>24.898094064256899</v>
      </c>
      <c r="AB454" s="45"/>
      <c r="AC454" s="74"/>
      <c r="AD454" s="53">
        <f>P_2_minQ+(AD451^2*R_dn)-dpdn_minQ</f>
        <v>25.309504346077166</v>
      </c>
      <c r="AE454" s="45"/>
      <c r="AF454" s="74"/>
      <c r="AG454" s="53">
        <f>P_2_minQ+(AG451^2*R_dn)-dpdn_minQ</f>
        <v>26.103694501752724</v>
      </c>
      <c r="AH454" s="45"/>
      <c r="AI454" s="74"/>
      <c r="AJ454" s="53">
        <f>P_2_minQ+(AJ451^2*R_dn)-dpdn_minQ</f>
        <v>27.233597645540932</v>
      </c>
      <c r="AK454" s="45"/>
      <c r="AL454" s="74"/>
      <c r="AM454" s="53">
        <f>P_2_minQ+(AM451^2*R_dn)-dpdn_minQ</f>
        <v>28.493314563796833</v>
      </c>
      <c r="AN454" s="45"/>
      <c r="AO454" s="74"/>
      <c r="AP454" s="53">
        <f>P_2_minQ+(AP451^2*R_dn)-dpdn_minQ</f>
        <v>29.827851955508262</v>
      </c>
      <c r="AQ454" s="45"/>
      <c r="AR454" s="74"/>
      <c r="AS454" s="53">
        <f>P_2_minQ+(AS451^2*R_dn)-dpdn_minQ</f>
        <v>31.354646156234356</v>
      </c>
      <c r="AT454" s="45"/>
      <c r="AU454" s="74"/>
    </row>
    <row r="455" spans="15:47" x14ac:dyDescent="0.25">
      <c r="O455" s="6" t="s">
        <v>243</v>
      </c>
      <c r="Q455" s="60"/>
      <c r="R455" s="53">
        <f>R453-R454</f>
        <v>32.259255008819245</v>
      </c>
      <c r="S455" s="56"/>
      <c r="T455" s="72"/>
      <c r="U455" s="64">
        <f>U453-U454</f>
        <v>32.190441710688091</v>
      </c>
      <c r="V455" s="44"/>
      <c r="W455" s="72"/>
      <c r="X455" s="64">
        <f>X453-X454</f>
        <v>31.862206952113922</v>
      </c>
      <c r="Y455" s="44"/>
      <c r="Z455" s="72"/>
      <c r="AA455" s="64">
        <f>AA453-AA454</f>
        <v>30.811435614458606</v>
      </c>
      <c r="AB455" s="44"/>
      <c r="AC455" s="72"/>
      <c r="AD455" s="64">
        <f>AD453-AD454</f>
        <v>28.342973923537013</v>
      </c>
      <c r="AE455" s="44"/>
      <c r="AF455" s="72"/>
      <c r="AG455" s="64">
        <f>AG453-AG454</f>
        <v>23.577832989483664</v>
      </c>
      <c r="AH455" s="44"/>
      <c r="AI455" s="72"/>
      <c r="AJ455" s="64">
        <f>AJ453-AJ454</f>
        <v>16.798414126754409</v>
      </c>
      <c r="AK455" s="44"/>
      <c r="AL455" s="72"/>
      <c r="AM455" s="64">
        <f>AM453-AM454</f>
        <v>9.2401126172190153</v>
      </c>
      <c r="AN455" s="44"/>
      <c r="AO455" s="72"/>
      <c r="AP455" s="64">
        <f>AP453-AP454</f>
        <v>1.2328882669504289</v>
      </c>
      <c r="AQ455" s="44"/>
      <c r="AR455" s="72"/>
      <c r="AS455" s="64">
        <f>AS453-AS454</f>
        <v>-7.9278769374061397</v>
      </c>
      <c r="AT455" s="44"/>
      <c r="AU455" s="72"/>
    </row>
    <row r="456" spans="15:47" ht="13" x14ac:dyDescent="0.3">
      <c r="O456" s="6" t="s">
        <v>75</v>
      </c>
      <c r="P456" s="6">
        <v>3</v>
      </c>
      <c r="Q456" s="65"/>
      <c r="R456" s="85">
        <f>(F_LP_h/F_P_h)^2*(R453-('Valve Sizing'!$V$4*'Valve Sizing'!$G$7))</f>
        <v>46.765082627342871</v>
      </c>
      <c r="S456" s="58"/>
      <c r="T456" s="73"/>
      <c r="U456" s="53">
        <f>(U$29/U$27)^2*(U453-('Valve Sizing'!$V$4*'Valve Sizing'!$G$7))</f>
        <v>46.704865154254051</v>
      </c>
      <c r="V456" s="41"/>
      <c r="W456" s="73"/>
      <c r="X456" s="53">
        <f>(X$29/X$27)^2*(X453-('Valve Sizing'!$V$4*'Valve Sizing'!$G$7))</f>
        <v>45.430019784327612</v>
      </c>
      <c r="Y456" s="41"/>
      <c r="Z456" s="73"/>
      <c r="AA456" s="53">
        <f>(AA$29/AA$27)^2*(AA453-('Valve Sizing'!$V$4*'Valve Sizing'!$G$7))</f>
        <v>42.712094394805384</v>
      </c>
      <c r="AB456" s="41"/>
      <c r="AC456" s="73"/>
      <c r="AD456" s="53">
        <f>(AD$29/AD$27)^2*(AD453-('Valve Sizing'!$V$4*'Valve Sizing'!$G$7))</f>
        <v>38.376127642528182</v>
      </c>
      <c r="AE456" s="41"/>
      <c r="AF456" s="73"/>
      <c r="AG456" s="53">
        <f>(AG$29/AG$27)^2*(AG453-('Valve Sizing'!$V$4*'Valve Sizing'!$G$7))</f>
        <v>31.713670786402382</v>
      </c>
      <c r="AH456" s="41"/>
      <c r="AI456" s="73"/>
      <c r="AJ456" s="53">
        <f>(AJ$29/AJ$27)^2*(AJ453-('Valve Sizing'!$V$4*'Valve Sizing'!$G$7))</f>
        <v>25.212031560546684</v>
      </c>
      <c r="AK456" s="41"/>
      <c r="AL456" s="73"/>
      <c r="AM456" s="53">
        <f>(AM$29/AM$27)^2*(AM453-('Valve Sizing'!$V$4*'Valve Sizing'!$G$7))</f>
        <v>17.843838665241051</v>
      </c>
      <c r="AN456" s="41"/>
      <c r="AO456" s="73"/>
      <c r="AP456" s="53">
        <f>(AP$29/AP$27)^2*(AP453-('Valve Sizing'!$V$4*'Valve Sizing'!$G$7))</f>
        <v>12.083742807635943</v>
      </c>
      <c r="AQ456" s="41"/>
      <c r="AR456" s="73"/>
      <c r="AS456" s="53">
        <f>(AS$29/AS$27)^2*(AS453-('Valve Sizing'!$V$4*'Valve Sizing'!$G$7))</f>
        <v>8.6462399362029245</v>
      </c>
      <c r="AT456" s="41"/>
      <c r="AU456" s="73"/>
    </row>
    <row r="457" spans="15:47" ht="13" x14ac:dyDescent="0.25">
      <c r="O457" s="1" t="s">
        <v>69</v>
      </c>
      <c r="P457" s="17">
        <v>7</v>
      </c>
      <c r="Q457" s="65"/>
      <c r="R457" s="53">
        <f>(R451/(N_1*F_P_h))*SQRT('Valve Sizing'!$G$6/R455)</f>
        <v>0.29897362400701166</v>
      </c>
      <c r="S457" s="58"/>
      <c r="T457" s="73"/>
      <c r="U457" s="64">
        <f>(U451/(N_1*U$27))*SQRT('Valve Sizing'!$G$6/U455)</f>
        <v>7.2750387398334144</v>
      </c>
      <c r="V457" s="41"/>
      <c r="W457" s="73"/>
      <c r="X457" s="64">
        <f>(X451/(N_1*X$27))*SQRT('Valve Sizing'!$G$6/X455)</f>
        <v>17.592047595553804</v>
      </c>
      <c r="Y457" s="41"/>
      <c r="Z457" s="73"/>
      <c r="AA457" s="64">
        <f>(AA451/(N_1*AA$27))*SQRT('Valve Sizing'!$G$6/AA455)</f>
        <v>34.354131392246572</v>
      </c>
      <c r="AB457" s="41"/>
      <c r="AC457" s="73"/>
      <c r="AD457" s="64">
        <f>(AD451/(N_1*AD$27))*SQRT('Valve Sizing'!$G$6/AD455)</f>
        <v>59.649405921680071</v>
      </c>
      <c r="AE457" s="41"/>
      <c r="AF457" s="73"/>
      <c r="AG457" s="64">
        <f>(AG451/(N_1*AG$27))*SQRT('Valve Sizing'!$G$6/AG455)</f>
        <v>99.543990838339781</v>
      </c>
      <c r="AH457" s="41"/>
      <c r="AI457" s="73"/>
      <c r="AJ457" s="64">
        <f>(AJ451/(N_1*AJ$27))*SQRT('Valve Sizing'!$G$6/AJ455)</f>
        <v>163.10145419575022</v>
      </c>
      <c r="AK457" s="41"/>
      <c r="AL457" s="73"/>
      <c r="AM457" s="64">
        <f>(AM451/(N_1*AM$27))*SQRT('Valve Sizing'!$G$6/AM455)</f>
        <v>284.70789534203266</v>
      </c>
      <c r="AN457" s="41"/>
      <c r="AO457" s="73"/>
      <c r="AP457" s="64">
        <f>(AP451/(N_1*AP$27))*SQRT('Valve Sizing'!$G$6/AP455)</f>
        <v>1029.9433928726612</v>
      </c>
      <c r="AQ457" s="41"/>
      <c r="AR457" s="73"/>
      <c r="AS457" s="64" t="e">
        <f>(AS451/(N_1*AS$27))*SQRT('Valve Sizing'!$G$6/AS455)</f>
        <v>#NUM!</v>
      </c>
      <c r="AT457" s="41"/>
      <c r="AU457" s="73"/>
    </row>
    <row r="458" spans="15:47" ht="13" x14ac:dyDescent="0.3">
      <c r="O458" s="1" t="s">
        <v>72</v>
      </c>
      <c r="P458" s="17">
        <v>7</v>
      </c>
      <c r="Q458" s="65"/>
      <c r="R458" s="53">
        <f>(R451/(N_1*F_P_h))*SQRT('Valve Sizing'!$G$6/R456)</f>
        <v>0.24831284715904411</v>
      </c>
      <c r="S458" s="56"/>
      <c r="T458" s="72"/>
      <c r="U458" s="85">
        <f>(U451/(N_1*U$27))*SQRT('Valve Sizing'!$G$6/U456)</f>
        <v>6.0397326796835493</v>
      </c>
      <c r="V458" s="44"/>
      <c r="W458" s="72"/>
      <c r="X458" s="85">
        <f>(X451/(N_1*X$27))*SQRT('Valve Sizing'!$G$6/X456)</f>
        <v>14.732717300197766</v>
      </c>
      <c r="Y458" s="44"/>
      <c r="Z458" s="72"/>
      <c r="AA458" s="85">
        <f>(AA451/(N_1*AA$27))*SQRT('Valve Sizing'!$G$6/AA456)</f>
        <v>29.178267774394897</v>
      </c>
      <c r="AB458" s="44"/>
      <c r="AC458" s="72"/>
      <c r="AD458" s="85">
        <f>(AD451/(N_1*AD$27))*SQRT('Valve Sizing'!$G$6/AD456)</f>
        <v>51.262319877333937</v>
      </c>
      <c r="AE458" s="44"/>
      <c r="AF458" s="72"/>
      <c r="AG458" s="85">
        <f>(AG451/(N_1*AG$27))*SQRT('Valve Sizing'!$G$6/AG456)</f>
        <v>85.830913533365404</v>
      </c>
      <c r="AH458" s="44"/>
      <c r="AI458" s="72"/>
      <c r="AJ458" s="85">
        <f>(AJ451/(N_1*AJ$27))*SQRT('Valve Sizing'!$G$6/AJ456)</f>
        <v>133.13371594443265</v>
      </c>
      <c r="AK458" s="44"/>
      <c r="AL458" s="72"/>
      <c r="AM458" s="85">
        <f>(AM451/(N_1*AM$27))*SQRT('Valve Sizing'!$G$6/AM456)</f>
        <v>204.87737407752215</v>
      </c>
      <c r="AN458" s="44"/>
      <c r="AO458" s="72"/>
      <c r="AP458" s="85">
        <f>(AP451/(N_1*AP$27))*SQRT('Valve Sizing'!$G$6/AP456)</f>
        <v>328.98377457693493</v>
      </c>
      <c r="AQ458" s="44"/>
      <c r="AR458" s="72"/>
      <c r="AS458" s="85">
        <f>(AS451/(N_1*AS$27))*SQRT('Valve Sizing'!$G$6/AS456)</f>
        <v>592.85222350436629</v>
      </c>
      <c r="AT458" s="44"/>
      <c r="AU458" s="72"/>
    </row>
    <row r="459" spans="15:47" x14ac:dyDescent="0.25">
      <c r="O459" s="1" t="s">
        <v>246</v>
      </c>
      <c r="P459" s="18"/>
      <c r="Q459" s="65"/>
      <c r="R459" s="53">
        <f>IF(R455&lt;R456,R457,R458)</f>
        <v>0.29897362400701166</v>
      </c>
      <c r="S459" s="49"/>
      <c r="T459" s="72"/>
      <c r="U459" s="64">
        <f>IF(U455&lt;U456,U457,U458)</f>
        <v>7.2750387398334144</v>
      </c>
      <c r="V459" s="44"/>
      <c r="W459" s="72"/>
      <c r="X459" s="64">
        <f>IF(X455&lt;X456,X457,X458)</f>
        <v>17.592047595553804</v>
      </c>
      <c r="Y459" s="44"/>
      <c r="Z459" s="72"/>
      <c r="AA459" s="64">
        <f>IF(AA455&lt;AA456,AA457,AA458)</f>
        <v>34.354131392246572</v>
      </c>
      <c r="AB459" s="44"/>
      <c r="AC459" s="72"/>
      <c r="AD459" s="64">
        <f>IF(AD455&lt;AD456,AD457,AD458)</f>
        <v>59.649405921680071</v>
      </c>
      <c r="AE459" s="44"/>
      <c r="AF459" s="72"/>
      <c r="AG459" s="64">
        <f>IF(AG455&lt;AG456,AG457,AG458)</f>
        <v>99.543990838339781</v>
      </c>
      <c r="AH459" s="44"/>
      <c r="AI459" s="72"/>
      <c r="AJ459" s="64">
        <f>IF(AJ455&lt;AJ456,AJ457,AJ458)</f>
        <v>163.10145419575022</v>
      </c>
      <c r="AK459" s="44"/>
      <c r="AL459" s="72"/>
      <c r="AM459" s="64">
        <f>IF(AM455&lt;AM456,AM457,AM458)</f>
        <v>284.70789534203266</v>
      </c>
      <c r="AN459" s="44"/>
      <c r="AO459" s="72"/>
      <c r="AP459" s="64">
        <f>IF(AP455&lt;AP456,AP457,AP458)</f>
        <v>1029.9433928726612</v>
      </c>
      <c r="AQ459" s="44"/>
      <c r="AR459" s="72"/>
      <c r="AS459" s="64" t="e">
        <f>IF(AS455&lt;AS456,AS457,AS458)</f>
        <v>#NUM!</v>
      </c>
      <c r="AT459" s="44"/>
      <c r="AU459" s="72"/>
    </row>
    <row r="460" spans="15:47" ht="13" x14ac:dyDescent="0.3">
      <c r="O460" s="7" t="s">
        <v>264</v>
      </c>
      <c r="Q460" s="61"/>
      <c r="R460" s="53"/>
      <c r="S460" s="69">
        <f>IFERROR(ABS(C_h-R459),Q_max*10)</f>
        <v>4.7010263759929884</v>
      </c>
      <c r="T460" s="76">
        <f>R451</f>
        <v>1.6978390339214562</v>
      </c>
      <c r="U460" s="61"/>
      <c r="V460" s="69">
        <f>IFERROR(ABS(U$23-U459),Q_max*10)</f>
        <v>4.7249612601665856</v>
      </c>
      <c r="W460" s="75">
        <f>U451</f>
        <v>41.241372294956989</v>
      </c>
      <c r="X460" s="61"/>
      <c r="Y460" s="69">
        <f>IFERROR(ABS(X$23-X459),Q_max*10)</f>
        <v>5.4079524044461955</v>
      </c>
      <c r="Z460" s="75">
        <f>X451</f>
        <v>98.995168854792979</v>
      </c>
      <c r="AA460" s="61"/>
      <c r="AB460" s="69">
        <f>IFERROR(ABS(AA$23-AA459),Q_max*10)</f>
        <v>4.6458686077534281</v>
      </c>
      <c r="AC460" s="75">
        <f>AA451</f>
        <v>189.01805790250285</v>
      </c>
      <c r="AD460" s="61"/>
      <c r="AE460" s="69">
        <f>IFERROR(ABS(AD$23-AD459),Q_max*10)</f>
        <v>1.3505940783199293</v>
      </c>
      <c r="AF460" s="75">
        <f>AD451</f>
        <v>310.86511292958596</v>
      </c>
      <c r="AG460" s="61"/>
      <c r="AH460" s="69">
        <f>IFERROR(ABS(AG$23-AG459),Q_max*10)</f>
        <v>11.543990838339781</v>
      </c>
      <c r="AI460" s="75">
        <f>AG451</f>
        <v>462.83579267866747</v>
      </c>
      <c r="AJ460" s="61"/>
      <c r="AK460" s="69">
        <f>IFERROR(ABS(AJ$23-AJ459),Q_max*10)</f>
        <v>42.101454195750222</v>
      </c>
      <c r="AL460" s="75">
        <f>AJ451</f>
        <v>617.65615954375039</v>
      </c>
      <c r="AM460" s="61"/>
      <c r="AN460" s="69">
        <f>IFERROR(ABS(AM$23-AM459),Q_max*10)</f>
        <v>119.70789534203266</v>
      </c>
      <c r="AO460" s="75">
        <f>AM451</f>
        <v>753.65789398779657</v>
      </c>
      <c r="AP460" s="61"/>
      <c r="AQ460" s="69">
        <f>IFERROR(ABS(AP$23-AP459),Q_max*10)</f>
        <v>783.94339287266121</v>
      </c>
      <c r="AR460" s="75">
        <f>AP451</f>
        <v>874.97341788936546</v>
      </c>
      <c r="AS460" s="61"/>
      <c r="AT460" s="69">
        <f>IFERROR(ABS(AS$23-AS459),Q_max*10)</f>
        <v>5500</v>
      </c>
      <c r="AU460" s="75">
        <f>AS451</f>
        <v>995.80136745763537</v>
      </c>
    </row>
    <row r="461" spans="15:47" ht="14.5" x14ac:dyDescent="0.35">
      <c r="O461" s="6"/>
      <c r="P461" s="6"/>
      <c r="Q461" s="60"/>
      <c r="R461" s="67"/>
      <c r="S461" s="56"/>
      <c r="T461" s="72"/>
      <c r="V461" s="11"/>
      <c r="W461" s="38"/>
      <c r="Y461" s="11"/>
      <c r="Z461" s="38"/>
      <c r="AB461" s="11"/>
      <c r="AC461" s="38"/>
      <c r="AE461" s="11"/>
      <c r="AF461" s="38"/>
      <c r="AH461" s="11"/>
      <c r="AI461" s="38"/>
      <c r="AK461" s="11"/>
      <c r="AL461" s="38"/>
      <c r="AN461" s="11"/>
      <c r="AO461" s="38"/>
      <c r="AQ461" s="11"/>
      <c r="AR461" s="38"/>
      <c r="AT461" s="11"/>
      <c r="AU461" s="38"/>
    </row>
    <row r="462" spans="15:47" ht="14" x14ac:dyDescent="0.3">
      <c r="O462" s="8" t="s">
        <v>235</v>
      </c>
      <c r="P462" s="6"/>
      <c r="Q462" s="60"/>
      <c r="R462" s="53">
        <f>R451*1.02</f>
        <v>1.7317958145998853</v>
      </c>
      <c r="S462" s="58" t="s">
        <v>238</v>
      </c>
      <c r="T462" s="73" t="s">
        <v>241</v>
      </c>
      <c r="U462" s="84">
        <f>U451*1.01</f>
        <v>41.653786017906562</v>
      </c>
      <c r="V462" s="58" t="s">
        <v>238</v>
      </c>
      <c r="W462" s="73" t="s">
        <v>241</v>
      </c>
      <c r="X462" s="84">
        <f>X451*1.01</f>
        <v>99.985120543340912</v>
      </c>
      <c r="Y462" s="58" t="s">
        <v>238</v>
      </c>
      <c r="Z462" s="73" t="s">
        <v>241</v>
      </c>
      <c r="AA462" s="84">
        <f>AA451*1.01</f>
        <v>190.90823848152789</v>
      </c>
      <c r="AB462" s="58" t="s">
        <v>238</v>
      </c>
      <c r="AC462" s="73" t="s">
        <v>241</v>
      </c>
      <c r="AD462" s="84">
        <f>AD451*1.01</f>
        <v>313.97376405888184</v>
      </c>
      <c r="AE462" s="58" t="s">
        <v>238</v>
      </c>
      <c r="AF462" s="73" t="s">
        <v>241</v>
      </c>
      <c r="AG462" s="84">
        <f>AG451*1.01</f>
        <v>467.46415060545417</v>
      </c>
      <c r="AH462" s="58" t="s">
        <v>238</v>
      </c>
      <c r="AI462" s="73" t="s">
        <v>241</v>
      </c>
      <c r="AJ462" s="84">
        <f>AJ451*1.01</f>
        <v>623.83272113918792</v>
      </c>
      <c r="AK462" s="58" t="s">
        <v>238</v>
      </c>
      <c r="AL462" s="73" t="s">
        <v>241</v>
      </c>
      <c r="AM462" s="84">
        <f>AM451*1.01</f>
        <v>761.1944729276745</v>
      </c>
      <c r="AN462" s="58" t="s">
        <v>238</v>
      </c>
      <c r="AO462" s="73" t="s">
        <v>241</v>
      </c>
      <c r="AP462" s="84">
        <f>AP451*1.01</f>
        <v>883.72315206825908</v>
      </c>
      <c r="AQ462" s="58" t="s">
        <v>238</v>
      </c>
      <c r="AR462" s="73" t="s">
        <v>241</v>
      </c>
      <c r="AS462" s="84">
        <f>AS451*1.01</f>
        <v>1005.7593811322117</v>
      </c>
      <c r="AT462" s="58" t="s">
        <v>238</v>
      </c>
      <c r="AU462" s="73" t="s">
        <v>241</v>
      </c>
    </row>
    <row r="463" spans="15:47" ht="13" x14ac:dyDescent="0.25">
      <c r="O463" s="6"/>
      <c r="P463" s="6"/>
      <c r="Q463" s="60"/>
      <c r="R463" s="70"/>
      <c r="S463" s="63" t="s">
        <v>250</v>
      </c>
      <c r="T463" s="71" t="s">
        <v>242</v>
      </c>
      <c r="U463" s="61"/>
      <c r="V463" s="63" t="s">
        <v>250</v>
      </c>
      <c r="W463" s="71" t="s">
        <v>242</v>
      </c>
      <c r="X463" s="61"/>
      <c r="Y463" s="63" t="s">
        <v>250</v>
      </c>
      <c r="Z463" s="71" t="s">
        <v>242</v>
      </c>
      <c r="AA463" s="61"/>
      <c r="AB463" s="63" t="s">
        <v>250</v>
      </c>
      <c r="AC463" s="71" t="s">
        <v>242</v>
      </c>
      <c r="AD463" s="61"/>
      <c r="AE463" s="63" t="s">
        <v>250</v>
      </c>
      <c r="AF463" s="71" t="s">
        <v>242</v>
      </c>
      <c r="AG463" s="61"/>
      <c r="AH463" s="63" t="s">
        <v>250</v>
      </c>
      <c r="AI463" s="71" t="s">
        <v>242</v>
      </c>
      <c r="AJ463" s="61"/>
      <c r="AK463" s="63" t="s">
        <v>250</v>
      </c>
      <c r="AL463" s="71" t="s">
        <v>242</v>
      </c>
      <c r="AM463" s="61"/>
      <c r="AN463" s="63" t="s">
        <v>250</v>
      </c>
      <c r="AO463" s="71" t="s">
        <v>242</v>
      </c>
      <c r="AP463" s="61"/>
      <c r="AQ463" s="63" t="s">
        <v>250</v>
      </c>
      <c r="AR463" s="71" t="s">
        <v>242</v>
      </c>
      <c r="AS463" s="61"/>
      <c r="AT463" s="63" t="s">
        <v>250</v>
      </c>
      <c r="AU463" s="71" t="s">
        <v>242</v>
      </c>
    </row>
    <row r="464" spans="15:47" ht="13" x14ac:dyDescent="0.3">
      <c r="O464" s="6" t="s">
        <v>231</v>
      </c>
      <c r="P464" s="6"/>
      <c r="Q464" s="60"/>
      <c r="R464" s="85">
        <f>P_1_minQ-(R462^2*R_up)+dpup_minQ</f>
        <v>56.916041907573678</v>
      </c>
      <c r="S464" s="56"/>
      <c r="T464" s="72"/>
      <c r="U464" s="53">
        <f>P_1_minQ-(U462^2*R_up)+dpup_minQ</f>
        <v>56.857546846010621</v>
      </c>
      <c r="V464" s="44"/>
      <c r="W464" s="72"/>
      <c r="X464" s="53">
        <f>P_1_minQ-(X462^2*R_up)+dpup_minQ</f>
        <v>56.578519948326026</v>
      </c>
      <c r="Y464" s="44"/>
      <c r="Z464" s="72"/>
      <c r="AA464" s="53">
        <f>P_1_minQ-(AA462^2*R_up)+dpup_minQ</f>
        <v>55.685276747040866</v>
      </c>
      <c r="AB464" s="44"/>
      <c r="AC464" s="72"/>
      <c r="AD464" s="53">
        <f>P_1_minQ-(AD462^2*R_up)+dpup_minQ</f>
        <v>53.586878604616601</v>
      </c>
      <c r="AE464" s="44"/>
      <c r="AF464" s="72"/>
      <c r="AG464" s="53">
        <f>P_1_minQ-(AG462^2*R_up)+dpup_minQ</f>
        <v>49.536111715593421</v>
      </c>
      <c r="AH464" s="44"/>
      <c r="AI464" s="72"/>
      <c r="AJ464" s="53">
        <f>P_1_minQ-(AJ462^2*R_up)+dpup_minQ</f>
        <v>43.773040730701659</v>
      </c>
      <c r="AK464" s="44"/>
      <c r="AL464" s="72"/>
      <c r="AM464" s="53">
        <f>P_1_minQ-(AM462^2*R_up)+dpup_minQ</f>
        <v>37.347854589137448</v>
      </c>
      <c r="AN464" s="44"/>
      <c r="AO464" s="72"/>
      <c r="AP464" s="53">
        <f>P_1_minQ-(AP462^2*R_up)+dpup_minQ</f>
        <v>30.541046622713296</v>
      </c>
      <c r="AQ464" s="44"/>
      <c r="AR464" s="72"/>
      <c r="AS464" s="53">
        <f>P_1_minQ-(AS462^2*R_up)+dpup_minQ</f>
        <v>22.753632801909848</v>
      </c>
      <c r="AT464" s="44"/>
      <c r="AU464" s="72"/>
    </row>
    <row r="465" spans="15:47" ht="13" x14ac:dyDescent="0.3">
      <c r="O465" s="6" t="s">
        <v>233</v>
      </c>
      <c r="P465" s="6"/>
      <c r="Q465" s="60"/>
      <c r="R465" s="85">
        <f>P_2_minQ+(R462^2*R_dn)-dpdn_minQ</f>
        <v>24.656791618485265</v>
      </c>
      <c r="S465" s="66"/>
      <c r="T465" s="74"/>
      <c r="U465" s="53">
        <f>P_2_minQ+(U462^2*R_dn)-dpdn_minQ</f>
        <v>24.668490630797876</v>
      </c>
      <c r="V465" s="45"/>
      <c r="W465" s="74"/>
      <c r="X465" s="53">
        <f>P_2_minQ+(X462^2*R_dn)-dpdn_minQ</f>
        <v>24.724296010334797</v>
      </c>
      <c r="Y465" s="45"/>
      <c r="Z465" s="74"/>
      <c r="AA465" s="53">
        <f>P_2_minQ+(AA462^2*R_dn)-dpdn_minQ</f>
        <v>24.902944650591827</v>
      </c>
      <c r="AB465" s="45"/>
      <c r="AC465" s="74"/>
      <c r="AD465" s="53">
        <f>P_2_minQ+(AD462^2*R_dn)-dpdn_minQ</f>
        <v>25.322624279076681</v>
      </c>
      <c r="AE465" s="45"/>
      <c r="AF465" s="74"/>
      <c r="AG465" s="53">
        <f>P_2_minQ+(AG462^2*R_dn)-dpdn_minQ</f>
        <v>26.132777656881316</v>
      </c>
      <c r="AH465" s="45"/>
      <c r="AI465" s="74"/>
      <c r="AJ465" s="53">
        <f>P_2_minQ+(AJ462^2*R_dn)-dpdn_minQ</f>
        <v>27.285391853859668</v>
      </c>
      <c r="AK465" s="45"/>
      <c r="AL465" s="74"/>
      <c r="AM465" s="53">
        <f>P_2_minQ+(AM462^2*R_dn)-dpdn_minQ</f>
        <v>28.570429082172513</v>
      </c>
      <c r="AN465" s="45"/>
      <c r="AO465" s="74"/>
      <c r="AP465" s="53">
        <f>P_2_minQ+(AP462^2*R_dn)-dpdn_minQ</f>
        <v>29.931790675457343</v>
      </c>
      <c r="AQ465" s="45"/>
      <c r="AR465" s="74"/>
      <c r="AS465" s="53">
        <f>P_2_minQ+(AS462^2*R_dn)-dpdn_minQ</f>
        <v>31.489273439618032</v>
      </c>
      <c r="AT465" s="45"/>
      <c r="AU465" s="74"/>
    </row>
    <row r="466" spans="15:47" x14ac:dyDescent="0.25">
      <c r="O466" s="6" t="s">
        <v>243</v>
      </c>
      <c r="Q466" s="60"/>
      <c r="R466" s="53">
        <f>R464-R465</f>
        <v>32.259250289088413</v>
      </c>
      <c r="S466" s="56"/>
      <c r="T466" s="72"/>
      <c r="U466" s="64">
        <f>U464-U465</f>
        <v>32.189056215212744</v>
      </c>
      <c r="V466" s="44"/>
      <c r="W466" s="72"/>
      <c r="X466" s="64">
        <f>X464-X465</f>
        <v>31.854223937991229</v>
      </c>
      <c r="Y466" s="44"/>
      <c r="Z466" s="72"/>
      <c r="AA466" s="64">
        <f>AA464-AA465</f>
        <v>30.782332096449039</v>
      </c>
      <c r="AB466" s="44"/>
      <c r="AC466" s="72"/>
      <c r="AD466" s="64">
        <f>AD464-AD465</f>
        <v>28.26425432553992</v>
      </c>
      <c r="AE466" s="44"/>
      <c r="AF466" s="72"/>
      <c r="AG466" s="64">
        <f>AG464-AG465</f>
        <v>23.403334058712105</v>
      </c>
      <c r="AH466" s="44"/>
      <c r="AI466" s="72"/>
      <c r="AJ466" s="64">
        <f>AJ464-AJ465</f>
        <v>16.487648876841991</v>
      </c>
      <c r="AK466" s="44"/>
      <c r="AL466" s="72"/>
      <c r="AM466" s="64">
        <f>AM464-AM465</f>
        <v>8.777425506964935</v>
      </c>
      <c r="AN466" s="44"/>
      <c r="AO466" s="72"/>
      <c r="AP466" s="64">
        <f>AP464-AP465</f>
        <v>0.60925594725595289</v>
      </c>
      <c r="AQ466" s="44"/>
      <c r="AR466" s="72"/>
      <c r="AS466" s="64">
        <f>AS464-AS465</f>
        <v>-8.7356406377081832</v>
      </c>
      <c r="AT466" s="44"/>
      <c r="AU466" s="72"/>
    </row>
    <row r="467" spans="15:47" ht="13" x14ac:dyDescent="0.3">
      <c r="O467" s="6" t="s">
        <v>75</v>
      </c>
      <c r="P467" s="6">
        <v>3</v>
      </c>
      <c r="Q467" s="65"/>
      <c r="R467" s="85">
        <f>(F_LP_h/F_P_h)^2*(R464-('Valve Sizing'!$V$4*'Valve Sizing'!$G$7))</f>
        <v>46.765079370522152</v>
      </c>
      <c r="S467" s="58"/>
      <c r="T467" s="73"/>
      <c r="U467" s="53">
        <f>(U$29/U$27)^2*(U464-('Valve Sizing'!$V$4*'Valve Sizing'!$G$7))</f>
        <v>46.703909362352654</v>
      </c>
      <c r="V467" s="41"/>
      <c r="W467" s="73"/>
      <c r="X467" s="53">
        <f>(X$29/X$27)^2*(X464-('Valve Sizing'!$V$4*'Valve Sizing'!$G$7))</f>
        <v>45.424636880714331</v>
      </c>
      <c r="Y467" s="41"/>
      <c r="Z467" s="73"/>
      <c r="AA467" s="53">
        <f>(AA$29/AA$27)^2*(AA464-('Valve Sizing'!$V$4*'Valve Sizing'!$G$7))</f>
        <v>42.693351796597554</v>
      </c>
      <c r="AB467" s="41"/>
      <c r="AC467" s="73"/>
      <c r="AD467" s="53">
        <f>(AD$29/AD$27)^2*(AD464-('Valve Sizing'!$V$4*'Valve Sizing'!$G$7))</f>
        <v>38.328817990216983</v>
      </c>
      <c r="AE467" s="41"/>
      <c r="AF467" s="73"/>
      <c r="AG467" s="53">
        <f>(AG$29/AG$27)^2*(AG464-('Valve Sizing'!$V$4*'Valve Sizing'!$G$7))</f>
        <v>31.620016635692931</v>
      </c>
      <c r="AH467" s="41"/>
      <c r="AI467" s="73"/>
      <c r="AJ467" s="53">
        <f>(AJ$29/AJ$27)^2*(AJ464-('Valve Sizing'!$V$4*'Valve Sizing'!$G$7))</f>
        <v>25.062251946206615</v>
      </c>
      <c r="AK467" s="41"/>
      <c r="AL467" s="73"/>
      <c r="AM467" s="53">
        <f>(AM$29/AM$27)^2*(AM464-('Valve Sizing'!$V$4*'Valve Sizing'!$G$7))</f>
        <v>17.659352918492079</v>
      </c>
      <c r="AN467" s="41"/>
      <c r="AO467" s="73"/>
      <c r="AP467" s="53">
        <f>(AP$29/AP$27)^2*(AP464-('Valve Sizing'!$V$4*'Valve Sizing'!$G$7))</f>
        <v>11.878657771169951</v>
      </c>
      <c r="AQ467" s="41"/>
      <c r="AR467" s="73"/>
      <c r="AS467" s="53">
        <f>(AS$29/AS$27)^2*(AS464-('Valve Sizing'!$V$4*'Valve Sizing'!$G$7))</f>
        <v>8.3930458698030499</v>
      </c>
      <c r="AT467" s="41"/>
      <c r="AU467" s="73"/>
    </row>
    <row r="468" spans="15:47" ht="13" x14ac:dyDescent="0.25">
      <c r="O468" s="1" t="s">
        <v>69</v>
      </c>
      <c r="P468" s="17">
        <v>7</v>
      </c>
      <c r="Q468" s="65"/>
      <c r="R468" s="53">
        <f>(R462/(N_1*F_P_h))*SQRT('Valve Sizing'!$G$6/R466)</f>
        <v>0.3049531187954273</v>
      </c>
      <c r="S468" s="58"/>
      <c r="T468" s="73"/>
      <c r="U468" s="64">
        <f>(U462/(N_1*U$27))*SQRT('Valve Sizing'!$G$6/U466)</f>
        <v>7.347947258911308</v>
      </c>
      <c r="V468" s="41"/>
      <c r="W468" s="73"/>
      <c r="X468" s="64">
        <f>(X462/(N_1*X$27))*SQRT('Valve Sizing'!$G$6/X466)</f>
        <v>17.770194354821935</v>
      </c>
      <c r="Y468" s="41"/>
      <c r="Z468" s="73"/>
      <c r="AA468" s="64">
        <f>(AA462/(N_1*AA$27))*SQRT('Valve Sizing'!$G$6/AA466)</f>
        <v>34.714071492403349</v>
      </c>
      <c r="AB468" s="41"/>
      <c r="AC468" s="73"/>
      <c r="AD468" s="64">
        <f>(AD462/(N_1*AD$27))*SQRT('Valve Sizing'!$G$6/AD466)</f>
        <v>60.329737952025042</v>
      </c>
      <c r="AE468" s="41"/>
      <c r="AF468" s="73"/>
      <c r="AG468" s="64">
        <f>(AG462/(N_1*AG$27))*SQRT('Valve Sizing'!$G$6/AG466)</f>
        <v>100.91355354750883</v>
      </c>
      <c r="AH468" s="41"/>
      <c r="AI468" s="73"/>
      <c r="AJ468" s="64">
        <f>(AJ462/(N_1*AJ$27))*SQRT('Valve Sizing'!$G$6/AJ466)</f>
        <v>166.27769047987044</v>
      </c>
      <c r="AK468" s="41"/>
      <c r="AL468" s="73"/>
      <c r="AM468" s="64">
        <f>(AM462/(N_1*AM$27))*SQRT('Valve Sizing'!$G$6/AM466)</f>
        <v>295.03663131797168</v>
      </c>
      <c r="AN468" s="41"/>
      <c r="AO468" s="73"/>
      <c r="AP468" s="64">
        <f>(AP462/(N_1*AP$27))*SQRT('Valve Sizing'!$G$6/AP466)</f>
        <v>1479.7784583683531</v>
      </c>
      <c r="AQ468" s="41"/>
      <c r="AR468" s="73"/>
      <c r="AS468" s="64" t="e">
        <f>(AS462/(N_1*AS$27))*SQRT('Valve Sizing'!$G$6/AS466)</f>
        <v>#NUM!</v>
      </c>
      <c r="AT468" s="41"/>
      <c r="AU468" s="73"/>
    </row>
    <row r="469" spans="15:47" ht="13" x14ac:dyDescent="0.3">
      <c r="O469" s="1" t="s">
        <v>72</v>
      </c>
      <c r="P469" s="17">
        <v>7</v>
      </c>
      <c r="Q469" s="65"/>
      <c r="R469" s="53">
        <f>(R462/(N_1*F_P_h))*SQRT('Valve Sizing'!$G$6/R467)</f>
        <v>0.25327911292167565</v>
      </c>
      <c r="S469" s="56"/>
      <c r="T469" s="72"/>
      <c r="U469" s="85">
        <f>(U462/(N_1*U$27))*SQRT('Valve Sizing'!$G$6/U467)</f>
        <v>6.1001924255059841</v>
      </c>
      <c r="V469" s="44"/>
      <c r="W469" s="72"/>
      <c r="X469" s="85">
        <f>(X462/(N_1*X$27))*SQRT('Valve Sizing'!$G$6/X467)</f>
        <v>14.880926103498469</v>
      </c>
      <c r="Y469" s="44"/>
      <c r="Z469" s="72"/>
      <c r="AA469" s="85">
        <f>(AA462/(N_1*AA$27))*SQRT('Valve Sizing'!$G$6/AA467)</f>
        <v>29.476518493230156</v>
      </c>
      <c r="AB469" s="44"/>
      <c r="AC469" s="72"/>
      <c r="AD469" s="85">
        <f>(AD462/(N_1*AD$27))*SQRT('Valve Sizing'!$G$6/AD467)</f>
        <v>51.806886393213951</v>
      </c>
      <c r="AE469" s="44"/>
      <c r="AF469" s="72"/>
      <c r="AG469" s="85">
        <f>(AG462/(N_1*AG$27))*SQRT('Valve Sizing'!$G$6/AG467)</f>
        <v>86.817508539127871</v>
      </c>
      <c r="AH469" s="44"/>
      <c r="AI469" s="72"/>
      <c r="AJ469" s="85">
        <f>(AJ462/(N_1*AJ$27))*SQRT('Valve Sizing'!$G$6/AJ467)</f>
        <v>134.8662565262544</v>
      </c>
      <c r="AK469" s="44"/>
      <c r="AL469" s="72"/>
      <c r="AM469" s="85">
        <f>(AM462/(N_1*AM$27))*SQRT('Valve Sizing'!$G$6/AM467)</f>
        <v>208.00420939710406</v>
      </c>
      <c r="AN469" s="44"/>
      <c r="AO469" s="72"/>
      <c r="AP469" s="85">
        <f>(AP462/(N_1*AP$27))*SQRT('Valve Sizing'!$G$6/AP467)</f>
        <v>335.12968963164496</v>
      </c>
      <c r="AQ469" s="44"/>
      <c r="AR469" s="72"/>
      <c r="AS469" s="85">
        <f>(AS462/(N_1*AS$27))*SQRT('Valve Sizing'!$G$6/AS467)</f>
        <v>607.74538562355394</v>
      </c>
      <c r="AT469" s="44"/>
      <c r="AU469" s="72"/>
    </row>
    <row r="470" spans="15:47" x14ac:dyDescent="0.25">
      <c r="O470" s="1" t="s">
        <v>246</v>
      </c>
      <c r="P470" s="18"/>
      <c r="Q470" s="65"/>
      <c r="R470" s="53">
        <f>IF(R466&lt;R467,R468,R469)</f>
        <v>0.3049531187954273</v>
      </c>
      <c r="S470" s="49"/>
      <c r="T470" s="72"/>
      <c r="U470" s="64">
        <f>IF(U466&lt;U467,U468,U469)</f>
        <v>7.347947258911308</v>
      </c>
      <c r="V470" s="44"/>
      <c r="W470" s="72"/>
      <c r="X470" s="64">
        <f>IF(X466&lt;X467,X468,X469)</f>
        <v>17.770194354821935</v>
      </c>
      <c r="Y470" s="44"/>
      <c r="Z470" s="72"/>
      <c r="AA470" s="64">
        <f>IF(AA466&lt;AA467,AA468,AA469)</f>
        <v>34.714071492403349</v>
      </c>
      <c r="AB470" s="44"/>
      <c r="AC470" s="72"/>
      <c r="AD470" s="64">
        <f>IF(AD466&lt;AD467,AD468,AD469)</f>
        <v>60.329737952025042</v>
      </c>
      <c r="AE470" s="44"/>
      <c r="AF470" s="72"/>
      <c r="AG470" s="64">
        <f>IF(AG466&lt;AG467,AG468,AG469)</f>
        <v>100.91355354750883</v>
      </c>
      <c r="AH470" s="44"/>
      <c r="AI470" s="72"/>
      <c r="AJ470" s="64">
        <f>IF(AJ466&lt;AJ467,AJ468,AJ469)</f>
        <v>166.27769047987044</v>
      </c>
      <c r="AK470" s="44"/>
      <c r="AL470" s="72"/>
      <c r="AM470" s="64">
        <f>IF(AM466&lt;AM467,AM468,AM469)</f>
        <v>295.03663131797168</v>
      </c>
      <c r="AN470" s="44"/>
      <c r="AO470" s="72"/>
      <c r="AP470" s="64">
        <f>IF(AP466&lt;AP467,AP468,AP469)</f>
        <v>1479.7784583683531</v>
      </c>
      <c r="AQ470" s="44"/>
      <c r="AR470" s="72"/>
      <c r="AS470" s="64" t="e">
        <f>IF(AS466&lt;AS467,AS468,AS469)</f>
        <v>#NUM!</v>
      </c>
      <c r="AT470" s="44"/>
      <c r="AU470" s="72"/>
    </row>
    <row r="471" spans="15:47" ht="13" x14ac:dyDescent="0.3">
      <c r="O471" s="7" t="s">
        <v>264</v>
      </c>
      <c r="Q471" s="61"/>
      <c r="R471" s="53"/>
      <c r="S471" s="69">
        <f>IFERROR(ABS(C_h-R470),Q_max*10)</f>
        <v>4.6950468812045729</v>
      </c>
      <c r="T471" s="76">
        <f>R462</f>
        <v>1.7317958145998853</v>
      </c>
      <c r="U471" s="61"/>
      <c r="V471" s="69">
        <f>IFERROR(ABS(U$23-U470),Q_max*10)</f>
        <v>4.652052741088692</v>
      </c>
      <c r="W471" s="75">
        <f>U462</f>
        <v>41.653786017906562</v>
      </c>
      <c r="X471" s="61"/>
      <c r="Y471" s="69">
        <f>IFERROR(ABS(X$23-X470),Q_max*10)</f>
        <v>5.2298056451780646</v>
      </c>
      <c r="Z471" s="75">
        <f>X462</f>
        <v>99.985120543340912</v>
      </c>
      <c r="AA471" s="61"/>
      <c r="AB471" s="69">
        <f>IFERROR(ABS(AA$23-AA470),Q_max*10)</f>
        <v>4.2859285075966511</v>
      </c>
      <c r="AC471" s="75">
        <f>AA462</f>
        <v>190.90823848152789</v>
      </c>
      <c r="AD471" s="61"/>
      <c r="AE471" s="69">
        <f>IFERROR(ABS(AD$23-AD470),Q_max*10)</f>
        <v>0.67026204797495836</v>
      </c>
      <c r="AF471" s="75">
        <f>AD462</f>
        <v>313.97376405888184</v>
      </c>
      <c r="AG471" s="61"/>
      <c r="AH471" s="69">
        <f>IFERROR(ABS(AG$23-AG470),Q_max*10)</f>
        <v>12.913553547508826</v>
      </c>
      <c r="AI471" s="75">
        <f>AG462</f>
        <v>467.46415060545417</v>
      </c>
      <c r="AJ471" s="61"/>
      <c r="AK471" s="69">
        <f>IFERROR(ABS(AJ$23-AJ470),Q_max*10)</f>
        <v>45.277690479870444</v>
      </c>
      <c r="AL471" s="75">
        <f>AJ462</f>
        <v>623.83272113918792</v>
      </c>
      <c r="AM471" s="61"/>
      <c r="AN471" s="69">
        <f>IFERROR(ABS(AM$23-AM470),Q_max*10)</f>
        <v>130.03663131797168</v>
      </c>
      <c r="AO471" s="75">
        <f>AM462</f>
        <v>761.1944729276745</v>
      </c>
      <c r="AP471" s="61"/>
      <c r="AQ471" s="69">
        <f>IFERROR(ABS(AP$23-AP470),Q_max*10)</f>
        <v>1233.7784583683531</v>
      </c>
      <c r="AR471" s="75">
        <f>AP462</f>
        <v>883.72315206825908</v>
      </c>
      <c r="AS471" s="61"/>
      <c r="AT471" s="69">
        <f>IFERROR(ABS(AS$23-AS470),Q_max*10)</f>
        <v>5500</v>
      </c>
      <c r="AU471" s="75">
        <f>AS462</f>
        <v>1005.7593811322117</v>
      </c>
    </row>
    <row r="472" spans="15:47" ht="14.5" x14ac:dyDescent="0.35">
      <c r="O472" s="8"/>
      <c r="P472" s="6"/>
      <c r="Q472" s="60"/>
      <c r="R472" s="67"/>
      <c r="S472" s="56"/>
      <c r="T472" s="72"/>
      <c r="V472" s="11"/>
      <c r="W472" s="38"/>
      <c r="Y472" s="11"/>
      <c r="Z472" s="38"/>
      <c r="AB472" s="11"/>
      <c r="AC472" s="38"/>
      <c r="AE472" s="11"/>
      <c r="AF472" s="38"/>
      <c r="AH472" s="11"/>
      <c r="AI472" s="38"/>
      <c r="AK472" s="11"/>
      <c r="AL472" s="38"/>
      <c r="AN472" s="11"/>
      <c r="AO472" s="38"/>
      <c r="AQ472" s="11"/>
      <c r="AR472" s="38"/>
      <c r="AT472" s="11"/>
      <c r="AU472" s="38"/>
    </row>
    <row r="473" spans="15:47" ht="14" x14ac:dyDescent="0.3">
      <c r="O473" s="8" t="s">
        <v>235</v>
      </c>
      <c r="P473" s="6"/>
      <c r="Q473" s="60"/>
      <c r="R473" s="53">
        <f>R462*1.02</f>
        <v>1.7664317308918831</v>
      </c>
      <c r="S473" s="58" t="s">
        <v>238</v>
      </c>
      <c r="T473" s="73" t="s">
        <v>241</v>
      </c>
      <c r="U473" s="84">
        <f>U462*1.01</f>
        <v>42.070323878085631</v>
      </c>
      <c r="V473" s="58" t="s">
        <v>238</v>
      </c>
      <c r="W473" s="73" t="s">
        <v>241</v>
      </c>
      <c r="X473" s="84">
        <f>X462*1.01</f>
        <v>100.98497174877433</v>
      </c>
      <c r="Y473" s="58" t="s">
        <v>238</v>
      </c>
      <c r="Z473" s="73" t="s">
        <v>241</v>
      </c>
      <c r="AA473" s="84">
        <f>AA462*1.01</f>
        <v>192.81732086634318</v>
      </c>
      <c r="AB473" s="58" t="s">
        <v>238</v>
      </c>
      <c r="AC473" s="73" t="s">
        <v>241</v>
      </c>
      <c r="AD473" s="84">
        <f>AD462*1.01</f>
        <v>317.11350169947065</v>
      </c>
      <c r="AE473" s="58" t="s">
        <v>238</v>
      </c>
      <c r="AF473" s="73" t="s">
        <v>241</v>
      </c>
      <c r="AG473" s="84">
        <f>AG462*1.01</f>
        <v>472.13879211150874</v>
      </c>
      <c r="AH473" s="58" t="s">
        <v>238</v>
      </c>
      <c r="AI473" s="73" t="s">
        <v>241</v>
      </c>
      <c r="AJ473" s="84">
        <f>AJ462*1.01</f>
        <v>630.07104835057976</v>
      </c>
      <c r="AK473" s="58" t="s">
        <v>238</v>
      </c>
      <c r="AL473" s="73" t="s">
        <v>241</v>
      </c>
      <c r="AM473" s="84">
        <f>AM462*1.01</f>
        <v>768.80641765695123</v>
      </c>
      <c r="AN473" s="58" t="s">
        <v>238</v>
      </c>
      <c r="AO473" s="73" t="s">
        <v>241</v>
      </c>
      <c r="AP473" s="84">
        <f>AP462*1.01</f>
        <v>892.5603835889417</v>
      </c>
      <c r="AQ473" s="58" t="s">
        <v>238</v>
      </c>
      <c r="AR473" s="73" t="s">
        <v>241</v>
      </c>
      <c r="AS473" s="84">
        <f>AS462*1.01</f>
        <v>1015.8169749435339</v>
      </c>
      <c r="AT473" s="58" t="s">
        <v>238</v>
      </c>
      <c r="AU473" s="73" t="s">
        <v>241</v>
      </c>
    </row>
    <row r="474" spans="15:47" ht="13" x14ac:dyDescent="0.25">
      <c r="O474" s="6"/>
      <c r="P474" s="6"/>
      <c r="Q474" s="60"/>
      <c r="R474" s="70"/>
      <c r="S474" s="63" t="s">
        <v>250</v>
      </c>
      <c r="T474" s="71" t="s">
        <v>242</v>
      </c>
      <c r="U474" s="61"/>
      <c r="V474" s="63" t="s">
        <v>250</v>
      </c>
      <c r="W474" s="71" t="s">
        <v>242</v>
      </c>
      <c r="X474" s="61"/>
      <c r="Y474" s="63" t="s">
        <v>250</v>
      </c>
      <c r="Z474" s="71" t="s">
        <v>242</v>
      </c>
      <c r="AA474" s="61"/>
      <c r="AB474" s="63" t="s">
        <v>250</v>
      </c>
      <c r="AC474" s="71" t="s">
        <v>242</v>
      </c>
      <c r="AD474" s="61"/>
      <c r="AE474" s="63" t="s">
        <v>250</v>
      </c>
      <c r="AF474" s="71" t="s">
        <v>242</v>
      </c>
      <c r="AG474" s="61"/>
      <c r="AH474" s="63" t="s">
        <v>250</v>
      </c>
      <c r="AI474" s="71" t="s">
        <v>242</v>
      </c>
      <c r="AJ474" s="61"/>
      <c r="AK474" s="63" t="s">
        <v>250</v>
      </c>
      <c r="AL474" s="71" t="s">
        <v>242</v>
      </c>
      <c r="AM474" s="61"/>
      <c r="AN474" s="63" t="s">
        <v>250</v>
      </c>
      <c r="AO474" s="71" t="s">
        <v>242</v>
      </c>
      <c r="AP474" s="61"/>
      <c r="AQ474" s="63" t="s">
        <v>250</v>
      </c>
      <c r="AR474" s="71" t="s">
        <v>242</v>
      </c>
      <c r="AS474" s="61"/>
      <c r="AT474" s="63" t="s">
        <v>250</v>
      </c>
      <c r="AU474" s="71" t="s">
        <v>242</v>
      </c>
    </row>
    <row r="475" spans="15:47" ht="13" x14ac:dyDescent="0.3">
      <c r="O475" s="6" t="s">
        <v>231</v>
      </c>
      <c r="P475" s="6"/>
      <c r="Q475" s="60"/>
      <c r="R475" s="85">
        <f>P_1_minQ-(R473^2*R_up)+dpup_minQ</f>
        <v>56.916037815567044</v>
      </c>
      <c r="S475" s="56"/>
      <c r="T475" s="72"/>
      <c r="U475" s="53">
        <f>P_1_minQ-(U473^2*R_up)+dpup_minQ</f>
        <v>56.856369059398617</v>
      </c>
      <c r="V475" s="44"/>
      <c r="W475" s="72"/>
      <c r="X475" s="53">
        <f>P_1_minQ-(X473^2*R_up)+dpup_minQ</f>
        <v>56.571733721070558</v>
      </c>
      <c r="Y475" s="44"/>
      <c r="Z475" s="72"/>
      <c r="AA475" s="53">
        <f>P_1_minQ-(AA473^2*R_up)+dpup_minQ</f>
        <v>55.660536331439566</v>
      </c>
      <c r="AB475" s="44"/>
      <c r="AC475" s="72"/>
      <c r="AD475" s="53">
        <f>P_1_minQ-(AD473^2*R_up)+dpup_minQ</f>
        <v>53.519960386352579</v>
      </c>
      <c r="AE475" s="44"/>
      <c r="AF475" s="72"/>
      <c r="AG475" s="53">
        <f>P_1_minQ-(AG473^2*R_up)+dpup_minQ</f>
        <v>49.387773082860029</v>
      </c>
      <c r="AH475" s="44"/>
      <c r="AI475" s="72"/>
      <c r="AJ475" s="53">
        <f>P_1_minQ-(AJ473^2*R_up)+dpup_minQ</f>
        <v>43.508864371171946</v>
      </c>
      <c r="AK475" s="44"/>
      <c r="AL475" s="72"/>
      <c r="AM475" s="53">
        <f>P_1_minQ-(AM473^2*R_up)+dpup_minQ</f>
        <v>36.954531988162294</v>
      </c>
      <c r="AN475" s="44"/>
      <c r="AO475" s="72"/>
      <c r="AP475" s="53">
        <f>P_1_minQ-(AP473^2*R_up)+dpup_minQ</f>
        <v>30.010907181613014</v>
      </c>
      <c r="AQ475" s="44"/>
      <c r="AR475" s="72"/>
      <c r="AS475" s="53">
        <f>P_1_minQ-(AS473^2*R_up)+dpup_minQ</f>
        <v>22.066966343011412</v>
      </c>
      <c r="AT475" s="44"/>
      <c r="AU475" s="72"/>
    </row>
    <row r="476" spans="15:47" ht="13" x14ac:dyDescent="0.3">
      <c r="O476" s="6" t="s">
        <v>233</v>
      </c>
      <c r="P476" s="6"/>
      <c r="Q476" s="60"/>
      <c r="R476" s="85">
        <f>P_2_minQ+(R473^2*R_dn)-dpdn_minQ</f>
        <v>24.656792436886594</v>
      </c>
      <c r="S476" s="66"/>
      <c r="T476" s="74"/>
      <c r="U476" s="53">
        <f>P_2_minQ+(U473^2*R_dn)-dpdn_minQ</f>
        <v>24.668726188120278</v>
      </c>
      <c r="V476" s="45"/>
      <c r="W476" s="74"/>
      <c r="X476" s="53">
        <f>P_2_minQ+(X473^2*R_dn)-dpdn_minQ</f>
        <v>24.72565325578589</v>
      </c>
      <c r="Y476" s="45"/>
      <c r="Z476" s="74"/>
      <c r="AA476" s="53">
        <f>P_2_minQ+(AA473^2*R_dn)-dpdn_minQ</f>
        <v>24.907892733712089</v>
      </c>
      <c r="AB476" s="45"/>
      <c r="AC476" s="74"/>
      <c r="AD476" s="53">
        <f>P_2_minQ+(AD473^2*R_dn)-dpdn_minQ</f>
        <v>25.336007922729486</v>
      </c>
      <c r="AE476" s="45"/>
      <c r="AF476" s="74"/>
      <c r="AG476" s="53">
        <f>P_2_minQ+(AG473^2*R_dn)-dpdn_minQ</f>
        <v>26.162445383427993</v>
      </c>
      <c r="AH476" s="45"/>
      <c r="AI476" s="74"/>
      <c r="AJ476" s="53">
        <f>P_2_minQ+(AJ473^2*R_dn)-dpdn_minQ</f>
        <v>27.338227125765613</v>
      </c>
      <c r="AK476" s="45"/>
      <c r="AL476" s="74"/>
      <c r="AM476" s="53">
        <f>P_2_minQ+(AM473^2*R_dn)-dpdn_minQ</f>
        <v>28.649093602367543</v>
      </c>
      <c r="AN476" s="45"/>
      <c r="AO476" s="74"/>
      <c r="AP476" s="53">
        <f>P_2_minQ+(AP473^2*R_dn)-dpdn_minQ</f>
        <v>30.037818563677398</v>
      </c>
      <c r="AQ476" s="45"/>
      <c r="AR476" s="74"/>
      <c r="AS476" s="53">
        <f>P_2_minQ+(AS473^2*R_dn)-dpdn_minQ</f>
        <v>31.626606731397718</v>
      </c>
      <c r="AT476" s="45"/>
      <c r="AU476" s="74"/>
    </row>
    <row r="477" spans="15:47" x14ac:dyDescent="0.25">
      <c r="O477" s="6" t="s">
        <v>243</v>
      </c>
      <c r="Q477" s="60"/>
      <c r="R477" s="53">
        <f>R475-R476</f>
        <v>32.259245378680447</v>
      </c>
      <c r="S477" s="56"/>
      <c r="T477" s="72"/>
      <c r="U477" s="64">
        <f>U475-U476</f>
        <v>32.187642871278342</v>
      </c>
      <c r="V477" s="44"/>
      <c r="W477" s="72"/>
      <c r="X477" s="64">
        <f>X475-X476</f>
        <v>31.846080465284668</v>
      </c>
      <c r="Y477" s="44"/>
      <c r="Z477" s="72"/>
      <c r="AA477" s="64">
        <f>AA475-AA476</f>
        <v>30.752643597727477</v>
      </c>
      <c r="AB477" s="44"/>
      <c r="AC477" s="72"/>
      <c r="AD477" s="64">
        <f>AD475-AD476</f>
        <v>28.183952463623093</v>
      </c>
      <c r="AE477" s="44"/>
      <c r="AF477" s="72"/>
      <c r="AG477" s="64">
        <f>AG475-AG476</f>
        <v>23.225327699432036</v>
      </c>
      <c r="AH477" s="44"/>
      <c r="AI477" s="72"/>
      <c r="AJ477" s="64">
        <f>AJ475-AJ476</f>
        <v>16.170637245406333</v>
      </c>
      <c r="AK477" s="44"/>
      <c r="AL477" s="72"/>
      <c r="AM477" s="64">
        <f>AM475-AM476</f>
        <v>8.3054383857947514</v>
      </c>
      <c r="AN477" s="44"/>
      <c r="AO477" s="72"/>
      <c r="AP477" s="64">
        <f>AP475-AP476</f>
        <v>-2.6911382064383815E-2</v>
      </c>
      <c r="AQ477" s="44"/>
      <c r="AR477" s="72"/>
      <c r="AS477" s="64">
        <f>AS475-AS476</f>
        <v>-9.5596403883863061</v>
      </c>
      <c r="AT477" s="44"/>
      <c r="AU477" s="72"/>
    </row>
    <row r="478" spans="15:47" ht="13" x14ac:dyDescent="0.3">
      <c r="O478" s="6" t="s">
        <v>75</v>
      </c>
      <c r="P478" s="6">
        <v>3</v>
      </c>
      <c r="Q478" s="65"/>
      <c r="R478" s="85">
        <f>(F_LP_h/F_P_h)^2*(R475-('Valve Sizing'!$V$4*'Valve Sizing'!$G$7))</f>
        <v>46.765075982125865</v>
      </c>
      <c r="S478" s="58"/>
      <c r="T478" s="73"/>
      <c r="U478" s="53">
        <f>(U$29/U$27)^2*(U475-('Valve Sizing'!$V$4*'Valve Sizing'!$G$7))</f>
        <v>46.702934359034046</v>
      </c>
      <c r="V478" s="41"/>
      <c r="W478" s="73"/>
      <c r="X478" s="53">
        <f>(X$29/X$27)^2*(X475-('Valve Sizing'!$V$4*'Valve Sizing'!$G$7))</f>
        <v>45.419145780738425</v>
      </c>
      <c r="Y478" s="41"/>
      <c r="Z478" s="73"/>
      <c r="AA478" s="53">
        <f>(AA$29/AA$27)^2*(AA475-('Valve Sizing'!$V$4*'Valve Sizing'!$G$7))</f>
        <v>42.674232472165741</v>
      </c>
      <c r="AB478" s="41"/>
      <c r="AC478" s="73"/>
      <c r="AD478" s="53">
        <f>(AD$29/AD$27)^2*(AD475-('Valve Sizing'!$V$4*'Valve Sizing'!$G$7))</f>
        <v>38.280557413894336</v>
      </c>
      <c r="AE478" s="41"/>
      <c r="AF478" s="73"/>
      <c r="AG478" s="53">
        <f>(AG$29/AG$27)^2*(AG475-('Valve Sizing'!$V$4*'Valve Sizing'!$G$7))</f>
        <v>31.524480036554216</v>
      </c>
      <c r="AH478" s="41"/>
      <c r="AI478" s="73"/>
      <c r="AJ478" s="53">
        <f>(AJ$29/AJ$27)^2*(AJ475-('Valve Sizing'!$V$4*'Valve Sizing'!$G$7))</f>
        <v>24.909461761618314</v>
      </c>
      <c r="AK478" s="41"/>
      <c r="AL478" s="73"/>
      <c r="AM478" s="53">
        <f>(AM$29/AM$27)^2*(AM475-('Valve Sizing'!$V$4*'Valve Sizing'!$G$7))</f>
        <v>17.471159008233453</v>
      </c>
      <c r="AN478" s="41"/>
      <c r="AO478" s="73"/>
      <c r="AP478" s="53">
        <f>(AP$29/AP$27)^2*(AP475-('Valve Sizing'!$V$4*'Valve Sizing'!$G$7))</f>
        <v>11.669450525470992</v>
      </c>
      <c r="AQ478" s="41"/>
      <c r="AR478" s="73"/>
      <c r="AS478" s="53">
        <f>(AS$29/AS$27)^2*(AS475-('Valve Sizing'!$V$4*'Valve Sizing'!$G$7))</f>
        <v>8.134762602668534</v>
      </c>
      <c r="AT478" s="41"/>
      <c r="AU478" s="73"/>
    </row>
    <row r="479" spans="15:47" ht="13" x14ac:dyDescent="0.25">
      <c r="O479" s="1" t="s">
        <v>69</v>
      </c>
      <c r="P479" s="17">
        <v>7</v>
      </c>
      <c r="Q479" s="65"/>
      <c r="R479" s="53">
        <f>(R473/(N_1*F_P_h))*SQRT('Valve Sizing'!$G$6/R477)</f>
        <v>0.31105220484506152</v>
      </c>
      <c r="S479" s="58"/>
      <c r="T479" s="73"/>
      <c r="U479" s="64">
        <f>(U473/(N_1*U$27))*SQRT('Valve Sizing'!$G$6/U477)</f>
        <v>7.4215896653529878</v>
      </c>
      <c r="V479" s="41"/>
      <c r="W479" s="73"/>
      <c r="X479" s="64">
        <f>(X473/(N_1*X$27))*SQRT('Valve Sizing'!$G$6/X477)</f>
        <v>17.950190911381373</v>
      </c>
      <c r="Y479" s="41"/>
      <c r="Z479" s="73"/>
      <c r="AA479" s="64">
        <f>(AA473/(N_1*AA$27))*SQRT('Valve Sizing'!$G$6/AA477)</f>
        <v>35.078132112892213</v>
      </c>
      <c r="AB479" s="41"/>
      <c r="AC479" s="73"/>
      <c r="AD479" s="64">
        <f>(AD473/(N_1*AD$27))*SQRT('Valve Sizing'!$G$6/AD477)</f>
        <v>61.019778946304292</v>
      </c>
      <c r="AE479" s="41"/>
      <c r="AF479" s="73"/>
      <c r="AG479" s="64">
        <f>(AG473/(N_1*AG$27))*SQRT('Valve Sizing'!$G$6/AG477)</f>
        <v>102.31252763346495</v>
      </c>
      <c r="AH479" s="41"/>
      <c r="AI479" s="73"/>
      <c r="AJ479" s="64">
        <f>(AJ473/(N_1*AJ$27))*SQRT('Valve Sizing'!$G$6/AJ477)</f>
        <v>169.57864282245055</v>
      </c>
      <c r="AK479" s="41"/>
      <c r="AL479" s="73"/>
      <c r="AM479" s="64">
        <f>(AM473/(N_1*AM$27))*SQRT('Valve Sizing'!$G$6/AM477)</f>
        <v>306.3371095704689</v>
      </c>
      <c r="AN479" s="41"/>
      <c r="AO479" s="73"/>
      <c r="AP479" s="64" t="e">
        <f>(AP473/(N_1*AP$27))*SQRT('Valve Sizing'!$G$6/AP477)</f>
        <v>#NUM!</v>
      </c>
      <c r="AQ479" s="41"/>
      <c r="AR479" s="73"/>
      <c r="AS479" s="64" t="e">
        <f>(AS473/(N_1*AS$27))*SQRT('Valve Sizing'!$G$6/AS477)</f>
        <v>#NUM!</v>
      </c>
      <c r="AT479" s="41"/>
      <c r="AU479" s="73"/>
    </row>
    <row r="480" spans="15:47" ht="13" x14ac:dyDescent="0.3">
      <c r="O480" s="1" t="s">
        <v>72</v>
      </c>
      <c r="P480" s="17">
        <v>7</v>
      </c>
      <c r="Q480" s="65"/>
      <c r="R480" s="53">
        <f>(R473/(N_1*F_P_h))*SQRT('Valve Sizing'!$G$6/R478)</f>
        <v>0.2583447045393818</v>
      </c>
      <c r="S480" s="56"/>
      <c r="T480" s="72"/>
      <c r="U480" s="85">
        <f>(U473/(N_1*U$27))*SQRT('Valve Sizing'!$G$6/U478)</f>
        <v>6.1612586621395682</v>
      </c>
      <c r="V480" s="44"/>
      <c r="W480" s="72"/>
      <c r="X480" s="85">
        <f>(X473/(N_1*X$27))*SQRT('Valve Sizing'!$G$6/X478)</f>
        <v>15.030643872210137</v>
      </c>
      <c r="Y480" s="44"/>
      <c r="Z480" s="72"/>
      <c r="AA480" s="85">
        <f>(AA473/(N_1*AA$27))*SQRT('Valve Sizing'!$G$6/AA478)</f>
        <v>29.777952141275993</v>
      </c>
      <c r="AB480" s="44"/>
      <c r="AC480" s="72"/>
      <c r="AD480" s="85">
        <f>(AD473/(N_1*AD$27))*SQRT('Valve Sizing'!$G$6/AD478)</f>
        <v>52.357928093409186</v>
      </c>
      <c r="AE480" s="44"/>
      <c r="AF480" s="72"/>
      <c r="AG480" s="85">
        <f>(AG473/(N_1*AG$27))*SQRT('Valve Sizing'!$G$6/AG478)</f>
        <v>87.818451154951077</v>
      </c>
      <c r="AH480" s="44"/>
      <c r="AI480" s="72"/>
      <c r="AJ480" s="85">
        <f>(AJ473/(N_1*AJ$27))*SQRT('Valve Sizing'!$G$6/AJ478)</f>
        <v>136.63203941311974</v>
      </c>
      <c r="AK480" s="44"/>
      <c r="AL480" s="72"/>
      <c r="AM480" s="85">
        <f>(AM473/(N_1*AM$27))*SQRT('Valve Sizing'!$G$6/AM478)</f>
        <v>211.2127020251491</v>
      </c>
      <c r="AN480" s="44"/>
      <c r="AO480" s="72"/>
      <c r="AP480" s="85">
        <f>(AP473/(N_1*AP$27))*SQRT('Valve Sizing'!$G$6/AP478)</f>
        <v>341.50161332832238</v>
      </c>
      <c r="AQ480" s="44"/>
      <c r="AR480" s="72"/>
      <c r="AS480" s="85">
        <f>(AS473/(N_1*AS$27))*SQRT('Valve Sizing'!$G$6/AS478)</f>
        <v>623.49130379112466</v>
      </c>
      <c r="AT480" s="44"/>
      <c r="AU480" s="72"/>
    </row>
    <row r="481" spans="15:47" x14ac:dyDescent="0.25">
      <c r="O481" s="1" t="s">
        <v>246</v>
      </c>
      <c r="P481" s="18"/>
      <c r="Q481" s="65"/>
      <c r="R481" s="53">
        <f>IF(R477&lt;R478,R479,R480)</f>
        <v>0.31105220484506152</v>
      </c>
      <c r="S481" s="49"/>
      <c r="T481" s="72"/>
      <c r="U481" s="64">
        <f>IF(U477&lt;U478,U479,U480)</f>
        <v>7.4215896653529878</v>
      </c>
      <c r="V481" s="44"/>
      <c r="W481" s="72"/>
      <c r="X481" s="64">
        <f>IF(X477&lt;X478,X479,X480)</f>
        <v>17.950190911381373</v>
      </c>
      <c r="Y481" s="44"/>
      <c r="Z481" s="72"/>
      <c r="AA481" s="64">
        <f>IF(AA477&lt;AA478,AA479,AA480)</f>
        <v>35.078132112892213</v>
      </c>
      <c r="AB481" s="44"/>
      <c r="AC481" s="72"/>
      <c r="AD481" s="64">
        <f>IF(AD477&lt;AD478,AD479,AD480)</f>
        <v>61.019778946304292</v>
      </c>
      <c r="AE481" s="44"/>
      <c r="AF481" s="72"/>
      <c r="AG481" s="64">
        <f>IF(AG477&lt;AG478,AG479,AG480)</f>
        <v>102.31252763346495</v>
      </c>
      <c r="AH481" s="44"/>
      <c r="AI481" s="72"/>
      <c r="AJ481" s="64">
        <f>IF(AJ477&lt;AJ478,AJ479,AJ480)</f>
        <v>169.57864282245055</v>
      </c>
      <c r="AK481" s="44"/>
      <c r="AL481" s="72"/>
      <c r="AM481" s="64">
        <f>IF(AM477&lt;AM478,AM479,AM480)</f>
        <v>306.3371095704689</v>
      </c>
      <c r="AN481" s="44"/>
      <c r="AO481" s="72"/>
      <c r="AP481" s="64" t="e">
        <f>IF(AP477&lt;AP478,AP479,AP480)</f>
        <v>#NUM!</v>
      </c>
      <c r="AQ481" s="44"/>
      <c r="AR481" s="72"/>
      <c r="AS481" s="64" t="e">
        <f>IF(AS477&lt;AS478,AS479,AS480)</f>
        <v>#NUM!</v>
      </c>
      <c r="AT481" s="44"/>
      <c r="AU481" s="72"/>
    </row>
    <row r="482" spans="15:47" ht="13" x14ac:dyDescent="0.3">
      <c r="O482" s="7" t="s">
        <v>264</v>
      </c>
      <c r="Q482" s="61"/>
      <c r="R482" s="53"/>
      <c r="S482" s="69">
        <f>IFERROR(ABS(C_h-R481),Q_max*10)</f>
        <v>4.6889477951549381</v>
      </c>
      <c r="T482" s="76">
        <f>R473</f>
        <v>1.7664317308918831</v>
      </c>
      <c r="U482" s="61"/>
      <c r="V482" s="69">
        <f>IFERROR(ABS(U$23-U481),Q_max*10)</f>
        <v>4.5784103346470122</v>
      </c>
      <c r="W482" s="75">
        <f>U473</f>
        <v>42.070323878085631</v>
      </c>
      <c r="X482" s="61"/>
      <c r="Y482" s="69">
        <f>IFERROR(ABS(X$23-X481),Q_max*10)</f>
        <v>5.0498090886186269</v>
      </c>
      <c r="Z482" s="75">
        <f>X473</f>
        <v>100.98497174877433</v>
      </c>
      <c r="AA482" s="61"/>
      <c r="AB482" s="69">
        <f>IFERROR(ABS(AA$23-AA481),Q_max*10)</f>
        <v>3.921867887107787</v>
      </c>
      <c r="AC482" s="75">
        <f>AA473</f>
        <v>192.81732086634318</v>
      </c>
      <c r="AD482" s="61"/>
      <c r="AE482" s="69">
        <f>IFERROR(ABS(AD$23-AD481),Q_max*10)</f>
        <v>1.9778946304292333E-2</v>
      </c>
      <c r="AF482" s="75">
        <f>AD473</f>
        <v>317.11350169947065</v>
      </c>
      <c r="AG482" s="61"/>
      <c r="AH482" s="69">
        <f>IFERROR(ABS(AG$23-AG481),Q_max*10)</f>
        <v>14.312527633464953</v>
      </c>
      <c r="AI482" s="75">
        <f>AG473</f>
        <v>472.13879211150874</v>
      </c>
      <c r="AJ482" s="61"/>
      <c r="AK482" s="69">
        <f>IFERROR(ABS(AJ$23-AJ481),Q_max*10)</f>
        <v>48.578642822450547</v>
      </c>
      <c r="AL482" s="75">
        <f>AJ473</f>
        <v>630.07104835057976</v>
      </c>
      <c r="AM482" s="61"/>
      <c r="AN482" s="69">
        <f>IFERROR(ABS(AM$23-AM481),Q_max*10)</f>
        <v>141.3371095704689</v>
      </c>
      <c r="AO482" s="75">
        <f>AM473</f>
        <v>768.80641765695123</v>
      </c>
      <c r="AP482" s="61"/>
      <c r="AQ482" s="69">
        <f>IFERROR(ABS(AP$23-AP481),Q_max*10)</f>
        <v>5500</v>
      </c>
      <c r="AR482" s="75">
        <f>AP473</f>
        <v>892.5603835889417</v>
      </c>
      <c r="AS482" s="61"/>
      <c r="AT482" s="69">
        <f>IFERROR(ABS(AS$23-AS481),Q_max*10)</f>
        <v>5500</v>
      </c>
      <c r="AU482" s="75">
        <f>AS473</f>
        <v>1015.8169749435339</v>
      </c>
    </row>
    <row r="483" spans="15:47" ht="14.5" x14ac:dyDescent="0.35">
      <c r="O483" s="6"/>
      <c r="P483" s="6"/>
      <c r="Q483" s="60"/>
      <c r="R483" s="67"/>
      <c r="S483" s="56"/>
      <c r="T483" s="72"/>
      <c r="V483" s="11"/>
      <c r="W483" s="38"/>
      <c r="Y483" s="11"/>
      <c r="Z483" s="38"/>
      <c r="AB483" s="11"/>
      <c r="AC483" s="38"/>
      <c r="AE483" s="11"/>
      <c r="AF483" s="38"/>
      <c r="AH483" s="11"/>
      <c r="AI483" s="38"/>
      <c r="AK483" s="11"/>
      <c r="AL483" s="38"/>
      <c r="AN483" s="11"/>
      <c r="AO483" s="38"/>
      <c r="AQ483" s="11"/>
      <c r="AR483" s="38"/>
      <c r="AT483" s="11"/>
      <c r="AU483" s="38"/>
    </row>
    <row r="484" spans="15:47" ht="14" x14ac:dyDescent="0.3">
      <c r="O484" s="8" t="s">
        <v>235</v>
      </c>
      <c r="P484" s="6"/>
      <c r="Q484" s="60"/>
      <c r="R484" s="53">
        <f>R473*1.02</f>
        <v>1.8017603655097207</v>
      </c>
      <c r="S484" s="58" t="s">
        <v>238</v>
      </c>
      <c r="T484" s="73" t="s">
        <v>241</v>
      </c>
      <c r="U484" s="84">
        <f>U473*1.01</f>
        <v>42.491027116866491</v>
      </c>
      <c r="V484" s="58" t="s">
        <v>238</v>
      </c>
      <c r="W484" s="73" t="s">
        <v>241</v>
      </c>
      <c r="X484" s="84">
        <f>X473*1.01</f>
        <v>101.99482146626207</v>
      </c>
      <c r="Y484" s="58" t="s">
        <v>238</v>
      </c>
      <c r="Z484" s="73" t="s">
        <v>241</v>
      </c>
      <c r="AA484" s="84">
        <f>AA473*1.01</f>
        <v>194.7454940750066</v>
      </c>
      <c r="AB484" s="58" t="s">
        <v>238</v>
      </c>
      <c r="AC484" s="73" t="s">
        <v>241</v>
      </c>
      <c r="AD484" s="84">
        <f>AD473*1.01</f>
        <v>320.28463671646534</v>
      </c>
      <c r="AE484" s="58" t="s">
        <v>238</v>
      </c>
      <c r="AF484" s="73" t="s">
        <v>241</v>
      </c>
      <c r="AG484" s="84">
        <f>AG473*1.01</f>
        <v>476.86018003262382</v>
      </c>
      <c r="AH484" s="58" t="s">
        <v>238</v>
      </c>
      <c r="AI484" s="73" t="s">
        <v>241</v>
      </c>
      <c r="AJ484" s="84">
        <f>AJ473*1.01</f>
        <v>636.37175883408554</v>
      </c>
      <c r="AK484" s="58" t="s">
        <v>238</v>
      </c>
      <c r="AL484" s="73" t="s">
        <v>241</v>
      </c>
      <c r="AM484" s="84">
        <f>AM473*1.01</f>
        <v>776.49448183352069</v>
      </c>
      <c r="AN484" s="58" t="s">
        <v>238</v>
      </c>
      <c r="AO484" s="73" t="s">
        <v>241</v>
      </c>
      <c r="AP484" s="84">
        <f>AP473*1.01</f>
        <v>901.48598742483114</v>
      </c>
      <c r="AQ484" s="58" t="s">
        <v>238</v>
      </c>
      <c r="AR484" s="73" t="s">
        <v>241</v>
      </c>
      <c r="AS484" s="84">
        <f>AS473*1.01</f>
        <v>1025.9751446929693</v>
      </c>
      <c r="AT484" s="58" t="s">
        <v>238</v>
      </c>
      <c r="AU484" s="73" t="s">
        <v>241</v>
      </c>
    </row>
    <row r="485" spans="15:47" ht="13" x14ac:dyDescent="0.25">
      <c r="O485" s="6"/>
      <c r="P485" s="6"/>
      <c r="Q485" s="60"/>
      <c r="R485" s="70"/>
      <c r="S485" s="63" t="s">
        <v>250</v>
      </c>
      <c r="T485" s="71" t="s">
        <v>242</v>
      </c>
      <c r="U485" s="61"/>
      <c r="V485" s="63" t="s">
        <v>250</v>
      </c>
      <c r="W485" s="71" t="s">
        <v>242</v>
      </c>
      <c r="X485" s="61"/>
      <c r="Y485" s="63" t="s">
        <v>250</v>
      </c>
      <c r="Z485" s="71" t="s">
        <v>242</v>
      </c>
      <c r="AA485" s="61"/>
      <c r="AB485" s="63" t="s">
        <v>250</v>
      </c>
      <c r="AC485" s="71" t="s">
        <v>242</v>
      </c>
      <c r="AD485" s="61"/>
      <c r="AE485" s="63" t="s">
        <v>250</v>
      </c>
      <c r="AF485" s="71" t="s">
        <v>242</v>
      </c>
      <c r="AG485" s="61"/>
      <c r="AH485" s="63" t="s">
        <v>250</v>
      </c>
      <c r="AI485" s="71" t="s">
        <v>242</v>
      </c>
      <c r="AJ485" s="61"/>
      <c r="AK485" s="63" t="s">
        <v>250</v>
      </c>
      <c r="AL485" s="71" t="s">
        <v>242</v>
      </c>
      <c r="AM485" s="61"/>
      <c r="AN485" s="63" t="s">
        <v>250</v>
      </c>
      <c r="AO485" s="71" t="s">
        <v>242</v>
      </c>
      <c r="AP485" s="61"/>
      <c r="AQ485" s="63" t="s">
        <v>250</v>
      </c>
      <c r="AR485" s="71" t="s">
        <v>242</v>
      </c>
      <c r="AS485" s="61"/>
      <c r="AT485" s="63" t="s">
        <v>250</v>
      </c>
      <c r="AU485" s="71" t="s">
        <v>242</v>
      </c>
    </row>
    <row r="486" spans="15:47" ht="13" x14ac:dyDescent="0.3">
      <c r="O486" s="6" t="s">
        <v>231</v>
      </c>
      <c r="P486" s="6"/>
      <c r="Q486" s="60"/>
      <c r="R486" s="85">
        <f>P_1_minQ-(R484^2*R_up)+dpup_minQ</f>
        <v>56.916033558243342</v>
      </c>
      <c r="S486" s="56"/>
      <c r="T486" s="72"/>
      <c r="U486" s="53">
        <f>P_1_minQ-(U484^2*R_up)+dpup_minQ</f>
        <v>56.85516759927571</v>
      </c>
      <c r="V486" s="44"/>
      <c r="W486" s="72"/>
      <c r="X486" s="53">
        <f>P_1_minQ-(X484^2*R_up)+dpup_minQ</f>
        <v>56.564811090647261</v>
      </c>
      <c r="Y486" s="44"/>
      <c r="Z486" s="72"/>
      <c r="AA486" s="53">
        <f>P_1_minQ-(AA484^2*R_up)+dpup_minQ</f>
        <v>55.635298633484688</v>
      </c>
      <c r="AB486" s="44"/>
      <c r="AC486" s="72"/>
      <c r="AD486" s="53">
        <f>P_1_minQ-(AD484^2*R_up)+dpup_minQ</f>
        <v>53.451697111901446</v>
      </c>
      <c r="AE486" s="44"/>
      <c r="AF486" s="72"/>
      <c r="AG486" s="53">
        <f>P_1_minQ-(AG484^2*R_up)+dpup_minQ</f>
        <v>49.236452843608696</v>
      </c>
      <c r="AH486" s="44"/>
      <c r="AI486" s="72"/>
      <c r="AJ486" s="53">
        <f>P_1_minQ-(AJ484^2*R_up)+dpup_minQ</f>
        <v>43.239378066815682</v>
      </c>
      <c r="AK486" s="44"/>
      <c r="AL486" s="72"/>
      <c r="AM486" s="53">
        <f>P_1_minQ-(AM484^2*R_up)+dpup_minQ</f>
        <v>36.55330360290754</v>
      </c>
      <c r="AN486" s="44"/>
      <c r="AO486" s="72"/>
      <c r="AP486" s="53">
        <f>P_1_minQ-(AP484^2*R_up)+dpup_minQ</f>
        <v>29.470111937746612</v>
      </c>
      <c r="AQ486" s="44"/>
      <c r="AR486" s="72"/>
      <c r="AS486" s="53">
        <f>P_1_minQ-(AS484^2*R_up)+dpup_minQ</f>
        <v>21.366497888289114</v>
      </c>
      <c r="AT486" s="44"/>
      <c r="AU486" s="72"/>
    </row>
    <row r="487" spans="15:47" ht="13" x14ac:dyDescent="0.3">
      <c r="O487" s="6" t="s">
        <v>233</v>
      </c>
      <c r="P487" s="6"/>
      <c r="Q487" s="60"/>
      <c r="R487" s="85">
        <f>P_2_minQ+(R484^2*R_dn)-dpdn_minQ</f>
        <v>24.656793288351334</v>
      </c>
      <c r="S487" s="66"/>
      <c r="T487" s="74"/>
      <c r="U487" s="53">
        <f>P_2_minQ+(U484^2*R_dn)-dpdn_minQ</f>
        <v>24.66896648014486</v>
      </c>
      <c r="V487" s="45"/>
      <c r="W487" s="74"/>
      <c r="X487" s="53">
        <f>P_2_minQ+(X484^2*R_dn)-dpdn_minQ</f>
        <v>24.72703778187055</v>
      </c>
      <c r="Y487" s="45"/>
      <c r="Z487" s="74"/>
      <c r="AA487" s="53">
        <f>P_2_minQ+(AA484^2*R_dn)-dpdn_minQ</f>
        <v>24.912940273303064</v>
      </c>
      <c r="AB487" s="45"/>
      <c r="AC487" s="74"/>
      <c r="AD487" s="53">
        <f>P_2_minQ+(AD484^2*R_dn)-dpdn_minQ</f>
        <v>25.349660577619712</v>
      </c>
      <c r="AE487" s="45"/>
      <c r="AF487" s="74"/>
      <c r="AG487" s="53">
        <f>P_2_minQ+(AG484^2*R_dn)-dpdn_minQ</f>
        <v>26.19270943127826</v>
      </c>
      <c r="AH487" s="45"/>
      <c r="AI487" s="74"/>
      <c r="AJ487" s="53">
        <f>P_2_minQ+(AJ484^2*R_dn)-dpdn_minQ</f>
        <v>27.392124386636866</v>
      </c>
      <c r="AK487" s="45"/>
      <c r="AL487" s="74"/>
      <c r="AM487" s="53">
        <f>P_2_minQ+(AM484^2*R_dn)-dpdn_minQ</f>
        <v>28.729339279418493</v>
      </c>
      <c r="AN487" s="45"/>
      <c r="AO487" s="74"/>
      <c r="AP487" s="53">
        <f>P_2_minQ+(AP484^2*R_dn)-dpdn_minQ</f>
        <v>30.145977612450679</v>
      </c>
      <c r="AQ487" s="45"/>
      <c r="AR487" s="74"/>
      <c r="AS487" s="53">
        <f>P_2_minQ+(AS484^2*R_dn)-dpdn_minQ</f>
        <v>31.766700422342179</v>
      </c>
      <c r="AT487" s="45"/>
      <c r="AU487" s="74"/>
    </row>
    <row r="488" spans="15:47" x14ac:dyDescent="0.25">
      <c r="O488" s="6" t="s">
        <v>243</v>
      </c>
      <c r="Q488" s="60"/>
      <c r="R488" s="53">
        <f>R486-R487</f>
        <v>32.259240269892004</v>
      </c>
      <c r="S488" s="56"/>
      <c r="T488" s="72"/>
      <c r="U488" s="64">
        <f>U486-U487</f>
        <v>32.18620111913085</v>
      </c>
      <c r="V488" s="44"/>
      <c r="W488" s="72"/>
      <c r="X488" s="64">
        <f>X486-X487</f>
        <v>31.837773308776711</v>
      </c>
      <c r="Y488" s="44"/>
      <c r="Z488" s="72"/>
      <c r="AA488" s="64">
        <f>AA486-AA487</f>
        <v>30.722358360181623</v>
      </c>
      <c r="AB488" s="44"/>
      <c r="AC488" s="72"/>
      <c r="AD488" s="64">
        <f>AD486-AD487</f>
        <v>28.102036534281734</v>
      </c>
      <c r="AE488" s="44"/>
      <c r="AF488" s="72"/>
      <c r="AG488" s="64">
        <f>AG486-AG487</f>
        <v>23.043743412330436</v>
      </c>
      <c r="AH488" s="44"/>
      <c r="AI488" s="72"/>
      <c r="AJ488" s="64">
        <f>AJ486-AJ487</f>
        <v>15.847253680178817</v>
      </c>
      <c r="AK488" s="44"/>
      <c r="AL488" s="72"/>
      <c r="AM488" s="64">
        <f>AM486-AM487</f>
        <v>7.8239643234890472</v>
      </c>
      <c r="AN488" s="44"/>
      <c r="AO488" s="72"/>
      <c r="AP488" s="64">
        <f>AP486-AP487</f>
        <v>-0.67586567470406678</v>
      </c>
      <c r="AQ488" s="44"/>
      <c r="AR488" s="72"/>
      <c r="AS488" s="64">
        <f>AS486-AS487</f>
        <v>-10.400202534053065</v>
      </c>
      <c r="AT488" s="44"/>
      <c r="AU488" s="72"/>
    </row>
    <row r="489" spans="15:47" ht="13" x14ac:dyDescent="0.3">
      <c r="O489" s="6" t="s">
        <v>75</v>
      </c>
      <c r="P489" s="6">
        <v>3</v>
      </c>
      <c r="Q489" s="65"/>
      <c r="R489" s="85">
        <f>(F_LP_h/F_P_h)^2*(R486-('Valve Sizing'!$V$4*'Valve Sizing'!$G$7))</f>
        <v>46.765072456838375</v>
      </c>
      <c r="S489" s="58"/>
      <c r="T489" s="73"/>
      <c r="U489" s="53">
        <f>(U$29/U$27)^2*(U486-('Valve Sizing'!$V$4*'Valve Sizing'!$G$7))</f>
        <v>46.701939758148733</v>
      </c>
      <c r="V489" s="41"/>
      <c r="W489" s="73"/>
      <c r="X489" s="53">
        <f>(X$29/X$27)^2*(X486-('Valve Sizing'!$V$4*'Valve Sizing'!$G$7))</f>
        <v>45.413544309653012</v>
      </c>
      <c r="Y489" s="41"/>
      <c r="Z489" s="73"/>
      <c r="AA489" s="53">
        <f>(AA$29/AA$27)^2*(AA486-('Valve Sizing'!$V$4*'Valve Sizing'!$G$7))</f>
        <v>42.654728849312853</v>
      </c>
      <c r="AB489" s="41"/>
      <c r="AC489" s="73"/>
      <c r="AD489" s="53">
        <f>(AD$29/AD$27)^2*(AD486-('Valve Sizing'!$V$4*'Valve Sizing'!$G$7))</f>
        <v>38.231326799987606</v>
      </c>
      <c r="AE489" s="41"/>
      <c r="AF489" s="73"/>
      <c r="AG489" s="53">
        <f>(AG$29/AG$27)^2*(AG486-('Valve Sizing'!$V$4*'Valve Sizing'!$G$7))</f>
        <v>31.427023151772818</v>
      </c>
      <c r="AH489" s="41"/>
      <c r="AI489" s="73"/>
      <c r="AJ489" s="53">
        <f>(AJ$29/AJ$27)^2*(AJ486-('Valve Sizing'!$V$4*'Valve Sizing'!$G$7))</f>
        <v>24.753600494319784</v>
      </c>
      <c r="AK489" s="41"/>
      <c r="AL489" s="73"/>
      <c r="AM489" s="53">
        <f>(AM$29/AM$27)^2*(AM486-('Valve Sizing'!$V$4*'Valve Sizing'!$G$7))</f>
        <v>17.27918240037863</v>
      </c>
      <c r="AN489" s="41"/>
      <c r="AO489" s="73"/>
      <c r="AP489" s="53">
        <f>(AP$29/AP$27)^2*(AP486-('Valve Sizing'!$V$4*'Valve Sizing'!$G$7))</f>
        <v>11.456038214133482</v>
      </c>
      <c r="AQ489" s="41"/>
      <c r="AR489" s="73"/>
      <c r="AS489" s="53">
        <f>(AS$29/AS$27)^2*(AS486-('Valve Sizing'!$V$4*'Valve Sizing'!$G$7))</f>
        <v>7.8712878418646142</v>
      </c>
      <c r="AT489" s="41"/>
      <c r="AU489" s="73"/>
    </row>
    <row r="490" spans="15:47" ht="13" x14ac:dyDescent="0.25">
      <c r="O490" s="1" t="s">
        <v>69</v>
      </c>
      <c r="P490" s="17">
        <v>7</v>
      </c>
      <c r="Q490" s="65"/>
      <c r="R490" s="53">
        <f>(R484/(N_1*F_P_h))*SQRT('Valve Sizing'!$G$6/R488)</f>
        <v>0.31727327406471556</v>
      </c>
      <c r="S490" s="58"/>
      <c r="T490" s="73"/>
      <c r="U490" s="64">
        <f>(U484/(N_1*U$27))*SQRT('Valve Sizing'!$G$6/U488)</f>
        <v>7.4959734440859425</v>
      </c>
      <c r="V490" s="41"/>
      <c r="W490" s="73"/>
      <c r="X490" s="64">
        <f>(X484/(N_1*X$27))*SQRT('Valve Sizing'!$G$6/X488)</f>
        <v>18.132057878682943</v>
      </c>
      <c r="Y490" s="41"/>
      <c r="Z490" s="73"/>
      <c r="AA490" s="64">
        <f>(AA484/(N_1*AA$27))*SQRT('Valve Sizing'!$G$6/AA488)</f>
        <v>35.446371546291424</v>
      </c>
      <c r="AB490" s="41"/>
      <c r="AC490" s="73"/>
      <c r="AD490" s="64">
        <f>(AD484/(N_1*AD$27))*SQRT('Valve Sizing'!$G$6/AD488)</f>
        <v>61.71973541137006</v>
      </c>
      <c r="AE490" s="41"/>
      <c r="AF490" s="73"/>
      <c r="AG490" s="64">
        <f>(AG484/(N_1*AG$27))*SQRT('Valve Sizing'!$G$6/AG488)</f>
        <v>103.74199553838177</v>
      </c>
      <c r="AH490" s="41"/>
      <c r="AI490" s="73"/>
      <c r="AJ490" s="64">
        <f>(AJ484/(N_1*AJ$27))*SQRT('Valve Sizing'!$G$6/AJ488)</f>
        <v>173.01314123880576</v>
      </c>
      <c r="AK490" s="41"/>
      <c r="AL490" s="73"/>
      <c r="AM490" s="64">
        <f>(AM484/(N_1*AM$27))*SQRT('Valve Sizing'!$G$6/AM488)</f>
        <v>318.77836124832129</v>
      </c>
      <c r="AN490" s="41"/>
      <c r="AO490" s="73"/>
      <c r="AP490" s="64" t="e">
        <f>(AP484/(N_1*AP$27))*SQRT('Valve Sizing'!$G$6/AP488)</f>
        <v>#NUM!</v>
      </c>
      <c r="AQ490" s="41"/>
      <c r="AR490" s="73"/>
      <c r="AS490" s="64" t="e">
        <f>(AS484/(N_1*AS$27))*SQRT('Valve Sizing'!$G$6/AS488)</f>
        <v>#NUM!</v>
      </c>
      <c r="AT490" s="41"/>
      <c r="AU490" s="73"/>
    </row>
    <row r="491" spans="15:47" ht="13" x14ac:dyDescent="0.3">
      <c r="O491" s="1" t="s">
        <v>72</v>
      </c>
      <c r="P491" s="17">
        <v>7</v>
      </c>
      <c r="Q491" s="65"/>
      <c r="R491" s="53">
        <f>(R484/(N_1*F_P_h))*SQRT('Valve Sizing'!$G$6/R489)</f>
        <v>0.26351160856230543</v>
      </c>
      <c r="S491" s="56"/>
      <c r="T491" s="72"/>
      <c r="U491" s="85">
        <f>(U484/(N_1*U$27))*SQRT('Valve Sizing'!$G$6/U489)</f>
        <v>6.2229375119647274</v>
      </c>
      <c r="V491" s="44"/>
      <c r="W491" s="72"/>
      <c r="X491" s="85">
        <f>(X484/(N_1*X$27))*SQRT('Valve Sizing'!$G$6/X489)</f>
        <v>15.181886518769774</v>
      </c>
      <c r="Y491" s="44"/>
      <c r="Z491" s="72"/>
      <c r="AA491" s="85">
        <f>(AA484/(N_1*AA$27))*SQRT('Valve Sizing'!$G$6/AA489)</f>
        <v>30.082606852208258</v>
      </c>
      <c r="AB491" s="44"/>
      <c r="AC491" s="72"/>
      <c r="AD491" s="85">
        <f>(AD484/(N_1*AD$27))*SQRT('Valve Sizing'!$G$6/AD489)</f>
        <v>52.915544271974774</v>
      </c>
      <c r="AE491" s="44"/>
      <c r="AF491" s="72"/>
      <c r="AG491" s="85">
        <f>(AG484/(N_1*AG$27))*SQRT('Valve Sizing'!$G$6/AG489)</f>
        <v>88.834055725009875</v>
      </c>
      <c r="AH491" s="44"/>
      <c r="AI491" s="72"/>
      <c r="AJ491" s="85">
        <f>(AJ484/(N_1*AJ$27))*SQRT('Valve Sizing'!$G$6/AJ489)</f>
        <v>138.43213202053599</v>
      </c>
      <c r="AK491" s="44"/>
      <c r="AL491" s="72"/>
      <c r="AM491" s="85">
        <f>(AM484/(N_1*AM$27))*SQRT('Valve Sizing'!$G$6/AM489)</f>
        <v>214.50660526461999</v>
      </c>
      <c r="AN491" s="44"/>
      <c r="AO491" s="72"/>
      <c r="AP491" s="85">
        <f>(AP484/(N_1*AP$27))*SQRT('Valve Sizing'!$G$6/AP489)</f>
        <v>348.11449752429144</v>
      </c>
      <c r="AQ491" s="44"/>
      <c r="AR491" s="72"/>
      <c r="AS491" s="85">
        <f>(AS484/(N_1*AS$27))*SQRT('Valve Sizing'!$G$6/AS489)</f>
        <v>640.17884541376566</v>
      </c>
      <c r="AT491" s="44"/>
      <c r="AU491" s="72"/>
    </row>
    <row r="492" spans="15:47" x14ac:dyDescent="0.25">
      <c r="O492" s="1" t="s">
        <v>246</v>
      </c>
      <c r="P492" s="18"/>
      <c r="Q492" s="65"/>
      <c r="R492" s="53">
        <f>IF(R488&lt;R489,R490,R491)</f>
        <v>0.31727327406471556</v>
      </c>
      <c r="S492" s="49"/>
      <c r="T492" s="72"/>
      <c r="U492" s="64">
        <f>IF(U488&lt;U489,U490,U491)</f>
        <v>7.4959734440859425</v>
      </c>
      <c r="V492" s="44"/>
      <c r="W492" s="72"/>
      <c r="X492" s="64">
        <f>IF(X488&lt;X489,X490,X491)</f>
        <v>18.132057878682943</v>
      </c>
      <c r="Y492" s="44"/>
      <c r="Z492" s="72"/>
      <c r="AA492" s="64">
        <f>IF(AA488&lt;AA489,AA490,AA491)</f>
        <v>35.446371546291424</v>
      </c>
      <c r="AB492" s="44"/>
      <c r="AC492" s="72"/>
      <c r="AD492" s="64">
        <f>IF(AD488&lt;AD489,AD490,AD491)</f>
        <v>61.71973541137006</v>
      </c>
      <c r="AE492" s="44"/>
      <c r="AF492" s="72"/>
      <c r="AG492" s="64">
        <f>IF(AG488&lt;AG489,AG490,AG491)</f>
        <v>103.74199553838177</v>
      </c>
      <c r="AH492" s="44"/>
      <c r="AI492" s="72"/>
      <c r="AJ492" s="64">
        <f>IF(AJ488&lt;AJ489,AJ490,AJ491)</f>
        <v>173.01314123880576</v>
      </c>
      <c r="AK492" s="44"/>
      <c r="AL492" s="72"/>
      <c r="AM492" s="64">
        <f>IF(AM488&lt;AM489,AM490,AM491)</f>
        <v>318.77836124832129</v>
      </c>
      <c r="AN492" s="44"/>
      <c r="AO492" s="72"/>
      <c r="AP492" s="64" t="e">
        <f>IF(AP488&lt;AP489,AP490,AP491)</f>
        <v>#NUM!</v>
      </c>
      <c r="AQ492" s="44"/>
      <c r="AR492" s="72"/>
      <c r="AS492" s="64" t="e">
        <f>IF(AS488&lt;AS489,AS490,AS491)</f>
        <v>#NUM!</v>
      </c>
      <c r="AT492" s="44"/>
      <c r="AU492" s="72"/>
    </row>
    <row r="493" spans="15:47" ht="13" x14ac:dyDescent="0.3">
      <c r="O493" s="7" t="s">
        <v>264</v>
      </c>
      <c r="Q493" s="61"/>
      <c r="R493" s="53"/>
      <c r="S493" s="69">
        <f>IFERROR(ABS(C_h-R492),Q_max*10)</f>
        <v>4.6827267259352841</v>
      </c>
      <c r="T493" s="76">
        <f>R484</f>
        <v>1.8017603655097207</v>
      </c>
      <c r="U493" s="61"/>
      <c r="V493" s="69">
        <f>IFERROR(ABS(U$23-U492),Q_max*10)</f>
        <v>4.5040265559140575</v>
      </c>
      <c r="W493" s="75">
        <f>U484</f>
        <v>42.491027116866491</v>
      </c>
      <c r="X493" s="61"/>
      <c r="Y493" s="69">
        <f>IFERROR(ABS(X$23-X492),Q_max*10)</f>
        <v>4.8679421213170571</v>
      </c>
      <c r="Z493" s="75">
        <f>X484</f>
        <v>101.99482146626207</v>
      </c>
      <c r="AA493" s="61"/>
      <c r="AB493" s="69">
        <f>IFERROR(ABS(AA$23-AA492),Q_max*10)</f>
        <v>3.5536284537085763</v>
      </c>
      <c r="AC493" s="75">
        <f>AA484</f>
        <v>194.7454940750066</v>
      </c>
      <c r="AD493" s="61"/>
      <c r="AE493" s="69">
        <f>IFERROR(ABS(AD$23-AD492),Q_max*10)</f>
        <v>0.71973541137005981</v>
      </c>
      <c r="AF493" s="75">
        <f>AD484</f>
        <v>320.28463671646534</v>
      </c>
      <c r="AG493" s="61"/>
      <c r="AH493" s="69">
        <f>IFERROR(ABS(AG$23-AG492),Q_max*10)</f>
        <v>15.741995538381772</v>
      </c>
      <c r="AI493" s="75">
        <f>AG484</f>
        <v>476.86018003262382</v>
      </c>
      <c r="AJ493" s="61"/>
      <c r="AK493" s="69">
        <f>IFERROR(ABS(AJ$23-AJ492),Q_max*10)</f>
        <v>52.013141238805758</v>
      </c>
      <c r="AL493" s="75">
        <f>AJ484</f>
        <v>636.37175883408554</v>
      </c>
      <c r="AM493" s="61"/>
      <c r="AN493" s="69">
        <f>IFERROR(ABS(AM$23-AM492),Q_max*10)</f>
        <v>153.77836124832129</v>
      </c>
      <c r="AO493" s="75">
        <f>AM484</f>
        <v>776.49448183352069</v>
      </c>
      <c r="AP493" s="61"/>
      <c r="AQ493" s="69">
        <f>IFERROR(ABS(AP$23-AP492),Q_max*10)</f>
        <v>5500</v>
      </c>
      <c r="AR493" s="75">
        <f>AP484</f>
        <v>901.48598742483114</v>
      </c>
      <c r="AS493" s="61"/>
      <c r="AT493" s="69">
        <f>IFERROR(ABS(AS$23-AS492),Q_max*10)</f>
        <v>5500</v>
      </c>
      <c r="AU493" s="75">
        <f>AS484</f>
        <v>1025.9751446929693</v>
      </c>
    </row>
    <row r="494" spans="15:47" ht="14.5" x14ac:dyDescent="0.35">
      <c r="O494" s="8"/>
      <c r="P494" s="6"/>
      <c r="Q494" s="60"/>
      <c r="R494" s="67"/>
      <c r="S494" s="58"/>
      <c r="T494" s="73"/>
      <c r="V494" s="11"/>
      <c r="W494" s="38"/>
      <c r="Y494" s="11"/>
      <c r="Z494" s="38"/>
      <c r="AB494" s="11"/>
      <c r="AC494" s="38"/>
      <c r="AE494" s="11"/>
      <c r="AF494" s="38"/>
      <c r="AH494" s="11"/>
      <c r="AI494" s="38"/>
      <c r="AK494" s="11"/>
      <c r="AL494" s="38"/>
      <c r="AN494" s="11"/>
      <c r="AO494" s="38"/>
      <c r="AQ494" s="11"/>
      <c r="AR494" s="38"/>
      <c r="AT494" s="11"/>
      <c r="AU494" s="38"/>
    </row>
    <row r="495" spans="15:47" ht="14" x14ac:dyDescent="0.3">
      <c r="O495" s="8" t="s">
        <v>235</v>
      </c>
      <c r="P495" s="6"/>
      <c r="Q495" s="60"/>
      <c r="R495" s="53">
        <f>R484*1.02</f>
        <v>1.8377955728199151</v>
      </c>
      <c r="S495" s="58" t="s">
        <v>238</v>
      </c>
      <c r="T495" s="73" t="s">
        <v>241</v>
      </c>
      <c r="U495" s="84">
        <f>U484*1.01</f>
        <v>42.915937388035154</v>
      </c>
      <c r="V495" s="58" t="s">
        <v>238</v>
      </c>
      <c r="W495" s="73" t="s">
        <v>241</v>
      </c>
      <c r="X495" s="84">
        <f>X484*1.01</f>
        <v>103.01476968092469</v>
      </c>
      <c r="Y495" s="58" t="s">
        <v>238</v>
      </c>
      <c r="Z495" s="73" t="s">
        <v>241</v>
      </c>
      <c r="AA495" s="84">
        <f>AA484*1.01</f>
        <v>196.69294901575668</v>
      </c>
      <c r="AB495" s="58" t="s">
        <v>238</v>
      </c>
      <c r="AC495" s="73" t="s">
        <v>241</v>
      </c>
      <c r="AD495" s="84">
        <f>AD484*1.01</f>
        <v>323.48748308363002</v>
      </c>
      <c r="AE495" s="58" t="s">
        <v>238</v>
      </c>
      <c r="AF495" s="73" t="s">
        <v>241</v>
      </c>
      <c r="AG495" s="84">
        <f>AG484*1.01</f>
        <v>481.62878183295004</v>
      </c>
      <c r="AH495" s="58" t="s">
        <v>238</v>
      </c>
      <c r="AI495" s="73" t="s">
        <v>241</v>
      </c>
      <c r="AJ495" s="84">
        <f>AJ484*1.01</f>
        <v>642.73547642242636</v>
      </c>
      <c r="AK495" s="58" t="s">
        <v>238</v>
      </c>
      <c r="AL495" s="73" t="s">
        <v>241</v>
      </c>
      <c r="AM495" s="84">
        <f>AM484*1.01</f>
        <v>784.25942665185596</v>
      </c>
      <c r="AN495" s="58" t="s">
        <v>238</v>
      </c>
      <c r="AO495" s="73" t="s">
        <v>241</v>
      </c>
      <c r="AP495" s="84">
        <f>AP484*1.01</f>
        <v>910.50084729907951</v>
      </c>
      <c r="AQ495" s="58" t="s">
        <v>238</v>
      </c>
      <c r="AR495" s="73" t="s">
        <v>241</v>
      </c>
      <c r="AS495" s="84">
        <f>AS484*1.01</f>
        <v>1036.2348961398989</v>
      </c>
      <c r="AT495" s="58" t="s">
        <v>238</v>
      </c>
      <c r="AU495" s="73" t="s">
        <v>241</v>
      </c>
    </row>
    <row r="496" spans="15:47" ht="13" x14ac:dyDescent="0.25">
      <c r="O496" s="6"/>
      <c r="P496" s="6"/>
      <c r="Q496" s="60"/>
      <c r="R496" s="70"/>
      <c r="S496" s="63" t="s">
        <v>250</v>
      </c>
      <c r="T496" s="71" t="s">
        <v>242</v>
      </c>
      <c r="U496" s="61"/>
      <c r="V496" s="63" t="s">
        <v>250</v>
      </c>
      <c r="W496" s="71" t="s">
        <v>242</v>
      </c>
      <c r="X496" s="61"/>
      <c r="Y496" s="63" t="s">
        <v>250</v>
      </c>
      <c r="Z496" s="71" t="s">
        <v>242</v>
      </c>
      <c r="AA496" s="61"/>
      <c r="AB496" s="63" t="s">
        <v>250</v>
      </c>
      <c r="AC496" s="71" t="s">
        <v>242</v>
      </c>
      <c r="AD496" s="61"/>
      <c r="AE496" s="63" t="s">
        <v>250</v>
      </c>
      <c r="AF496" s="71" t="s">
        <v>242</v>
      </c>
      <c r="AG496" s="61"/>
      <c r="AH496" s="63" t="s">
        <v>250</v>
      </c>
      <c r="AI496" s="71" t="s">
        <v>242</v>
      </c>
      <c r="AJ496" s="61"/>
      <c r="AK496" s="63" t="s">
        <v>250</v>
      </c>
      <c r="AL496" s="71" t="s">
        <v>242</v>
      </c>
      <c r="AM496" s="61"/>
      <c r="AN496" s="63" t="s">
        <v>250</v>
      </c>
      <c r="AO496" s="71" t="s">
        <v>242</v>
      </c>
      <c r="AP496" s="61"/>
      <c r="AQ496" s="63" t="s">
        <v>250</v>
      </c>
      <c r="AR496" s="71" t="s">
        <v>242</v>
      </c>
      <c r="AS496" s="61"/>
      <c r="AT496" s="63" t="s">
        <v>250</v>
      </c>
      <c r="AU496" s="71" t="s">
        <v>242</v>
      </c>
    </row>
    <row r="497" spans="15:47" ht="13" x14ac:dyDescent="0.3">
      <c r="O497" s="6" t="s">
        <v>231</v>
      </c>
      <c r="P497" s="6"/>
      <c r="Q497" s="60"/>
      <c r="R497" s="85">
        <f>P_1_minQ-(R495^2*R_up)+dpup_minQ</f>
        <v>56.916029128923761</v>
      </c>
      <c r="S497" s="56"/>
      <c r="T497" s="72"/>
      <c r="U497" s="53">
        <f>P_1_minQ-(U495^2*R_up)+dpup_minQ</f>
        <v>56.853941989804333</v>
      </c>
      <c r="V497" s="44"/>
      <c r="W497" s="72"/>
      <c r="X497" s="53">
        <f>P_1_minQ-(X495^2*R_up)+dpup_minQ</f>
        <v>56.557749315352453</v>
      </c>
      <c r="Y497" s="44"/>
      <c r="Z497" s="72"/>
      <c r="AA497" s="53">
        <f>P_1_minQ-(AA495^2*R_up)+dpup_minQ</f>
        <v>55.609553657800909</v>
      </c>
      <c r="AB497" s="44"/>
      <c r="AC497" s="72"/>
      <c r="AD497" s="53">
        <f>P_1_minQ-(AD495^2*R_up)+dpup_minQ</f>
        <v>53.382061745633848</v>
      </c>
      <c r="AE497" s="44"/>
      <c r="AF497" s="72"/>
      <c r="AG497" s="53">
        <f>P_1_minQ-(AG495^2*R_up)+dpup_minQ</f>
        <v>49.082091067548419</v>
      </c>
      <c r="AH497" s="44"/>
      <c r="AI497" s="72"/>
      <c r="AJ497" s="53">
        <f>P_1_minQ-(AJ495^2*R_up)+dpup_minQ</f>
        <v>42.964475087741867</v>
      </c>
      <c r="AK497" s="44"/>
      <c r="AL497" s="72"/>
      <c r="AM497" s="53">
        <f>P_1_minQ-(AM495^2*R_up)+dpup_minQ</f>
        <v>36.144010527109153</v>
      </c>
      <c r="AN497" s="44"/>
      <c r="AO497" s="72"/>
      <c r="AP497" s="53">
        <f>P_1_minQ-(AP495^2*R_up)+dpup_minQ</f>
        <v>28.918446709478498</v>
      </c>
      <c r="AQ497" s="44"/>
      <c r="AR497" s="72"/>
      <c r="AS497" s="53">
        <f>P_1_minQ-(AS495^2*R_up)+dpup_minQ</f>
        <v>20.65195001762692</v>
      </c>
      <c r="AT497" s="44"/>
      <c r="AU497" s="72"/>
    </row>
    <row r="498" spans="15:47" ht="13" x14ac:dyDescent="0.3">
      <c r="O498" s="6" t="s">
        <v>233</v>
      </c>
      <c r="P498" s="6"/>
      <c r="Q498" s="60"/>
      <c r="R498" s="85">
        <f>P_2_minQ+(R495^2*R_dn)-dpdn_minQ</f>
        <v>24.65679417421525</v>
      </c>
      <c r="S498" s="66"/>
      <c r="T498" s="74"/>
      <c r="U498" s="53">
        <f>P_2_minQ+(U495^2*R_dn)-dpdn_minQ</f>
        <v>24.669211602039134</v>
      </c>
      <c r="V498" s="45"/>
      <c r="W498" s="74"/>
      <c r="X498" s="53">
        <f>P_2_minQ+(X495^2*R_dn)-dpdn_minQ</f>
        <v>24.72845013692951</v>
      </c>
      <c r="Y498" s="45"/>
      <c r="Z498" s="74"/>
      <c r="AA498" s="53">
        <f>P_2_minQ+(AA495^2*R_dn)-dpdn_minQ</f>
        <v>24.918089268439818</v>
      </c>
      <c r="AB498" s="45"/>
      <c r="AC498" s="74"/>
      <c r="AD498" s="53">
        <f>P_2_minQ+(AD495^2*R_dn)-dpdn_minQ</f>
        <v>25.363587650873232</v>
      </c>
      <c r="AE498" s="45"/>
      <c r="AF498" s="74"/>
      <c r="AG498" s="53">
        <f>P_2_minQ+(AG495^2*R_dn)-dpdn_minQ</f>
        <v>26.223581786490318</v>
      </c>
      <c r="AH498" s="45"/>
      <c r="AI498" s="74"/>
      <c r="AJ498" s="53">
        <f>P_2_minQ+(AJ495^2*R_dn)-dpdn_minQ</f>
        <v>27.447104982451627</v>
      </c>
      <c r="AK498" s="45"/>
      <c r="AL498" s="74"/>
      <c r="AM498" s="53">
        <f>P_2_minQ+(AM495^2*R_dn)-dpdn_minQ</f>
        <v>28.811197894578168</v>
      </c>
      <c r="AN498" s="45"/>
      <c r="AO498" s="74"/>
      <c r="AP498" s="53">
        <f>P_2_minQ+(AP495^2*R_dn)-dpdn_minQ</f>
        <v>30.256310658104301</v>
      </c>
      <c r="AQ498" s="45"/>
      <c r="AR498" s="74"/>
      <c r="AS498" s="53">
        <f>P_2_minQ+(AS495^2*R_dn)-dpdn_minQ</f>
        <v>31.909609996474618</v>
      </c>
      <c r="AT498" s="45"/>
      <c r="AU498" s="74"/>
    </row>
    <row r="499" spans="15:47" x14ac:dyDescent="0.25">
      <c r="O499" s="6" t="s">
        <v>243</v>
      </c>
      <c r="Q499" s="60"/>
      <c r="R499" s="53">
        <f>R497-R498</f>
        <v>32.259234954708511</v>
      </c>
      <c r="S499" s="56"/>
      <c r="T499" s="72"/>
      <c r="U499" s="64">
        <f>U497-U498</f>
        <v>32.1847303877652</v>
      </c>
      <c r="V499" s="44"/>
      <c r="W499" s="72"/>
      <c r="X499" s="64">
        <f>X497-X498</f>
        <v>31.829299178422943</v>
      </c>
      <c r="Y499" s="44"/>
      <c r="Z499" s="72"/>
      <c r="AA499" s="64">
        <f>AA497-AA498</f>
        <v>30.691464389361091</v>
      </c>
      <c r="AB499" s="44"/>
      <c r="AC499" s="72"/>
      <c r="AD499" s="64">
        <f>AD497-AD498</f>
        <v>28.018474094760617</v>
      </c>
      <c r="AE499" s="44"/>
      <c r="AF499" s="72"/>
      <c r="AG499" s="64">
        <f>AG497-AG498</f>
        <v>22.858509281058101</v>
      </c>
      <c r="AH499" s="44"/>
      <c r="AI499" s="72"/>
      <c r="AJ499" s="64">
        <f>AJ497-AJ498</f>
        <v>15.51737010529024</v>
      </c>
      <c r="AK499" s="44"/>
      <c r="AL499" s="72"/>
      <c r="AM499" s="64">
        <f>AM497-AM498</f>
        <v>7.3328126325309846</v>
      </c>
      <c r="AN499" s="44"/>
      <c r="AO499" s="72"/>
      <c r="AP499" s="64">
        <f>AP497-AP498</f>
        <v>-1.3378639486258024</v>
      </c>
      <c r="AQ499" s="44"/>
      <c r="AR499" s="72"/>
      <c r="AS499" s="64">
        <f>AS497-AS498</f>
        <v>-11.257659978847698</v>
      </c>
      <c r="AT499" s="44"/>
      <c r="AU499" s="72"/>
    </row>
    <row r="500" spans="15:47" ht="13" x14ac:dyDescent="0.3">
      <c r="O500" s="6" t="s">
        <v>75</v>
      </c>
      <c r="P500" s="6">
        <v>3</v>
      </c>
      <c r="Q500" s="65"/>
      <c r="R500" s="85">
        <f>(F_LP_h/F_P_h)^2*(R497-('Valve Sizing'!$V$4*'Valve Sizing'!$G$7))</f>
        <v>46.765068789129266</v>
      </c>
      <c r="S500" s="58"/>
      <c r="T500" s="73"/>
      <c r="U500" s="53">
        <f>(U$29/U$27)^2*(U497-('Valve Sizing'!$V$4*'Valve Sizing'!$G$7))</f>
        <v>46.70092516578562</v>
      </c>
      <c r="V500" s="41"/>
      <c r="W500" s="73"/>
      <c r="X500" s="53">
        <f>(X$29/X$27)^2*(X497-('Valve Sizing'!$V$4*'Valve Sizing'!$G$7))</f>
        <v>45.407830248998771</v>
      </c>
      <c r="Y500" s="41"/>
      <c r="Z500" s="73"/>
      <c r="AA500" s="53">
        <f>(AA$29/AA$27)^2*(AA497-('Valve Sizing'!$V$4*'Valve Sizing'!$G$7))</f>
        <v>42.634833203640618</v>
      </c>
      <c r="AB500" s="41"/>
      <c r="AC500" s="73"/>
      <c r="AD500" s="53">
        <f>(AD$29/AD$27)^2*(AD497-('Valve Sizing'!$V$4*'Valve Sizing'!$G$7))</f>
        <v>38.181106650741341</v>
      </c>
      <c r="AE500" s="41"/>
      <c r="AF500" s="73"/>
      <c r="AG500" s="53">
        <f>(AG$29/AG$27)^2*(AG497-('Valve Sizing'!$V$4*'Valve Sizing'!$G$7))</f>
        <v>31.327607383607315</v>
      </c>
      <c r="AH500" s="41"/>
      <c r="AI500" s="73"/>
      <c r="AJ500" s="53">
        <f>(AJ$29/AJ$27)^2*(AJ497-('Valve Sizing'!$V$4*'Valve Sizing'!$G$7))</f>
        <v>24.594606415548558</v>
      </c>
      <c r="AK500" s="41"/>
      <c r="AL500" s="73"/>
      <c r="AM500" s="53">
        <f>(AM$29/AM$27)^2*(AM497-('Valve Sizing'!$V$4*'Valve Sizing'!$G$7))</f>
        <v>17.083347062705919</v>
      </c>
      <c r="AN500" s="41"/>
      <c r="AO500" s="73"/>
      <c r="AP500" s="53">
        <f>(AP$29/AP$27)^2*(AP497-('Valve Sizing'!$V$4*'Valve Sizing'!$G$7))</f>
        <v>11.23833631533809</v>
      </c>
      <c r="AQ500" s="41"/>
      <c r="AR500" s="73"/>
      <c r="AS500" s="53">
        <f>(AS$29/AS$27)^2*(AS497-('Valve Sizing'!$V$4*'Valve Sizing'!$G$7))</f>
        <v>7.6025172383685433</v>
      </c>
      <c r="AT500" s="41"/>
      <c r="AU500" s="73"/>
    </row>
    <row r="501" spans="15:47" ht="13" x14ac:dyDescent="0.25">
      <c r="O501" s="1" t="s">
        <v>69</v>
      </c>
      <c r="P501" s="17">
        <v>7</v>
      </c>
      <c r="Q501" s="65"/>
      <c r="R501" s="53">
        <f>(R495/(N_1*F_P_h))*SQRT('Valve Sizing'!$G$6/R499)</f>
        <v>0.32361876620648272</v>
      </c>
      <c r="S501" s="58"/>
      <c r="T501" s="73"/>
      <c r="U501" s="64">
        <f>(U495/(N_1*U$27))*SQRT('Valve Sizing'!$G$6/U499)</f>
        <v>7.5711061593403128</v>
      </c>
      <c r="V501" s="41"/>
      <c r="W501" s="73"/>
      <c r="X501" s="64">
        <f>(X495/(N_1*X$27))*SQRT('Valve Sizing'!$G$6/X499)</f>
        <v>18.315816142752325</v>
      </c>
      <c r="Y501" s="41"/>
      <c r="Z501" s="73"/>
      <c r="AA501" s="64">
        <f>(AA495/(N_1*AA$27))*SQRT('Valve Sizing'!$G$6/AA499)</f>
        <v>35.818849256687457</v>
      </c>
      <c r="AB501" s="41"/>
      <c r="AC501" s="73"/>
      <c r="AD501" s="64">
        <f>(AD495/(N_1*AD$27))*SQRT('Valve Sizing'!$G$6/AD499)</f>
        <v>62.429820552321367</v>
      </c>
      <c r="AE501" s="41"/>
      <c r="AF501" s="73"/>
      <c r="AG501" s="64">
        <f>(AG495/(N_1*AG$27))*SQRT('Valve Sizing'!$G$6/AG499)</f>
        <v>105.20309935227937</v>
      </c>
      <c r="AH501" s="41"/>
      <c r="AI501" s="73"/>
      <c r="AJ501" s="64">
        <f>(AJ495/(N_1*AJ$27))*SQRT('Valve Sizing'!$G$6/AJ499)</f>
        <v>176.59093693792809</v>
      </c>
      <c r="AK501" s="41"/>
      <c r="AL501" s="73"/>
      <c r="AM501" s="64">
        <f>(AM495/(N_1*AM$27))*SQRT('Valve Sizing'!$G$6/AM499)</f>
        <v>332.57403850252814</v>
      </c>
      <c r="AN501" s="41"/>
      <c r="AO501" s="73"/>
      <c r="AP501" s="64" t="e">
        <f>(AP495/(N_1*AP$27))*SQRT('Valve Sizing'!$G$6/AP499)</f>
        <v>#NUM!</v>
      </c>
      <c r="AQ501" s="41"/>
      <c r="AR501" s="73"/>
      <c r="AS501" s="64" t="e">
        <f>(AS495/(N_1*AS$27))*SQRT('Valve Sizing'!$G$6/AS499)</f>
        <v>#NUM!</v>
      </c>
      <c r="AT501" s="41"/>
      <c r="AU501" s="73"/>
    </row>
    <row r="502" spans="15:47" ht="13" x14ac:dyDescent="0.3">
      <c r="O502" s="1" t="s">
        <v>72</v>
      </c>
      <c r="P502" s="17">
        <v>7</v>
      </c>
      <c r="Q502" s="65"/>
      <c r="R502" s="53">
        <f>(R495/(N_1*F_P_h))*SQRT('Valve Sizing'!$G$6/R500)</f>
        <v>0.26878185127361504</v>
      </c>
      <c r="S502" s="56"/>
      <c r="T502" s="72"/>
      <c r="U502" s="85">
        <f>(U495/(N_1*U$27))*SQRT('Valve Sizing'!$G$6/U500)</f>
        <v>6.28523516033236</v>
      </c>
      <c r="V502" s="44"/>
      <c r="W502" s="72"/>
      <c r="X502" s="85">
        <f>(X495/(N_1*X$27))*SQRT('Valve Sizing'!$G$6/X500)</f>
        <v>15.334670140100707</v>
      </c>
      <c r="Y502" s="44"/>
      <c r="Z502" s="72"/>
      <c r="AA502" s="85">
        <f>(AA495/(N_1*AA$27))*SQRT('Valve Sizing'!$G$6/AA500)</f>
        <v>30.390521344257799</v>
      </c>
      <c r="AB502" s="44"/>
      <c r="AC502" s="72"/>
      <c r="AD502" s="85">
        <f>(AD495/(N_1*AD$27))*SQRT('Valve Sizing'!$G$6/AD500)</f>
        <v>53.479836449003287</v>
      </c>
      <c r="AE502" s="44"/>
      <c r="AF502" s="72"/>
      <c r="AG502" s="85">
        <f>(AG495/(N_1*AG$27))*SQRT('Valve Sizing'!$G$6/AG500)</f>
        <v>89.864647100406728</v>
      </c>
      <c r="AH502" s="44"/>
      <c r="AI502" s="72"/>
      <c r="AJ502" s="85">
        <f>(AJ495/(N_1*AJ$27))*SQRT('Valve Sizing'!$G$6/AJ500)</f>
        <v>140.26765342366431</v>
      </c>
      <c r="AK502" s="44"/>
      <c r="AL502" s="72"/>
      <c r="AM502" s="85">
        <f>(AM495/(N_1*AM$27))*SQRT('Valve Sizing'!$G$6/AM500)</f>
        <v>217.8899284137475</v>
      </c>
      <c r="AN502" s="44"/>
      <c r="AO502" s="72"/>
      <c r="AP502" s="85">
        <f>(AP495/(N_1*AP$27))*SQRT('Valve Sizing'!$G$6/AP500)</f>
        <v>354.98475181874983</v>
      </c>
      <c r="AQ502" s="44"/>
      <c r="AR502" s="72"/>
      <c r="AS502" s="85">
        <f>(AS495/(N_1*AS$27))*SQRT('Valve Sizing'!$G$6/AS500)</f>
        <v>657.91059900562641</v>
      </c>
      <c r="AT502" s="44"/>
      <c r="AU502" s="72"/>
    </row>
    <row r="503" spans="15:47" x14ac:dyDescent="0.25">
      <c r="O503" s="1" t="s">
        <v>246</v>
      </c>
      <c r="P503" s="18"/>
      <c r="Q503" s="65"/>
      <c r="R503" s="53">
        <f>IF(R499&lt;R500,R501,R502)</f>
        <v>0.32361876620648272</v>
      </c>
      <c r="S503" s="49"/>
      <c r="T503" s="72"/>
      <c r="U503" s="64">
        <f>IF(U499&lt;U500,U501,U502)</f>
        <v>7.5711061593403128</v>
      </c>
      <c r="V503" s="44"/>
      <c r="W503" s="72"/>
      <c r="X503" s="64">
        <f>IF(X499&lt;X500,X501,X502)</f>
        <v>18.315816142752325</v>
      </c>
      <c r="Y503" s="44"/>
      <c r="Z503" s="72"/>
      <c r="AA503" s="64">
        <f>IF(AA499&lt;AA500,AA501,AA502)</f>
        <v>35.818849256687457</v>
      </c>
      <c r="AB503" s="44"/>
      <c r="AC503" s="72"/>
      <c r="AD503" s="64">
        <f>IF(AD499&lt;AD500,AD501,AD502)</f>
        <v>62.429820552321367</v>
      </c>
      <c r="AE503" s="44"/>
      <c r="AF503" s="72"/>
      <c r="AG503" s="64">
        <f>IF(AG499&lt;AG500,AG501,AG502)</f>
        <v>105.20309935227937</v>
      </c>
      <c r="AH503" s="44"/>
      <c r="AI503" s="72"/>
      <c r="AJ503" s="64">
        <f>IF(AJ499&lt;AJ500,AJ501,AJ502)</f>
        <v>176.59093693792809</v>
      </c>
      <c r="AK503" s="44"/>
      <c r="AL503" s="72"/>
      <c r="AM503" s="64">
        <f>IF(AM499&lt;AM500,AM501,AM502)</f>
        <v>332.57403850252814</v>
      </c>
      <c r="AN503" s="44"/>
      <c r="AO503" s="72"/>
      <c r="AP503" s="64" t="e">
        <f>IF(AP499&lt;AP500,AP501,AP502)</f>
        <v>#NUM!</v>
      </c>
      <c r="AQ503" s="44"/>
      <c r="AR503" s="72"/>
      <c r="AS503" s="64" t="e">
        <f>IF(AS499&lt;AS500,AS501,AS502)</f>
        <v>#NUM!</v>
      </c>
      <c r="AT503" s="44"/>
      <c r="AU503" s="72"/>
    </row>
    <row r="504" spans="15:47" ht="13" x14ac:dyDescent="0.3">
      <c r="O504" s="7" t="s">
        <v>264</v>
      </c>
      <c r="Q504" s="61"/>
      <c r="R504" s="53"/>
      <c r="S504" s="69">
        <f>IFERROR(ABS(C_h-R503),Q_max*10)</f>
        <v>4.6763812337935171</v>
      </c>
      <c r="T504" s="76">
        <f>R495</f>
        <v>1.8377955728199151</v>
      </c>
      <c r="U504" s="61"/>
      <c r="V504" s="69">
        <f>IFERROR(ABS(U$23-U503),Q_max*10)</f>
        <v>4.4288938406596872</v>
      </c>
      <c r="W504" s="75">
        <f>U495</f>
        <v>42.915937388035154</v>
      </c>
      <c r="X504" s="61"/>
      <c r="Y504" s="69">
        <f>IFERROR(ABS(X$23-X503),Q_max*10)</f>
        <v>4.6841838572476746</v>
      </c>
      <c r="Z504" s="75">
        <f>X495</f>
        <v>103.01476968092469</v>
      </c>
      <c r="AA504" s="61"/>
      <c r="AB504" s="69">
        <f>IFERROR(ABS(AA$23-AA503),Q_max*10)</f>
        <v>3.1811507433125428</v>
      </c>
      <c r="AC504" s="75">
        <f>AA495</f>
        <v>196.69294901575668</v>
      </c>
      <c r="AD504" s="61"/>
      <c r="AE504" s="69">
        <f>IFERROR(ABS(AD$23-AD503),Q_max*10)</f>
        <v>1.4298205523213667</v>
      </c>
      <c r="AF504" s="75">
        <f>AD495</f>
        <v>323.48748308363002</v>
      </c>
      <c r="AG504" s="61"/>
      <c r="AH504" s="69">
        <f>IFERROR(ABS(AG$23-AG503),Q_max*10)</f>
        <v>17.203099352279366</v>
      </c>
      <c r="AI504" s="75">
        <f>AG495</f>
        <v>481.62878183295004</v>
      </c>
      <c r="AJ504" s="61"/>
      <c r="AK504" s="69">
        <f>IFERROR(ABS(AJ$23-AJ503),Q_max*10)</f>
        <v>55.590936937928092</v>
      </c>
      <c r="AL504" s="75">
        <f>AJ495</f>
        <v>642.73547642242636</v>
      </c>
      <c r="AM504" s="61"/>
      <c r="AN504" s="69">
        <f>IFERROR(ABS(AM$23-AM503),Q_max*10)</f>
        <v>167.57403850252814</v>
      </c>
      <c r="AO504" s="75">
        <f>AM495</f>
        <v>784.25942665185596</v>
      </c>
      <c r="AP504" s="61"/>
      <c r="AQ504" s="69">
        <f>IFERROR(ABS(AP$23-AP503),Q_max*10)</f>
        <v>5500</v>
      </c>
      <c r="AR504" s="75">
        <f>AP495</f>
        <v>910.50084729907951</v>
      </c>
      <c r="AS504" s="61"/>
      <c r="AT504" s="69">
        <f>IFERROR(ABS(AS$23-AS503),Q_max*10)</f>
        <v>5500</v>
      </c>
      <c r="AU504" s="75">
        <f>AS495</f>
        <v>1036.2348961398989</v>
      </c>
    </row>
    <row r="505" spans="15:47" ht="14.5" x14ac:dyDescent="0.35">
      <c r="O505" s="6"/>
      <c r="P505" s="6"/>
      <c r="Q505" s="60"/>
      <c r="R505" s="67"/>
      <c r="S505" s="56"/>
      <c r="T505" s="72"/>
      <c r="V505" s="11"/>
      <c r="W505" s="38"/>
      <c r="Y505" s="11"/>
      <c r="Z505" s="38"/>
      <c r="AB505" s="11"/>
      <c r="AC505" s="38"/>
      <c r="AE505" s="11"/>
      <c r="AF505" s="38"/>
      <c r="AH505" s="11"/>
      <c r="AI505" s="38"/>
      <c r="AK505" s="11"/>
      <c r="AL505" s="38"/>
      <c r="AN505" s="11"/>
      <c r="AO505" s="38"/>
      <c r="AQ505" s="11"/>
      <c r="AR505" s="38"/>
      <c r="AT505" s="11"/>
      <c r="AU505" s="38"/>
    </row>
    <row r="506" spans="15:47" ht="14" x14ac:dyDescent="0.3">
      <c r="O506" s="8" t="s">
        <v>235</v>
      </c>
      <c r="P506" s="6"/>
      <c r="Q506" s="60"/>
      <c r="R506" s="53">
        <f>R495*1.02</f>
        <v>1.8745514842763134</v>
      </c>
      <c r="S506" s="58" t="s">
        <v>238</v>
      </c>
      <c r="T506" s="73" t="s">
        <v>241</v>
      </c>
      <c r="U506" s="84">
        <f>U495*1.01</f>
        <v>43.345096761915507</v>
      </c>
      <c r="V506" s="58" t="s">
        <v>238</v>
      </c>
      <c r="W506" s="73" t="s">
        <v>241</v>
      </c>
      <c r="X506" s="84">
        <f>X495*1.01</f>
        <v>104.04491737773394</v>
      </c>
      <c r="Y506" s="58" t="s">
        <v>238</v>
      </c>
      <c r="Z506" s="73" t="s">
        <v>241</v>
      </c>
      <c r="AA506" s="84">
        <f>AA495*1.01</f>
        <v>198.65987850591426</v>
      </c>
      <c r="AB506" s="58" t="s">
        <v>238</v>
      </c>
      <c r="AC506" s="73" t="s">
        <v>241</v>
      </c>
      <c r="AD506" s="84">
        <f>AD495*1.01</f>
        <v>326.72235791446633</v>
      </c>
      <c r="AE506" s="58" t="s">
        <v>238</v>
      </c>
      <c r="AF506" s="73" t="s">
        <v>241</v>
      </c>
      <c r="AG506" s="84">
        <f>AG495*1.01</f>
        <v>486.44506965127954</v>
      </c>
      <c r="AH506" s="58" t="s">
        <v>238</v>
      </c>
      <c r="AI506" s="73" t="s">
        <v>241</v>
      </c>
      <c r="AJ506" s="84">
        <f>AJ495*1.01</f>
        <v>649.16283118665058</v>
      </c>
      <c r="AK506" s="58" t="s">
        <v>238</v>
      </c>
      <c r="AL506" s="73" t="s">
        <v>241</v>
      </c>
      <c r="AM506" s="84">
        <f>AM495*1.01</f>
        <v>792.10202091837448</v>
      </c>
      <c r="AN506" s="58" t="s">
        <v>238</v>
      </c>
      <c r="AO506" s="73" t="s">
        <v>241</v>
      </c>
      <c r="AP506" s="84">
        <f>AP495*1.01</f>
        <v>919.6058557720703</v>
      </c>
      <c r="AQ506" s="58" t="s">
        <v>238</v>
      </c>
      <c r="AR506" s="73" t="s">
        <v>241</v>
      </c>
      <c r="AS506" s="84">
        <f>AS495*1.01</f>
        <v>1046.5972451012979</v>
      </c>
      <c r="AT506" s="58" t="s">
        <v>238</v>
      </c>
      <c r="AU506" s="73" t="s">
        <v>241</v>
      </c>
    </row>
    <row r="507" spans="15:47" ht="13" x14ac:dyDescent="0.25">
      <c r="O507" s="6"/>
      <c r="P507" s="6"/>
      <c r="Q507" s="60"/>
      <c r="R507" s="70"/>
      <c r="S507" s="63" t="s">
        <v>250</v>
      </c>
      <c r="T507" s="71" t="s">
        <v>242</v>
      </c>
      <c r="U507" s="61"/>
      <c r="V507" s="63" t="s">
        <v>250</v>
      </c>
      <c r="W507" s="71" t="s">
        <v>242</v>
      </c>
      <c r="X507" s="61"/>
      <c r="Y507" s="63" t="s">
        <v>250</v>
      </c>
      <c r="Z507" s="71" t="s">
        <v>242</v>
      </c>
      <c r="AA507" s="61"/>
      <c r="AB507" s="63" t="s">
        <v>250</v>
      </c>
      <c r="AC507" s="71" t="s">
        <v>242</v>
      </c>
      <c r="AD507" s="61"/>
      <c r="AE507" s="63" t="s">
        <v>250</v>
      </c>
      <c r="AF507" s="71" t="s">
        <v>242</v>
      </c>
      <c r="AG507" s="61"/>
      <c r="AH507" s="63" t="s">
        <v>250</v>
      </c>
      <c r="AI507" s="71" t="s">
        <v>242</v>
      </c>
      <c r="AJ507" s="61"/>
      <c r="AK507" s="63" t="s">
        <v>250</v>
      </c>
      <c r="AL507" s="71" t="s">
        <v>242</v>
      </c>
      <c r="AM507" s="61"/>
      <c r="AN507" s="63" t="s">
        <v>250</v>
      </c>
      <c r="AO507" s="71" t="s">
        <v>242</v>
      </c>
      <c r="AP507" s="61"/>
      <c r="AQ507" s="63" t="s">
        <v>250</v>
      </c>
      <c r="AR507" s="71" t="s">
        <v>242</v>
      </c>
      <c r="AS507" s="61"/>
      <c r="AT507" s="63" t="s">
        <v>250</v>
      </c>
      <c r="AU507" s="71" t="s">
        <v>242</v>
      </c>
    </row>
    <row r="508" spans="15:47" ht="13" x14ac:dyDescent="0.3">
      <c r="O508" s="6" t="s">
        <v>231</v>
      </c>
      <c r="P508" s="6"/>
      <c r="Q508" s="60"/>
      <c r="R508" s="85">
        <f>P_1_minQ-(R506^2*R_up)+dpup_minQ</f>
        <v>56.916024520659668</v>
      </c>
      <c r="S508" s="56"/>
      <c r="T508" s="72"/>
      <c r="U508" s="53">
        <f>P_1_minQ-(U506^2*R_up)+dpup_minQ</f>
        <v>56.852691745582582</v>
      </c>
      <c r="V508" s="44"/>
      <c r="W508" s="72"/>
      <c r="X508" s="53">
        <f>P_1_minQ-(X506^2*R_up)+dpup_minQ</f>
        <v>56.550545598374214</v>
      </c>
      <c r="Y508" s="44"/>
      <c r="Z508" s="72"/>
      <c r="AA508" s="53">
        <f>P_1_minQ-(AA506^2*R_up)+dpup_minQ</f>
        <v>55.583291208105891</v>
      </c>
      <c r="AB508" s="44"/>
      <c r="AC508" s="72"/>
      <c r="AD508" s="53">
        <f>P_1_minQ-(AD506^2*R_up)+dpup_minQ</f>
        <v>53.311026708504265</v>
      </c>
      <c r="AE508" s="44"/>
      <c r="AF508" s="72"/>
      <c r="AG508" s="53">
        <f>P_1_minQ-(AG506^2*R_up)+dpup_minQ</f>
        <v>48.924626619789322</v>
      </c>
      <c r="AH508" s="44"/>
      <c r="AI508" s="72"/>
      <c r="AJ508" s="53">
        <f>P_1_minQ-(AJ506^2*R_up)+dpup_minQ</f>
        <v>42.684046558788658</v>
      </c>
      <c r="AK508" s="44"/>
      <c r="AL508" s="72"/>
      <c r="AM508" s="53">
        <f>P_1_minQ-(AM506^2*R_up)+dpup_minQ</f>
        <v>35.726490660487237</v>
      </c>
      <c r="AN508" s="44"/>
      <c r="AO508" s="72"/>
      <c r="AP508" s="53">
        <f>P_1_minQ-(AP506^2*R_up)+dpup_minQ</f>
        <v>28.355693010122199</v>
      </c>
      <c r="AQ508" s="44"/>
      <c r="AR508" s="72"/>
      <c r="AS508" s="53">
        <f>P_1_minQ-(AS506^2*R_up)+dpup_minQ</f>
        <v>19.923039734764405</v>
      </c>
      <c r="AT508" s="44"/>
      <c r="AU508" s="72"/>
    </row>
    <row r="509" spans="15:47" ht="13" x14ac:dyDescent="0.3">
      <c r="O509" s="6" t="s">
        <v>233</v>
      </c>
      <c r="P509" s="6"/>
      <c r="Q509" s="60"/>
      <c r="R509" s="85">
        <f>P_2_minQ+(R506^2*R_dn)-dpdn_minQ</f>
        <v>24.656795095868066</v>
      </c>
      <c r="S509" s="66"/>
      <c r="T509" s="74"/>
      <c r="U509" s="53">
        <f>P_2_minQ+(U506^2*R_dn)-dpdn_minQ</f>
        <v>24.669461650883484</v>
      </c>
      <c r="V509" s="45"/>
      <c r="W509" s="74"/>
      <c r="X509" s="53">
        <f>P_2_minQ+(X506^2*R_dn)-dpdn_minQ</f>
        <v>24.729890880325158</v>
      </c>
      <c r="Y509" s="45"/>
      <c r="Z509" s="74"/>
      <c r="AA509" s="53">
        <f>P_2_minQ+(AA506^2*R_dn)-dpdn_minQ</f>
        <v>24.923341758378822</v>
      </c>
      <c r="AB509" s="45"/>
      <c r="AC509" s="74"/>
      <c r="AD509" s="53">
        <f>P_2_minQ+(AD506^2*R_dn)-dpdn_minQ</f>
        <v>25.377794658299148</v>
      </c>
      <c r="AE509" s="45"/>
      <c r="AF509" s="74"/>
      <c r="AG509" s="53">
        <f>P_2_minQ+(AG506^2*R_dn)-dpdn_minQ</f>
        <v>26.255074676042138</v>
      </c>
      <c r="AH509" s="45"/>
      <c r="AI509" s="74"/>
      <c r="AJ509" s="53">
        <f>P_2_minQ+(AJ506^2*R_dn)-dpdn_minQ</f>
        <v>27.50319068824227</v>
      </c>
      <c r="AK509" s="45"/>
      <c r="AL509" s="74"/>
      <c r="AM509" s="53">
        <f>P_2_minQ+(AM506^2*R_dn)-dpdn_minQ</f>
        <v>28.894701867902555</v>
      </c>
      <c r="AN509" s="45"/>
      <c r="AO509" s="74"/>
      <c r="AP509" s="53">
        <f>P_2_minQ+(AP506^2*R_dn)-dpdn_minQ</f>
        <v>30.368861397975561</v>
      </c>
      <c r="AQ509" s="45"/>
      <c r="AR509" s="74"/>
      <c r="AS509" s="53">
        <f>P_2_minQ+(AS506^2*R_dn)-dpdn_minQ</f>
        <v>32.055392053047122</v>
      </c>
      <c r="AT509" s="45"/>
      <c r="AU509" s="74"/>
    </row>
    <row r="510" spans="15:47" x14ac:dyDescent="0.25">
      <c r="O510" s="6" t="s">
        <v>243</v>
      </c>
      <c r="Q510" s="60"/>
      <c r="R510" s="53">
        <f>R508-R509</f>
        <v>32.259229424791599</v>
      </c>
      <c r="S510" s="56"/>
      <c r="T510" s="72"/>
      <c r="U510" s="64">
        <f>U508-U509</f>
        <v>32.183230094699098</v>
      </c>
      <c r="V510" s="44"/>
      <c r="W510" s="72"/>
      <c r="X510" s="64">
        <f>X508-X509</f>
        <v>31.820654718049056</v>
      </c>
      <c r="Y510" s="44"/>
      <c r="Z510" s="72"/>
      <c r="AA510" s="64">
        <f>AA508-AA509</f>
        <v>30.659949449727069</v>
      </c>
      <c r="AB510" s="44"/>
      <c r="AC510" s="72"/>
      <c r="AD510" s="64">
        <f>AD508-AD509</f>
        <v>27.933232050205117</v>
      </c>
      <c r="AE510" s="44"/>
      <c r="AF510" s="72"/>
      <c r="AG510" s="64">
        <f>AG508-AG509</f>
        <v>22.669551943747184</v>
      </c>
      <c r="AH510" s="44"/>
      <c r="AI510" s="72"/>
      <c r="AJ510" s="64">
        <f>AJ508-AJ509</f>
        <v>15.180855870546388</v>
      </c>
      <c r="AK510" s="44"/>
      <c r="AL510" s="72"/>
      <c r="AM510" s="64">
        <f>AM508-AM509</f>
        <v>6.8317887925846819</v>
      </c>
      <c r="AN510" s="44"/>
      <c r="AO510" s="72"/>
      <c r="AP510" s="64">
        <f>AP508-AP509</f>
        <v>-2.0131683878533622</v>
      </c>
      <c r="AQ510" s="44"/>
      <c r="AR510" s="72"/>
      <c r="AS510" s="64">
        <f>AS508-AS509</f>
        <v>-12.132352318282717</v>
      </c>
      <c r="AT510" s="44"/>
      <c r="AU510" s="72"/>
    </row>
    <row r="511" spans="15:47" ht="13" x14ac:dyDescent="0.3">
      <c r="O511" s="6" t="s">
        <v>75</v>
      </c>
      <c r="P511" s="6">
        <v>3</v>
      </c>
      <c r="Q511" s="65"/>
      <c r="R511" s="85">
        <f>(F_LP_h/F_P_h)^2*(R508-('Valve Sizing'!$V$4*'Valve Sizing'!$G$7))</f>
        <v>46.765064973244712</v>
      </c>
      <c r="S511" s="58"/>
      <c r="T511" s="73"/>
      <c r="U511" s="53">
        <f>(U$29/U$27)^2*(U508-('Valve Sizing'!$V$4*'Valve Sizing'!$G$7))</f>
        <v>46.699890180116014</v>
      </c>
      <c r="V511" s="41"/>
      <c r="W511" s="73"/>
      <c r="X511" s="53">
        <f>(X$29/X$27)^2*(X508-('Valve Sizing'!$V$4*'Valve Sizing'!$G$7))</f>
        <v>45.40200133572538</v>
      </c>
      <c r="Y511" s="41"/>
      <c r="Z511" s="73"/>
      <c r="AA511" s="53">
        <f>(AA$29/AA$27)^2*(AA508-('Valve Sizing'!$V$4*'Valve Sizing'!$G$7))</f>
        <v>42.614537655490381</v>
      </c>
      <c r="AB511" s="41"/>
      <c r="AC511" s="73"/>
      <c r="AD511" s="53">
        <f>(AD$29/AD$27)^2*(AD508-('Valve Sizing'!$V$4*'Valve Sizing'!$G$7))</f>
        <v>38.129877076495234</v>
      </c>
      <c r="AE511" s="41"/>
      <c r="AF511" s="73"/>
      <c r="AG511" s="53">
        <f>(AG$29/AG$27)^2*(AG508-('Valve Sizing'!$V$4*'Valve Sizing'!$G$7))</f>
        <v>31.226193358501682</v>
      </c>
      <c r="AH511" s="41"/>
      <c r="AI511" s="73"/>
      <c r="AJ511" s="53">
        <f>(AJ$29/AJ$27)^2*(AJ508-('Valve Sizing'!$V$4*'Valve Sizing'!$G$7))</f>
        <v>24.432416555794028</v>
      </c>
      <c r="AK511" s="41"/>
      <c r="AL511" s="73"/>
      <c r="AM511" s="53">
        <f>(AM$29/AM$27)^2*(AM508-('Valve Sizing'!$V$4*'Valve Sizing'!$G$7))</f>
        <v>16.883575434745993</v>
      </c>
      <c r="AN511" s="41"/>
      <c r="AO511" s="73"/>
      <c r="AP511" s="53">
        <f>(AP$29/AP$27)^2*(AP508-('Valve Sizing'!$V$4*'Valve Sizing'!$G$7))</f>
        <v>11.01625860837691</v>
      </c>
      <c r="AQ511" s="41"/>
      <c r="AR511" s="73"/>
      <c r="AS511" s="53">
        <f>(AS$29/AS$27)^2*(AS508-('Valve Sizing'!$V$4*'Valve Sizing'!$G$7))</f>
        <v>7.3283443457421971</v>
      </c>
      <c r="AT511" s="41"/>
      <c r="AU511" s="73"/>
    </row>
    <row r="512" spans="15:47" ht="13" x14ac:dyDescent="0.25">
      <c r="O512" s="1" t="s">
        <v>69</v>
      </c>
      <c r="P512" s="17">
        <v>7</v>
      </c>
      <c r="Q512" s="65"/>
      <c r="R512" s="53">
        <f>(R506/(N_1*F_P_h))*SQRT('Valve Sizing'!$G$6/R510)</f>
        <v>0.33009116982292652</v>
      </c>
      <c r="S512" s="58"/>
      <c r="T512" s="73"/>
      <c r="U512" s="64">
        <f>(U506/(N_1*U$27))*SQRT('Valve Sizing'!$G$6/U510)</f>
        <v>7.6469954555782813</v>
      </c>
      <c r="V512" s="41"/>
      <c r="W512" s="73"/>
      <c r="X512" s="64">
        <f>(X506/(N_1*X$27))*SQRT('Valve Sizing'!$G$6/X510)</f>
        <v>18.501486867051501</v>
      </c>
      <c r="Y512" s="41"/>
      <c r="Z512" s="73"/>
      <c r="AA512" s="64">
        <f>(AA506/(N_1*AA$27))*SQRT('Valve Sizing'!$G$6/AA510)</f>
        <v>36.195625913195556</v>
      </c>
      <c r="AB512" s="41"/>
      <c r="AC512" s="73"/>
      <c r="AD512" s="64">
        <f>(AD506/(N_1*AD$27))*SQRT('Valve Sizing'!$G$6/AD510)</f>
        <v>63.150254566719944</v>
      </c>
      <c r="AE512" s="41"/>
      <c r="AF512" s="73"/>
      <c r="AG512" s="64">
        <f>(AG506/(N_1*AG$27))*SQRT('Valve Sizing'!$G$6/AG510)</f>
        <v>106.69704515899173</v>
      </c>
      <c r="AH512" s="41"/>
      <c r="AI512" s="73"/>
      <c r="AJ512" s="64">
        <f>(AJ506/(N_1*AJ$27))*SQRT('Valve Sizing'!$G$6/AJ510)</f>
        <v>180.32283032272079</v>
      </c>
      <c r="AK512" s="41"/>
      <c r="AL512" s="73"/>
      <c r="AM512" s="64">
        <f>(AM506/(N_1*AM$27))*SQRT('Valve Sizing'!$G$6/AM510)</f>
        <v>347.99883995960721</v>
      </c>
      <c r="AN512" s="41"/>
      <c r="AO512" s="73"/>
      <c r="AP512" s="64" t="e">
        <f>(AP506/(N_1*AP$27))*SQRT('Valve Sizing'!$G$6/AP510)</f>
        <v>#NUM!</v>
      </c>
      <c r="AQ512" s="41"/>
      <c r="AR512" s="73"/>
      <c r="AS512" s="64" t="e">
        <f>(AS506/(N_1*AS$27))*SQRT('Valve Sizing'!$G$6/AS510)</f>
        <v>#NUM!</v>
      </c>
      <c r="AT512" s="41"/>
      <c r="AU512" s="73"/>
    </row>
    <row r="513" spans="15:47" ht="13" x14ac:dyDescent="0.3">
      <c r="O513" s="1" t="s">
        <v>72</v>
      </c>
      <c r="P513" s="17">
        <v>7</v>
      </c>
      <c r="Q513" s="65"/>
      <c r="R513" s="53">
        <f>(R506/(N_1*F_P_h))*SQRT('Valve Sizing'!$G$6/R511)</f>
        <v>0.27415749948428836</v>
      </c>
      <c r="S513" s="56"/>
      <c r="T513" s="72"/>
      <c r="U513" s="85">
        <f>(U506/(N_1*U$27))*SQRT('Valve Sizing'!$G$6/U511)</f>
        <v>6.3481578562467345</v>
      </c>
      <c r="V513" s="44"/>
      <c r="W513" s="72"/>
      <c r="X513" s="85">
        <f>(X506/(N_1*X$27))*SQRT('Valve Sizing'!$G$6/X511)</f>
        <v>15.489011020248158</v>
      </c>
      <c r="Y513" s="44"/>
      <c r="Z513" s="72"/>
      <c r="AA513" s="85">
        <f>(AA506/(N_1*AA$27))*SQRT('Valve Sizing'!$G$6/AA511)</f>
        <v>30.701734932864152</v>
      </c>
      <c r="AB513" s="44"/>
      <c r="AC513" s="72"/>
      <c r="AD513" s="85">
        <f>(AD506/(N_1*AD$27))*SQRT('Valve Sizing'!$G$6/AD511)</f>
        <v>54.050908440990682</v>
      </c>
      <c r="AE513" s="44"/>
      <c r="AF513" s="72"/>
      <c r="AG513" s="85">
        <f>(AG506/(N_1*AG$27))*SQRT('Valve Sizing'!$G$6/AG511)</f>
        <v>90.910561113494609</v>
      </c>
      <c r="AH513" s="44"/>
      <c r="AI513" s="72"/>
      <c r="AJ513" s="85">
        <f>(AJ506/(N_1*AJ$27))*SQRT('Valve Sizing'!$G$6/AJ511)</f>
        <v>142.13977766964405</v>
      </c>
      <c r="AK513" s="44"/>
      <c r="AL513" s="72"/>
      <c r="AM513" s="85">
        <f>(AM506/(N_1*AM$27))*SQRT('Valve Sizing'!$G$6/AM511)</f>
        <v>221.36695985186489</v>
      </c>
      <c r="AN513" s="44"/>
      <c r="AO513" s="72"/>
      <c r="AP513" s="85">
        <f>(AP506/(N_1*AP$27))*SQRT('Valve Sizing'!$G$6/AP511)</f>
        <v>362.13043252965343</v>
      </c>
      <c r="AQ513" s="44"/>
      <c r="AR513" s="72"/>
      <c r="AS513" s="85">
        <f>(AS506/(N_1*AS$27))*SQRT('Valve Sizing'!$G$6/AS511)</f>
        <v>676.80573425056593</v>
      </c>
      <c r="AT513" s="44"/>
      <c r="AU513" s="72"/>
    </row>
    <row r="514" spans="15:47" x14ac:dyDescent="0.25">
      <c r="O514" s="1" t="s">
        <v>246</v>
      </c>
      <c r="P514" s="18"/>
      <c r="Q514" s="65"/>
      <c r="R514" s="53">
        <f>IF(R510&lt;R511,R512,R513)</f>
        <v>0.33009116982292652</v>
      </c>
      <c r="S514" s="49"/>
      <c r="T514" s="72"/>
      <c r="U514" s="64">
        <f>IF(U510&lt;U511,U512,U513)</f>
        <v>7.6469954555782813</v>
      </c>
      <c r="V514" s="44"/>
      <c r="W514" s="72"/>
      <c r="X514" s="64">
        <f>IF(X510&lt;X511,X512,X513)</f>
        <v>18.501486867051501</v>
      </c>
      <c r="Y514" s="44"/>
      <c r="Z514" s="72"/>
      <c r="AA514" s="64">
        <f>IF(AA510&lt;AA511,AA512,AA513)</f>
        <v>36.195625913195556</v>
      </c>
      <c r="AB514" s="44"/>
      <c r="AC514" s="72"/>
      <c r="AD514" s="64">
        <f>IF(AD510&lt;AD511,AD512,AD513)</f>
        <v>63.150254566719944</v>
      </c>
      <c r="AE514" s="44"/>
      <c r="AF514" s="72"/>
      <c r="AG514" s="64">
        <f>IF(AG510&lt;AG511,AG512,AG513)</f>
        <v>106.69704515899173</v>
      </c>
      <c r="AH514" s="44"/>
      <c r="AI514" s="72"/>
      <c r="AJ514" s="64">
        <f>IF(AJ510&lt;AJ511,AJ512,AJ513)</f>
        <v>180.32283032272079</v>
      </c>
      <c r="AK514" s="44"/>
      <c r="AL514" s="72"/>
      <c r="AM514" s="64">
        <f>IF(AM510&lt;AM511,AM512,AM513)</f>
        <v>347.99883995960721</v>
      </c>
      <c r="AN514" s="44"/>
      <c r="AO514" s="72"/>
      <c r="AP514" s="64" t="e">
        <f>IF(AP510&lt;AP511,AP512,AP513)</f>
        <v>#NUM!</v>
      </c>
      <c r="AQ514" s="44"/>
      <c r="AR514" s="72"/>
      <c r="AS514" s="64" t="e">
        <f>IF(AS510&lt;AS511,AS512,AS513)</f>
        <v>#NUM!</v>
      </c>
      <c r="AT514" s="44"/>
      <c r="AU514" s="72"/>
    </row>
    <row r="515" spans="15:47" ht="13" x14ac:dyDescent="0.3">
      <c r="O515" s="7" t="s">
        <v>264</v>
      </c>
      <c r="Q515" s="61"/>
      <c r="R515" s="53"/>
      <c r="S515" s="69">
        <f>IFERROR(ABS(C_h-R514),Q_max*10)</f>
        <v>4.6699088301770733</v>
      </c>
      <c r="T515" s="76">
        <f>R506</f>
        <v>1.8745514842763134</v>
      </c>
      <c r="U515" s="61"/>
      <c r="V515" s="69">
        <f>IFERROR(ABS(U$23-U514),Q_max*10)</f>
        <v>4.3530045444217187</v>
      </c>
      <c r="W515" s="75">
        <f>U506</f>
        <v>43.345096761915507</v>
      </c>
      <c r="X515" s="61"/>
      <c r="Y515" s="69">
        <f>IFERROR(ABS(X$23-X514),Q_max*10)</f>
        <v>4.4985131329484993</v>
      </c>
      <c r="Z515" s="75">
        <f>X506</f>
        <v>104.04491737773394</v>
      </c>
      <c r="AA515" s="61"/>
      <c r="AB515" s="69">
        <f>IFERROR(ABS(AA$23-AA514),Q_max*10)</f>
        <v>2.8043740868044438</v>
      </c>
      <c r="AC515" s="75">
        <f>AA506</f>
        <v>198.65987850591426</v>
      </c>
      <c r="AD515" s="61"/>
      <c r="AE515" s="69">
        <f>IFERROR(ABS(AD$23-AD514),Q_max*10)</f>
        <v>2.1502545667199442</v>
      </c>
      <c r="AF515" s="75">
        <f>AD506</f>
        <v>326.72235791446633</v>
      </c>
      <c r="AG515" s="61"/>
      <c r="AH515" s="69">
        <f>IFERROR(ABS(AG$23-AG514),Q_max*10)</f>
        <v>18.697045158991727</v>
      </c>
      <c r="AI515" s="75">
        <f>AG506</f>
        <v>486.44506965127954</v>
      </c>
      <c r="AJ515" s="61"/>
      <c r="AK515" s="69">
        <f>IFERROR(ABS(AJ$23-AJ514),Q_max*10)</f>
        <v>59.32283032272079</v>
      </c>
      <c r="AL515" s="75">
        <f>AJ506</f>
        <v>649.16283118665058</v>
      </c>
      <c r="AM515" s="61"/>
      <c r="AN515" s="69">
        <f>IFERROR(ABS(AM$23-AM514),Q_max*10)</f>
        <v>182.99883995960721</v>
      </c>
      <c r="AO515" s="75">
        <f>AM506</f>
        <v>792.10202091837448</v>
      </c>
      <c r="AP515" s="61"/>
      <c r="AQ515" s="69">
        <f>IFERROR(ABS(AP$23-AP514),Q_max*10)</f>
        <v>5500</v>
      </c>
      <c r="AR515" s="75">
        <f>AP506</f>
        <v>919.6058557720703</v>
      </c>
      <c r="AS515" s="61"/>
      <c r="AT515" s="69">
        <f>IFERROR(ABS(AS$23-AS514),Q_max*10)</f>
        <v>5500</v>
      </c>
      <c r="AU515" s="75">
        <f>AS506</f>
        <v>1046.5972451012979</v>
      </c>
    </row>
    <row r="516" spans="15:47" ht="14.5" x14ac:dyDescent="0.35">
      <c r="O516" s="6"/>
      <c r="P516" s="6"/>
      <c r="Q516" s="60"/>
      <c r="R516" s="67"/>
      <c r="S516" s="66"/>
      <c r="T516" s="74"/>
      <c r="V516" s="11"/>
      <c r="W516" s="38"/>
      <c r="Y516" s="11"/>
      <c r="Z516" s="38"/>
      <c r="AB516" s="11"/>
      <c r="AC516" s="38"/>
      <c r="AE516" s="11"/>
      <c r="AF516" s="38"/>
      <c r="AH516" s="11"/>
      <c r="AI516" s="38"/>
      <c r="AK516" s="11"/>
      <c r="AL516" s="38"/>
      <c r="AN516" s="11"/>
      <c r="AO516" s="38"/>
      <c r="AQ516" s="11"/>
      <c r="AR516" s="38"/>
      <c r="AT516" s="11"/>
      <c r="AU516" s="38"/>
    </row>
    <row r="517" spans="15:47" ht="14" x14ac:dyDescent="0.3">
      <c r="O517" s="8" t="s">
        <v>235</v>
      </c>
      <c r="P517" s="6"/>
      <c r="Q517" s="60"/>
      <c r="R517" s="53">
        <f>R506*1.02</f>
        <v>1.9120425139618396</v>
      </c>
      <c r="S517" s="58" t="s">
        <v>238</v>
      </c>
      <c r="T517" s="73" t="s">
        <v>241</v>
      </c>
      <c r="U517" s="84">
        <f>U506*1.01</f>
        <v>43.778547729534665</v>
      </c>
      <c r="V517" s="58" t="s">
        <v>238</v>
      </c>
      <c r="W517" s="73" t="s">
        <v>241</v>
      </c>
      <c r="X517" s="84">
        <f>X506*1.01</f>
        <v>105.08536655151129</v>
      </c>
      <c r="Y517" s="58" t="s">
        <v>238</v>
      </c>
      <c r="Z517" s="73" t="s">
        <v>241</v>
      </c>
      <c r="AA517" s="84">
        <f>AA506*1.01</f>
        <v>200.64647729097342</v>
      </c>
      <c r="AB517" s="58" t="s">
        <v>238</v>
      </c>
      <c r="AC517" s="73" t="s">
        <v>241</v>
      </c>
      <c r="AD517" s="84">
        <f>AD506*1.01</f>
        <v>329.98958149361101</v>
      </c>
      <c r="AE517" s="58" t="s">
        <v>238</v>
      </c>
      <c r="AF517" s="73" t="s">
        <v>241</v>
      </c>
      <c r="AG517" s="84">
        <f>AG506*1.01</f>
        <v>491.30952034779233</v>
      </c>
      <c r="AH517" s="58" t="s">
        <v>238</v>
      </c>
      <c r="AI517" s="73" t="s">
        <v>241</v>
      </c>
      <c r="AJ517" s="84">
        <f>AJ506*1.01</f>
        <v>655.6544594985171</v>
      </c>
      <c r="AK517" s="58" t="s">
        <v>238</v>
      </c>
      <c r="AL517" s="73" t="s">
        <v>241</v>
      </c>
      <c r="AM517" s="84">
        <f>AM506*1.01</f>
        <v>800.02304112755826</v>
      </c>
      <c r="AN517" s="58" t="s">
        <v>238</v>
      </c>
      <c r="AO517" s="73" t="s">
        <v>241</v>
      </c>
      <c r="AP517" s="84">
        <f>AP506*1.01</f>
        <v>928.80191432979097</v>
      </c>
      <c r="AQ517" s="58" t="s">
        <v>238</v>
      </c>
      <c r="AR517" s="73" t="s">
        <v>241</v>
      </c>
      <c r="AS517" s="84">
        <f>AS506*1.01</f>
        <v>1057.0632175523108</v>
      </c>
      <c r="AT517" s="58" t="s">
        <v>238</v>
      </c>
      <c r="AU517" s="73" t="s">
        <v>241</v>
      </c>
    </row>
    <row r="518" spans="15:47" ht="13" x14ac:dyDescent="0.25">
      <c r="O518" s="6"/>
      <c r="P518" s="6"/>
      <c r="Q518" s="60"/>
      <c r="R518" s="70"/>
      <c r="S518" s="63" t="s">
        <v>250</v>
      </c>
      <c r="T518" s="71" t="s">
        <v>242</v>
      </c>
      <c r="U518" s="61"/>
      <c r="V518" s="63" t="s">
        <v>250</v>
      </c>
      <c r="W518" s="71" t="s">
        <v>242</v>
      </c>
      <c r="X518" s="61"/>
      <c r="Y518" s="63" t="s">
        <v>250</v>
      </c>
      <c r="Z518" s="71" t="s">
        <v>242</v>
      </c>
      <c r="AA518" s="61"/>
      <c r="AB518" s="63" t="s">
        <v>250</v>
      </c>
      <c r="AC518" s="71" t="s">
        <v>242</v>
      </c>
      <c r="AD518" s="61"/>
      <c r="AE518" s="63" t="s">
        <v>250</v>
      </c>
      <c r="AF518" s="71" t="s">
        <v>242</v>
      </c>
      <c r="AG518" s="61"/>
      <c r="AH518" s="63" t="s">
        <v>250</v>
      </c>
      <c r="AI518" s="71" t="s">
        <v>242</v>
      </c>
      <c r="AJ518" s="61"/>
      <c r="AK518" s="63" t="s">
        <v>250</v>
      </c>
      <c r="AL518" s="71" t="s">
        <v>242</v>
      </c>
      <c r="AM518" s="61"/>
      <c r="AN518" s="63" t="s">
        <v>250</v>
      </c>
      <c r="AO518" s="71" t="s">
        <v>242</v>
      </c>
      <c r="AP518" s="61"/>
      <c r="AQ518" s="63" t="s">
        <v>250</v>
      </c>
      <c r="AR518" s="71" t="s">
        <v>242</v>
      </c>
      <c r="AS518" s="61"/>
      <c r="AT518" s="63" t="s">
        <v>250</v>
      </c>
      <c r="AU518" s="71" t="s">
        <v>242</v>
      </c>
    </row>
    <row r="519" spans="15:47" ht="13" x14ac:dyDescent="0.3">
      <c r="O519" s="6" t="s">
        <v>231</v>
      </c>
      <c r="P519" s="6"/>
      <c r="Q519" s="60"/>
      <c r="R519" s="85">
        <f>P_1_minQ-(R517^2*R_up)+dpup_minQ</f>
        <v>56.916019726221712</v>
      </c>
      <c r="S519" s="56"/>
      <c r="T519" s="72"/>
      <c r="U519" s="53">
        <f>P_1_minQ-(U517^2*R_up)+dpup_minQ</f>
        <v>56.851416371451968</v>
      </c>
      <c r="V519" s="44"/>
      <c r="W519" s="72"/>
      <c r="X519" s="53">
        <f>P_1_minQ-(X517^2*R_up)+dpup_minQ</f>
        <v>56.543197086684721</v>
      </c>
      <c r="Y519" s="44"/>
      <c r="Z519" s="72"/>
      <c r="AA519" s="53">
        <f>P_1_minQ-(AA517^2*R_up)+dpup_minQ</f>
        <v>55.556500883171999</v>
      </c>
      <c r="AB519" s="44"/>
      <c r="AC519" s="72"/>
      <c r="AD519" s="53">
        <f>P_1_minQ-(AD517^2*R_up)+dpup_minQ</f>
        <v>53.238563867128384</v>
      </c>
      <c r="AE519" s="44"/>
      <c r="AF519" s="72"/>
      <c r="AG519" s="53">
        <f>P_1_minQ-(AG517^2*R_up)+dpup_minQ</f>
        <v>48.763997136630266</v>
      </c>
      <c r="AH519" s="44"/>
      <c r="AI519" s="72"/>
      <c r="AJ519" s="53">
        <f>P_1_minQ-(AJ517^2*R_up)+dpup_minQ</f>
        <v>42.397981416403489</v>
      </c>
      <c r="AK519" s="44"/>
      <c r="AL519" s="72"/>
      <c r="AM519" s="53">
        <f>P_1_minQ-(AM517^2*R_up)+dpup_minQ</f>
        <v>35.300578644546206</v>
      </c>
      <c r="AN519" s="44"/>
      <c r="AO519" s="72"/>
      <c r="AP519" s="53">
        <f>P_1_minQ-(AP517^2*R_up)+dpup_minQ</f>
        <v>27.781627961408837</v>
      </c>
      <c r="AQ519" s="44"/>
      <c r="AR519" s="72"/>
      <c r="AS519" s="53">
        <f>P_1_minQ-(AS517^2*R_up)+dpup_minQ</f>
        <v>19.17947835521635</v>
      </c>
      <c r="AT519" s="44"/>
      <c r="AU519" s="72"/>
    </row>
    <row r="520" spans="15:47" ht="13" x14ac:dyDescent="0.3">
      <c r="O520" s="6" t="s">
        <v>233</v>
      </c>
      <c r="P520" s="6"/>
      <c r="Q520" s="60"/>
      <c r="R520" s="85">
        <f>P_2_minQ+(R517^2*R_dn)-dpdn_minQ</f>
        <v>24.656796054755659</v>
      </c>
      <c r="S520" s="66"/>
      <c r="T520" s="74"/>
      <c r="U520" s="53">
        <f>P_2_minQ+(U517^2*R_dn)-dpdn_minQ</f>
        <v>24.669716725709605</v>
      </c>
      <c r="V520" s="45"/>
      <c r="W520" s="74"/>
      <c r="X520" s="53">
        <f>P_2_minQ+(X517^2*R_dn)-dpdn_minQ</f>
        <v>24.731360582663058</v>
      </c>
      <c r="Y520" s="45"/>
      <c r="Z520" s="74"/>
      <c r="AA520" s="53">
        <f>P_2_minQ+(AA517^2*R_dn)-dpdn_minQ</f>
        <v>24.928699823365601</v>
      </c>
      <c r="AB520" s="45"/>
      <c r="AC520" s="74"/>
      <c r="AD520" s="53">
        <f>P_2_minQ+(AD517^2*R_dn)-dpdn_minQ</f>
        <v>25.392287226574325</v>
      </c>
      <c r="AE520" s="45"/>
      <c r="AF520" s="74"/>
      <c r="AG520" s="53">
        <f>P_2_minQ+(AG517^2*R_dn)-dpdn_minQ</f>
        <v>26.287200572673949</v>
      </c>
      <c r="AH520" s="45"/>
      <c r="AI520" s="74"/>
      <c r="AJ520" s="53">
        <f>P_2_minQ+(AJ517^2*R_dn)-dpdn_minQ</f>
        <v>27.560403716719303</v>
      </c>
      <c r="AK520" s="45"/>
      <c r="AL520" s="74"/>
      <c r="AM520" s="53">
        <f>P_2_minQ+(AM517^2*R_dn)-dpdn_minQ</f>
        <v>28.979884271090757</v>
      </c>
      <c r="AN520" s="45"/>
      <c r="AO520" s="74"/>
      <c r="AP520" s="53">
        <f>P_2_minQ+(AP517^2*R_dn)-dpdn_minQ</f>
        <v>30.483674407718233</v>
      </c>
      <c r="AQ520" s="45"/>
      <c r="AR520" s="74"/>
      <c r="AS520" s="53">
        <f>P_2_minQ+(AS517^2*R_dn)-dpdn_minQ</f>
        <v>32.204104328956731</v>
      </c>
      <c r="AT520" s="45"/>
      <c r="AU520" s="74"/>
    </row>
    <row r="521" spans="15:47" x14ac:dyDescent="0.25">
      <c r="O521" s="6" t="s">
        <v>243</v>
      </c>
      <c r="Q521" s="60"/>
      <c r="R521" s="53">
        <f>R519-R520</f>
        <v>32.259223671466053</v>
      </c>
      <c r="S521" s="56"/>
      <c r="T521" s="72"/>
      <c r="U521" s="64">
        <f>U519-U520</f>
        <v>32.181699645742363</v>
      </c>
      <c r="V521" s="44"/>
      <c r="W521" s="72"/>
      <c r="X521" s="64">
        <f>X519-X520</f>
        <v>31.811836504021663</v>
      </c>
      <c r="Y521" s="44"/>
      <c r="Z521" s="72"/>
      <c r="AA521" s="64">
        <f>AA519-AA520</f>
        <v>30.627801059806398</v>
      </c>
      <c r="AB521" s="44"/>
      <c r="AC521" s="72"/>
      <c r="AD521" s="64">
        <f>AD519-AD520</f>
        <v>27.846276640554059</v>
      </c>
      <c r="AE521" s="44"/>
      <c r="AF521" s="72"/>
      <c r="AG521" s="64">
        <f>AG519-AG520</f>
        <v>22.476796563956317</v>
      </c>
      <c r="AH521" s="44"/>
      <c r="AI521" s="72"/>
      <c r="AJ521" s="64">
        <f>AJ519-AJ520</f>
        <v>14.837577699684186</v>
      </c>
      <c r="AK521" s="44"/>
      <c r="AL521" s="72"/>
      <c r="AM521" s="64">
        <f>AM519-AM520</f>
        <v>6.3206943734554493</v>
      </c>
      <c r="AN521" s="44"/>
      <c r="AO521" s="72"/>
      <c r="AP521" s="64">
        <f>AP519-AP520</f>
        <v>-2.7020464463093958</v>
      </c>
      <c r="AQ521" s="44"/>
      <c r="AR521" s="72"/>
      <c r="AS521" s="64">
        <f>AS519-AS520</f>
        <v>-13.024625973740381</v>
      </c>
      <c r="AT521" s="44"/>
      <c r="AU521" s="72"/>
    </row>
    <row r="522" spans="15:47" ht="13" x14ac:dyDescent="0.3">
      <c r="O522" s="6" t="s">
        <v>75</v>
      </c>
      <c r="P522" s="6">
        <v>3</v>
      </c>
      <c r="Q522" s="65"/>
      <c r="R522" s="85">
        <f>(F_LP_h/F_P_h)^2*(R519-('Valve Sizing'!$V$4*'Valve Sizing'!$G$7))</f>
        <v>46.765061003198426</v>
      </c>
      <c r="S522" s="58"/>
      <c r="T522" s="73"/>
      <c r="U522" s="53">
        <f>(U$29/U$27)^2*(U519-('Valve Sizing'!$V$4*'Valve Sizing'!$G$7))</f>
        <v>46.698834391234442</v>
      </c>
      <c r="V522" s="41"/>
      <c r="W522" s="73"/>
      <c r="X522" s="53">
        <f>(X$29/X$27)^2*(X519-('Valve Sizing'!$V$4*'Valve Sizing'!$G$7))</f>
        <v>45.396055261295203</v>
      </c>
      <c r="Y522" s="41"/>
      <c r="Z522" s="73"/>
      <c r="AA522" s="53">
        <f>(AA$29/AA$27)^2*(AA519-('Valve Sizing'!$V$4*'Valve Sizing'!$G$7))</f>
        <v>42.593834166822312</v>
      </c>
      <c r="AB522" s="41"/>
      <c r="AC522" s="73"/>
      <c r="AD522" s="53">
        <f>(AD$29/AD$27)^2*(AD519-('Valve Sizing'!$V$4*'Valve Sizing'!$G$7))</f>
        <v>38.07761778780678</v>
      </c>
      <c r="AE522" s="41"/>
      <c r="AF522" s="73"/>
      <c r="AG522" s="53">
        <f>(AG$29/AG$27)^2*(AG519-('Valve Sizing'!$V$4*'Valve Sizing'!$G$7))</f>
        <v>31.122740911491423</v>
      </c>
      <c r="AH522" s="41"/>
      <c r="AI522" s="73"/>
      <c r="AJ522" s="53">
        <f>(AJ$29/AJ$27)^2*(AJ519-('Valve Sizing'!$V$4*'Valve Sizing'!$G$7))</f>
        <v>24.266966679858427</v>
      </c>
      <c r="AK522" s="41"/>
      <c r="AL522" s="73"/>
      <c r="AM522" s="53">
        <f>(AM$29/AM$27)^2*(AM519-('Valve Sizing'!$V$4*'Valve Sizing'!$G$7))</f>
        <v>16.679788397064069</v>
      </c>
      <c r="AN522" s="41"/>
      <c r="AO522" s="73"/>
      <c r="AP522" s="53">
        <f>(AP$29/AP$27)^2*(AP519-('Valve Sizing'!$V$4*'Valve Sizing'!$G$7))</f>
        <v>10.789717139505811</v>
      </c>
      <c r="AQ522" s="41"/>
      <c r="AR522" s="73"/>
      <c r="AS522" s="53">
        <f>(AS$29/AS$27)^2*(AS519-('Valve Sizing'!$V$4*'Valve Sizing'!$G$7))</f>
        <v>7.0486605779740605</v>
      </c>
      <c r="AT522" s="41"/>
      <c r="AU522" s="73"/>
    </row>
    <row r="523" spans="15:47" ht="13" x14ac:dyDescent="0.25">
      <c r="O523" s="1" t="s">
        <v>69</v>
      </c>
      <c r="P523" s="17">
        <v>7</v>
      </c>
      <c r="Q523" s="65"/>
      <c r="R523" s="53">
        <f>(R517/(N_1*F_P_h))*SQRT('Valve Sizing'!$G$6/R521)</f>
        <v>0.33669302324342298</v>
      </c>
      <c r="S523" s="58"/>
      <c r="T523" s="73"/>
      <c r="U523" s="64">
        <f>(U517/(N_1*U$27))*SQRT('Valve Sizing'!$G$6/U521)</f>
        <v>7.7236490584369664</v>
      </c>
      <c r="V523" s="41"/>
      <c r="W523" s="73"/>
      <c r="X523" s="64">
        <f>(X517/(N_1*X$27))*SQRT('Valve Sizing'!$G$6/X521)</f>
        <v>18.689091497459955</v>
      </c>
      <c r="Y523" s="41"/>
      <c r="Z523" s="73"/>
      <c r="AA523" s="64">
        <f>(AA517/(N_1*AA$27))*SQRT('Valve Sizing'!$G$6/AA521)</f>
        <v>36.576763424706904</v>
      </c>
      <c r="AB523" s="41"/>
      <c r="AC523" s="73"/>
      <c r="AD523" s="64">
        <f>(AD517/(N_1*AD$27))*SQRT('Valve Sizing'!$G$6/AD521)</f>
        <v>63.881264954838173</v>
      </c>
      <c r="AE523" s="41"/>
      <c r="AF523" s="73"/>
      <c r="AG523" s="64">
        <f>(AG517/(N_1*AG$27))*SQRT('Valve Sizing'!$G$6/AG521)</f>
        <v>108.22510777663202</v>
      </c>
      <c r="AH523" s="41"/>
      <c r="AI523" s="73"/>
      <c r="AJ523" s="64">
        <f>(AJ517/(N_1*AJ$27))*SQRT('Valve Sizing'!$G$6/AJ521)</f>
        <v>184.22082147100798</v>
      </c>
      <c r="AK523" s="41"/>
      <c r="AL523" s="73"/>
      <c r="AM523" s="64">
        <f>(AM517/(N_1*AM$27))*SQRT('Valve Sizing'!$G$6/AM521)</f>
        <v>365.41299690447619</v>
      </c>
      <c r="AN523" s="41"/>
      <c r="AO523" s="73"/>
      <c r="AP523" s="64" t="e">
        <f>(AP517/(N_1*AP$27))*SQRT('Valve Sizing'!$G$6/AP521)</f>
        <v>#NUM!</v>
      </c>
      <c r="AQ523" s="41"/>
      <c r="AR523" s="73"/>
      <c r="AS523" s="64" t="e">
        <f>(AS517/(N_1*AS$27))*SQRT('Valve Sizing'!$G$6/AS521)</f>
        <v>#NUM!</v>
      </c>
      <c r="AT523" s="41"/>
      <c r="AU523" s="73"/>
    </row>
    <row r="524" spans="15:47" ht="13" x14ac:dyDescent="0.3">
      <c r="O524" s="1" t="s">
        <v>72</v>
      </c>
      <c r="P524" s="17">
        <v>7</v>
      </c>
      <c r="Q524" s="65"/>
      <c r="R524" s="53">
        <f>(R517/(N_1*F_P_h))*SQRT('Valve Sizing'!$G$6/R522)</f>
        <v>0.27964066134380033</v>
      </c>
      <c r="S524" s="56"/>
      <c r="T524" s="72"/>
      <c r="U524" s="85">
        <f>(U517/(N_1*U$27))*SQRT('Valve Sizing'!$G$6/U522)</f>
        <v>6.4117119130568456</v>
      </c>
      <c r="V524" s="44"/>
      <c r="W524" s="72"/>
      <c r="X524" s="85">
        <f>(X517/(N_1*X$27))*SQRT('Valve Sizing'!$G$6/X522)</f>
        <v>15.644925633066343</v>
      </c>
      <c r="Y524" s="44"/>
      <c r="Z524" s="72"/>
      <c r="AA524" s="85">
        <f>(AA517/(N_1*AA$27))*SQRT('Valve Sizing'!$G$6/AA522)</f>
        <v>31.016287543697395</v>
      </c>
      <c r="AB524" s="44"/>
      <c r="AC524" s="72"/>
      <c r="AD524" s="85">
        <f>(AD517/(N_1*AD$27))*SQRT('Valve Sizing'!$G$6/AD522)</f>
        <v>54.628866434010291</v>
      </c>
      <c r="AE524" s="44"/>
      <c r="AF524" s="72"/>
      <c r="AG524" s="85">
        <f>(AG517/(N_1*AG$27))*SQRT('Valve Sizing'!$G$6/AG522)</f>
        <v>91.972145078757464</v>
      </c>
      <c r="AH524" s="44"/>
      <c r="AI524" s="72"/>
      <c r="AJ524" s="85">
        <f>(AJ517/(N_1*AJ$27))*SQRT('Valve Sizing'!$G$6/AJ522)</f>
        <v>144.04973735399014</v>
      </c>
      <c r="AK524" s="44"/>
      <c r="AL524" s="72"/>
      <c r="AM524" s="85">
        <f>(AM517/(N_1*AM$27))*SQRT('Valve Sizing'!$G$6/AM522)</f>
        <v>224.94229272893079</v>
      </c>
      <c r="AN524" s="44"/>
      <c r="AO524" s="72"/>
      <c r="AP524" s="85">
        <f>(AP517/(N_1*AP$27))*SQRT('Valve Sizing'!$G$6/AP522)</f>
        <v>369.57146257284256</v>
      </c>
      <c r="AQ524" s="44"/>
      <c r="AR524" s="72"/>
      <c r="AS524" s="85">
        <f>(AS517/(N_1*AS$27))*SQRT('Valve Sizing'!$G$6/AS522)</f>
        <v>697.00362745132418</v>
      </c>
      <c r="AT524" s="44"/>
      <c r="AU524" s="72"/>
    </row>
    <row r="525" spans="15:47" x14ac:dyDescent="0.25">
      <c r="O525" s="1" t="s">
        <v>246</v>
      </c>
      <c r="P525" s="18"/>
      <c r="Q525" s="65"/>
      <c r="R525" s="53">
        <f>IF(R521&lt;R522,R523,R524)</f>
        <v>0.33669302324342298</v>
      </c>
      <c r="S525" s="49"/>
      <c r="T525" s="72"/>
      <c r="U525" s="64">
        <f>IF(U521&lt;U522,U523,U524)</f>
        <v>7.7236490584369664</v>
      </c>
      <c r="V525" s="44"/>
      <c r="W525" s="72"/>
      <c r="X525" s="64">
        <f>IF(X521&lt;X522,X523,X524)</f>
        <v>18.689091497459955</v>
      </c>
      <c r="Y525" s="44"/>
      <c r="Z525" s="72"/>
      <c r="AA525" s="64">
        <f>IF(AA521&lt;AA522,AA523,AA524)</f>
        <v>36.576763424706904</v>
      </c>
      <c r="AB525" s="44"/>
      <c r="AC525" s="72"/>
      <c r="AD525" s="64">
        <f>IF(AD521&lt;AD522,AD523,AD524)</f>
        <v>63.881264954838173</v>
      </c>
      <c r="AE525" s="44"/>
      <c r="AF525" s="72"/>
      <c r="AG525" s="64">
        <f>IF(AG521&lt;AG522,AG523,AG524)</f>
        <v>108.22510777663202</v>
      </c>
      <c r="AH525" s="44"/>
      <c r="AI525" s="72"/>
      <c r="AJ525" s="64">
        <f>IF(AJ521&lt;AJ522,AJ523,AJ524)</f>
        <v>184.22082147100798</v>
      </c>
      <c r="AK525" s="44"/>
      <c r="AL525" s="72"/>
      <c r="AM525" s="64">
        <f>IF(AM521&lt;AM522,AM523,AM524)</f>
        <v>365.41299690447619</v>
      </c>
      <c r="AN525" s="44"/>
      <c r="AO525" s="72"/>
      <c r="AP525" s="64" t="e">
        <f>IF(AP521&lt;AP522,AP523,AP524)</f>
        <v>#NUM!</v>
      </c>
      <c r="AQ525" s="44"/>
      <c r="AR525" s="72"/>
      <c r="AS525" s="64" t="e">
        <f>IF(AS521&lt;AS522,AS523,AS524)</f>
        <v>#NUM!</v>
      </c>
      <c r="AT525" s="44"/>
      <c r="AU525" s="72"/>
    </row>
    <row r="526" spans="15:47" ht="13" x14ac:dyDescent="0.3">
      <c r="O526" s="7" t="s">
        <v>264</v>
      </c>
      <c r="Q526" s="61"/>
      <c r="R526" s="53"/>
      <c r="S526" s="69">
        <f>IFERROR(ABS(C_h-R525),Q_max*10)</f>
        <v>4.6633069767565773</v>
      </c>
      <c r="T526" s="76">
        <f>R517</f>
        <v>1.9120425139618396</v>
      </c>
      <c r="U526" s="61"/>
      <c r="V526" s="69">
        <f>IFERROR(ABS(U$23-U525),Q_max*10)</f>
        <v>4.2763509415630336</v>
      </c>
      <c r="W526" s="75">
        <f>U517</f>
        <v>43.778547729534665</v>
      </c>
      <c r="X526" s="61"/>
      <c r="Y526" s="69">
        <f>IFERROR(ABS(X$23-X525),Q_max*10)</f>
        <v>4.3109085025400447</v>
      </c>
      <c r="Z526" s="75">
        <f>X517</f>
        <v>105.08536655151129</v>
      </c>
      <c r="AA526" s="61"/>
      <c r="AB526" s="69">
        <f>IFERROR(ABS(AA$23-AA525),Q_max*10)</f>
        <v>2.423236575293096</v>
      </c>
      <c r="AC526" s="75">
        <f>AA517</f>
        <v>200.64647729097342</v>
      </c>
      <c r="AD526" s="61"/>
      <c r="AE526" s="69">
        <f>IFERROR(ABS(AD$23-AD525),Q_max*10)</f>
        <v>2.8812649548381728</v>
      </c>
      <c r="AF526" s="75">
        <f>AD517</f>
        <v>329.98958149361101</v>
      </c>
      <c r="AG526" s="61"/>
      <c r="AH526" s="69">
        <f>IFERROR(ABS(AG$23-AG525),Q_max*10)</f>
        <v>20.225107776632015</v>
      </c>
      <c r="AI526" s="75">
        <f>AG517</f>
        <v>491.30952034779233</v>
      </c>
      <c r="AJ526" s="61"/>
      <c r="AK526" s="69">
        <f>IFERROR(ABS(AJ$23-AJ525),Q_max*10)</f>
        <v>63.22082147100798</v>
      </c>
      <c r="AL526" s="75">
        <f>AJ517</f>
        <v>655.6544594985171</v>
      </c>
      <c r="AM526" s="61"/>
      <c r="AN526" s="69">
        <f>IFERROR(ABS(AM$23-AM525),Q_max*10)</f>
        <v>200.41299690447619</v>
      </c>
      <c r="AO526" s="75">
        <f>AM517</f>
        <v>800.02304112755826</v>
      </c>
      <c r="AP526" s="61"/>
      <c r="AQ526" s="69">
        <f>IFERROR(ABS(AP$23-AP525),Q_max*10)</f>
        <v>5500</v>
      </c>
      <c r="AR526" s="75">
        <f>AP517</f>
        <v>928.80191432979097</v>
      </c>
      <c r="AS526" s="61"/>
      <c r="AT526" s="69">
        <f>IFERROR(ABS(AS$23-AS525),Q_max*10)</f>
        <v>5500</v>
      </c>
      <c r="AU526" s="75">
        <f>AS517</f>
        <v>1057.0632175523108</v>
      </c>
    </row>
    <row r="527" spans="15:47" ht="14.5" x14ac:dyDescent="0.35">
      <c r="O527" s="6"/>
      <c r="P527" s="6"/>
      <c r="Q527" s="60"/>
      <c r="R527" s="67"/>
      <c r="S527" s="56"/>
      <c r="T527" s="72"/>
      <c r="V527" s="11"/>
      <c r="W527" s="38"/>
      <c r="Y527" s="11"/>
      <c r="Z527" s="38"/>
      <c r="AB527" s="11"/>
      <c r="AC527" s="38"/>
      <c r="AE527" s="11"/>
      <c r="AF527" s="38"/>
      <c r="AH527" s="11"/>
      <c r="AI527" s="38"/>
      <c r="AK527" s="11"/>
      <c r="AL527" s="38"/>
      <c r="AN527" s="11"/>
      <c r="AO527" s="38"/>
      <c r="AQ527" s="11"/>
      <c r="AR527" s="38"/>
      <c r="AT527" s="11"/>
      <c r="AU527" s="38"/>
    </row>
    <row r="528" spans="15:47" ht="14" x14ac:dyDescent="0.3">
      <c r="O528" s="8" t="s">
        <v>235</v>
      </c>
      <c r="P528" s="6"/>
      <c r="Q528" s="60"/>
      <c r="R528" s="53">
        <f>R517*1.02</f>
        <v>1.9502833642410764</v>
      </c>
      <c r="S528" s="58" t="s">
        <v>238</v>
      </c>
      <c r="T528" s="73" t="s">
        <v>241</v>
      </c>
      <c r="U528" s="84">
        <f>U517*1.01</f>
        <v>44.216333206830015</v>
      </c>
      <c r="V528" s="58" t="s">
        <v>238</v>
      </c>
      <c r="W528" s="73" t="s">
        <v>241</v>
      </c>
      <c r="X528" s="84">
        <f>X517*1.01</f>
        <v>106.13622021702641</v>
      </c>
      <c r="Y528" s="58" t="s">
        <v>238</v>
      </c>
      <c r="Z528" s="73" t="s">
        <v>241</v>
      </c>
      <c r="AA528" s="84">
        <f>AA517*1.01</f>
        <v>202.65294206388316</v>
      </c>
      <c r="AB528" s="58" t="s">
        <v>238</v>
      </c>
      <c r="AC528" s="73" t="s">
        <v>241</v>
      </c>
      <c r="AD528" s="84">
        <f>AD517*1.01</f>
        <v>333.28947730854713</v>
      </c>
      <c r="AE528" s="58" t="s">
        <v>238</v>
      </c>
      <c r="AF528" s="73" t="s">
        <v>241</v>
      </c>
      <c r="AG528" s="84">
        <f>AG517*1.01</f>
        <v>496.22261555127028</v>
      </c>
      <c r="AH528" s="58" t="s">
        <v>238</v>
      </c>
      <c r="AI528" s="73" t="s">
        <v>241</v>
      </c>
      <c r="AJ528" s="84">
        <f>AJ517*1.01</f>
        <v>662.21100409350231</v>
      </c>
      <c r="AK528" s="58" t="s">
        <v>238</v>
      </c>
      <c r="AL528" s="73" t="s">
        <v>241</v>
      </c>
      <c r="AM528" s="84">
        <f>AM517*1.01</f>
        <v>808.0232715388338</v>
      </c>
      <c r="AN528" s="58" t="s">
        <v>238</v>
      </c>
      <c r="AO528" s="73" t="s">
        <v>241</v>
      </c>
      <c r="AP528" s="84">
        <f>AP517*1.01</f>
        <v>938.08993347308888</v>
      </c>
      <c r="AQ528" s="58" t="s">
        <v>238</v>
      </c>
      <c r="AR528" s="73" t="s">
        <v>241</v>
      </c>
      <c r="AS528" s="84">
        <f>AS517*1.01</f>
        <v>1067.6338497278339</v>
      </c>
      <c r="AT528" s="58" t="s">
        <v>238</v>
      </c>
      <c r="AU528" s="73" t="s">
        <v>241</v>
      </c>
    </row>
    <row r="529" spans="15:47" ht="13" x14ac:dyDescent="0.25">
      <c r="O529" s="6"/>
      <c r="P529" s="6"/>
      <c r="Q529" s="60"/>
      <c r="R529" s="70"/>
      <c r="S529" s="63" t="s">
        <v>250</v>
      </c>
      <c r="T529" s="71" t="s">
        <v>242</v>
      </c>
      <c r="U529" s="61"/>
      <c r="V529" s="63" t="s">
        <v>250</v>
      </c>
      <c r="W529" s="71" t="s">
        <v>242</v>
      </c>
      <c r="X529" s="61"/>
      <c r="Y529" s="63" t="s">
        <v>250</v>
      </c>
      <c r="Z529" s="71" t="s">
        <v>242</v>
      </c>
      <c r="AA529" s="61"/>
      <c r="AB529" s="63" t="s">
        <v>250</v>
      </c>
      <c r="AC529" s="71" t="s">
        <v>242</v>
      </c>
      <c r="AD529" s="61"/>
      <c r="AE529" s="63" t="s">
        <v>250</v>
      </c>
      <c r="AF529" s="71" t="s">
        <v>242</v>
      </c>
      <c r="AG529" s="61"/>
      <c r="AH529" s="63" t="s">
        <v>250</v>
      </c>
      <c r="AI529" s="71" t="s">
        <v>242</v>
      </c>
      <c r="AJ529" s="61"/>
      <c r="AK529" s="63" t="s">
        <v>250</v>
      </c>
      <c r="AL529" s="71" t="s">
        <v>242</v>
      </c>
      <c r="AM529" s="61"/>
      <c r="AN529" s="63" t="s">
        <v>250</v>
      </c>
      <c r="AO529" s="71" t="s">
        <v>242</v>
      </c>
      <c r="AP529" s="61"/>
      <c r="AQ529" s="63" t="s">
        <v>250</v>
      </c>
      <c r="AR529" s="71" t="s">
        <v>242</v>
      </c>
      <c r="AS529" s="61"/>
      <c r="AT529" s="63" t="s">
        <v>250</v>
      </c>
      <c r="AU529" s="71" t="s">
        <v>242</v>
      </c>
    </row>
    <row r="530" spans="15:47" ht="13" x14ac:dyDescent="0.3">
      <c r="O530" s="6" t="s">
        <v>231</v>
      </c>
      <c r="P530" s="6"/>
      <c r="Q530" s="60"/>
      <c r="R530" s="85">
        <f>P_1_minQ-(R528^2*R_up)+dpup_minQ</f>
        <v>56.916014738088457</v>
      </c>
      <c r="S530" s="56"/>
      <c r="T530" s="72"/>
      <c r="U530" s="53">
        <f>P_1_minQ-(U528^2*R_up)+dpup_minQ</f>
        <v>56.850115362301338</v>
      </c>
      <c r="V530" s="44"/>
      <c r="W530" s="72"/>
      <c r="X530" s="53">
        <f>P_1_minQ-(X528^2*R_up)+dpup_minQ</f>
        <v>56.535700869910265</v>
      </c>
      <c r="Y530" s="44"/>
      <c r="Z530" s="72"/>
      <c r="AA530" s="53">
        <f>P_1_minQ-(AA528^2*R_up)+dpup_minQ</f>
        <v>55.529172072706935</v>
      </c>
      <c r="AB530" s="44"/>
      <c r="AC530" s="72"/>
      <c r="AD530" s="53">
        <f>P_1_minQ-(AD528^2*R_up)+dpup_minQ</f>
        <v>53.164644522640849</v>
      </c>
      <c r="AE530" s="44"/>
      <c r="AF530" s="72"/>
      <c r="AG530" s="53">
        <f>P_1_minQ-(AG528^2*R_up)+dpup_minQ</f>
        <v>48.60013900085972</v>
      </c>
      <c r="AH530" s="44"/>
      <c r="AI530" s="72"/>
      <c r="AJ530" s="53">
        <f>P_1_minQ-(AJ528^2*R_up)+dpup_minQ</f>
        <v>42.106166364656382</v>
      </c>
      <c r="AK530" s="44"/>
      <c r="AL530" s="72"/>
      <c r="AM530" s="53">
        <f>P_1_minQ-(AM528^2*R_up)+dpup_minQ</f>
        <v>34.866105797084764</v>
      </c>
      <c r="AN530" s="44"/>
      <c r="AO530" s="72"/>
      <c r="AP530" s="53">
        <f>P_1_minQ-(AP528^2*R_up)+dpup_minQ</f>
        <v>27.196024205216336</v>
      </c>
      <c r="AQ530" s="44"/>
      <c r="AR530" s="72"/>
      <c r="AS530" s="53">
        <f>P_1_minQ-(AS528^2*R_up)+dpup_minQ</f>
        <v>18.420971391939386</v>
      </c>
      <c r="AT530" s="44"/>
      <c r="AU530" s="72"/>
    </row>
    <row r="531" spans="15:47" ht="13" x14ac:dyDescent="0.3">
      <c r="O531" s="6" t="s">
        <v>233</v>
      </c>
      <c r="P531" s="6"/>
      <c r="Q531" s="60"/>
      <c r="R531" s="85">
        <f>P_2_minQ+(R528^2*R_dn)-dpdn_minQ</f>
        <v>24.656797052382309</v>
      </c>
      <c r="S531" s="66"/>
      <c r="T531" s="74"/>
      <c r="U531" s="53">
        <f>P_2_minQ+(U528^2*R_dn)-dpdn_minQ</f>
        <v>24.669976927539732</v>
      </c>
      <c r="V531" s="45"/>
      <c r="W531" s="74"/>
      <c r="X531" s="53">
        <f>P_2_minQ+(X528^2*R_dn)-dpdn_minQ</f>
        <v>24.73285982601795</v>
      </c>
      <c r="Y531" s="45"/>
      <c r="Z531" s="74"/>
      <c r="AA531" s="53">
        <f>P_2_minQ+(AA528^2*R_dn)-dpdn_minQ</f>
        <v>24.934165585458615</v>
      </c>
      <c r="AB531" s="45"/>
      <c r="AC531" s="74"/>
      <c r="AD531" s="53">
        <f>P_2_minQ+(AD528^2*R_dn)-dpdn_minQ</f>
        <v>25.407071095471832</v>
      </c>
      <c r="AE531" s="45"/>
      <c r="AF531" s="74"/>
      <c r="AG531" s="53">
        <f>P_2_minQ+(AG528^2*R_dn)-dpdn_minQ</f>
        <v>26.319972199828058</v>
      </c>
      <c r="AH531" s="45"/>
      <c r="AI531" s="74"/>
      <c r="AJ531" s="53">
        <f>P_2_minQ+(AJ528^2*R_dn)-dpdn_minQ</f>
        <v>27.618766727068724</v>
      </c>
      <c r="AK531" s="45"/>
      <c r="AL531" s="74"/>
      <c r="AM531" s="53">
        <f>P_2_minQ+(AM528^2*R_dn)-dpdn_minQ</f>
        <v>29.066778840583048</v>
      </c>
      <c r="AN531" s="45"/>
      <c r="AO531" s="74"/>
      <c r="AP531" s="53">
        <f>P_2_minQ+(AP528^2*R_dn)-dpdn_minQ</f>
        <v>30.600795158956732</v>
      </c>
      <c r="AQ531" s="45"/>
      <c r="AR531" s="74"/>
      <c r="AS531" s="53">
        <f>P_2_minQ+(AS528^2*R_dn)-dpdn_minQ</f>
        <v>32.355805721612128</v>
      </c>
      <c r="AT531" s="45"/>
      <c r="AU531" s="74"/>
    </row>
    <row r="532" spans="15:47" x14ac:dyDescent="0.25">
      <c r="O532" s="6" t="s">
        <v>243</v>
      </c>
      <c r="Q532" s="60"/>
      <c r="R532" s="53">
        <f>R530-R531</f>
        <v>32.259217685706147</v>
      </c>
      <c r="S532" s="56"/>
      <c r="T532" s="72"/>
      <c r="U532" s="64">
        <f>U530-U531</f>
        <v>32.180138434761602</v>
      </c>
      <c r="V532" s="44"/>
      <c r="W532" s="72"/>
      <c r="X532" s="64">
        <f>X530-X531</f>
        <v>31.802841043892315</v>
      </c>
      <c r="Y532" s="44"/>
      <c r="Z532" s="72"/>
      <c r="AA532" s="64">
        <f>AA530-AA531</f>
        <v>30.59500648724832</v>
      </c>
      <c r="AB532" s="44"/>
      <c r="AC532" s="72"/>
      <c r="AD532" s="64">
        <f>AD530-AD531</f>
        <v>27.757573427169017</v>
      </c>
      <c r="AE532" s="44"/>
      <c r="AF532" s="72"/>
      <c r="AG532" s="64">
        <f>AG530-AG531</f>
        <v>22.280166801031662</v>
      </c>
      <c r="AH532" s="44"/>
      <c r="AI532" s="72"/>
      <c r="AJ532" s="64">
        <f>AJ530-AJ531</f>
        <v>14.487399637587657</v>
      </c>
      <c r="AK532" s="44"/>
      <c r="AL532" s="72"/>
      <c r="AM532" s="64">
        <f>AM530-AM531</f>
        <v>5.7993269565017158</v>
      </c>
      <c r="AN532" s="44"/>
      <c r="AO532" s="72"/>
      <c r="AP532" s="64">
        <f>AP530-AP531</f>
        <v>-3.4047709537403961</v>
      </c>
      <c r="AQ532" s="44"/>
      <c r="AR532" s="72"/>
      <c r="AS532" s="64">
        <f>AS530-AS531</f>
        <v>-13.934834329672743</v>
      </c>
      <c r="AT532" s="44"/>
      <c r="AU532" s="72"/>
    </row>
    <row r="533" spans="15:47" ht="13" x14ac:dyDescent="0.3">
      <c r="O533" s="6" t="s">
        <v>75</v>
      </c>
      <c r="P533" s="6">
        <v>3</v>
      </c>
      <c r="Q533" s="65"/>
      <c r="R533" s="85">
        <f>(F_LP_h/F_P_h)^2*(R530-('Valve Sizing'!$V$4*'Valve Sizing'!$G$7))</f>
        <v>46.765056872762258</v>
      </c>
      <c r="S533" s="58"/>
      <c r="T533" s="73"/>
      <c r="U533" s="53">
        <f>(U$29/U$27)^2*(U530-('Valve Sizing'!$V$4*'Valve Sizing'!$G$7))</f>
        <v>46.697757380996364</v>
      </c>
      <c r="V533" s="41"/>
      <c r="W533" s="73"/>
      <c r="X533" s="53">
        <f>(X$29/X$27)^2*(X530-('Valve Sizing'!$V$4*'Valve Sizing'!$G$7))</f>
        <v>45.389989670768976</v>
      </c>
      <c r="Y533" s="41"/>
      <c r="Z533" s="73"/>
      <c r="AA533" s="53">
        <f>(AA$29/AA$27)^2*(AA530-('Valve Sizing'!$V$4*'Valve Sizing'!$G$7))</f>
        <v>42.572714538032024</v>
      </c>
      <c r="AB533" s="41"/>
      <c r="AC533" s="73"/>
      <c r="AD533" s="53">
        <f>(AD$29/AD$27)^2*(AD530-('Valve Sizing'!$V$4*'Valve Sizing'!$G$7))</f>
        <v>38.024308087415683</v>
      </c>
      <c r="AE533" s="41"/>
      <c r="AF533" s="73"/>
      <c r="AG533" s="53">
        <f>(AG$29/AG$27)^2*(AG530-('Valve Sizing'!$V$4*'Valve Sizing'!$G$7))</f>
        <v>31.017209070296264</v>
      </c>
      <c r="AH533" s="41"/>
      <c r="AI533" s="73"/>
      <c r="AJ533" s="53">
        <f>(AJ$29/AJ$27)^2*(AJ530-('Valve Sizing'!$V$4*'Valve Sizing'!$G$7))</f>
        <v>24.098191261416527</v>
      </c>
      <c r="AK533" s="41"/>
      <c r="AL533" s="73"/>
      <c r="AM533" s="53">
        <f>(AM$29/AM$27)^2*(AM530-('Valve Sizing'!$V$4*'Valve Sizing'!$G$7))</f>
        <v>16.471905239924737</v>
      </c>
      <c r="AN533" s="41"/>
      <c r="AO533" s="73"/>
      <c r="AP533" s="53">
        <f>(AP$29/AP$27)^2*(AP530-('Valve Sizing'!$V$4*'Valve Sizing'!$G$7))</f>
        <v>10.558622187110403</v>
      </c>
      <c r="AQ533" s="41"/>
      <c r="AR533" s="73"/>
      <c r="AS533" s="53">
        <f>(AS$29/AS$27)^2*(AS530-('Valve Sizing'!$V$4*'Valve Sizing'!$G$7))</f>
        <v>6.7633551664737865</v>
      </c>
      <c r="AT533" s="41"/>
      <c r="AU533" s="73"/>
    </row>
    <row r="534" spans="15:47" ht="13" x14ac:dyDescent="0.25">
      <c r="O534" s="1" t="s">
        <v>69</v>
      </c>
      <c r="P534" s="17">
        <v>7</v>
      </c>
      <c r="Q534" s="65"/>
      <c r="R534" s="53">
        <f>(R528/(N_1*F_P_h))*SQRT('Valve Sizing'!$G$6/R532)</f>
        <v>0.34342691557004945</v>
      </c>
      <c r="S534" s="58"/>
      <c r="T534" s="73"/>
      <c r="U534" s="64">
        <f>(U528/(N_1*U$27))*SQRT('Valve Sizing'!$G$6/U532)</f>
        <v>7.8010747756850725</v>
      </c>
      <c r="V534" s="41"/>
      <c r="W534" s="73"/>
      <c r="X534" s="64">
        <f>(X528/(N_1*X$27))*SQRT('Valve Sizing'!$G$6/X532)</f>
        <v>18.878651767379445</v>
      </c>
      <c r="Y534" s="41"/>
      <c r="Z534" s="73"/>
      <c r="AA534" s="64">
        <f>(AA528/(N_1*AA$27))*SQRT('Valve Sizing'!$G$6/AA532)</f>
        <v>36.962324975915593</v>
      </c>
      <c r="AB534" s="41"/>
      <c r="AC534" s="73"/>
      <c r="AD534" s="64">
        <f>(AD528/(N_1*AD$27))*SQRT('Valve Sizing'!$G$6/AD532)</f>
        <v>64.623086846982147</v>
      </c>
      <c r="AE534" s="41"/>
      <c r="AF534" s="73"/>
      <c r="AG534" s="64">
        <f>(AG528/(N_1*AG$27))*SQRT('Valve Sizing'!$G$6/AG532)</f>
        <v>109.7886359356693</v>
      </c>
      <c r="AH534" s="41"/>
      <c r="AI534" s="73"/>
      <c r="AJ534" s="64">
        <f>(AJ528/(N_1*AJ$27))*SQRT('Valve Sizing'!$G$6/AJ532)</f>
        <v>188.29828792371015</v>
      </c>
      <c r="AK534" s="41"/>
      <c r="AL534" s="73"/>
      <c r="AM534" s="64">
        <f>(AM528/(N_1*AM$27))*SQRT('Valve Sizing'!$G$6/AM532)</f>
        <v>385.29995868140088</v>
      </c>
      <c r="AN534" s="41"/>
      <c r="AO534" s="73"/>
      <c r="AP534" s="64" t="e">
        <f>(AP528/(N_1*AP$27))*SQRT('Valve Sizing'!$G$6/AP532)</f>
        <v>#NUM!</v>
      </c>
      <c r="AQ534" s="41"/>
      <c r="AR534" s="73"/>
      <c r="AS534" s="64" t="e">
        <f>(AS528/(N_1*AS$27))*SQRT('Valve Sizing'!$G$6/AS532)</f>
        <v>#NUM!</v>
      </c>
      <c r="AT534" s="41"/>
      <c r="AU534" s="73"/>
    </row>
    <row r="535" spans="15:47" ht="13" x14ac:dyDescent="0.3">
      <c r="O535" s="1" t="s">
        <v>72</v>
      </c>
      <c r="P535" s="17">
        <v>7</v>
      </c>
      <c r="Q535" s="65"/>
      <c r="R535" s="53">
        <f>(R528/(N_1*F_P_h))*SQRT('Valve Sizing'!$G$6/R533)</f>
        <v>0.28523348716703262</v>
      </c>
      <c r="S535" s="56"/>
      <c r="T535" s="72"/>
      <c r="U535" s="85">
        <f>(U528/(N_1*U$27))*SQRT('Valve Sizing'!$G$6/U533)</f>
        <v>6.4759037091563432</v>
      </c>
      <c r="V535" s="44"/>
      <c r="W535" s="72"/>
      <c r="X535" s="85">
        <f>(X528/(N_1*X$27))*SQRT('Valve Sizing'!$G$6/X533)</f>
        <v>15.802430644958335</v>
      </c>
      <c r="Y535" s="44"/>
      <c r="Z535" s="72"/>
      <c r="AA535" s="85">
        <f>(AA528/(N_1*AA$27))*SQRT('Valve Sizing'!$G$6/AA533)</f>
        <v>31.334219726061136</v>
      </c>
      <c r="AB535" s="44"/>
      <c r="AC535" s="72"/>
      <c r="AD535" s="85">
        <f>(AD528/(N_1*AD$27))*SQRT('Valve Sizing'!$G$6/AD533)</f>
        <v>55.213819059827728</v>
      </c>
      <c r="AE535" s="44"/>
      <c r="AF535" s="72"/>
      <c r="AG535" s="85">
        <f>(AG528/(N_1*AG$27))*SQRT('Valve Sizing'!$G$6/AG533)</f>
        <v>93.049758322024474</v>
      </c>
      <c r="AH535" s="44"/>
      <c r="AI535" s="72"/>
      <c r="AJ535" s="85">
        <f>(AJ528/(N_1*AJ$27))*SQRT('Valve Sizing'!$G$6/AJ533)</f>
        <v>145.99882748636034</v>
      </c>
      <c r="AK535" s="44"/>
      <c r="AL535" s="72"/>
      <c r="AM535" s="85">
        <f>(AM528/(N_1*AM$27))*SQRT('Valve Sizing'!$G$6/AM533)</f>
        <v>228.62085361366334</v>
      </c>
      <c r="AN535" s="44"/>
      <c r="AO535" s="72"/>
      <c r="AP535" s="85">
        <f>(AP528/(N_1*AP$27))*SQRT('Valve Sizing'!$G$6/AP533)</f>
        <v>377.32988840683248</v>
      </c>
      <c r="AQ535" s="44"/>
      <c r="AR535" s="72"/>
      <c r="AS535" s="85">
        <f>(AS528/(N_1*AS$27))*SQRT('Valve Sizing'!$G$6/AS533)</f>
        <v>718.66850708142078</v>
      </c>
      <c r="AT535" s="44"/>
      <c r="AU535" s="72"/>
    </row>
    <row r="536" spans="15:47" x14ac:dyDescent="0.25">
      <c r="O536" s="1" t="s">
        <v>246</v>
      </c>
      <c r="P536" s="18"/>
      <c r="Q536" s="65"/>
      <c r="R536" s="53">
        <f>IF(R532&lt;R533,R534,R535)</f>
        <v>0.34342691557004945</v>
      </c>
      <c r="S536" s="49"/>
      <c r="T536" s="72"/>
      <c r="U536" s="64">
        <f>IF(U532&lt;U533,U534,U535)</f>
        <v>7.8010747756850725</v>
      </c>
      <c r="V536" s="44"/>
      <c r="W536" s="72"/>
      <c r="X536" s="64">
        <f>IF(X532&lt;X533,X534,X535)</f>
        <v>18.878651767379445</v>
      </c>
      <c r="Y536" s="44"/>
      <c r="Z536" s="72"/>
      <c r="AA536" s="64">
        <f>IF(AA532&lt;AA533,AA534,AA535)</f>
        <v>36.962324975915593</v>
      </c>
      <c r="AB536" s="44"/>
      <c r="AC536" s="72"/>
      <c r="AD536" s="64">
        <f>IF(AD532&lt;AD533,AD534,AD535)</f>
        <v>64.623086846982147</v>
      </c>
      <c r="AE536" s="44"/>
      <c r="AF536" s="72"/>
      <c r="AG536" s="64">
        <f>IF(AG532&lt;AG533,AG534,AG535)</f>
        <v>109.7886359356693</v>
      </c>
      <c r="AH536" s="44"/>
      <c r="AI536" s="72"/>
      <c r="AJ536" s="64">
        <f>IF(AJ532&lt;AJ533,AJ534,AJ535)</f>
        <v>188.29828792371015</v>
      </c>
      <c r="AK536" s="44"/>
      <c r="AL536" s="72"/>
      <c r="AM536" s="64">
        <f>IF(AM532&lt;AM533,AM534,AM535)</f>
        <v>385.29995868140088</v>
      </c>
      <c r="AN536" s="44"/>
      <c r="AO536" s="72"/>
      <c r="AP536" s="64" t="e">
        <f>IF(AP532&lt;AP533,AP534,AP535)</f>
        <v>#NUM!</v>
      </c>
      <c r="AQ536" s="44"/>
      <c r="AR536" s="72"/>
      <c r="AS536" s="64" t="e">
        <f>IF(AS532&lt;AS533,AS534,AS535)</f>
        <v>#NUM!</v>
      </c>
      <c r="AT536" s="44"/>
      <c r="AU536" s="72"/>
    </row>
    <row r="537" spans="15:47" ht="13" x14ac:dyDescent="0.3">
      <c r="O537" s="7" t="s">
        <v>264</v>
      </c>
      <c r="Q537" s="61"/>
      <c r="R537" s="53"/>
      <c r="S537" s="69">
        <f>IFERROR(ABS(C_h-R536),Q_max*10)</f>
        <v>4.6565730844299509</v>
      </c>
      <c r="T537" s="76">
        <f>R528</f>
        <v>1.9502833642410764</v>
      </c>
      <c r="U537" s="61"/>
      <c r="V537" s="69">
        <f>IFERROR(ABS(U$23-U536),Q_max*10)</f>
        <v>4.1989252243149275</v>
      </c>
      <c r="W537" s="75">
        <f>U528</f>
        <v>44.216333206830015</v>
      </c>
      <c r="X537" s="61"/>
      <c r="Y537" s="69">
        <f>IFERROR(ABS(X$23-X536),Q_max*10)</f>
        <v>4.1213482326205551</v>
      </c>
      <c r="Z537" s="75">
        <f>X528</f>
        <v>106.13622021702641</v>
      </c>
      <c r="AA537" s="61"/>
      <c r="AB537" s="69">
        <f>IFERROR(ABS(AA$23-AA536),Q_max*10)</f>
        <v>2.0376750240844075</v>
      </c>
      <c r="AC537" s="75">
        <f>AA528</f>
        <v>202.65294206388316</v>
      </c>
      <c r="AD537" s="61"/>
      <c r="AE537" s="69">
        <f>IFERROR(ABS(AD$23-AD536),Q_max*10)</f>
        <v>3.6230868469821473</v>
      </c>
      <c r="AF537" s="75">
        <f>AD528</f>
        <v>333.28947730854713</v>
      </c>
      <c r="AG537" s="61"/>
      <c r="AH537" s="69">
        <f>IFERROR(ABS(AG$23-AG536),Q_max*10)</f>
        <v>21.788635935669305</v>
      </c>
      <c r="AI537" s="75">
        <f>AG528</f>
        <v>496.22261555127028</v>
      </c>
      <c r="AJ537" s="61"/>
      <c r="AK537" s="69">
        <f>IFERROR(ABS(AJ$23-AJ536),Q_max*10)</f>
        <v>67.298287923710149</v>
      </c>
      <c r="AL537" s="75">
        <f>AJ528</f>
        <v>662.21100409350231</v>
      </c>
      <c r="AM537" s="61"/>
      <c r="AN537" s="69">
        <f>IFERROR(ABS(AM$23-AM536),Q_max*10)</f>
        <v>220.29995868140088</v>
      </c>
      <c r="AO537" s="75">
        <f>AM528</f>
        <v>808.0232715388338</v>
      </c>
      <c r="AP537" s="61"/>
      <c r="AQ537" s="69">
        <f>IFERROR(ABS(AP$23-AP536),Q_max*10)</f>
        <v>5500</v>
      </c>
      <c r="AR537" s="75">
        <f>AP528</f>
        <v>938.08993347308888</v>
      </c>
      <c r="AS537" s="61"/>
      <c r="AT537" s="69">
        <f>IFERROR(ABS(AS$23-AS536),Q_max*10)</f>
        <v>5500</v>
      </c>
      <c r="AU537" s="75">
        <f>AS528</f>
        <v>1067.6338497278339</v>
      </c>
    </row>
    <row r="538" spans="15:47" ht="14.5" x14ac:dyDescent="0.35">
      <c r="O538" s="8"/>
      <c r="P538" s="6"/>
      <c r="Q538" s="60"/>
      <c r="R538" s="67"/>
      <c r="S538" s="58"/>
      <c r="T538" s="73"/>
      <c r="V538" s="11"/>
      <c r="W538" s="38"/>
      <c r="Y538" s="11"/>
      <c r="Z538" s="38"/>
      <c r="AB538" s="11"/>
      <c r="AC538" s="38"/>
      <c r="AE538" s="11"/>
      <c r="AF538" s="38"/>
      <c r="AH538" s="11"/>
      <c r="AI538" s="38"/>
      <c r="AK538" s="11"/>
      <c r="AL538" s="38"/>
      <c r="AN538" s="11"/>
      <c r="AO538" s="38"/>
      <c r="AQ538" s="11"/>
      <c r="AR538" s="38"/>
      <c r="AT538" s="11"/>
      <c r="AU538" s="38"/>
    </row>
    <row r="539" spans="15:47" ht="14" x14ac:dyDescent="0.3">
      <c r="O539" s="8" t="s">
        <v>235</v>
      </c>
      <c r="P539" s="6"/>
      <c r="Q539" s="60"/>
      <c r="R539" s="53">
        <f>R528*1.02</f>
        <v>1.989289031525898</v>
      </c>
      <c r="S539" s="58" t="s">
        <v>238</v>
      </c>
      <c r="T539" s="73" t="s">
        <v>241</v>
      </c>
      <c r="U539" s="84">
        <f>U528*1.01</f>
        <v>44.658496538898312</v>
      </c>
      <c r="V539" s="58" t="s">
        <v>238</v>
      </c>
      <c r="W539" s="73" t="s">
        <v>241</v>
      </c>
      <c r="X539" s="84">
        <f>X528*1.01</f>
        <v>107.19758241919666</v>
      </c>
      <c r="Y539" s="58" t="s">
        <v>238</v>
      </c>
      <c r="Z539" s="73" t="s">
        <v>241</v>
      </c>
      <c r="AA539" s="84">
        <f>AA528*1.01</f>
        <v>204.679471484522</v>
      </c>
      <c r="AB539" s="58" t="s">
        <v>238</v>
      </c>
      <c r="AC539" s="73" t="s">
        <v>241</v>
      </c>
      <c r="AD539" s="84">
        <f>AD528*1.01</f>
        <v>336.62237208163259</v>
      </c>
      <c r="AE539" s="58" t="s">
        <v>238</v>
      </c>
      <c r="AF539" s="73" t="s">
        <v>241</v>
      </c>
      <c r="AG539" s="84">
        <f>AG528*1.01</f>
        <v>501.184841706783</v>
      </c>
      <c r="AH539" s="58" t="s">
        <v>238</v>
      </c>
      <c r="AI539" s="73" t="s">
        <v>241</v>
      </c>
      <c r="AJ539" s="84">
        <f>AJ528*1.01</f>
        <v>668.83311413443732</v>
      </c>
      <c r="AK539" s="58" t="s">
        <v>238</v>
      </c>
      <c r="AL539" s="73" t="s">
        <v>241</v>
      </c>
      <c r="AM539" s="84">
        <f>AM528*1.01</f>
        <v>816.10350425422212</v>
      </c>
      <c r="AN539" s="58" t="s">
        <v>238</v>
      </c>
      <c r="AO539" s="73" t="s">
        <v>241</v>
      </c>
      <c r="AP539" s="84">
        <f>AP528*1.01</f>
        <v>947.47083280781976</v>
      </c>
      <c r="AQ539" s="58" t="s">
        <v>238</v>
      </c>
      <c r="AR539" s="73" t="s">
        <v>241</v>
      </c>
      <c r="AS539" s="84">
        <f>AS528*1.01</f>
        <v>1078.3101882251121</v>
      </c>
      <c r="AT539" s="58" t="s">
        <v>238</v>
      </c>
      <c r="AU539" s="73" t="s">
        <v>241</v>
      </c>
    </row>
    <row r="540" spans="15:47" ht="13" x14ac:dyDescent="0.25">
      <c r="O540" s="6"/>
      <c r="P540" s="6"/>
      <c r="Q540" s="60"/>
      <c r="R540" s="70"/>
      <c r="S540" s="63" t="s">
        <v>250</v>
      </c>
      <c r="T540" s="71" t="s">
        <v>242</v>
      </c>
      <c r="U540" s="61"/>
      <c r="V540" s="63" t="s">
        <v>250</v>
      </c>
      <c r="W540" s="71" t="s">
        <v>242</v>
      </c>
      <c r="X540" s="61"/>
      <c r="Y540" s="63" t="s">
        <v>250</v>
      </c>
      <c r="Z540" s="71" t="s">
        <v>242</v>
      </c>
      <c r="AA540" s="61"/>
      <c r="AB540" s="63" t="s">
        <v>250</v>
      </c>
      <c r="AC540" s="71" t="s">
        <v>242</v>
      </c>
      <c r="AD540" s="61"/>
      <c r="AE540" s="63" t="s">
        <v>250</v>
      </c>
      <c r="AF540" s="71" t="s">
        <v>242</v>
      </c>
      <c r="AG540" s="61"/>
      <c r="AH540" s="63" t="s">
        <v>250</v>
      </c>
      <c r="AI540" s="71" t="s">
        <v>242</v>
      </c>
      <c r="AJ540" s="61"/>
      <c r="AK540" s="63" t="s">
        <v>250</v>
      </c>
      <c r="AL540" s="71" t="s">
        <v>242</v>
      </c>
      <c r="AM540" s="61"/>
      <c r="AN540" s="63" t="s">
        <v>250</v>
      </c>
      <c r="AO540" s="71" t="s">
        <v>242</v>
      </c>
      <c r="AP540" s="61"/>
      <c r="AQ540" s="63" t="s">
        <v>250</v>
      </c>
      <c r="AR540" s="71" t="s">
        <v>242</v>
      </c>
      <c r="AS540" s="61"/>
      <c r="AT540" s="63" t="s">
        <v>250</v>
      </c>
      <c r="AU540" s="71" t="s">
        <v>242</v>
      </c>
    </row>
    <row r="541" spans="15:47" ht="13" x14ac:dyDescent="0.3">
      <c r="O541" s="6" t="s">
        <v>231</v>
      </c>
      <c r="P541" s="6"/>
      <c r="Q541" s="60"/>
      <c r="R541" s="85">
        <f>P_1_minQ-(R539^2*R_up)+dpup_minQ</f>
        <v>56.916009548434616</v>
      </c>
      <c r="S541" s="56"/>
      <c r="T541" s="72"/>
      <c r="U541" s="53">
        <f>P_1_minQ-(U539^2*R_up)+dpup_minQ</f>
        <v>56.848788202866778</v>
      </c>
      <c r="V541" s="44"/>
      <c r="W541" s="72"/>
      <c r="X541" s="53">
        <f>P_1_minQ-(X539^2*R_up)+dpup_minQ</f>
        <v>56.528053979178644</v>
      </c>
      <c r="Y541" s="44"/>
      <c r="Z541" s="72"/>
      <c r="AA541" s="53">
        <f>P_1_minQ-(AA539^2*R_up)+dpup_minQ</f>
        <v>55.501293953151531</v>
      </c>
      <c r="AB541" s="44"/>
      <c r="AC541" s="72"/>
      <c r="AD541" s="53">
        <f>P_1_minQ-(AD539^2*R_up)+dpup_minQ</f>
        <v>53.089239399329109</v>
      </c>
      <c r="AE541" s="44"/>
      <c r="AF541" s="72"/>
      <c r="AG541" s="53">
        <f>P_1_minQ-(AG539^2*R_up)+dpup_minQ</f>
        <v>48.43298731656018</v>
      </c>
      <c r="AH541" s="44"/>
      <c r="AI541" s="72"/>
      <c r="AJ541" s="53">
        <f>P_1_minQ-(AJ539^2*R_up)+dpup_minQ</f>
        <v>41.808485830369158</v>
      </c>
      <c r="AK541" s="44"/>
      <c r="AL541" s="72"/>
      <c r="AM541" s="53">
        <f>P_1_minQ-(AM539^2*R_up)+dpup_minQ</f>
        <v>34.422900045389355</v>
      </c>
      <c r="AN541" s="44"/>
      <c r="AO541" s="72"/>
      <c r="AP541" s="53">
        <f>P_1_minQ-(AP539^2*R_up)+dpup_minQ</f>
        <v>26.598649813524368</v>
      </c>
      <c r="AQ541" s="44"/>
      <c r="AR541" s="72"/>
      <c r="AS541" s="53">
        <f>P_1_minQ-(AS539^2*R_up)+dpup_minQ</f>
        <v>17.647218438700545</v>
      </c>
      <c r="AT541" s="44"/>
      <c r="AU541" s="72"/>
    </row>
    <row r="542" spans="15:47" ht="13" x14ac:dyDescent="0.3">
      <c r="O542" s="6" t="s">
        <v>233</v>
      </c>
      <c r="P542" s="6"/>
      <c r="Q542" s="60"/>
      <c r="R542" s="85">
        <f>P_2_minQ+(R539^2*R_dn)-dpdn_minQ</f>
        <v>24.656798090313078</v>
      </c>
      <c r="S542" s="66"/>
      <c r="T542" s="74"/>
      <c r="U542" s="53">
        <f>P_2_minQ+(U539^2*R_dn)-dpdn_minQ</f>
        <v>24.670242359426645</v>
      </c>
      <c r="V542" s="45"/>
      <c r="W542" s="74"/>
      <c r="X542" s="53">
        <f>P_2_minQ+(X539^2*R_dn)-dpdn_minQ</f>
        <v>24.734389204164273</v>
      </c>
      <c r="Y542" s="45"/>
      <c r="Z542" s="74"/>
      <c r="AA542" s="53">
        <f>P_2_minQ+(AA539^2*R_dn)-dpdn_minQ</f>
        <v>24.939741209369696</v>
      </c>
      <c r="AB542" s="45"/>
      <c r="AC542" s="74"/>
      <c r="AD542" s="53">
        <f>P_2_minQ+(AD539^2*R_dn)-dpdn_minQ</f>
        <v>25.422152120134179</v>
      </c>
      <c r="AE542" s="45"/>
      <c r="AF542" s="74"/>
      <c r="AG542" s="53">
        <f>P_2_minQ+(AG539^2*R_dn)-dpdn_minQ</f>
        <v>26.353402536687966</v>
      </c>
      <c r="AH542" s="45"/>
      <c r="AI542" s="74"/>
      <c r="AJ542" s="53">
        <f>P_2_minQ+(AJ539^2*R_dn)-dpdn_minQ</f>
        <v>27.678302833926171</v>
      </c>
      <c r="AK542" s="45"/>
      <c r="AL542" s="74"/>
      <c r="AM542" s="53">
        <f>P_2_minQ+(AM539^2*R_dn)-dpdn_minQ</f>
        <v>29.15541999092213</v>
      </c>
      <c r="AN542" s="45"/>
      <c r="AO542" s="74"/>
      <c r="AP542" s="53">
        <f>P_2_minQ+(AP539^2*R_dn)-dpdn_minQ</f>
        <v>30.720270037295126</v>
      </c>
      <c r="AQ542" s="45"/>
      <c r="AR542" s="74"/>
      <c r="AS542" s="53">
        <f>P_2_minQ+(AS539^2*R_dn)-dpdn_minQ</f>
        <v>32.510556312259894</v>
      </c>
      <c r="AT542" s="45"/>
      <c r="AU542" s="74"/>
    </row>
    <row r="543" spans="15:47" x14ac:dyDescent="0.25">
      <c r="O543" s="6" t="s">
        <v>243</v>
      </c>
      <c r="Q543" s="60"/>
      <c r="R543" s="53">
        <f>R541-R542</f>
        <v>32.259211458121541</v>
      </c>
      <c r="S543" s="56"/>
      <c r="T543" s="72"/>
      <c r="U543" s="64">
        <f>U541-U542</f>
        <v>32.178545843440133</v>
      </c>
      <c r="V543" s="44"/>
      <c r="W543" s="72"/>
      <c r="X543" s="64">
        <f>X541-X542</f>
        <v>31.793664775014371</v>
      </c>
      <c r="Y543" s="44"/>
      <c r="Z543" s="72"/>
      <c r="AA543" s="64">
        <f>AA541-AA542</f>
        <v>30.561552743781835</v>
      </c>
      <c r="AB543" s="44"/>
      <c r="AC543" s="72"/>
      <c r="AD543" s="64">
        <f>AD541-AD542</f>
        <v>27.667087279194931</v>
      </c>
      <c r="AE543" s="44"/>
      <c r="AF543" s="72"/>
      <c r="AG543" s="64">
        <f>AG541-AG542</f>
        <v>22.079584779872214</v>
      </c>
      <c r="AH543" s="44"/>
      <c r="AI543" s="72"/>
      <c r="AJ543" s="64">
        <f>AJ541-AJ542</f>
        <v>14.130182996442986</v>
      </c>
      <c r="AK543" s="44"/>
      <c r="AL543" s="72"/>
      <c r="AM543" s="64">
        <f>AM541-AM542</f>
        <v>5.2674800544672244</v>
      </c>
      <c r="AN543" s="44"/>
      <c r="AO543" s="72"/>
      <c r="AP543" s="64">
        <f>AP541-AP542</f>
        <v>-4.1216202237707584</v>
      </c>
      <c r="AQ543" s="44"/>
      <c r="AR543" s="72"/>
      <c r="AS543" s="64">
        <f>AS541-AS542</f>
        <v>-14.863337873559349</v>
      </c>
      <c r="AT543" s="44"/>
      <c r="AU543" s="72"/>
    </row>
    <row r="544" spans="15:47" ht="13" x14ac:dyDescent="0.3">
      <c r="O544" s="6" t="s">
        <v>75</v>
      </c>
      <c r="P544" s="6">
        <v>3</v>
      </c>
      <c r="Q544" s="65"/>
      <c r="R544" s="85">
        <f>(F_LP_h/F_P_h)^2*(R541-('Valve Sizing'!$V$4*'Valve Sizing'!$G$7))</f>
        <v>46.76505257545648</v>
      </c>
      <c r="S544" s="58"/>
      <c r="T544" s="73"/>
      <c r="U544" s="53">
        <f>(U$29/U$27)^2*(U541-('Valve Sizing'!$V$4*'Valve Sizing'!$G$7))</f>
        <v>46.69665872285249</v>
      </c>
      <c r="V544" s="41"/>
      <c r="W544" s="73"/>
      <c r="X544" s="53">
        <f>(X$29/X$27)^2*(X541-('Valve Sizing'!$V$4*'Valve Sizing'!$G$7))</f>
        <v>45.38380216187317</v>
      </c>
      <c r="Y544" s="41"/>
      <c r="Z544" s="73"/>
      <c r="AA544" s="53">
        <f>(AA$29/AA$27)^2*(AA541-('Valve Sizing'!$V$4*'Valve Sizing'!$G$7))</f>
        <v>42.551170404703051</v>
      </c>
      <c r="AB544" s="41"/>
      <c r="AC544" s="73"/>
      <c r="AD544" s="53">
        <f>(AD$29/AD$27)^2*(AD541-('Valve Sizing'!$V$4*'Valve Sizing'!$G$7))</f>
        <v>37.969926862046727</v>
      </c>
      <c r="AE544" s="41"/>
      <c r="AF544" s="73"/>
      <c r="AG544" s="53">
        <f>(AG$29/AG$27)^2*(AG541-('Valve Sizing'!$V$4*'Valve Sizing'!$G$7))</f>
        <v>30.909556039093079</v>
      </c>
      <c r="AH544" s="41"/>
      <c r="AI544" s="73"/>
      <c r="AJ544" s="53">
        <f>(AJ$29/AJ$27)^2*(AJ541-('Valve Sizing'!$V$4*'Valve Sizing'!$G$7))</f>
        <v>23.926023457063941</v>
      </c>
      <c r="AK544" s="41"/>
      <c r="AL544" s="73"/>
      <c r="AM544" s="53">
        <f>(AM$29/AM$27)^2*(AM541-('Valve Sizing'!$V$4*'Valve Sizing'!$G$7))</f>
        <v>16.259843631326909</v>
      </c>
      <c r="AN544" s="41"/>
      <c r="AO544" s="73"/>
      <c r="AP544" s="53">
        <f>(AP$29/AP$27)^2*(AP541-('Valve Sizing'!$V$4*'Valve Sizing'!$G$7))</f>
        <v>10.322882226171847</v>
      </c>
      <c r="AQ544" s="41"/>
      <c r="AR544" s="73"/>
      <c r="AS544" s="53">
        <f>(AS$29/AS$27)^2*(AS541-('Valve Sizing'!$V$4*'Valve Sizing'!$G$7))</f>
        <v>6.4723151162023536</v>
      </c>
      <c r="AT544" s="41"/>
      <c r="AU544" s="73"/>
    </row>
    <row r="545" spans="15:47" ht="13" x14ac:dyDescent="0.25">
      <c r="O545" s="1" t="s">
        <v>69</v>
      </c>
      <c r="P545" s="17">
        <v>7</v>
      </c>
      <c r="Q545" s="65"/>
      <c r="R545" s="53">
        <f>(R539/(N_1*F_P_h))*SQRT('Valve Sizing'!$G$6/R543)</f>
        <v>0.35029548769341262</v>
      </c>
      <c r="S545" s="58"/>
      <c r="T545" s="73"/>
      <c r="U545" s="64">
        <f>(U539/(N_1*U$27))*SQRT('Valve Sizing'!$G$6/U543)</f>
        <v>7.879280498193598</v>
      </c>
      <c r="V545" s="41"/>
      <c r="W545" s="73"/>
      <c r="X545" s="64">
        <f>(X539/(N_1*X$27))*SQRT('Valve Sizing'!$G$6/X543)</f>
        <v>19.070189702966065</v>
      </c>
      <c r="Y545" s="41"/>
      <c r="Z545" s="73"/>
      <c r="AA545" s="64">
        <f>(AA539/(N_1*AA$27))*SQRT('Valve Sizing'!$G$6/AA543)</f>
        <v>37.352375064681411</v>
      </c>
      <c r="AB545" s="41"/>
      <c r="AC545" s="73"/>
      <c r="AD545" s="64">
        <f>(AD539/(N_1*AD$27))*SQRT('Valve Sizing'!$G$6/AD543)</f>
        <v>65.375963349012025</v>
      </c>
      <c r="AE545" s="41"/>
      <c r="AF545" s="73"/>
      <c r="AG545" s="64">
        <f>(AG539/(N_1*AG$27))*SQRT('Valve Sizing'!$G$6/AG543)</f>
        <v>111.38905794326847</v>
      </c>
      <c r="AH545" s="41"/>
      <c r="AI545" s="73"/>
      <c r="AJ545" s="64">
        <f>(AJ539/(N_1*AJ$27))*SQRT('Valve Sizing'!$G$6/AJ543)</f>
        <v>192.57019584400913</v>
      </c>
      <c r="AK545" s="41"/>
      <c r="AL545" s="73"/>
      <c r="AM545" s="64">
        <f>(AM539/(N_1*AM$27))*SQRT('Valve Sizing'!$G$6/AM543)</f>
        <v>408.32661029243138</v>
      </c>
      <c r="AN545" s="41"/>
      <c r="AO545" s="73"/>
      <c r="AP545" s="64" t="e">
        <f>(AP539/(N_1*AP$27))*SQRT('Valve Sizing'!$G$6/AP543)</f>
        <v>#NUM!</v>
      </c>
      <c r="AQ545" s="41"/>
      <c r="AR545" s="73"/>
      <c r="AS545" s="64" t="e">
        <f>(AS539/(N_1*AS$27))*SQRT('Valve Sizing'!$G$6/AS543)</f>
        <v>#NUM!</v>
      </c>
      <c r="AT545" s="41"/>
      <c r="AU545" s="73"/>
    </row>
    <row r="546" spans="15:47" ht="13" x14ac:dyDescent="0.3">
      <c r="O546" s="1" t="s">
        <v>72</v>
      </c>
      <c r="P546" s="17">
        <v>7</v>
      </c>
      <c r="Q546" s="65"/>
      <c r="R546" s="53">
        <f>(R539/(N_1*F_P_h))*SQRT('Valve Sizing'!$G$6/R544)</f>
        <v>0.29093817027772911</v>
      </c>
      <c r="S546" s="56"/>
      <c r="T546" s="72"/>
      <c r="U546" s="85">
        <f>(U539/(N_1*U$27))*SQRT('Valve Sizing'!$G$6/U544)</f>
        <v>6.5407396886922111</v>
      </c>
      <c r="V546" s="44"/>
      <c r="W546" s="72"/>
      <c r="X546" s="85">
        <f>(X539/(N_1*X$27))*SQRT('Valve Sizing'!$G$6/X544)</f>
        <v>15.961542917670139</v>
      </c>
      <c r="Y546" s="44"/>
      <c r="Z546" s="72"/>
      <c r="AA546" s="85">
        <f>(AA539/(N_1*AA$27))*SQRT('Valve Sizing'!$G$6/AA544)</f>
        <v>31.655572666690105</v>
      </c>
      <c r="AB546" s="44"/>
      <c r="AC546" s="72"/>
      <c r="AD546" s="85">
        <f>(AD539/(N_1*AD$27))*SQRT('Valve Sizing'!$G$6/AD544)</f>
        <v>55.80587747509712</v>
      </c>
      <c r="AE546" s="44"/>
      <c r="AF546" s="72"/>
      <c r="AG546" s="85">
        <f>(AG539/(N_1*AG$27))*SQRT('Valve Sizing'!$G$6/AG544)</f>
        <v>94.143772739933098</v>
      </c>
      <c r="AH546" s="44"/>
      <c r="AI546" s="72"/>
      <c r="AJ546" s="85">
        <f>(AJ539/(N_1*AJ$27))*SQRT('Valve Sizing'!$G$6/AJ544)</f>
        <v>147.9884096738289</v>
      </c>
      <c r="AK546" s="44"/>
      <c r="AL546" s="72"/>
      <c r="AM546" s="85">
        <f>(AM539/(N_1*AM$27))*SQRT('Valve Sizing'!$G$6/AM544)</f>
        <v>232.4079345122984</v>
      </c>
      <c r="AN546" s="44"/>
      <c r="AO546" s="72"/>
      <c r="AP546" s="85">
        <f>(AP539/(N_1*AP$27))*SQRT('Valve Sizing'!$G$6/AP544)</f>
        <v>385.43018167124751</v>
      </c>
      <c r="AQ546" s="44"/>
      <c r="AR546" s="72"/>
      <c r="AS546" s="85">
        <f>(AS539/(N_1*AS$27))*SQRT('Valve Sizing'!$G$6/AS544)</f>
        <v>741.99547731493203</v>
      </c>
      <c r="AT546" s="44"/>
      <c r="AU546" s="72"/>
    </row>
    <row r="547" spans="15:47" x14ac:dyDescent="0.25">
      <c r="O547" s="1" t="s">
        <v>246</v>
      </c>
      <c r="P547" s="18"/>
      <c r="Q547" s="65"/>
      <c r="R547" s="53">
        <f>IF(R543&lt;R544,R545,R546)</f>
        <v>0.35029548769341262</v>
      </c>
      <c r="S547" s="49"/>
      <c r="T547" s="72"/>
      <c r="U547" s="64">
        <f>IF(U543&lt;U544,U545,U546)</f>
        <v>7.879280498193598</v>
      </c>
      <c r="V547" s="44"/>
      <c r="W547" s="72"/>
      <c r="X547" s="64">
        <f>IF(X543&lt;X544,X545,X546)</f>
        <v>19.070189702966065</v>
      </c>
      <c r="Y547" s="44"/>
      <c r="Z547" s="72"/>
      <c r="AA547" s="64">
        <f>IF(AA543&lt;AA544,AA545,AA546)</f>
        <v>37.352375064681411</v>
      </c>
      <c r="AB547" s="44"/>
      <c r="AC547" s="72"/>
      <c r="AD547" s="64">
        <f>IF(AD543&lt;AD544,AD545,AD546)</f>
        <v>65.375963349012025</v>
      </c>
      <c r="AE547" s="44"/>
      <c r="AF547" s="72"/>
      <c r="AG547" s="64">
        <f>IF(AG543&lt;AG544,AG545,AG546)</f>
        <v>111.38905794326847</v>
      </c>
      <c r="AH547" s="44"/>
      <c r="AI547" s="72"/>
      <c r="AJ547" s="64">
        <f>IF(AJ543&lt;AJ544,AJ545,AJ546)</f>
        <v>192.57019584400913</v>
      </c>
      <c r="AK547" s="44"/>
      <c r="AL547" s="72"/>
      <c r="AM547" s="64">
        <f>IF(AM543&lt;AM544,AM545,AM546)</f>
        <v>408.32661029243138</v>
      </c>
      <c r="AN547" s="44"/>
      <c r="AO547" s="72"/>
      <c r="AP547" s="64" t="e">
        <f>IF(AP543&lt;AP544,AP545,AP546)</f>
        <v>#NUM!</v>
      </c>
      <c r="AQ547" s="44"/>
      <c r="AR547" s="72"/>
      <c r="AS547" s="64" t="e">
        <f>IF(AS543&lt;AS544,AS545,AS546)</f>
        <v>#NUM!</v>
      </c>
      <c r="AT547" s="44"/>
      <c r="AU547" s="72"/>
    </row>
    <row r="548" spans="15:47" ht="13" x14ac:dyDescent="0.3">
      <c r="O548" s="7" t="s">
        <v>264</v>
      </c>
      <c r="Q548" s="61"/>
      <c r="R548" s="53"/>
      <c r="S548" s="69">
        <f>IFERROR(ABS(C_h-R547),Q_max*10)</f>
        <v>4.6497045123065872</v>
      </c>
      <c r="T548" s="76">
        <f>R539</f>
        <v>1.989289031525898</v>
      </c>
      <c r="U548" s="61"/>
      <c r="V548" s="69">
        <f>IFERROR(ABS(U$23-U547),Q_max*10)</f>
        <v>4.120719501806402</v>
      </c>
      <c r="W548" s="75">
        <f>U539</f>
        <v>44.658496538898312</v>
      </c>
      <c r="X548" s="61"/>
      <c r="Y548" s="69">
        <f>IFERROR(ABS(X$23-X547),Q_max*10)</f>
        <v>3.929810297033935</v>
      </c>
      <c r="Z548" s="75">
        <f>X539</f>
        <v>107.19758241919666</v>
      </c>
      <c r="AA548" s="61"/>
      <c r="AB548" s="69">
        <f>IFERROR(ABS(AA$23-AA547),Q_max*10)</f>
        <v>1.6476249353185892</v>
      </c>
      <c r="AC548" s="75">
        <f>AA539</f>
        <v>204.679471484522</v>
      </c>
      <c r="AD548" s="61"/>
      <c r="AE548" s="69">
        <f>IFERROR(ABS(AD$23-AD547),Q_max*10)</f>
        <v>4.3759633490120251</v>
      </c>
      <c r="AF548" s="75">
        <f>AD539</f>
        <v>336.62237208163259</v>
      </c>
      <c r="AG548" s="61"/>
      <c r="AH548" s="69">
        <f>IFERROR(ABS(AG$23-AG547),Q_max*10)</f>
        <v>23.389057943268469</v>
      </c>
      <c r="AI548" s="75">
        <f>AG539</f>
        <v>501.184841706783</v>
      </c>
      <c r="AJ548" s="61"/>
      <c r="AK548" s="69">
        <f>IFERROR(ABS(AJ$23-AJ547),Q_max*10)</f>
        <v>71.570195844009135</v>
      </c>
      <c r="AL548" s="75">
        <f>AJ539</f>
        <v>668.83311413443732</v>
      </c>
      <c r="AM548" s="61"/>
      <c r="AN548" s="69">
        <f>IFERROR(ABS(AM$23-AM547),Q_max*10)</f>
        <v>243.32661029243138</v>
      </c>
      <c r="AO548" s="75">
        <f>AM539</f>
        <v>816.10350425422212</v>
      </c>
      <c r="AP548" s="61"/>
      <c r="AQ548" s="69">
        <f>IFERROR(ABS(AP$23-AP547),Q_max*10)</f>
        <v>5500</v>
      </c>
      <c r="AR548" s="75">
        <f>AP539</f>
        <v>947.47083280781976</v>
      </c>
      <c r="AS548" s="61"/>
      <c r="AT548" s="69">
        <f>IFERROR(ABS(AS$23-AS547),Q_max*10)</f>
        <v>5500</v>
      </c>
      <c r="AU548" s="75">
        <f>AS539</f>
        <v>1078.3101882251121</v>
      </c>
    </row>
    <row r="549" spans="15:47" ht="14.5" x14ac:dyDescent="0.35">
      <c r="O549" s="6"/>
      <c r="P549" s="6"/>
      <c r="Q549" s="60"/>
      <c r="R549" s="67"/>
      <c r="S549" s="56"/>
      <c r="T549" s="72"/>
      <c r="V549" s="11"/>
      <c r="W549" s="38"/>
      <c r="Y549" s="11"/>
      <c r="Z549" s="38"/>
      <c r="AB549" s="11"/>
      <c r="AC549" s="38"/>
      <c r="AE549" s="11"/>
      <c r="AF549" s="38"/>
      <c r="AH549" s="11"/>
      <c r="AI549" s="38"/>
      <c r="AK549" s="11"/>
      <c r="AL549" s="38"/>
      <c r="AN549" s="11"/>
      <c r="AO549" s="38"/>
      <c r="AQ549" s="11"/>
      <c r="AR549" s="38"/>
      <c r="AT549" s="11"/>
      <c r="AU549" s="38"/>
    </row>
    <row r="550" spans="15:47" ht="14" x14ac:dyDescent="0.3">
      <c r="O550" s="8" t="s">
        <v>235</v>
      </c>
      <c r="P550" s="6"/>
      <c r="Q550" s="60"/>
      <c r="R550" s="53">
        <f>R539*1.02</f>
        <v>2.0290748121564159</v>
      </c>
      <c r="S550" s="58" t="s">
        <v>238</v>
      </c>
      <c r="T550" s="73" t="s">
        <v>241</v>
      </c>
      <c r="U550" s="84">
        <f>U539*1.01</f>
        <v>45.105081504287298</v>
      </c>
      <c r="V550" s="58" t="s">
        <v>238</v>
      </c>
      <c r="W550" s="73" t="s">
        <v>241</v>
      </c>
      <c r="X550" s="84">
        <f>X539*1.01</f>
        <v>108.26955824338863</v>
      </c>
      <c r="Y550" s="58" t="s">
        <v>238</v>
      </c>
      <c r="Z550" s="73" t="s">
        <v>241</v>
      </c>
      <c r="AA550" s="84">
        <f>AA539*1.01</f>
        <v>206.72626619936722</v>
      </c>
      <c r="AB550" s="58" t="s">
        <v>238</v>
      </c>
      <c r="AC550" s="73" t="s">
        <v>241</v>
      </c>
      <c r="AD550" s="84">
        <f>AD539*1.01</f>
        <v>339.98859580244891</v>
      </c>
      <c r="AE550" s="58" t="s">
        <v>238</v>
      </c>
      <c r="AF550" s="73" t="s">
        <v>241</v>
      </c>
      <c r="AG550" s="84">
        <f>AG539*1.01</f>
        <v>506.19669012385083</v>
      </c>
      <c r="AH550" s="58" t="s">
        <v>238</v>
      </c>
      <c r="AI550" s="73" t="s">
        <v>241</v>
      </c>
      <c r="AJ550" s="84">
        <f>AJ539*1.01</f>
        <v>675.52144527578173</v>
      </c>
      <c r="AK550" s="58" t="s">
        <v>238</v>
      </c>
      <c r="AL550" s="73" t="s">
        <v>241</v>
      </c>
      <c r="AM550" s="84">
        <f>AM539*1.01</f>
        <v>824.26453929676438</v>
      </c>
      <c r="AN550" s="58" t="s">
        <v>238</v>
      </c>
      <c r="AO550" s="73" t="s">
        <v>241</v>
      </c>
      <c r="AP550" s="84">
        <f>AP539*1.01</f>
        <v>956.945541135898</v>
      </c>
      <c r="AQ550" s="58" t="s">
        <v>238</v>
      </c>
      <c r="AR550" s="73" t="s">
        <v>241</v>
      </c>
      <c r="AS550" s="84">
        <f>AS539*1.01</f>
        <v>1089.0932901073634</v>
      </c>
      <c r="AT550" s="58" t="s">
        <v>238</v>
      </c>
      <c r="AU550" s="73" t="s">
        <v>241</v>
      </c>
    </row>
    <row r="551" spans="15:47" ht="13" x14ac:dyDescent="0.25">
      <c r="O551" s="6"/>
      <c r="P551" s="6"/>
      <c r="Q551" s="60"/>
      <c r="R551" s="70"/>
      <c r="S551" s="63" t="s">
        <v>250</v>
      </c>
      <c r="T551" s="71" t="s">
        <v>242</v>
      </c>
      <c r="U551" s="61"/>
      <c r="V551" s="63" t="s">
        <v>250</v>
      </c>
      <c r="W551" s="71" t="s">
        <v>242</v>
      </c>
      <c r="X551" s="61"/>
      <c r="Y551" s="63" t="s">
        <v>250</v>
      </c>
      <c r="Z551" s="71" t="s">
        <v>242</v>
      </c>
      <c r="AA551" s="61"/>
      <c r="AB551" s="63" t="s">
        <v>250</v>
      </c>
      <c r="AC551" s="71" t="s">
        <v>242</v>
      </c>
      <c r="AD551" s="61"/>
      <c r="AE551" s="63" t="s">
        <v>250</v>
      </c>
      <c r="AF551" s="71" t="s">
        <v>242</v>
      </c>
      <c r="AG551" s="61"/>
      <c r="AH551" s="63" t="s">
        <v>250</v>
      </c>
      <c r="AI551" s="71" t="s">
        <v>242</v>
      </c>
      <c r="AJ551" s="61"/>
      <c r="AK551" s="63" t="s">
        <v>250</v>
      </c>
      <c r="AL551" s="71" t="s">
        <v>242</v>
      </c>
      <c r="AM551" s="61"/>
      <c r="AN551" s="63" t="s">
        <v>250</v>
      </c>
      <c r="AO551" s="71" t="s">
        <v>242</v>
      </c>
      <c r="AP551" s="61"/>
      <c r="AQ551" s="63" t="s">
        <v>250</v>
      </c>
      <c r="AR551" s="71" t="s">
        <v>242</v>
      </c>
      <c r="AS551" s="61"/>
      <c r="AT551" s="63" t="s">
        <v>250</v>
      </c>
      <c r="AU551" s="71" t="s">
        <v>242</v>
      </c>
    </row>
    <row r="552" spans="15:47" ht="13" x14ac:dyDescent="0.3">
      <c r="O552" s="6" t="s">
        <v>231</v>
      </c>
      <c r="P552" s="6"/>
      <c r="Q552" s="60"/>
      <c r="R552" s="85">
        <f>P_1_minQ-(R550^2*R_up)+dpup_minQ</f>
        <v>56.91600414911877</v>
      </c>
      <c r="S552" s="56"/>
      <c r="T552" s="72"/>
      <c r="U552" s="53">
        <f>P_1_minQ-(U550^2*R_up)+dpup_minQ</f>
        <v>56.847434367527576</v>
      </c>
      <c r="V552" s="44"/>
      <c r="W552" s="72"/>
      <c r="X552" s="53">
        <f>P_1_minQ-(X550^2*R_up)+dpup_minQ</f>
        <v>56.520253385943313</v>
      </c>
      <c r="Y552" s="44"/>
      <c r="Z552" s="72"/>
      <c r="AA552" s="53">
        <f>P_1_minQ-(AA550^2*R_up)+dpup_minQ</f>
        <v>55.472855483393054</v>
      </c>
      <c r="AB552" s="44"/>
      <c r="AC552" s="72"/>
      <c r="AD552" s="53">
        <f>P_1_minQ-(AD550^2*R_up)+dpup_minQ</f>
        <v>53.012318633038802</v>
      </c>
      <c r="AE552" s="44"/>
      <c r="AF552" s="72"/>
      <c r="AG552" s="53">
        <f>P_1_minQ-(AG550^2*R_up)+dpup_minQ</f>
        <v>48.262475883406218</v>
      </c>
      <c r="AH552" s="44"/>
      <c r="AI552" s="72"/>
      <c r="AJ552" s="53">
        <f>P_1_minQ-(AJ550^2*R_up)+dpup_minQ</f>
        <v>41.504821917342753</v>
      </c>
      <c r="AK552" s="44"/>
      <c r="AL552" s="72"/>
      <c r="AM552" s="53">
        <f>P_1_minQ-(AM550^2*R_up)+dpup_minQ</f>
        <v>33.970785858084859</v>
      </c>
      <c r="AN552" s="44"/>
      <c r="AO552" s="72"/>
      <c r="AP552" s="53">
        <f>P_1_minQ-(AP550^2*R_up)+dpup_minQ</f>
        <v>25.989268196559387</v>
      </c>
      <c r="AQ552" s="44"/>
      <c r="AR552" s="72"/>
      <c r="AS552" s="53">
        <f>P_1_minQ-(AS550^2*R_up)+dpup_minQ</f>
        <v>16.857913051101601</v>
      </c>
      <c r="AT552" s="44"/>
      <c r="AU552" s="72"/>
    </row>
    <row r="553" spans="15:47" ht="13" x14ac:dyDescent="0.3">
      <c r="O553" s="6" t="s">
        <v>233</v>
      </c>
      <c r="P553" s="6"/>
      <c r="Q553" s="60"/>
      <c r="R553" s="85">
        <f>P_2_minQ+(R550^2*R_dn)-dpdn_minQ</f>
        <v>24.656799170176249</v>
      </c>
      <c r="S553" s="66"/>
      <c r="T553" s="74"/>
      <c r="U553" s="53">
        <f>P_2_minQ+(U550^2*R_dn)-dpdn_minQ</f>
        <v>24.670513126494484</v>
      </c>
      <c r="V553" s="45"/>
      <c r="W553" s="74"/>
      <c r="X553" s="53">
        <f>P_2_minQ+(X550^2*R_dn)-dpdn_minQ</f>
        <v>24.73594932281134</v>
      </c>
      <c r="Y553" s="45"/>
      <c r="Z553" s="74"/>
      <c r="AA553" s="53">
        <f>P_2_minQ+(AA550^2*R_dn)-dpdn_minQ</f>
        <v>24.945428903321389</v>
      </c>
      <c r="AB553" s="45"/>
      <c r="AC553" s="74"/>
      <c r="AD553" s="53">
        <f>P_2_minQ+(AD550^2*R_dn)-dpdn_minQ</f>
        <v>25.43753627339224</v>
      </c>
      <c r="AE553" s="45"/>
      <c r="AF553" s="74"/>
      <c r="AG553" s="53">
        <f>P_2_minQ+(AG550^2*R_dn)-dpdn_minQ</f>
        <v>26.387504823318757</v>
      </c>
      <c r="AH553" s="45"/>
      <c r="AI553" s="74"/>
      <c r="AJ553" s="53">
        <f>P_2_minQ+(AJ550^2*R_dn)-dpdn_minQ</f>
        <v>27.739035616531449</v>
      </c>
      <c r="AK553" s="45"/>
      <c r="AL553" s="74"/>
      <c r="AM553" s="53">
        <f>P_2_minQ+(AM550^2*R_dn)-dpdn_minQ</f>
        <v>29.245842828383029</v>
      </c>
      <c r="AN553" s="45"/>
      <c r="AO553" s="74"/>
      <c r="AP553" s="53">
        <f>P_2_minQ+(AP550^2*R_dn)-dpdn_minQ</f>
        <v>30.842146360688123</v>
      </c>
      <c r="AQ553" s="45"/>
      <c r="AR553" s="74"/>
      <c r="AS553" s="53">
        <f>P_2_minQ+(AS550^2*R_dn)-dpdn_minQ</f>
        <v>32.668417389779684</v>
      </c>
      <c r="AT553" s="45"/>
      <c r="AU553" s="74"/>
    </row>
    <row r="554" spans="15:47" x14ac:dyDescent="0.25">
      <c r="O554" s="6" t="s">
        <v>243</v>
      </c>
      <c r="Q554" s="60"/>
      <c r="R554" s="53">
        <f>R552-R553</f>
        <v>32.25920497894252</v>
      </c>
      <c r="S554" s="56"/>
      <c r="T554" s="72"/>
      <c r="U554" s="64">
        <f>U552-U553</f>
        <v>32.176921241033092</v>
      </c>
      <c r="V554" s="44"/>
      <c r="W554" s="72"/>
      <c r="X554" s="64">
        <f>X552-X553</f>
        <v>31.784304063131973</v>
      </c>
      <c r="Y554" s="44"/>
      <c r="Z554" s="72"/>
      <c r="AA554" s="64">
        <f>AA552-AA553</f>
        <v>30.527426580071666</v>
      </c>
      <c r="AB554" s="44"/>
      <c r="AC554" s="72"/>
      <c r="AD554" s="64">
        <f>AD552-AD553</f>
        <v>27.574782359646562</v>
      </c>
      <c r="AE554" s="44"/>
      <c r="AF554" s="72"/>
      <c r="AG554" s="64">
        <f>AG552-AG553</f>
        <v>21.874971060087461</v>
      </c>
      <c r="AH554" s="44"/>
      <c r="AI554" s="72"/>
      <c r="AJ554" s="64">
        <f>AJ552-AJ553</f>
        <v>13.765786300811303</v>
      </c>
      <c r="AK554" s="44"/>
      <c r="AL554" s="72"/>
      <c r="AM554" s="64">
        <f>AM552-AM553</f>
        <v>4.72494302970183</v>
      </c>
      <c r="AN554" s="44"/>
      <c r="AO554" s="72"/>
      <c r="AP554" s="64">
        <f>AP552-AP553</f>
        <v>-4.852878164128736</v>
      </c>
      <c r="AQ554" s="44"/>
      <c r="AR554" s="72"/>
      <c r="AS554" s="64">
        <f>AS552-AS553</f>
        <v>-15.810504338678083</v>
      </c>
      <c r="AT554" s="44"/>
      <c r="AU554" s="72"/>
    </row>
    <row r="555" spans="15:47" ht="13" x14ac:dyDescent="0.3">
      <c r="O555" s="6" t="s">
        <v>75</v>
      </c>
      <c r="P555" s="6">
        <v>3</v>
      </c>
      <c r="Q555" s="65"/>
      <c r="R555" s="85">
        <f>(F_LP_h/F_P_h)^2*(R552-('Valve Sizing'!$V$4*'Valve Sizing'!$G$7))</f>
        <v>46.765048104539545</v>
      </c>
      <c r="S555" s="58"/>
      <c r="T555" s="73"/>
      <c r="U555" s="53">
        <f>(U$29/U$27)^2*(U552-('Valve Sizing'!$V$4*'Valve Sizing'!$G$7))</f>
        <v>46.695537981679927</v>
      </c>
      <c r="V555" s="41"/>
      <c r="W555" s="73"/>
      <c r="X555" s="53">
        <f>(X$29/X$27)^2*(X552-('Valve Sizing'!$V$4*'Valve Sizing'!$G$7))</f>
        <v>45.377490284048555</v>
      </c>
      <c r="Y555" s="41"/>
      <c r="Z555" s="73"/>
      <c r="AA555" s="53">
        <f>(AA$29/AA$27)^2*(AA552-('Valve Sizing'!$V$4*'Valve Sizing'!$G$7))</f>
        <v>42.529193234294155</v>
      </c>
      <c r="AB555" s="41"/>
      <c r="AC555" s="73"/>
      <c r="AD555" s="53">
        <f>(AD$29/AD$27)^2*(AD552-('Valve Sizing'!$V$4*'Valve Sizing'!$G$7))</f>
        <v>37.914452574047857</v>
      </c>
      <c r="AE555" s="41"/>
      <c r="AF555" s="73"/>
      <c r="AG555" s="53">
        <f>(AG$29/AG$27)^2*(AG552-('Valve Sizing'!$V$4*'Valve Sizing'!$G$7))</f>
        <v>30.799739181962707</v>
      </c>
      <c r="AH555" s="41"/>
      <c r="AI555" s="73"/>
      <c r="AJ555" s="53">
        <f>(AJ$29/AJ$27)^2*(AJ552-('Valve Sizing'!$V$4*'Valve Sizing'!$G$7))</f>
        <v>23.750395079843866</v>
      </c>
      <c r="AK555" s="41"/>
      <c r="AL555" s="73"/>
      <c r="AM555" s="53">
        <f>(AM$29/AM$27)^2*(AM552-('Valve Sizing'!$V$4*'Valve Sizing'!$G$7))</f>
        <v>16.043519584396261</v>
      </c>
      <c r="AN555" s="41"/>
      <c r="AO555" s="73"/>
      <c r="AP555" s="53">
        <f>(AP$29/AP$27)^2*(AP552-('Valve Sizing'!$V$4*'Valve Sizing'!$G$7))</f>
        <v>10.082403892018426</v>
      </c>
      <c r="AQ555" s="41"/>
      <c r="AR555" s="73"/>
      <c r="AS555" s="53">
        <f>(AS$29/AS$27)^2*(AS552-('Valve Sizing'!$V$4*'Valve Sizing'!$G$7))</f>
        <v>6.1754251609204633</v>
      </c>
      <c r="AT555" s="41"/>
      <c r="AU555" s="73"/>
    </row>
    <row r="556" spans="15:47" ht="13" x14ac:dyDescent="0.25">
      <c r="O556" s="1" t="s">
        <v>69</v>
      </c>
      <c r="P556" s="17">
        <v>7</v>
      </c>
      <c r="Q556" s="65"/>
      <c r="R556" s="53">
        <f>(R550/(N_1*F_P_h))*SQRT('Valve Sizing'!$G$6/R554)</f>
        <v>0.35730143332881614</v>
      </c>
      <c r="S556" s="58"/>
      <c r="T556" s="73"/>
      <c r="U556" s="64">
        <f>(U550/(N_1*U$27))*SQRT('Valve Sizing'!$G$6/U554)</f>
        <v>7.9582742009208385</v>
      </c>
      <c r="V556" s="41"/>
      <c r="W556" s="73"/>
      <c r="X556" s="64">
        <f>(X550/(N_1*X$27))*SQRT('Valve Sizing'!$G$6/X554)</f>
        <v>19.263727628493658</v>
      </c>
      <c r="Y556" s="41"/>
      <c r="Z556" s="73"/>
      <c r="AA556" s="64">
        <f>(AA550/(N_1*AA$27))*SQRT('Valve Sizing'!$G$6/AA554)</f>
        <v>37.746979540787272</v>
      </c>
      <c r="AB556" s="41"/>
      <c r="AC556" s="73"/>
      <c r="AD556" s="64">
        <f>(AD550/(N_1*AD$27))*SQRT('Valve Sizing'!$G$6/AD554)</f>
        <v>66.14014590726795</v>
      </c>
      <c r="AE556" s="41"/>
      <c r="AF556" s="73"/>
      <c r="AG556" s="64">
        <f>(AG550/(N_1*AG$27))*SQRT('Valve Sizing'!$G$6/AG554)</f>
        <v>113.02788788890079</v>
      </c>
      <c r="AH556" s="41"/>
      <c r="AI556" s="73"/>
      <c r="AJ556" s="64">
        <f>(AJ550/(N_1*AJ$27))*SQRT('Valve Sizing'!$G$6/AJ554)</f>
        <v>197.05335222127212</v>
      </c>
      <c r="AK556" s="41"/>
      <c r="AL556" s="73"/>
      <c r="AM556" s="64">
        <f>(AM550/(N_1*AM$27))*SQRT('Valve Sizing'!$G$6/AM554)</f>
        <v>435.44390789983538</v>
      </c>
      <c r="AN556" s="41"/>
      <c r="AO556" s="73"/>
      <c r="AP556" s="64" t="e">
        <f>(AP550/(N_1*AP$27))*SQRT('Valve Sizing'!$G$6/AP554)</f>
        <v>#NUM!</v>
      </c>
      <c r="AQ556" s="41"/>
      <c r="AR556" s="73"/>
      <c r="AS556" s="64" t="e">
        <f>(AS550/(N_1*AS$27))*SQRT('Valve Sizing'!$G$6/AS554)</f>
        <v>#NUM!</v>
      </c>
      <c r="AT556" s="41"/>
      <c r="AU556" s="73"/>
    </row>
    <row r="557" spans="15:47" ht="13" x14ac:dyDescent="0.3">
      <c r="O557" s="1" t="s">
        <v>72</v>
      </c>
      <c r="P557" s="17">
        <v>7</v>
      </c>
      <c r="Q557" s="65"/>
      <c r="R557" s="53">
        <f>(R550/(N_1*F_P_h))*SQRT('Valve Sizing'!$G$6/R555)</f>
        <v>0.29675694786883061</v>
      </c>
      <c r="S557" s="56"/>
      <c r="T557" s="72"/>
      <c r="U557" s="85">
        <f>(U550/(N_1*U$27))*SQRT('Valve Sizing'!$G$6/U555)</f>
        <v>6.6062263622822917</v>
      </c>
      <c r="V557" s="44"/>
      <c r="W557" s="72"/>
      <c r="X557" s="85">
        <f>(X550/(N_1*X$27))*SQRT('Valve Sizing'!$G$6/X555)</f>
        <v>16.122279511140377</v>
      </c>
      <c r="Y557" s="44"/>
      <c r="Z557" s="72"/>
      <c r="AA557" s="85">
        <f>(AA550/(N_1*AA$27))*SQRT('Valve Sizing'!$G$6/AA555)</f>
        <v>31.980388203956466</v>
      </c>
      <c r="AB557" s="44"/>
      <c r="AC557" s="72"/>
      <c r="AD557" s="85">
        <f>(AD550/(N_1*AD$27))*SQRT('Valve Sizing'!$G$6/AD555)</f>
        <v>56.405155443786732</v>
      </c>
      <c r="AE557" s="44"/>
      <c r="AF557" s="72"/>
      <c r="AG557" s="85">
        <f>(AG550/(N_1*AG$27))*SQRT('Valve Sizing'!$G$6/AG555)</f>
        <v>95.254573391706813</v>
      </c>
      <c r="AH557" s="44"/>
      <c r="AI557" s="72"/>
      <c r="AJ557" s="85">
        <f>(AJ550/(N_1*AJ$27))*SQRT('Valve Sizing'!$G$6/AJ555)</f>
        <v>150.019916653015</v>
      </c>
      <c r="AK557" s="44"/>
      <c r="AL557" s="72"/>
      <c r="AM557" s="85">
        <f>(AM550/(N_1*AM$27))*SQRT('Valve Sizing'!$G$6/AM555)</f>
        <v>236.30922873770598</v>
      </c>
      <c r="AN557" s="44"/>
      <c r="AO557" s="72"/>
      <c r="AP557" s="85">
        <f>(AP550/(N_1*AP$27))*SQRT('Valve Sizing'!$G$6/AP555)</f>
        <v>393.89959501899204</v>
      </c>
      <c r="AQ557" s="44"/>
      <c r="AR557" s="72"/>
      <c r="AS557" s="85">
        <f>(AS550/(N_1*AS$27))*SQRT('Valve Sizing'!$G$6/AS555)</f>
        <v>767.21843064759594</v>
      </c>
      <c r="AT557" s="44"/>
      <c r="AU557" s="72"/>
    </row>
    <row r="558" spans="15:47" x14ac:dyDescent="0.25">
      <c r="O558" s="1" t="s">
        <v>246</v>
      </c>
      <c r="P558" s="18"/>
      <c r="Q558" s="65"/>
      <c r="R558" s="53">
        <f>IF(R554&lt;R555,R556,R557)</f>
        <v>0.35730143332881614</v>
      </c>
      <c r="S558" s="49"/>
      <c r="T558" s="72"/>
      <c r="U558" s="64">
        <f>IF(U554&lt;U555,U556,U557)</f>
        <v>7.9582742009208385</v>
      </c>
      <c r="V558" s="44"/>
      <c r="W558" s="72"/>
      <c r="X558" s="64">
        <f>IF(X554&lt;X555,X556,X557)</f>
        <v>19.263727628493658</v>
      </c>
      <c r="Y558" s="44"/>
      <c r="Z558" s="72"/>
      <c r="AA558" s="64">
        <f>IF(AA554&lt;AA555,AA556,AA557)</f>
        <v>37.746979540787272</v>
      </c>
      <c r="AB558" s="44"/>
      <c r="AC558" s="72"/>
      <c r="AD558" s="64">
        <f>IF(AD554&lt;AD555,AD556,AD557)</f>
        <v>66.14014590726795</v>
      </c>
      <c r="AE558" s="44"/>
      <c r="AF558" s="72"/>
      <c r="AG558" s="64">
        <f>IF(AG554&lt;AG555,AG556,AG557)</f>
        <v>113.02788788890079</v>
      </c>
      <c r="AH558" s="44"/>
      <c r="AI558" s="72"/>
      <c r="AJ558" s="64">
        <f>IF(AJ554&lt;AJ555,AJ556,AJ557)</f>
        <v>197.05335222127212</v>
      </c>
      <c r="AK558" s="44"/>
      <c r="AL558" s="72"/>
      <c r="AM558" s="64">
        <f>IF(AM554&lt;AM555,AM556,AM557)</f>
        <v>435.44390789983538</v>
      </c>
      <c r="AN558" s="44"/>
      <c r="AO558" s="72"/>
      <c r="AP558" s="64" t="e">
        <f>IF(AP554&lt;AP555,AP556,AP557)</f>
        <v>#NUM!</v>
      </c>
      <c r="AQ558" s="44"/>
      <c r="AR558" s="72"/>
      <c r="AS558" s="64" t="e">
        <f>IF(AS554&lt;AS555,AS556,AS557)</f>
        <v>#NUM!</v>
      </c>
      <c r="AT558" s="44"/>
      <c r="AU558" s="72"/>
    </row>
    <row r="559" spans="15:47" ht="13" x14ac:dyDescent="0.3">
      <c r="O559" s="7" t="s">
        <v>264</v>
      </c>
      <c r="Q559" s="61"/>
      <c r="R559" s="53"/>
      <c r="S559" s="69">
        <f>IFERROR(ABS(C_h-R558),Q_max*10)</f>
        <v>4.642698566671184</v>
      </c>
      <c r="T559" s="76">
        <f>R550</f>
        <v>2.0290748121564159</v>
      </c>
      <c r="U559" s="61"/>
      <c r="V559" s="69">
        <f>IFERROR(ABS(U$23-U558),Q_max*10)</f>
        <v>4.0417257990791615</v>
      </c>
      <c r="W559" s="75">
        <f>U550</f>
        <v>45.105081504287298</v>
      </c>
      <c r="X559" s="61"/>
      <c r="Y559" s="69">
        <f>IFERROR(ABS(X$23-X558),Q_max*10)</f>
        <v>3.7362723715063417</v>
      </c>
      <c r="Z559" s="75">
        <f>X550</f>
        <v>108.26955824338863</v>
      </c>
      <c r="AA559" s="61"/>
      <c r="AB559" s="69">
        <f>IFERROR(ABS(AA$23-AA558),Q_max*10)</f>
        <v>1.2530204592127276</v>
      </c>
      <c r="AC559" s="75">
        <f>AA550</f>
        <v>206.72626619936722</v>
      </c>
      <c r="AD559" s="61"/>
      <c r="AE559" s="69">
        <f>IFERROR(ABS(AD$23-AD558),Q_max*10)</f>
        <v>5.1401459072679501</v>
      </c>
      <c r="AF559" s="75">
        <f>AD550</f>
        <v>339.98859580244891</v>
      </c>
      <c r="AG559" s="61"/>
      <c r="AH559" s="69">
        <f>IFERROR(ABS(AG$23-AG558),Q_max*10)</f>
        <v>25.027887888900793</v>
      </c>
      <c r="AI559" s="75">
        <f>AG550</f>
        <v>506.19669012385083</v>
      </c>
      <c r="AJ559" s="61"/>
      <c r="AK559" s="69">
        <f>IFERROR(ABS(AJ$23-AJ558),Q_max*10)</f>
        <v>76.053352221272121</v>
      </c>
      <c r="AL559" s="75">
        <f>AJ550</f>
        <v>675.52144527578173</v>
      </c>
      <c r="AM559" s="61"/>
      <c r="AN559" s="69">
        <f>IFERROR(ABS(AM$23-AM558),Q_max*10)</f>
        <v>270.44390789983538</v>
      </c>
      <c r="AO559" s="75">
        <f>AM550</f>
        <v>824.26453929676438</v>
      </c>
      <c r="AP559" s="61"/>
      <c r="AQ559" s="69">
        <f>IFERROR(ABS(AP$23-AP558),Q_max*10)</f>
        <v>5500</v>
      </c>
      <c r="AR559" s="75">
        <f>AP550</f>
        <v>956.945541135898</v>
      </c>
      <c r="AS559" s="61"/>
      <c r="AT559" s="69">
        <f>IFERROR(ABS(AS$23-AS558),Q_max*10)</f>
        <v>5500</v>
      </c>
      <c r="AU559" s="75">
        <f>AS550</f>
        <v>1089.0932901073634</v>
      </c>
    </row>
    <row r="560" spans="15:47" ht="14.5" x14ac:dyDescent="0.35">
      <c r="O560" s="8"/>
      <c r="P560" s="6"/>
      <c r="Q560" s="60"/>
      <c r="R560" s="67"/>
      <c r="S560" s="56"/>
      <c r="T560" s="72"/>
      <c r="V560" s="11"/>
      <c r="W560" s="38"/>
      <c r="Y560" s="11"/>
      <c r="Z560" s="38"/>
      <c r="AB560" s="11"/>
      <c r="AC560" s="38"/>
      <c r="AE560" s="11"/>
      <c r="AF560" s="38"/>
      <c r="AH560" s="11"/>
      <c r="AI560" s="38"/>
      <c r="AK560" s="11"/>
      <c r="AL560" s="38"/>
      <c r="AN560" s="11"/>
      <c r="AO560" s="38"/>
      <c r="AQ560" s="11"/>
      <c r="AR560" s="38"/>
      <c r="AT560" s="11"/>
      <c r="AU560" s="38"/>
    </row>
    <row r="561" spans="15:47" ht="14" x14ac:dyDescent="0.3">
      <c r="O561" s="8" t="s">
        <v>235</v>
      </c>
      <c r="P561" s="6"/>
      <c r="Q561" s="60"/>
      <c r="R561" s="53">
        <f>R550*1.02</f>
        <v>2.0696563083995443</v>
      </c>
      <c r="S561" s="58" t="s">
        <v>238</v>
      </c>
      <c r="T561" s="73" t="s">
        <v>241</v>
      </c>
      <c r="U561" s="84">
        <f>U550*1.01</f>
        <v>45.556132319330175</v>
      </c>
      <c r="V561" s="58" t="s">
        <v>238</v>
      </c>
      <c r="W561" s="73" t="s">
        <v>241</v>
      </c>
      <c r="X561" s="84">
        <f>X550*1.01</f>
        <v>109.35225382582252</v>
      </c>
      <c r="Y561" s="58" t="s">
        <v>238</v>
      </c>
      <c r="Z561" s="73" t="s">
        <v>241</v>
      </c>
      <c r="AA561" s="84">
        <f>AA550*1.01</f>
        <v>208.7935288613609</v>
      </c>
      <c r="AB561" s="58" t="s">
        <v>238</v>
      </c>
      <c r="AC561" s="73" t="s">
        <v>241</v>
      </c>
      <c r="AD561" s="84">
        <f>AD550*1.01</f>
        <v>343.38848176047338</v>
      </c>
      <c r="AE561" s="58" t="s">
        <v>238</v>
      </c>
      <c r="AF561" s="73" t="s">
        <v>241</v>
      </c>
      <c r="AG561" s="84">
        <f>AG550*1.01</f>
        <v>511.25865702508935</v>
      </c>
      <c r="AH561" s="58" t="s">
        <v>238</v>
      </c>
      <c r="AI561" s="73" t="s">
        <v>241</v>
      </c>
      <c r="AJ561" s="84">
        <f>AJ550*1.01</f>
        <v>682.27665972853958</v>
      </c>
      <c r="AK561" s="58" t="s">
        <v>238</v>
      </c>
      <c r="AL561" s="73" t="s">
        <v>241</v>
      </c>
      <c r="AM561" s="84">
        <f>AM550*1.01</f>
        <v>832.50718468973207</v>
      </c>
      <c r="AN561" s="58" t="s">
        <v>238</v>
      </c>
      <c r="AO561" s="73" t="s">
        <v>241</v>
      </c>
      <c r="AP561" s="84">
        <f>AP550*1.01</f>
        <v>966.51499654725694</v>
      </c>
      <c r="AQ561" s="58" t="s">
        <v>238</v>
      </c>
      <c r="AR561" s="73" t="s">
        <v>241</v>
      </c>
      <c r="AS561" s="84">
        <f>AS550*1.01</f>
        <v>1099.9842230084371</v>
      </c>
      <c r="AT561" s="58" t="s">
        <v>238</v>
      </c>
      <c r="AU561" s="73" t="s">
        <v>241</v>
      </c>
    </row>
    <row r="562" spans="15:47" ht="13" x14ac:dyDescent="0.25">
      <c r="O562" s="6"/>
      <c r="P562" s="6"/>
      <c r="Q562" s="60"/>
      <c r="R562" s="70"/>
      <c r="S562" s="63" t="s">
        <v>250</v>
      </c>
      <c r="T562" s="71" t="s">
        <v>242</v>
      </c>
      <c r="U562" s="61"/>
      <c r="V562" s="63" t="s">
        <v>250</v>
      </c>
      <c r="W562" s="71" t="s">
        <v>242</v>
      </c>
      <c r="X562" s="61"/>
      <c r="Y562" s="63" t="s">
        <v>250</v>
      </c>
      <c r="Z562" s="71" t="s">
        <v>242</v>
      </c>
      <c r="AA562" s="61"/>
      <c r="AB562" s="63" t="s">
        <v>250</v>
      </c>
      <c r="AC562" s="71" t="s">
        <v>242</v>
      </c>
      <c r="AD562" s="61"/>
      <c r="AE562" s="63" t="s">
        <v>250</v>
      </c>
      <c r="AF562" s="71" t="s">
        <v>242</v>
      </c>
      <c r="AG562" s="61"/>
      <c r="AH562" s="63" t="s">
        <v>250</v>
      </c>
      <c r="AI562" s="71" t="s">
        <v>242</v>
      </c>
      <c r="AJ562" s="61"/>
      <c r="AK562" s="63" t="s">
        <v>250</v>
      </c>
      <c r="AL562" s="71" t="s">
        <v>242</v>
      </c>
      <c r="AM562" s="61"/>
      <c r="AN562" s="63" t="s">
        <v>250</v>
      </c>
      <c r="AO562" s="71" t="s">
        <v>242</v>
      </c>
      <c r="AP562" s="61"/>
      <c r="AQ562" s="63" t="s">
        <v>250</v>
      </c>
      <c r="AR562" s="71" t="s">
        <v>242</v>
      </c>
      <c r="AS562" s="61"/>
      <c r="AT562" s="63" t="s">
        <v>250</v>
      </c>
      <c r="AU562" s="71" t="s">
        <v>242</v>
      </c>
    </row>
    <row r="563" spans="15:47" ht="13" x14ac:dyDescent="0.3">
      <c r="O563" s="6" t="s">
        <v>231</v>
      </c>
      <c r="P563" s="6"/>
      <c r="Q563" s="60"/>
      <c r="R563" s="85">
        <f>P_1_minQ-(R561^2*R_up)+dpup_minQ</f>
        <v>56.915998531670553</v>
      </c>
      <c r="S563" s="56"/>
      <c r="T563" s="72"/>
      <c r="U563" s="53">
        <f>P_1_minQ-(U561^2*R_up)+dpup_minQ</f>
        <v>56.846053320098065</v>
      </c>
      <c r="V563" s="44"/>
      <c r="W563" s="72"/>
      <c r="X563" s="53">
        <f>P_1_minQ-(X561^2*R_up)+dpup_minQ</f>
        <v>56.512296000783955</v>
      </c>
      <c r="Y563" s="44"/>
      <c r="Z563" s="72"/>
      <c r="AA563" s="53">
        <f>P_1_minQ-(AA561^2*R_up)+dpup_minQ</f>
        <v>55.443845400392433</v>
      </c>
      <c r="AB563" s="44"/>
      <c r="AC563" s="72"/>
      <c r="AD563" s="53">
        <f>P_1_minQ-(AD561^2*R_up)+dpup_minQ</f>
        <v>52.933851759346069</v>
      </c>
      <c r="AE563" s="44"/>
      <c r="AF563" s="72"/>
      <c r="AG563" s="53">
        <f>P_1_minQ-(AG561^2*R_up)+dpup_minQ</f>
        <v>48.088537170445868</v>
      </c>
      <c r="AH563" s="44"/>
      <c r="AI563" s="72"/>
      <c r="AJ563" s="53">
        <f>P_1_minQ-(AJ561^2*R_up)+dpup_minQ</f>
        <v>41.195054359664525</v>
      </c>
      <c r="AK563" s="44"/>
      <c r="AL563" s="72"/>
      <c r="AM563" s="53">
        <f>P_1_minQ-(AM561^2*R_up)+dpup_minQ</f>
        <v>33.509584175615551</v>
      </c>
      <c r="AN563" s="44"/>
      <c r="AO563" s="72"/>
      <c r="AP563" s="53">
        <f>P_1_minQ-(AP561^2*R_up)+dpup_minQ</f>
        <v>25.367638009093412</v>
      </c>
      <c r="AQ563" s="44"/>
      <c r="AR563" s="72"/>
      <c r="AS563" s="53">
        <f>P_1_minQ-(AS561^2*R_up)+dpup_minQ</f>
        <v>16.052742625211916</v>
      </c>
      <c r="AT563" s="44"/>
      <c r="AU563" s="72"/>
    </row>
    <row r="564" spans="15:47" ht="13" x14ac:dyDescent="0.3">
      <c r="O564" s="6" t="s">
        <v>233</v>
      </c>
      <c r="P564" s="6"/>
      <c r="Q564" s="60"/>
      <c r="R564" s="85">
        <f>P_2_minQ+(R561^2*R_dn)-dpdn_minQ</f>
        <v>24.656800293665892</v>
      </c>
      <c r="S564" s="66"/>
      <c r="T564" s="74"/>
      <c r="U564" s="53">
        <f>P_2_minQ+(U561^2*R_dn)-dpdn_minQ</f>
        <v>24.670789335980388</v>
      </c>
      <c r="V564" s="45"/>
      <c r="W564" s="74"/>
      <c r="X564" s="53">
        <f>P_2_minQ+(X561^2*R_dn)-dpdn_minQ</f>
        <v>24.73754079984321</v>
      </c>
      <c r="Y564" s="45"/>
      <c r="Z564" s="74"/>
      <c r="AA564" s="53">
        <f>P_2_minQ+(AA561^2*R_dn)-dpdn_minQ</f>
        <v>24.951230919921514</v>
      </c>
      <c r="AB564" s="45"/>
      <c r="AC564" s="74"/>
      <c r="AD564" s="53">
        <f>P_2_minQ+(AD561^2*R_dn)-dpdn_minQ</f>
        <v>25.453229648130787</v>
      </c>
      <c r="AE564" s="45"/>
      <c r="AF564" s="74"/>
      <c r="AG564" s="53">
        <f>P_2_minQ+(AG561^2*R_dn)-dpdn_minQ</f>
        <v>26.422292565910826</v>
      </c>
      <c r="AH564" s="45"/>
      <c r="AI564" s="74"/>
      <c r="AJ564" s="53">
        <f>P_2_minQ+(AJ561^2*R_dn)-dpdn_minQ</f>
        <v>27.800989128067098</v>
      </c>
      <c r="AK564" s="45"/>
      <c r="AL564" s="74"/>
      <c r="AM564" s="53">
        <f>P_2_minQ+(AM561^2*R_dn)-dpdn_minQ</f>
        <v>29.338083164876892</v>
      </c>
      <c r="AN564" s="45"/>
      <c r="AO564" s="74"/>
      <c r="AP564" s="53">
        <f>P_2_minQ+(AP561^2*R_dn)-dpdn_minQ</f>
        <v>30.96647239818132</v>
      </c>
      <c r="AQ564" s="45"/>
      <c r="AR564" s="74"/>
      <c r="AS564" s="53">
        <f>P_2_minQ+(AS561^2*R_dn)-dpdn_minQ</f>
        <v>32.829451474957622</v>
      </c>
      <c r="AT564" s="45"/>
      <c r="AU564" s="74"/>
    </row>
    <row r="565" spans="15:47" x14ac:dyDescent="0.25">
      <c r="O565" s="6" t="s">
        <v>243</v>
      </c>
      <c r="Q565" s="60"/>
      <c r="R565" s="53">
        <f>R563-R564</f>
        <v>32.259198238004657</v>
      </c>
      <c r="S565" s="56"/>
      <c r="T565" s="72"/>
      <c r="U565" s="64">
        <f>U563-U564</f>
        <v>32.175263984117677</v>
      </c>
      <c r="V565" s="44"/>
      <c r="W565" s="72"/>
      <c r="X565" s="64">
        <f>X563-X564</f>
        <v>31.774755200940746</v>
      </c>
      <c r="Y565" s="44"/>
      <c r="Z565" s="72"/>
      <c r="AA565" s="64">
        <f>AA563-AA564</f>
        <v>30.49261448047092</v>
      </c>
      <c r="AB565" s="44"/>
      <c r="AC565" s="72"/>
      <c r="AD565" s="64">
        <f>AD563-AD564</f>
        <v>27.480622111215283</v>
      </c>
      <c r="AE565" s="44"/>
      <c r="AF565" s="72"/>
      <c r="AG565" s="64">
        <f>AG563-AG564</f>
        <v>21.666244604535041</v>
      </c>
      <c r="AH565" s="44"/>
      <c r="AI565" s="72"/>
      <c r="AJ565" s="64">
        <f>AJ563-AJ564</f>
        <v>13.394065231597427</v>
      </c>
      <c r="AK565" s="44"/>
      <c r="AL565" s="72"/>
      <c r="AM565" s="64">
        <f>AM563-AM564</f>
        <v>4.171501010738659</v>
      </c>
      <c r="AN565" s="44"/>
      <c r="AO565" s="72"/>
      <c r="AP565" s="64">
        <f>AP563-AP564</f>
        <v>-5.5988343890879086</v>
      </c>
      <c r="AQ565" s="44"/>
      <c r="AR565" s="72"/>
      <c r="AS565" s="64">
        <f>AS563-AS564</f>
        <v>-16.776708849745706</v>
      </c>
      <c r="AT565" s="44"/>
      <c r="AU565" s="72"/>
    </row>
    <row r="566" spans="15:47" ht="13" x14ac:dyDescent="0.3">
      <c r="O566" s="6" t="s">
        <v>75</v>
      </c>
      <c r="P566" s="6">
        <v>3</v>
      </c>
      <c r="Q566" s="65"/>
      <c r="R566" s="85">
        <f>(F_LP_h/F_P_h)^2*(R563-('Valve Sizing'!$V$4*'Valve Sizing'!$G$7))</f>
        <v>46.765043452997567</v>
      </c>
      <c r="S566" s="58"/>
      <c r="T566" s="73"/>
      <c r="U566" s="53">
        <f>(U$29/U$27)^2*(U563-('Valve Sizing'!$V$4*'Valve Sizing'!$G$7))</f>
        <v>46.694394713609796</v>
      </c>
      <c r="V566" s="41"/>
      <c r="W566" s="73"/>
      <c r="X566" s="53">
        <f>(X$29/X$27)^2*(X563-('Valve Sizing'!$V$4*'Valve Sizing'!$G$7))</f>
        <v>45.371051537479673</v>
      </c>
      <c r="Y566" s="41"/>
      <c r="Z566" s="73"/>
      <c r="AA566" s="53">
        <f>(AA$29/AA$27)^2*(AA563-('Valve Sizing'!$V$4*'Valve Sizing'!$G$7))</f>
        <v>42.506774322760045</v>
      </c>
      <c r="AB566" s="41"/>
      <c r="AC566" s="73"/>
      <c r="AD566" s="53">
        <f>(AD$29/AD$27)^2*(AD563-('Valve Sizing'!$V$4*'Valve Sizing'!$G$7))</f>
        <v>37.857863252860213</v>
      </c>
      <c r="AE566" s="41"/>
      <c r="AF566" s="73"/>
      <c r="AG566" s="53">
        <f>(AG$29/AG$27)^2*(AG563-('Valve Sizing'!$V$4*'Valve Sizing'!$G$7))</f>
        <v>30.687715006004019</v>
      </c>
      <c r="AH566" s="41"/>
      <c r="AI566" s="73"/>
      <c r="AJ566" s="53">
        <f>(AJ$29/AJ$27)^2*(AJ563-('Valve Sizing'!$V$4*'Valve Sizing'!$G$7))</f>
        <v>23.571236572241673</v>
      </c>
      <c r="AK566" s="41"/>
      <c r="AL566" s="73"/>
      <c r="AM566" s="53">
        <f>(AM$29/AM$27)^2*(AM563-('Valve Sizing'!$V$4*'Valve Sizing'!$G$7))</f>
        <v>15.822847424122312</v>
      </c>
      <c r="AN566" s="41"/>
      <c r="AO566" s="73"/>
      <c r="AP566" s="53">
        <f>(AP$29/AP$27)^2*(AP563-('Valve Sizing'!$V$4*'Valve Sizing'!$G$7))</f>
        <v>9.8370919433485202</v>
      </c>
      <c r="AQ566" s="41"/>
      <c r="AR566" s="73"/>
      <c r="AS566" s="53">
        <f>(AS$29/AS$27)^2*(AS563-('Valve Sizing'!$V$4*'Valve Sizing'!$G$7))</f>
        <v>5.8725677175374074</v>
      </c>
      <c r="AT566" s="41"/>
      <c r="AU566" s="73"/>
    </row>
    <row r="567" spans="15:47" ht="13" x14ac:dyDescent="0.25">
      <c r="O567" s="1" t="s">
        <v>69</v>
      </c>
      <c r="P567" s="17">
        <v>7</v>
      </c>
      <c r="Q567" s="65"/>
      <c r="R567" s="53">
        <f>(R561/(N_1*F_P_h))*SQRT('Valve Sizing'!$G$6/R565)</f>
        <v>0.36444750007317644</v>
      </c>
      <c r="S567" s="58"/>
      <c r="T567" s="73"/>
      <c r="U567" s="64">
        <f>(U561/(N_1*U$27))*SQRT('Valve Sizing'!$G$6/U565)</f>
        <v>8.0380639439120074</v>
      </c>
      <c r="V567" s="41"/>
      <c r="W567" s="73"/>
      <c r="X567" s="64">
        <f>(X561/(N_1*X$27))*SQRT('Valve Sizing'!$G$6/X565)</f>
        <v>19.459288171852634</v>
      </c>
      <c r="Y567" s="41"/>
      <c r="Z567" s="73"/>
      <c r="AA567" s="64">
        <f>(AA561/(N_1*AA$27))*SQRT('Valve Sizing'!$G$6/AA565)</f>
        <v>38.146205646152964</v>
      </c>
      <c r="AB567" s="41"/>
      <c r="AC567" s="73"/>
      <c r="AD567" s="64">
        <f>(AD561/(N_1*AD$27))*SQRT('Valve Sizing'!$G$6/AD565)</f>
        <v>66.915894694203459</v>
      </c>
      <c r="AE567" s="41"/>
      <c r="AF567" s="73"/>
      <c r="AG567" s="64">
        <f>(AG561/(N_1*AG$27))*SQRT('Valve Sizing'!$G$6/AG565)</f>
        <v>114.70673245355233</v>
      </c>
      <c r="AH567" s="41"/>
      <c r="AI567" s="73"/>
      <c r="AJ567" s="64">
        <f>(AJ561/(N_1*AJ$27))*SQRT('Valve Sizing'!$G$6/AJ565)</f>
        <v>201.76670790593141</v>
      </c>
      <c r="AK567" s="41"/>
      <c r="AL567" s="73"/>
      <c r="AM567" s="64">
        <f>(AM561/(N_1*AM$27))*SQRT('Valve Sizing'!$G$6/AM565)</f>
        <v>468.06450075368377</v>
      </c>
      <c r="AN567" s="41"/>
      <c r="AO567" s="73"/>
      <c r="AP567" s="64" t="e">
        <f>(AP561/(N_1*AP$27))*SQRT('Valve Sizing'!$G$6/AP565)</f>
        <v>#NUM!</v>
      </c>
      <c r="AQ567" s="41"/>
      <c r="AR567" s="73"/>
      <c r="AS567" s="64" t="e">
        <f>(AS561/(N_1*AS$27))*SQRT('Valve Sizing'!$G$6/AS565)</f>
        <v>#NUM!</v>
      </c>
      <c r="AT567" s="41"/>
      <c r="AU567" s="73"/>
    </row>
    <row r="568" spans="15:47" ht="13" x14ac:dyDescent="0.3">
      <c r="O568" s="1" t="s">
        <v>72</v>
      </c>
      <c r="P568" s="17">
        <v>7</v>
      </c>
      <c r="Q568" s="65"/>
      <c r="R568" s="53">
        <f>(R561/(N_1*F_P_h))*SQRT('Valve Sizing'!$G$6/R566)</f>
        <v>0.30269210188002527</v>
      </c>
      <c r="S568" s="56"/>
      <c r="T568" s="72"/>
      <c r="U568" s="85">
        <f>(U561/(N_1*U$27))*SQRT('Valve Sizing'!$G$6/U566)</f>
        <v>6.6723703077418284</v>
      </c>
      <c r="V568" s="44"/>
      <c r="W568" s="72"/>
      <c r="X568" s="85">
        <f>(X561/(N_1*X$27))*SQRT('Valve Sizing'!$G$6/X566)</f>
        <v>16.284657686407005</v>
      </c>
      <c r="Y568" s="44"/>
      <c r="Z568" s="72"/>
      <c r="AA568" s="85">
        <f>(AA561/(N_1*AA$27))*SQRT('Valve Sizing'!$G$6/AA566)</f>
        <v>32.308708842499271</v>
      </c>
      <c r="AB568" s="44"/>
      <c r="AC568" s="72"/>
      <c r="AD568" s="85">
        <f>(AD561/(N_1*AD$27))*SQRT('Valve Sizing'!$G$6/AD566)</f>
        <v>57.011769422990135</v>
      </c>
      <c r="AE568" s="44"/>
      <c r="AF568" s="72"/>
      <c r="AG568" s="85">
        <f>(AG561/(N_1*AG$27))*SQRT('Valve Sizing'!$G$6/AG566)</f>
        <v>96.38255912547892</v>
      </c>
      <c r="AH568" s="44"/>
      <c r="AI568" s="72"/>
      <c r="AJ568" s="85">
        <f>(AJ561/(N_1*AJ$27))*SQRT('Valve Sizing'!$G$6/AJ566)</f>
        <v>152.0948572060438</v>
      </c>
      <c r="AK568" s="44"/>
      <c r="AL568" s="72"/>
      <c r="AM568" s="85">
        <f>(AM561/(N_1*AM$27))*SQRT('Valve Sizing'!$G$6/AM566)</f>
        <v>240.33087118923652</v>
      </c>
      <c r="AN568" s="44"/>
      <c r="AO568" s="72"/>
      <c r="AP568" s="85">
        <f>(AP561/(N_1*AP$27))*SQRT('Valve Sizing'!$G$6/AP566)</f>
        <v>402.76858405301726</v>
      </c>
      <c r="AQ568" s="44"/>
      <c r="AR568" s="72"/>
      <c r="AS568" s="85">
        <f>(AS561/(N_1*AS$27))*SQRT('Valve Sizing'!$G$6/AS566)</f>
        <v>794.62059286907402</v>
      </c>
      <c r="AT568" s="44"/>
      <c r="AU568" s="72"/>
    </row>
    <row r="569" spans="15:47" x14ac:dyDescent="0.25">
      <c r="O569" s="1" t="s">
        <v>246</v>
      </c>
      <c r="P569" s="18"/>
      <c r="Q569" s="65"/>
      <c r="R569" s="53">
        <f>IF(R565&lt;R566,R567,R568)</f>
        <v>0.36444750007317644</v>
      </c>
      <c r="S569" s="49"/>
      <c r="T569" s="72"/>
      <c r="U569" s="64">
        <f>IF(U565&lt;U566,U567,U568)</f>
        <v>8.0380639439120074</v>
      </c>
      <c r="V569" s="44"/>
      <c r="W569" s="72"/>
      <c r="X569" s="64">
        <f>IF(X565&lt;X566,X567,X568)</f>
        <v>19.459288171852634</v>
      </c>
      <c r="Y569" s="44"/>
      <c r="Z569" s="72"/>
      <c r="AA569" s="64">
        <f>IF(AA565&lt;AA566,AA567,AA568)</f>
        <v>38.146205646152964</v>
      </c>
      <c r="AB569" s="44"/>
      <c r="AC569" s="72"/>
      <c r="AD569" s="64">
        <f>IF(AD565&lt;AD566,AD567,AD568)</f>
        <v>66.915894694203459</v>
      </c>
      <c r="AE569" s="44"/>
      <c r="AF569" s="72"/>
      <c r="AG569" s="64">
        <f>IF(AG565&lt;AG566,AG567,AG568)</f>
        <v>114.70673245355233</v>
      </c>
      <c r="AH569" s="44"/>
      <c r="AI569" s="72"/>
      <c r="AJ569" s="64">
        <f>IF(AJ565&lt;AJ566,AJ567,AJ568)</f>
        <v>201.76670790593141</v>
      </c>
      <c r="AK569" s="44"/>
      <c r="AL569" s="72"/>
      <c r="AM569" s="64">
        <f>IF(AM565&lt;AM566,AM567,AM568)</f>
        <v>468.06450075368377</v>
      </c>
      <c r="AN569" s="44"/>
      <c r="AO569" s="72"/>
      <c r="AP569" s="64" t="e">
        <f>IF(AP565&lt;AP566,AP567,AP568)</f>
        <v>#NUM!</v>
      </c>
      <c r="AQ569" s="44"/>
      <c r="AR569" s="72"/>
      <c r="AS569" s="64" t="e">
        <f>IF(AS565&lt;AS566,AS567,AS568)</f>
        <v>#NUM!</v>
      </c>
      <c r="AT569" s="44"/>
      <c r="AU569" s="72"/>
    </row>
    <row r="570" spans="15:47" ht="13" x14ac:dyDescent="0.3">
      <c r="O570" s="7" t="s">
        <v>264</v>
      </c>
      <c r="Q570" s="61"/>
      <c r="R570" s="53"/>
      <c r="S570" s="69">
        <f>IFERROR(ABS(C_h-R569),Q_max*10)</f>
        <v>4.6355524999268232</v>
      </c>
      <c r="T570" s="76">
        <f>R561</f>
        <v>2.0696563083995443</v>
      </c>
      <c r="U570" s="61"/>
      <c r="V570" s="69">
        <f>IFERROR(ABS(U$23-U569),Q_max*10)</f>
        <v>3.9619360560879926</v>
      </c>
      <c r="W570" s="75">
        <f>U561</f>
        <v>45.556132319330175</v>
      </c>
      <c r="X570" s="61"/>
      <c r="Y570" s="69">
        <f>IFERROR(ABS(X$23-X569),Q_max*10)</f>
        <v>3.5407118281473657</v>
      </c>
      <c r="Z570" s="75">
        <f>X561</f>
        <v>109.35225382582252</v>
      </c>
      <c r="AA570" s="61"/>
      <c r="AB570" s="69">
        <f>IFERROR(ABS(AA$23-AA569),Q_max*10)</f>
        <v>0.85379435384703584</v>
      </c>
      <c r="AC570" s="75">
        <f>AA561</f>
        <v>208.7935288613609</v>
      </c>
      <c r="AD570" s="61"/>
      <c r="AE570" s="69">
        <f>IFERROR(ABS(AD$23-AD569),Q_max*10)</f>
        <v>5.9158946942034589</v>
      </c>
      <c r="AF570" s="75">
        <f>AD561</f>
        <v>343.38848176047338</v>
      </c>
      <c r="AG570" s="61"/>
      <c r="AH570" s="69">
        <f>IFERROR(ABS(AG$23-AG569),Q_max*10)</f>
        <v>26.706732453552334</v>
      </c>
      <c r="AI570" s="75">
        <f>AG561</f>
        <v>511.25865702508935</v>
      </c>
      <c r="AJ570" s="61"/>
      <c r="AK570" s="69">
        <f>IFERROR(ABS(AJ$23-AJ569),Q_max*10)</f>
        <v>80.766707905931412</v>
      </c>
      <c r="AL570" s="75">
        <f>AJ561</f>
        <v>682.27665972853958</v>
      </c>
      <c r="AM570" s="61"/>
      <c r="AN570" s="69">
        <f>IFERROR(ABS(AM$23-AM569),Q_max*10)</f>
        <v>303.06450075368377</v>
      </c>
      <c r="AO570" s="75">
        <f>AM561</f>
        <v>832.50718468973207</v>
      </c>
      <c r="AP570" s="61"/>
      <c r="AQ570" s="69">
        <f>IFERROR(ABS(AP$23-AP569),Q_max*10)</f>
        <v>5500</v>
      </c>
      <c r="AR570" s="75">
        <f>AP561</f>
        <v>966.51499654725694</v>
      </c>
      <c r="AS570" s="61"/>
      <c r="AT570" s="69">
        <f>IFERROR(ABS(AS$23-AS569),Q_max*10)</f>
        <v>5500</v>
      </c>
      <c r="AU570" s="75">
        <f>AS561</f>
        <v>1099.9842230084371</v>
      </c>
    </row>
    <row r="571" spans="15:47" ht="14.5" x14ac:dyDescent="0.35">
      <c r="O571" s="6"/>
      <c r="P571" s="6"/>
      <c r="Q571" s="60"/>
      <c r="R571" s="67"/>
      <c r="S571" s="56"/>
      <c r="T571" s="72"/>
      <c r="V571" s="11"/>
      <c r="W571" s="38"/>
      <c r="Y571" s="11"/>
      <c r="Z571" s="38"/>
      <c r="AB571" s="11"/>
      <c r="AC571" s="38"/>
      <c r="AE571" s="11"/>
      <c r="AF571" s="38"/>
      <c r="AH571" s="11"/>
      <c r="AI571" s="38"/>
      <c r="AK571" s="11"/>
      <c r="AL571" s="38"/>
      <c r="AN571" s="11"/>
      <c r="AO571" s="38"/>
      <c r="AQ571" s="11"/>
      <c r="AR571" s="38"/>
      <c r="AT571" s="11"/>
      <c r="AU571" s="38"/>
    </row>
    <row r="572" spans="15:47" ht="14" x14ac:dyDescent="0.3">
      <c r="O572" s="8" t="s">
        <v>235</v>
      </c>
      <c r="P572" s="6"/>
      <c r="Q572" s="60"/>
      <c r="R572" s="53">
        <f>R561*1.02</f>
        <v>2.1110494345675352</v>
      </c>
      <c r="S572" s="58" t="s">
        <v>238</v>
      </c>
      <c r="T572" s="73" t="s">
        <v>241</v>
      </c>
      <c r="U572" s="84">
        <f>U561*1.01</f>
        <v>46.011693642523475</v>
      </c>
      <c r="V572" s="58" t="s">
        <v>238</v>
      </c>
      <c r="W572" s="73" t="s">
        <v>241</v>
      </c>
      <c r="X572" s="84">
        <f>X561*1.01</f>
        <v>110.44577636408074</v>
      </c>
      <c r="Y572" s="58" t="s">
        <v>238</v>
      </c>
      <c r="Z572" s="73" t="s">
        <v>241</v>
      </c>
      <c r="AA572" s="84">
        <f>AA561*1.01</f>
        <v>210.88146414997451</v>
      </c>
      <c r="AB572" s="58" t="s">
        <v>238</v>
      </c>
      <c r="AC572" s="73" t="s">
        <v>241</v>
      </c>
      <c r="AD572" s="84">
        <f>AD561*1.01</f>
        <v>346.82236657807812</v>
      </c>
      <c r="AE572" s="58" t="s">
        <v>238</v>
      </c>
      <c r="AF572" s="73" t="s">
        <v>241</v>
      </c>
      <c r="AG572" s="84">
        <f>AG561*1.01</f>
        <v>516.37124359534027</v>
      </c>
      <c r="AH572" s="58" t="s">
        <v>238</v>
      </c>
      <c r="AI572" s="73" t="s">
        <v>241</v>
      </c>
      <c r="AJ572" s="84">
        <f>AJ561*1.01</f>
        <v>689.09942632582499</v>
      </c>
      <c r="AK572" s="58" t="s">
        <v>238</v>
      </c>
      <c r="AL572" s="73" t="s">
        <v>241</v>
      </c>
      <c r="AM572" s="84">
        <f>AM561*1.01</f>
        <v>840.83225653662942</v>
      </c>
      <c r="AN572" s="58" t="s">
        <v>238</v>
      </c>
      <c r="AO572" s="73" t="s">
        <v>241</v>
      </c>
      <c r="AP572" s="84">
        <f>AP561*1.01</f>
        <v>976.18014651272949</v>
      </c>
      <c r="AQ572" s="58" t="s">
        <v>238</v>
      </c>
      <c r="AR572" s="73" t="s">
        <v>241</v>
      </c>
      <c r="AS572" s="84">
        <f>AS561*1.01</f>
        <v>1110.9840652385215</v>
      </c>
      <c r="AT572" s="58" t="s">
        <v>238</v>
      </c>
      <c r="AU572" s="73" t="s">
        <v>241</v>
      </c>
    </row>
    <row r="573" spans="15:47" ht="13" x14ac:dyDescent="0.25">
      <c r="O573" s="6"/>
      <c r="P573" s="6"/>
      <c r="Q573" s="60"/>
      <c r="R573" s="70"/>
      <c r="S573" s="63" t="s">
        <v>250</v>
      </c>
      <c r="T573" s="71" t="s">
        <v>242</v>
      </c>
      <c r="U573" s="61"/>
      <c r="V573" s="63" t="s">
        <v>250</v>
      </c>
      <c r="W573" s="71" t="s">
        <v>242</v>
      </c>
      <c r="X573" s="61"/>
      <c r="Y573" s="63" t="s">
        <v>250</v>
      </c>
      <c r="Z573" s="71" t="s">
        <v>242</v>
      </c>
      <c r="AA573" s="61"/>
      <c r="AB573" s="63" t="s">
        <v>250</v>
      </c>
      <c r="AC573" s="71" t="s">
        <v>242</v>
      </c>
      <c r="AD573" s="61"/>
      <c r="AE573" s="63" t="s">
        <v>250</v>
      </c>
      <c r="AF573" s="71" t="s">
        <v>242</v>
      </c>
      <c r="AG573" s="61"/>
      <c r="AH573" s="63" t="s">
        <v>250</v>
      </c>
      <c r="AI573" s="71" t="s">
        <v>242</v>
      </c>
      <c r="AJ573" s="61"/>
      <c r="AK573" s="63" t="s">
        <v>250</v>
      </c>
      <c r="AL573" s="71" t="s">
        <v>242</v>
      </c>
      <c r="AM573" s="61"/>
      <c r="AN573" s="63" t="s">
        <v>250</v>
      </c>
      <c r="AO573" s="71" t="s">
        <v>242</v>
      </c>
      <c r="AP573" s="61"/>
      <c r="AQ573" s="63" t="s">
        <v>250</v>
      </c>
      <c r="AR573" s="71" t="s">
        <v>242</v>
      </c>
      <c r="AS573" s="61"/>
      <c r="AT573" s="63" t="s">
        <v>250</v>
      </c>
      <c r="AU573" s="71" t="s">
        <v>242</v>
      </c>
    </row>
    <row r="574" spans="15:47" ht="13" x14ac:dyDescent="0.3">
      <c r="O574" s="6" t="s">
        <v>231</v>
      </c>
      <c r="P574" s="6"/>
      <c r="Q574" s="60"/>
      <c r="R574" s="85">
        <f>P_1_minQ-(R572^2*R_up)+dpup_minQ</f>
        <v>56.915992687277431</v>
      </c>
      <c r="S574" s="56"/>
      <c r="T574" s="72"/>
      <c r="U574" s="53">
        <f>P_1_minQ-(U572^2*R_up)+dpup_minQ</f>
        <v>56.844644513615215</v>
      </c>
      <c r="V574" s="44"/>
      <c r="W574" s="72"/>
      <c r="X574" s="53">
        <f>P_1_minQ-(X572^2*R_up)+dpup_minQ</f>
        <v>56.504178672182896</v>
      </c>
      <c r="Y574" s="44"/>
      <c r="Z574" s="72"/>
      <c r="AA574" s="53">
        <f>P_1_minQ-(AA572^2*R_up)+dpup_minQ</f>
        <v>55.414252214723504</v>
      </c>
      <c r="AB574" s="44"/>
      <c r="AC574" s="72"/>
      <c r="AD574" s="53">
        <f>P_1_minQ-(AD572^2*R_up)+dpup_minQ</f>
        <v>52.853807701492102</v>
      </c>
      <c r="AE574" s="44"/>
      <c r="AF574" s="72"/>
      <c r="AG574" s="53">
        <f>P_1_minQ-(AG572^2*R_up)+dpup_minQ</f>
        <v>47.911102289355007</v>
      </c>
      <c r="AH574" s="44"/>
      <c r="AI574" s="72"/>
      <c r="AJ574" s="53">
        <f>P_1_minQ-(AJ572^2*R_up)+dpup_minQ</f>
        <v>40.879060474076965</v>
      </c>
      <c r="AK574" s="44"/>
      <c r="AL574" s="72"/>
      <c r="AM574" s="53">
        <f>P_1_minQ-(AM572^2*R_up)+dpup_minQ</f>
        <v>33.039112339328597</v>
      </c>
      <c r="AN574" s="44"/>
      <c r="AO574" s="72"/>
      <c r="AP574" s="53">
        <f>P_1_minQ-(AP572^2*R_up)+dpup_minQ</f>
        <v>24.733513054859369</v>
      </c>
      <c r="AQ574" s="44"/>
      <c r="AR574" s="72"/>
      <c r="AS574" s="53">
        <f>P_1_minQ-(AS572^2*R_up)+dpup_minQ</f>
        <v>15.231388273761855</v>
      </c>
      <c r="AT574" s="44"/>
      <c r="AU574" s="72"/>
    </row>
    <row r="575" spans="15:47" ht="13" x14ac:dyDescent="0.3">
      <c r="O575" s="6" t="s">
        <v>233</v>
      </c>
      <c r="P575" s="6"/>
      <c r="Q575" s="60"/>
      <c r="R575" s="85">
        <f>P_2_minQ+(R572^2*R_dn)-dpdn_minQ</f>
        <v>24.656801462544514</v>
      </c>
      <c r="S575" s="66"/>
      <c r="T575" s="74"/>
      <c r="U575" s="53">
        <f>P_2_minQ+(U572^2*R_dn)-dpdn_minQ</f>
        <v>24.671071097276958</v>
      </c>
      <c r="V575" s="45"/>
      <c r="W575" s="74"/>
      <c r="X575" s="53">
        <f>P_2_minQ+(X572^2*R_dn)-dpdn_minQ</f>
        <v>24.739164265563424</v>
      </c>
      <c r="Y575" s="45"/>
      <c r="Z575" s="74"/>
      <c r="AA575" s="53">
        <f>P_2_minQ+(AA572^2*R_dn)-dpdn_minQ</f>
        <v>24.957149557055299</v>
      </c>
      <c r="AB575" s="45"/>
      <c r="AC575" s="74"/>
      <c r="AD575" s="53">
        <f>P_2_minQ+(AD572^2*R_dn)-dpdn_minQ</f>
        <v>25.469238459701579</v>
      </c>
      <c r="AE575" s="45"/>
      <c r="AF575" s="74"/>
      <c r="AG575" s="53">
        <f>P_2_minQ+(AG572^2*R_dn)-dpdn_minQ</f>
        <v>26.457779542129</v>
      </c>
      <c r="AH575" s="45"/>
      <c r="AI575" s="74"/>
      <c r="AJ575" s="53">
        <f>P_2_minQ+(AJ572^2*R_dn)-dpdn_minQ</f>
        <v>27.864187905184608</v>
      </c>
      <c r="AK575" s="45"/>
      <c r="AL575" s="74"/>
      <c r="AM575" s="53">
        <f>P_2_minQ+(AM572^2*R_dn)-dpdn_minQ</f>
        <v>29.432177532134279</v>
      </c>
      <c r="AN575" s="45"/>
      <c r="AO575" s="74"/>
      <c r="AP575" s="53">
        <f>P_2_minQ+(AP572^2*R_dn)-dpdn_minQ</f>
        <v>31.093297389028127</v>
      </c>
      <c r="AQ575" s="45"/>
      <c r="AR575" s="74"/>
      <c r="AS575" s="53">
        <f>P_2_minQ+(AS572^2*R_dn)-dpdn_minQ</f>
        <v>32.993722345247633</v>
      </c>
      <c r="AT575" s="45"/>
      <c r="AU575" s="74"/>
    </row>
    <row r="576" spans="15:47" x14ac:dyDescent="0.25">
      <c r="O576" s="6" t="s">
        <v>243</v>
      </c>
      <c r="Q576" s="60"/>
      <c r="R576" s="53">
        <f>R574-R575</f>
        <v>32.259191224732916</v>
      </c>
      <c r="S576" s="56"/>
      <c r="T576" s="72"/>
      <c r="U576" s="64">
        <f>U574-U575</f>
        <v>32.173573416338257</v>
      </c>
      <c r="V576" s="44"/>
      <c r="W576" s="72"/>
      <c r="X576" s="64">
        <f>X574-X575</f>
        <v>31.765014406619471</v>
      </c>
      <c r="Y576" s="44"/>
      <c r="Z576" s="72"/>
      <c r="AA576" s="64">
        <f>AA574-AA575</f>
        <v>30.457102657668205</v>
      </c>
      <c r="AB576" s="44"/>
      <c r="AC576" s="72"/>
      <c r="AD576" s="64">
        <f>AD574-AD575</f>
        <v>27.384569241790523</v>
      </c>
      <c r="AE576" s="44"/>
      <c r="AF576" s="72"/>
      <c r="AG576" s="64">
        <f>AG574-AG575</f>
        <v>21.453322747226007</v>
      </c>
      <c r="AH576" s="44"/>
      <c r="AI576" s="72"/>
      <c r="AJ576" s="64">
        <f>AJ574-AJ575</f>
        <v>13.014872568892358</v>
      </c>
      <c r="AK576" s="44"/>
      <c r="AL576" s="72"/>
      <c r="AM576" s="64">
        <f>AM574-AM575</f>
        <v>3.6069348071943175</v>
      </c>
      <c r="AN576" s="44"/>
      <c r="AO576" s="72"/>
      <c r="AP576" s="64">
        <f>AP574-AP575</f>
        <v>-6.3597843341687579</v>
      </c>
      <c r="AQ576" s="44"/>
      <c r="AR576" s="72"/>
      <c r="AS576" s="64">
        <f>AS574-AS575</f>
        <v>-17.762334071485778</v>
      </c>
      <c r="AT576" s="44"/>
      <c r="AU576" s="72"/>
    </row>
    <row r="577" spans="15:47" ht="13" x14ac:dyDescent="0.3">
      <c r="O577" s="6" t="s">
        <v>75</v>
      </c>
      <c r="P577" s="6">
        <v>3</v>
      </c>
      <c r="Q577" s="65"/>
      <c r="R577" s="85">
        <f>(F_LP_h/F_P_h)^2*(R574-('Valve Sizing'!$V$4*'Valve Sizing'!$G$7))</f>
        <v>46.765038613533285</v>
      </c>
      <c r="S577" s="58"/>
      <c r="T577" s="73"/>
      <c r="U577" s="53">
        <f>(U$29/U$27)^2*(U574-('Valve Sizing'!$V$4*'Valve Sizing'!$G$7))</f>
        <v>46.693228465851448</v>
      </c>
      <c r="V577" s="41"/>
      <c r="W577" s="73"/>
      <c r="X577" s="53">
        <f>(X$29/X$27)^2*(X574-('Valve Sizing'!$V$4*'Valve Sizing'!$G$7))</f>
        <v>45.36448337210475</v>
      </c>
      <c r="Y577" s="41"/>
      <c r="Z577" s="73"/>
      <c r="AA577" s="53">
        <f>(AA$29/AA$27)^2*(AA574-('Valve Sizing'!$V$4*'Valve Sizing'!$G$7))</f>
        <v>42.483904791104102</v>
      </c>
      <c r="AB577" s="41"/>
      <c r="AC577" s="73"/>
      <c r="AD577" s="53">
        <f>(AD$29/AD$27)^2*(AD574-('Valve Sizing'!$V$4*'Valve Sizing'!$G$7))</f>
        <v>37.800136486316688</v>
      </c>
      <c r="AE577" s="41"/>
      <c r="AF577" s="73"/>
      <c r="AG577" s="53">
        <f>(AG$29/AG$27)^2*(AG574-('Valve Sizing'!$V$4*'Valve Sizing'!$G$7))</f>
        <v>30.573439144108558</v>
      </c>
      <c r="AH577" s="41"/>
      <c r="AI577" s="73"/>
      <c r="AJ577" s="53">
        <f>(AJ$29/AJ$27)^2*(AJ574-('Valve Sizing'!$V$4*'Valve Sizing'!$G$7))</f>
        <v>23.388476978636675</v>
      </c>
      <c r="AK577" s="41"/>
      <c r="AL577" s="73"/>
      <c r="AM577" s="53">
        <f>(AM$29/AM$27)^2*(AM574-('Valve Sizing'!$V$4*'Valve Sizing'!$G$7))</f>
        <v>15.597739753426849</v>
      </c>
      <c r="AN577" s="41"/>
      <c r="AO577" s="73"/>
      <c r="AP577" s="53">
        <f>(AP$29/AP$27)^2*(AP574-('Valve Sizing'!$V$4*'Valve Sizing'!$G$7))</f>
        <v>9.5868492245103507</v>
      </c>
      <c r="AQ577" s="41"/>
      <c r="AR577" s="73"/>
      <c r="AS577" s="53">
        <f>(AS$29/AS$27)^2*(AS574-('Valve Sizing'!$V$4*'Valve Sizing'!$G$7))</f>
        <v>5.5636228395423544</v>
      </c>
      <c r="AT577" s="41"/>
      <c r="AU577" s="73"/>
    </row>
    <row r="578" spans="15:47" ht="13" x14ac:dyDescent="0.25">
      <c r="O578" s="1" t="s">
        <v>69</v>
      </c>
      <c r="P578" s="17">
        <v>7</v>
      </c>
      <c r="Q578" s="65"/>
      <c r="R578" s="53">
        <f>(R572/(N_1*F_P_h))*SQRT('Valve Sizing'!$G$6/R576)</f>
        <v>0.37173649048310198</v>
      </c>
      <c r="S578" s="58"/>
      <c r="T578" s="73"/>
      <c r="U578" s="64">
        <f>(U572/(N_1*U$27))*SQRT('Valve Sizing'!$G$6/U576)</f>
        <v>8.1186578733137598</v>
      </c>
      <c r="V578" s="41"/>
      <c r="W578" s="73"/>
      <c r="X578" s="64">
        <f>(X572/(N_1*X$27))*SQRT('Valve Sizing'!$G$6/X576)</f>
        <v>19.656894270188513</v>
      </c>
      <c r="Y578" s="41"/>
      <c r="Z578" s="73"/>
      <c r="AA578" s="64">
        <f>(AA572/(N_1*AA$27))*SQRT('Valve Sizing'!$G$6/AA576)</f>
        <v>38.550122056570295</v>
      </c>
      <c r="AB578" s="41"/>
      <c r="AC578" s="73"/>
      <c r="AD578" s="64">
        <f>(AD572/(N_1*AD$27))*SQRT('Valve Sizing'!$G$6/AD576)</f>
        <v>67.703479016130728</v>
      </c>
      <c r="AE578" s="41"/>
      <c r="AF578" s="73"/>
      <c r="AG578" s="64">
        <f>(AG572/(N_1*AG$27))*SQRT('Valve Sizing'!$G$6/AG576)</f>
        <v>116.42729839329571</v>
      </c>
      <c r="AH578" s="41"/>
      <c r="AI578" s="73"/>
      <c r="AJ578" s="64">
        <f>(AJ572/(N_1*AJ$27))*SQRT('Valve Sizing'!$G$6/AJ576)</f>
        <v>206.73172405847285</v>
      </c>
      <c r="AK578" s="41"/>
      <c r="AL578" s="73"/>
      <c r="AM578" s="64">
        <f>(AM572/(N_1*AM$27))*SQRT('Valve Sizing'!$G$6/AM576)</f>
        <v>508.39832178233229</v>
      </c>
      <c r="AN578" s="41"/>
      <c r="AO578" s="73"/>
      <c r="AP578" s="64" t="e">
        <f>(AP572/(N_1*AP$27))*SQRT('Valve Sizing'!$G$6/AP576)</f>
        <v>#NUM!</v>
      </c>
      <c r="AQ578" s="41"/>
      <c r="AR578" s="73"/>
      <c r="AS578" s="64" t="e">
        <f>(AS572/(N_1*AS$27))*SQRT('Valve Sizing'!$G$6/AS576)</f>
        <v>#NUM!</v>
      </c>
      <c r="AT578" s="41"/>
      <c r="AU578" s="73"/>
    </row>
    <row r="579" spans="15:47" ht="13" x14ac:dyDescent="0.3">
      <c r="O579" s="1" t="s">
        <v>72</v>
      </c>
      <c r="P579" s="17">
        <v>7</v>
      </c>
      <c r="Q579" s="65"/>
      <c r="R579" s="53">
        <f>(R572/(N_1*F_P_h))*SQRT('Valve Sizing'!$G$6/R577)</f>
        <v>0.30874595989286047</v>
      </c>
      <c r="S579" s="56"/>
      <c r="T579" s="72"/>
      <c r="U579" s="85">
        <f>(U572/(N_1*U$27))*SQRT('Valve Sizing'!$G$6/U577)</f>
        <v>6.7391781708191676</v>
      </c>
      <c r="V579" s="44"/>
      <c r="W579" s="72"/>
      <c r="X579" s="85">
        <f>(X572/(N_1*X$27))*SQRT('Valve Sizing'!$G$6/X577)</f>
        <v>16.448694908572637</v>
      </c>
      <c r="Y579" s="44"/>
      <c r="Z579" s="72"/>
      <c r="AA579" s="85">
        <f>(AA572/(N_1*AA$27))*SQRT('Valve Sizing'!$G$6/AA577)</f>
        <v>32.640577768292538</v>
      </c>
      <c r="AB579" s="44"/>
      <c r="AC579" s="72"/>
      <c r="AD579" s="85">
        <f>(AD572/(N_1*AD$27))*SQRT('Valve Sizing'!$G$6/AD577)</f>
        <v>57.625838652288131</v>
      </c>
      <c r="AE579" s="44"/>
      <c r="AF579" s="72"/>
      <c r="AG579" s="85">
        <f>(AG572/(N_1*AG$27))*SQRT('Valve Sizing'!$G$6/AG577)</f>
        <v>97.528143241573034</v>
      </c>
      <c r="AH579" s="44"/>
      <c r="AI579" s="72"/>
      <c r="AJ579" s="85">
        <f>(AJ572/(N_1*AJ$27))*SQRT('Valve Sizing'!$G$6/AJ577)</f>
        <v>154.21482149943566</v>
      </c>
      <c r="AK579" s="44"/>
      <c r="AL579" s="72"/>
      <c r="AM579" s="85">
        <f>(AM572/(N_1*AM$27))*SQRT('Valve Sizing'!$G$6/AM577)</f>
        <v>244.4794837000276</v>
      </c>
      <c r="AN579" s="44"/>
      <c r="AO579" s="72"/>
      <c r="AP579" s="85">
        <f>(AP572/(N_1*AP$27))*SQRT('Valve Sizing'!$G$6/AP577)</f>
        <v>412.07131040732412</v>
      </c>
      <c r="AQ579" s="44"/>
      <c r="AR579" s="72"/>
      <c r="AS579" s="85">
        <f>(AS572/(N_1*AS$27))*SQRT('Valve Sizing'!$G$6/AS577)</f>
        <v>824.54880306350651</v>
      </c>
      <c r="AT579" s="44"/>
      <c r="AU579" s="72"/>
    </row>
    <row r="580" spans="15:47" x14ac:dyDescent="0.25">
      <c r="O580" s="1" t="s">
        <v>246</v>
      </c>
      <c r="P580" s="18"/>
      <c r="Q580" s="65"/>
      <c r="R580" s="53">
        <f>IF(R576&lt;R577,R578,R579)</f>
        <v>0.37173649048310198</v>
      </c>
      <c r="S580" s="49"/>
      <c r="T580" s="72"/>
      <c r="U580" s="64">
        <f>IF(U576&lt;U577,U578,U579)</f>
        <v>8.1186578733137598</v>
      </c>
      <c r="V580" s="44"/>
      <c r="W580" s="72"/>
      <c r="X580" s="64">
        <f>IF(X576&lt;X577,X578,X579)</f>
        <v>19.656894270188513</v>
      </c>
      <c r="Y580" s="44"/>
      <c r="Z580" s="72"/>
      <c r="AA580" s="64">
        <f>IF(AA576&lt;AA577,AA578,AA579)</f>
        <v>38.550122056570295</v>
      </c>
      <c r="AB580" s="44"/>
      <c r="AC580" s="72"/>
      <c r="AD580" s="64">
        <f>IF(AD576&lt;AD577,AD578,AD579)</f>
        <v>67.703479016130728</v>
      </c>
      <c r="AE580" s="44"/>
      <c r="AF580" s="72"/>
      <c r="AG580" s="64">
        <f>IF(AG576&lt;AG577,AG578,AG579)</f>
        <v>116.42729839329571</v>
      </c>
      <c r="AH580" s="44"/>
      <c r="AI580" s="72"/>
      <c r="AJ580" s="64">
        <f>IF(AJ576&lt;AJ577,AJ578,AJ579)</f>
        <v>206.73172405847285</v>
      </c>
      <c r="AK580" s="44"/>
      <c r="AL580" s="72"/>
      <c r="AM580" s="64">
        <f>IF(AM576&lt;AM577,AM578,AM579)</f>
        <v>508.39832178233229</v>
      </c>
      <c r="AN580" s="44"/>
      <c r="AO580" s="72"/>
      <c r="AP580" s="64" t="e">
        <f>IF(AP576&lt;AP577,AP578,AP579)</f>
        <v>#NUM!</v>
      </c>
      <c r="AQ580" s="44"/>
      <c r="AR580" s="72"/>
      <c r="AS580" s="64" t="e">
        <f>IF(AS576&lt;AS577,AS578,AS579)</f>
        <v>#NUM!</v>
      </c>
      <c r="AT580" s="44"/>
      <c r="AU580" s="72"/>
    </row>
    <row r="581" spans="15:47" ht="13" x14ac:dyDescent="0.3">
      <c r="O581" s="7" t="s">
        <v>264</v>
      </c>
      <c r="Q581" s="61"/>
      <c r="R581" s="53"/>
      <c r="S581" s="69">
        <f>IFERROR(ABS(C_h-R580),Q_max*10)</f>
        <v>4.6282635095168985</v>
      </c>
      <c r="T581" s="76">
        <f>R572</f>
        <v>2.1110494345675352</v>
      </c>
      <c r="U581" s="61"/>
      <c r="V581" s="69">
        <f>IFERROR(ABS(U$23-U580),Q_max*10)</f>
        <v>3.8813421266862402</v>
      </c>
      <c r="W581" s="75">
        <f>U572</f>
        <v>46.011693642523475</v>
      </c>
      <c r="X581" s="61"/>
      <c r="Y581" s="69">
        <f>IFERROR(ABS(X$23-X580),Q_max*10)</f>
        <v>3.3431057298114872</v>
      </c>
      <c r="Z581" s="75">
        <f>X572</f>
        <v>110.44577636408074</v>
      </c>
      <c r="AA581" s="61"/>
      <c r="AB581" s="69">
        <f>IFERROR(ABS(AA$23-AA580),Q_max*10)</f>
        <v>0.44987794342970489</v>
      </c>
      <c r="AC581" s="75">
        <f>AA572</f>
        <v>210.88146414997451</v>
      </c>
      <c r="AD581" s="61"/>
      <c r="AE581" s="69">
        <f>IFERROR(ABS(AD$23-AD580),Q_max*10)</f>
        <v>6.7034790161307285</v>
      </c>
      <c r="AF581" s="75">
        <f>AD572</f>
        <v>346.82236657807812</v>
      </c>
      <c r="AG581" s="61"/>
      <c r="AH581" s="69">
        <f>IFERROR(ABS(AG$23-AG580),Q_max*10)</f>
        <v>28.427298393295715</v>
      </c>
      <c r="AI581" s="75">
        <f>AG572</f>
        <v>516.37124359534027</v>
      </c>
      <c r="AJ581" s="61"/>
      <c r="AK581" s="69">
        <f>IFERROR(ABS(AJ$23-AJ580),Q_max*10)</f>
        <v>85.731724058472849</v>
      </c>
      <c r="AL581" s="75">
        <f>AJ572</f>
        <v>689.09942632582499</v>
      </c>
      <c r="AM581" s="61"/>
      <c r="AN581" s="69">
        <f>IFERROR(ABS(AM$23-AM580),Q_max*10)</f>
        <v>343.39832178233229</v>
      </c>
      <c r="AO581" s="75">
        <f>AM572</f>
        <v>840.83225653662942</v>
      </c>
      <c r="AP581" s="61"/>
      <c r="AQ581" s="69">
        <f>IFERROR(ABS(AP$23-AP580),Q_max*10)</f>
        <v>5500</v>
      </c>
      <c r="AR581" s="75">
        <f>AP572</f>
        <v>976.18014651272949</v>
      </c>
      <c r="AS581" s="61"/>
      <c r="AT581" s="69">
        <f>IFERROR(ABS(AS$23-AS580),Q_max*10)</f>
        <v>5500</v>
      </c>
      <c r="AU581" s="75">
        <f>AS572</f>
        <v>1110.9840652385215</v>
      </c>
    </row>
    <row r="582" spans="15:47" ht="14.5" x14ac:dyDescent="0.35">
      <c r="O582" s="8"/>
      <c r="P582" s="6"/>
      <c r="Q582" s="60"/>
      <c r="R582" s="67"/>
      <c r="S582" s="58"/>
      <c r="T582" s="73"/>
      <c r="V582" s="11"/>
      <c r="W582" s="38"/>
      <c r="Y582" s="11"/>
      <c r="Z582" s="38"/>
      <c r="AB582" s="11"/>
      <c r="AC582" s="38"/>
      <c r="AE582" s="11"/>
      <c r="AF582" s="38"/>
      <c r="AH582" s="11"/>
      <c r="AI582" s="38"/>
      <c r="AK582" s="11"/>
      <c r="AL582" s="38"/>
      <c r="AN582" s="11"/>
      <c r="AO582" s="38"/>
      <c r="AQ582" s="11"/>
      <c r="AR582" s="38"/>
      <c r="AT582" s="11"/>
      <c r="AU582" s="38"/>
    </row>
    <row r="583" spans="15:47" ht="14" x14ac:dyDescent="0.3">
      <c r="O583" s="8" t="s">
        <v>235</v>
      </c>
      <c r="P583" s="6"/>
      <c r="Q583" s="60"/>
      <c r="R583" s="53">
        <f>R572*1.02</f>
        <v>2.1532704232588862</v>
      </c>
      <c r="S583" s="58" t="s">
        <v>238</v>
      </c>
      <c r="T583" s="73" t="s">
        <v>241</v>
      </c>
      <c r="U583" s="84">
        <f>U572*1.01</f>
        <v>46.471810578948713</v>
      </c>
      <c r="V583" s="58" t="s">
        <v>238</v>
      </c>
      <c r="W583" s="73" t="s">
        <v>241</v>
      </c>
      <c r="X583" s="84">
        <f>X572*1.01</f>
        <v>111.55023412772155</v>
      </c>
      <c r="Y583" s="58" t="s">
        <v>238</v>
      </c>
      <c r="Z583" s="73" t="s">
        <v>241</v>
      </c>
      <c r="AA583" s="84">
        <f>AA572*1.01</f>
        <v>212.99027879147425</v>
      </c>
      <c r="AB583" s="58" t="s">
        <v>238</v>
      </c>
      <c r="AC583" s="73" t="s">
        <v>241</v>
      </c>
      <c r="AD583" s="84">
        <f>AD572*1.01</f>
        <v>350.2905902438589</v>
      </c>
      <c r="AE583" s="58" t="s">
        <v>238</v>
      </c>
      <c r="AF583" s="73" t="s">
        <v>241</v>
      </c>
      <c r="AG583" s="84">
        <f>AG572*1.01</f>
        <v>521.53495603129363</v>
      </c>
      <c r="AH583" s="58" t="s">
        <v>238</v>
      </c>
      <c r="AI583" s="73" t="s">
        <v>241</v>
      </c>
      <c r="AJ583" s="84">
        <f>AJ572*1.01</f>
        <v>695.99042058908321</v>
      </c>
      <c r="AK583" s="58" t="s">
        <v>238</v>
      </c>
      <c r="AL583" s="73" t="s">
        <v>241</v>
      </c>
      <c r="AM583" s="84">
        <f>AM572*1.01</f>
        <v>849.24057910199576</v>
      </c>
      <c r="AN583" s="58" t="s">
        <v>238</v>
      </c>
      <c r="AO583" s="73" t="s">
        <v>241</v>
      </c>
      <c r="AP583" s="84">
        <f>AP572*1.01</f>
        <v>985.94194797785678</v>
      </c>
      <c r="AQ583" s="58" t="s">
        <v>238</v>
      </c>
      <c r="AR583" s="73" t="s">
        <v>241</v>
      </c>
      <c r="AS583" s="84">
        <f>AS572*1.01</f>
        <v>1122.0939058909066</v>
      </c>
      <c r="AT583" s="58" t="s">
        <v>238</v>
      </c>
      <c r="AU583" s="73" t="s">
        <v>241</v>
      </c>
    </row>
    <row r="584" spans="15:47" ht="13" x14ac:dyDescent="0.25">
      <c r="O584" s="6"/>
      <c r="P584" s="6"/>
      <c r="Q584" s="60"/>
      <c r="R584" s="70"/>
      <c r="S584" s="63" t="s">
        <v>250</v>
      </c>
      <c r="T584" s="71" t="s">
        <v>242</v>
      </c>
      <c r="U584" s="61"/>
      <c r="V584" s="63" t="s">
        <v>250</v>
      </c>
      <c r="W584" s="71" t="s">
        <v>242</v>
      </c>
      <c r="X584" s="61"/>
      <c r="Y584" s="63" t="s">
        <v>250</v>
      </c>
      <c r="Z584" s="71" t="s">
        <v>242</v>
      </c>
      <c r="AA584" s="61"/>
      <c r="AB584" s="63" t="s">
        <v>250</v>
      </c>
      <c r="AC584" s="71" t="s">
        <v>242</v>
      </c>
      <c r="AD584" s="61"/>
      <c r="AE584" s="63" t="s">
        <v>250</v>
      </c>
      <c r="AF584" s="71" t="s">
        <v>242</v>
      </c>
      <c r="AG584" s="61"/>
      <c r="AH584" s="63" t="s">
        <v>250</v>
      </c>
      <c r="AI584" s="71" t="s">
        <v>242</v>
      </c>
      <c r="AJ584" s="61"/>
      <c r="AK584" s="63" t="s">
        <v>250</v>
      </c>
      <c r="AL584" s="71" t="s">
        <v>242</v>
      </c>
      <c r="AM584" s="61"/>
      <c r="AN584" s="63" t="s">
        <v>250</v>
      </c>
      <c r="AO584" s="71" t="s">
        <v>242</v>
      </c>
      <c r="AP584" s="61"/>
      <c r="AQ584" s="63" t="s">
        <v>250</v>
      </c>
      <c r="AR584" s="71" t="s">
        <v>242</v>
      </c>
      <c r="AS584" s="61"/>
      <c r="AT584" s="63" t="s">
        <v>250</v>
      </c>
      <c r="AU584" s="71" t="s">
        <v>242</v>
      </c>
    </row>
    <row r="585" spans="15:47" ht="13" x14ac:dyDescent="0.3">
      <c r="O585" s="6" t="s">
        <v>231</v>
      </c>
      <c r="P585" s="6"/>
      <c r="Q585" s="60"/>
      <c r="R585" s="85">
        <f>P_1_minQ-(R583^2*R_up)+dpup_minQ</f>
        <v>56.915986606770829</v>
      </c>
      <c r="S585" s="56"/>
      <c r="T585" s="72"/>
      <c r="U585" s="53">
        <f>P_1_minQ-(U583^2*R_up)+dpup_minQ</f>
        <v>56.84320739012206</v>
      </c>
      <c r="V585" s="44"/>
      <c r="W585" s="72"/>
      <c r="X585" s="53">
        <f>P_1_minQ-(X583^2*R_up)+dpup_minQ</f>
        <v>56.49589818527695</v>
      </c>
      <c r="Y585" s="44"/>
      <c r="Z585" s="72"/>
      <c r="AA585" s="53">
        <f>P_1_minQ-(AA583^2*R_up)+dpup_minQ</f>
        <v>55.384064206022629</v>
      </c>
      <c r="AB585" s="44"/>
      <c r="AC585" s="72"/>
      <c r="AD585" s="53">
        <f>P_1_minQ-(AD583^2*R_up)+dpup_minQ</f>
        <v>52.772154758075274</v>
      </c>
      <c r="AE585" s="44"/>
      <c r="AF585" s="72"/>
      <c r="AG585" s="53">
        <f>P_1_minQ-(AG583^2*R_up)+dpup_minQ</f>
        <v>47.730100967154222</v>
      </c>
      <c r="AH585" s="44"/>
      <c r="AI585" s="72"/>
      <c r="AJ585" s="53">
        <f>P_1_minQ-(AJ583^2*R_up)+dpup_minQ</f>
        <v>40.556715111389089</v>
      </c>
      <c r="AK585" s="44"/>
      <c r="AL585" s="72"/>
      <c r="AM585" s="53">
        <f>P_1_minQ-(AM583^2*R_up)+dpup_minQ</f>
        <v>32.559184019132282</v>
      </c>
      <c r="AN585" s="44"/>
      <c r="AO585" s="72"/>
      <c r="AP585" s="53">
        <f>P_1_minQ-(AP583^2*R_up)+dpup_minQ</f>
        <v>24.086642189045225</v>
      </c>
      <c r="AQ585" s="44"/>
      <c r="AR585" s="72"/>
      <c r="AS585" s="53">
        <f>P_1_minQ-(AS583^2*R_up)+dpup_minQ</f>
        <v>14.393524699847664</v>
      </c>
      <c r="AT585" s="44"/>
      <c r="AU585" s="72"/>
    </row>
    <row r="586" spans="15:47" ht="13" x14ac:dyDescent="0.3">
      <c r="O586" s="6" t="s">
        <v>233</v>
      </c>
      <c r="P586" s="6"/>
      <c r="Q586" s="60"/>
      <c r="R586" s="85">
        <f>P_2_minQ+(R583^2*R_dn)-dpdn_minQ</f>
        <v>24.656802678645835</v>
      </c>
      <c r="S586" s="66"/>
      <c r="T586" s="74"/>
      <c r="U586" s="53">
        <f>P_2_minQ+(U583^2*R_dn)-dpdn_minQ</f>
        <v>24.671358521975588</v>
      </c>
      <c r="V586" s="45"/>
      <c r="W586" s="74"/>
      <c r="X586" s="53">
        <f>P_2_minQ+(X583^2*R_dn)-dpdn_minQ</f>
        <v>24.740820362944611</v>
      </c>
      <c r="Y586" s="45"/>
      <c r="Z586" s="74"/>
      <c r="AA586" s="53">
        <f>P_2_minQ+(AA583^2*R_dn)-dpdn_minQ</f>
        <v>24.963187158795474</v>
      </c>
      <c r="AB586" s="45"/>
      <c r="AC586" s="74"/>
      <c r="AD586" s="53">
        <f>P_2_minQ+(AD583^2*R_dn)-dpdn_minQ</f>
        <v>25.485569048384946</v>
      </c>
      <c r="AE586" s="45"/>
      <c r="AF586" s="74"/>
      <c r="AG586" s="53">
        <f>P_2_minQ+(AG583^2*R_dn)-dpdn_minQ</f>
        <v>26.493979806569158</v>
      </c>
      <c r="AH586" s="45"/>
      <c r="AI586" s="74"/>
      <c r="AJ586" s="53">
        <f>P_2_minQ+(AJ583^2*R_dn)-dpdn_minQ</f>
        <v>27.928656977722181</v>
      </c>
      <c r="AK586" s="45"/>
      <c r="AL586" s="74"/>
      <c r="AM586" s="53">
        <f>P_2_minQ+(AM583^2*R_dn)-dpdn_minQ</f>
        <v>29.528163196173544</v>
      </c>
      <c r="AN586" s="45"/>
      <c r="AO586" s="74"/>
      <c r="AP586" s="53">
        <f>P_2_minQ+(AP583^2*R_dn)-dpdn_minQ</f>
        <v>31.222671562190957</v>
      </c>
      <c r="AQ586" s="45"/>
      <c r="AR586" s="74"/>
      <c r="AS586" s="53">
        <f>P_2_minQ+(AS583^2*R_dn)-dpdn_minQ</f>
        <v>33.161295060030469</v>
      </c>
      <c r="AT586" s="45"/>
      <c r="AU586" s="74"/>
    </row>
    <row r="587" spans="15:47" x14ac:dyDescent="0.25">
      <c r="O587" s="6" t="s">
        <v>243</v>
      </c>
      <c r="Q587" s="60"/>
      <c r="R587" s="53">
        <f>R585-R586</f>
        <v>32.259183928124997</v>
      </c>
      <c r="S587" s="56"/>
      <c r="T587" s="72"/>
      <c r="U587" s="64">
        <f>U585-U586</f>
        <v>32.171848868146469</v>
      </c>
      <c r="V587" s="44"/>
      <c r="W587" s="72"/>
      <c r="X587" s="64">
        <f>X585-X586</f>
        <v>31.755077822332339</v>
      </c>
      <c r="Y587" s="44"/>
      <c r="Z587" s="72"/>
      <c r="AA587" s="64">
        <f>AA585-AA586</f>
        <v>30.420877047227155</v>
      </c>
      <c r="AB587" s="44"/>
      <c r="AC587" s="72"/>
      <c r="AD587" s="64">
        <f>AD585-AD586</f>
        <v>27.286585709690328</v>
      </c>
      <c r="AE587" s="44"/>
      <c r="AF587" s="72"/>
      <c r="AG587" s="64">
        <f>AG585-AG586</f>
        <v>21.236121160585064</v>
      </c>
      <c r="AH587" s="44"/>
      <c r="AI587" s="72"/>
      <c r="AJ587" s="64">
        <f>AJ585-AJ586</f>
        <v>12.628058133666908</v>
      </c>
      <c r="AK587" s="44"/>
      <c r="AL587" s="72"/>
      <c r="AM587" s="64">
        <f>AM585-AM586</f>
        <v>3.0310208229587374</v>
      </c>
      <c r="AN587" s="44"/>
      <c r="AO587" s="72"/>
      <c r="AP587" s="64">
        <f>AP585-AP586</f>
        <v>-7.1360293731457318</v>
      </c>
      <c r="AQ587" s="44"/>
      <c r="AR587" s="72"/>
      <c r="AS587" s="64">
        <f>AS585-AS586</f>
        <v>-18.767770360182805</v>
      </c>
      <c r="AT587" s="44"/>
      <c r="AU587" s="72"/>
    </row>
    <row r="588" spans="15:47" ht="13" x14ac:dyDescent="0.3">
      <c r="O588" s="6" t="s">
        <v>75</v>
      </c>
      <c r="P588" s="6">
        <v>3</v>
      </c>
      <c r="Q588" s="65"/>
      <c r="R588" s="85">
        <f>(F_LP_h/F_P_h)^2*(R585-('Valve Sizing'!$V$4*'Valve Sizing'!$G$7))</f>
        <v>46.765033578554657</v>
      </c>
      <c r="S588" s="58"/>
      <c r="T588" s="73"/>
      <c r="U588" s="53">
        <f>(U$29/U$27)^2*(U585-('Valve Sizing'!$V$4*'Valve Sizing'!$G$7))</f>
        <v>46.692038776513165</v>
      </c>
      <c r="V588" s="41"/>
      <c r="W588" s="73"/>
      <c r="X588" s="53">
        <f>(X$29/X$27)^2*(X585-('Valve Sizing'!$V$4*'Valve Sizing'!$G$7))</f>
        <v>45.357783186605793</v>
      </c>
      <c r="Y588" s="41"/>
      <c r="Z588" s="73"/>
      <c r="AA588" s="53">
        <f>(AA$29/AA$27)^2*(AA585-('Valve Sizing'!$V$4*'Valve Sizing'!$G$7))</f>
        <v>42.460575581861875</v>
      </c>
      <c r="AB588" s="41"/>
      <c r="AC588" s="73"/>
      <c r="AD588" s="53">
        <f>(AD$29/AD$27)^2*(AD585-('Valve Sizing'!$V$4*'Valve Sizing'!$G$7))</f>
        <v>37.741249411765644</v>
      </c>
      <c r="AE588" s="41"/>
      <c r="AF588" s="73"/>
      <c r="AG588" s="53">
        <f>(AG$29/AG$27)^2*(AG585-('Valve Sizing'!$V$4*'Valve Sizing'!$G$7))</f>
        <v>30.456866337388998</v>
      </c>
      <c r="AH588" s="41"/>
      <c r="AI588" s="73"/>
      <c r="AJ588" s="53">
        <f>(AJ$29/AJ$27)^2*(AJ585-('Valve Sizing'!$V$4*'Valve Sizing'!$G$7))</f>
        <v>23.202043917200211</v>
      </c>
      <c r="AK588" s="41"/>
      <c r="AL588" s="73"/>
      <c r="AM588" s="53">
        <f>(AM$29/AM$27)^2*(AM585-('Valve Sizing'!$V$4*'Valve Sizing'!$G$7))</f>
        <v>15.368107418550411</v>
      </c>
      <c r="AN588" s="41"/>
      <c r="AO588" s="73"/>
      <c r="AP588" s="53">
        <f>(AP$29/AP$27)^2*(AP585-('Valve Sizing'!$V$4*'Valve Sizing'!$G$7))</f>
        <v>9.3315766270235336</v>
      </c>
      <c r="AQ588" s="41"/>
      <c r="AR588" s="73"/>
      <c r="AS588" s="53">
        <f>(AS$29/AS$27)^2*(AS585-('Valve Sizing'!$V$4*'Valve Sizing'!$G$7))</f>
        <v>5.2484681694996063</v>
      </c>
      <c r="AT588" s="41"/>
      <c r="AU588" s="73"/>
    </row>
    <row r="589" spans="15:47" ht="13" x14ac:dyDescent="0.25">
      <c r="O589" s="1" t="s">
        <v>69</v>
      </c>
      <c r="P589" s="17">
        <v>7</v>
      </c>
      <c r="Q589" s="65"/>
      <c r="R589" s="53">
        <f>(R583/(N_1*F_P_h))*SQRT('Valve Sizing'!$G$6/R587)</f>
        <v>0.37917126317456129</v>
      </c>
      <c r="S589" s="58"/>
      <c r="T589" s="73"/>
      <c r="U589" s="64">
        <f>(U583/(N_1*U$27))*SQRT('Valve Sizing'!$G$6/U587)</f>
        <v>8.200064222403908</v>
      </c>
      <c r="V589" s="41"/>
      <c r="W589" s="73"/>
      <c r="X589" s="64">
        <f>(X583/(N_1*X$27))*SQRT('Valve Sizing'!$G$6/X587)</f>
        <v>19.856569175684545</v>
      </c>
      <c r="Y589" s="41"/>
      <c r="Z589" s="73"/>
      <c r="AA589" s="64">
        <f>(AA583/(N_1*AA$27))*SQRT('Valve Sizing'!$G$6/AA587)</f>
        <v>38.958798925027843</v>
      </c>
      <c r="AB589" s="41"/>
      <c r="AC589" s="73"/>
      <c r="AD589" s="64">
        <f>(AD583/(N_1*AD$27))*SQRT('Valve Sizing'!$G$6/AD587)</f>
        <v>68.503177744592378</v>
      </c>
      <c r="AE589" s="41"/>
      <c r="AF589" s="73"/>
      <c r="AG589" s="64">
        <f>(AG583/(N_1*AG$27))*SQRT('Valve Sizing'!$G$6/AG587)</f>
        <v>118.19140077775258</v>
      </c>
      <c r="AH589" s="41"/>
      <c r="AI589" s="73"/>
      <c r="AJ589" s="64">
        <f>(AJ583/(N_1*AJ$27))*SQRT('Valve Sizing'!$G$6/AJ587)</f>
        <v>211.97281833501296</v>
      </c>
      <c r="AK589" s="41"/>
      <c r="AL589" s="73"/>
      <c r="AM589" s="64">
        <f>(AM583/(N_1*AM$27))*SQRT('Valve Sizing'!$G$6/AM587)</f>
        <v>560.14461925285195</v>
      </c>
      <c r="AN589" s="41"/>
      <c r="AO589" s="73"/>
      <c r="AP589" s="64" t="e">
        <f>(AP583/(N_1*AP$27))*SQRT('Valve Sizing'!$G$6/AP587)</f>
        <v>#NUM!</v>
      </c>
      <c r="AQ589" s="41"/>
      <c r="AR589" s="73"/>
      <c r="AS589" s="64" t="e">
        <f>(AS583/(N_1*AS$27))*SQRT('Valve Sizing'!$G$6/AS587)</f>
        <v>#NUM!</v>
      </c>
      <c r="AT589" s="41"/>
      <c r="AU589" s="73"/>
    </row>
    <row r="590" spans="15:47" ht="13" x14ac:dyDescent="0.3">
      <c r="O590" s="1" t="s">
        <v>72</v>
      </c>
      <c r="P590" s="17">
        <v>7</v>
      </c>
      <c r="Q590" s="65"/>
      <c r="R590" s="53">
        <f>(R583/(N_1*F_P_h))*SQRT('Valve Sizing'!$G$6/R588)</f>
        <v>0.31492089604376716</v>
      </c>
      <c r="S590" s="56"/>
      <c r="T590" s="72"/>
      <c r="U590" s="85">
        <f>(U583/(N_1*U$27))*SQRT('Valve Sizing'!$G$6/U588)</f>
        <v>6.8066566659407632</v>
      </c>
      <c r="V590" s="44"/>
      <c r="W590" s="72"/>
      <c r="X590" s="85">
        <f>(X583/(N_1*X$27))*SQRT('Valve Sizing'!$G$6/X588)</f>
        <v>16.614408849830031</v>
      </c>
      <c r="Y590" s="44"/>
      <c r="Z590" s="72"/>
      <c r="AA590" s="85">
        <f>(AA583/(N_1*AA$27))*SQRT('Valve Sizing'!$G$6/AA588)</f>
        <v>32.97603886416757</v>
      </c>
      <c r="AB590" s="44"/>
      <c r="AC590" s="72"/>
      <c r="AD590" s="85">
        <f>(AD583/(N_1*AD$27))*SQRT('Valve Sizing'!$G$6/AD588)</f>
        <v>58.247485246835851</v>
      </c>
      <c r="AE590" s="44"/>
      <c r="AF590" s="72"/>
      <c r="AG590" s="85">
        <f>(AG583/(N_1*AG$27))*SQRT('Valve Sizing'!$G$6/AG588)</f>
        <v>98.691754195347656</v>
      </c>
      <c r="AH590" s="44"/>
      <c r="AI590" s="72"/>
      <c r="AJ590" s="85">
        <f>(AJ583/(N_1*AJ$27))*SQRT('Valve Sizing'!$G$6/AJ588)</f>
        <v>156.3814868896917</v>
      </c>
      <c r="AK590" s="44"/>
      <c r="AL590" s="72"/>
      <c r="AM590" s="85">
        <f>(AM583/(N_1*AM$27))*SQRT('Valve Sizing'!$G$6/AM588)</f>
        <v>248.76222622409125</v>
      </c>
      <c r="AN590" s="44"/>
      <c r="AO590" s="72"/>
      <c r="AP590" s="85">
        <f>(AP583/(N_1*AP$27))*SQRT('Valve Sizing'!$G$6/AP588)</f>
        <v>421.84624510642294</v>
      </c>
      <c r="AQ590" s="44"/>
      <c r="AR590" s="72"/>
      <c r="AS590" s="85">
        <f>(AS583/(N_1*AS$27))*SQRT('Valve Sizing'!$G$6/AS588)</f>
        <v>857.43320140171284</v>
      </c>
      <c r="AT590" s="44"/>
      <c r="AU590" s="72"/>
    </row>
    <row r="591" spans="15:47" x14ac:dyDescent="0.25">
      <c r="O591" s="1" t="s">
        <v>246</v>
      </c>
      <c r="P591" s="18"/>
      <c r="Q591" s="65"/>
      <c r="R591" s="53">
        <f>IF(R587&lt;R588,R589,R590)</f>
        <v>0.37917126317456129</v>
      </c>
      <c r="S591" s="49"/>
      <c r="T591" s="72"/>
      <c r="U591" s="64">
        <f>IF(U587&lt;U588,U589,U590)</f>
        <v>8.200064222403908</v>
      </c>
      <c r="V591" s="44"/>
      <c r="W591" s="72"/>
      <c r="X591" s="64">
        <f>IF(X587&lt;X588,X589,X590)</f>
        <v>19.856569175684545</v>
      </c>
      <c r="Y591" s="44"/>
      <c r="Z591" s="72"/>
      <c r="AA591" s="64">
        <f>IF(AA587&lt;AA588,AA589,AA590)</f>
        <v>38.958798925027843</v>
      </c>
      <c r="AB591" s="44"/>
      <c r="AC591" s="72"/>
      <c r="AD591" s="64">
        <f>IF(AD587&lt;AD588,AD589,AD590)</f>
        <v>68.503177744592378</v>
      </c>
      <c r="AE591" s="44"/>
      <c r="AF591" s="72"/>
      <c r="AG591" s="64">
        <f>IF(AG587&lt;AG588,AG589,AG590)</f>
        <v>118.19140077775258</v>
      </c>
      <c r="AH591" s="44"/>
      <c r="AI591" s="72"/>
      <c r="AJ591" s="64">
        <f>IF(AJ587&lt;AJ588,AJ589,AJ590)</f>
        <v>211.97281833501296</v>
      </c>
      <c r="AK591" s="44"/>
      <c r="AL591" s="72"/>
      <c r="AM591" s="64">
        <f>IF(AM587&lt;AM588,AM589,AM590)</f>
        <v>560.14461925285195</v>
      </c>
      <c r="AN591" s="44"/>
      <c r="AO591" s="72"/>
      <c r="AP591" s="64" t="e">
        <f>IF(AP587&lt;AP588,AP589,AP590)</f>
        <v>#NUM!</v>
      </c>
      <c r="AQ591" s="44"/>
      <c r="AR591" s="72"/>
      <c r="AS591" s="64" t="e">
        <f>IF(AS587&lt;AS588,AS589,AS590)</f>
        <v>#NUM!</v>
      </c>
      <c r="AT591" s="44"/>
      <c r="AU591" s="72"/>
    </row>
    <row r="592" spans="15:47" ht="13" x14ac:dyDescent="0.3">
      <c r="O592" s="7" t="s">
        <v>264</v>
      </c>
      <c r="Q592" s="61"/>
      <c r="R592" s="53"/>
      <c r="S592" s="69">
        <f>IFERROR(ABS(C_h-R591),Q_max*10)</f>
        <v>4.6208287368254384</v>
      </c>
      <c r="T592" s="76">
        <f>R583</f>
        <v>2.1532704232588862</v>
      </c>
      <c r="U592" s="61"/>
      <c r="V592" s="69">
        <f>IFERROR(ABS(U$23-U591),Q_max*10)</f>
        <v>3.799935777596092</v>
      </c>
      <c r="W592" s="75">
        <f>U583</f>
        <v>46.471810578948713</v>
      </c>
      <c r="X592" s="61"/>
      <c r="Y592" s="69">
        <f>IFERROR(ABS(X$23-X591),Q_max*10)</f>
        <v>3.1434308243154554</v>
      </c>
      <c r="Z592" s="75">
        <f>X583</f>
        <v>111.55023412772155</v>
      </c>
      <c r="AA592" s="61"/>
      <c r="AB592" s="69">
        <f>IFERROR(ABS(AA$23-AA591),Q_max*10)</f>
        <v>4.1201074972157414E-2</v>
      </c>
      <c r="AC592" s="75">
        <f>AA583</f>
        <v>212.99027879147425</v>
      </c>
      <c r="AD592" s="61"/>
      <c r="AE592" s="69">
        <f>IFERROR(ABS(AD$23-AD591),Q_max*10)</f>
        <v>7.503177744592378</v>
      </c>
      <c r="AF592" s="75">
        <f>AD583</f>
        <v>350.2905902438589</v>
      </c>
      <c r="AG592" s="61"/>
      <c r="AH592" s="69">
        <f>IFERROR(ABS(AG$23-AG591),Q_max*10)</f>
        <v>30.191400777752577</v>
      </c>
      <c r="AI592" s="75">
        <f>AG583</f>
        <v>521.53495603129363</v>
      </c>
      <c r="AJ592" s="61"/>
      <c r="AK592" s="69">
        <f>IFERROR(ABS(AJ$23-AJ591),Q_max*10)</f>
        <v>90.97281833501296</v>
      </c>
      <c r="AL592" s="75">
        <f>AJ583</f>
        <v>695.99042058908321</v>
      </c>
      <c r="AM592" s="61"/>
      <c r="AN592" s="69">
        <f>IFERROR(ABS(AM$23-AM591),Q_max*10)</f>
        <v>395.14461925285195</v>
      </c>
      <c r="AO592" s="75">
        <f>AM583</f>
        <v>849.24057910199576</v>
      </c>
      <c r="AP592" s="61"/>
      <c r="AQ592" s="69">
        <f>IFERROR(ABS(AP$23-AP591),Q_max*10)</f>
        <v>5500</v>
      </c>
      <c r="AR592" s="75">
        <f>AP583</f>
        <v>985.94194797785678</v>
      </c>
      <c r="AS592" s="61"/>
      <c r="AT592" s="69">
        <f>IFERROR(ABS(AS$23-AS591),Q_max*10)</f>
        <v>5500</v>
      </c>
      <c r="AU592" s="75">
        <f>AS583</f>
        <v>1122.0939058909066</v>
      </c>
    </row>
    <row r="593" spans="15:47" ht="14.5" x14ac:dyDescent="0.35">
      <c r="O593" s="6"/>
      <c r="P593" s="6"/>
      <c r="Q593" s="60"/>
      <c r="R593" s="67"/>
      <c r="S593" s="56"/>
      <c r="T593" s="72"/>
      <c r="V593" s="11"/>
      <c r="W593" s="38"/>
      <c r="Y593" s="11"/>
      <c r="Z593" s="38"/>
      <c r="AB593" s="11"/>
      <c r="AC593" s="38"/>
      <c r="AE593" s="11"/>
      <c r="AF593" s="38"/>
      <c r="AH593" s="11"/>
      <c r="AI593" s="38"/>
      <c r="AK593" s="11"/>
      <c r="AL593" s="38"/>
      <c r="AN593" s="11"/>
      <c r="AO593" s="38"/>
      <c r="AQ593" s="11"/>
      <c r="AR593" s="38"/>
      <c r="AT593" s="11"/>
      <c r="AU593" s="38"/>
    </row>
    <row r="594" spans="15:47" ht="14" x14ac:dyDescent="0.3">
      <c r="O594" s="8" t="s">
        <v>235</v>
      </c>
      <c r="P594" s="6"/>
      <c r="Q594" s="60"/>
      <c r="R594" s="53">
        <f>R583*1.02</f>
        <v>2.1963358317240638</v>
      </c>
      <c r="S594" s="58" t="s">
        <v>238</v>
      </c>
      <c r="T594" s="73" t="s">
        <v>241</v>
      </c>
      <c r="U594" s="84">
        <f>U583*1.01</f>
        <v>46.9365286847382</v>
      </c>
      <c r="V594" s="58" t="s">
        <v>238</v>
      </c>
      <c r="W594" s="73" t="s">
        <v>241</v>
      </c>
      <c r="X594" s="84">
        <f>X583*1.01</f>
        <v>112.66573646899877</v>
      </c>
      <c r="Y594" s="58" t="s">
        <v>238</v>
      </c>
      <c r="Z594" s="73" t="s">
        <v>241</v>
      </c>
      <c r="AA594" s="84">
        <f>AA583*1.01</f>
        <v>215.120181579389</v>
      </c>
      <c r="AB594" s="58" t="s">
        <v>238</v>
      </c>
      <c r="AC594" s="73" t="s">
        <v>241</v>
      </c>
      <c r="AD594" s="84">
        <f>AD583*1.01</f>
        <v>353.79349614629751</v>
      </c>
      <c r="AE594" s="58" t="s">
        <v>238</v>
      </c>
      <c r="AF594" s="73" t="s">
        <v>241</v>
      </c>
      <c r="AG594" s="84">
        <f>AG583*1.01</f>
        <v>526.75030559160655</v>
      </c>
      <c r="AH594" s="58" t="s">
        <v>238</v>
      </c>
      <c r="AI594" s="73" t="s">
        <v>241</v>
      </c>
      <c r="AJ594" s="84">
        <f>AJ583*1.01</f>
        <v>702.95032479497411</v>
      </c>
      <c r="AK594" s="58" t="s">
        <v>238</v>
      </c>
      <c r="AL594" s="73" t="s">
        <v>241</v>
      </c>
      <c r="AM594" s="84">
        <f>AM583*1.01</f>
        <v>857.73298489301578</v>
      </c>
      <c r="AN594" s="58" t="s">
        <v>238</v>
      </c>
      <c r="AO594" s="73" t="s">
        <v>241</v>
      </c>
      <c r="AP594" s="84">
        <f>AP583*1.01</f>
        <v>995.80136745763537</v>
      </c>
      <c r="AQ594" s="58" t="s">
        <v>238</v>
      </c>
      <c r="AR594" s="73" t="s">
        <v>241</v>
      </c>
      <c r="AS594" s="84">
        <f>AS583*1.01</f>
        <v>1133.3148449498158</v>
      </c>
      <c r="AT594" s="58" t="s">
        <v>238</v>
      </c>
      <c r="AU594" s="73" t="s">
        <v>241</v>
      </c>
    </row>
    <row r="595" spans="15:47" ht="13" x14ac:dyDescent="0.25">
      <c r="O595" s="6"/>
      <c r="P595" s="6"/>
      <c r="Q595" s="60"/>
      <c r="R595" s="70"/>
      <c r="S595" s="63" t="s">
        <v>250</v>
      </c>
      <c r="T595" s="71" t="s">
        <v>242</v>
      </c>
      <c r="U595" s="61"/>
      <c r="V595" s="63" t="s">
        <v>250</v>
      </c>
      <c r="W595" s="71" t="s">
        <v>242</v>
      </c>
      <c r="X595" s="61"/>
      <c r="Y595" s="63" t="s">
        <v>250</v>
      </c>
      <c r="Z595" s="71" t="s">
        <v>242</v>
      </c>
      <c r="AA595" s="61"/>
      <c r="AB595" s="63" t="s">
        <v>250</v>
      </c>
      <c r="AC595" s="71" t="s">
        <v>242</v>
      </c>
      <c r="AD595" s="61"/>
      <c r="AE595" s="63" t="s">
        <v>250</v>
      </c>
      <c r="AF595" s="71" t="s">
        <v>242</v>
      </c>
      <c r="AG595" s="61"/>
      <c r="AH595" s="63" t="s">
        <v>250</v>
      </c>
      <c r="AI595" s="71" t="s">
        <v>242</v>
      </c>
      <c r="AJ595" s="61"/>
      <c r="AK595" s="63" t="s">
        <v>250</v>
      </c>
      <c r="AL595" s="71" t="s">
        <v>242</v>
      </c>
      <c r="AM595" s="61"/>
      <c r="AN595" s="63" t="s">
        <v>250</v>
      </c>
      <c r="AO595" s="71" t="s">
        <v>242</v>
      </c>
      <c r="AP595" s="61"/>
      <c r="AQ595" s="63" t="s">
        <v>250</v>
      </c>
      <c r="AR595" s="71" t="s">
        <v>242</v>
      </c>
      <c r="AS595" s="61"/>
      <c r="AT595" s="63" t="s">
        <v>250</v>
      </c>
      <c r="AU595" s="71" t="s">
        <v>242</v>
      </c>
    </row>
    <row r="596" spans="15:47" ht="13" x14ac:dyDescent="0.3">
      <c r="O596" s="6" t="s">
        <v>231</v>
      </c>
      <c r="P596" s="6"/>
      <c r="Q596" s="60"/>
      <c r="R596" s="85">
        <f>P_1_minQ-(R594^2*R_up)+dpup_minQ</f>
        <v>56.915980280611763</v>
      </c>
      <c r="S596" s="56"/>
      <c r="T596" s="72"/>
      <c r="U596" s="53">
        <f>P_1_minQ-(U594^2*R_up)+dpup_minQ</f>
        <v>56.841741380446699</v>
      </c>
      <c r="V596" s="44"/>
      <c r="W596" s="72"/>
      <c r="X596" s="53">
        <f>P_1_minQ-(X594^2*R_up)+dpup_minQ</f>
        <v>56.487451260584201</v>
      </c>
      <c r="Y596" s="44"/>
      <c r="Z596" s="72"/>
      <c r="AA596" s="53">
        <f>P_1_minQ-(AA594^2*R_up)+dpup_minQ</f>
        <v>55.353269418346869</v>
      </c>
      <c r="AB596" s="44"/>
      <c r="AC596" s="72"/>
      <c r="AD596" s="53">
        <f>P_1_minQ-(AD594^2*R_up)+dpup_minQ</f>
        <v>52.688860590495771</v>
      </c>
      <c r="AE596" s="44"/>
      <c r="AF596" s="72"/>
      <c r="AG596" s="53">
        <f>P_1_minQ-(AG594^2*R_up)+dpup_minQ</f>
        <v>47.545461518377209</v>
      </c>
      <c r="AH596" s="44"/>
      <c r="AI596" s="72"/>
      <c r="AJ596" s="53">
        <f>P_1_minQ-(AJ594^2*R_up)+dpup_minQ</f>
        <v>40.227890606911195</v>
      </c>
      <c r="AK596" s="44"/>
      <c r="AL596" s="72"/>
      <c r="AM596" s="53">
        <f>P_1_minQ-(AM594^2*R_up)+dpup_minQ</f>
        <v>32.06960913970002</v>
      </c>
      <c r="AN596" s="44"/>
      <c r="AO596" s="72"/>
      <c r="AP596" s="53">
        <f>P_1_minQ-(AP594^2*R_up)+dpup_minQ</f>
        <v>23.426769218828216</v>
      </c>
      <c r="AQ596" s="44"/>
      <c r="AR596" s="72"/>
      <c r="AS596" s="53">
        <f>P_1_minQ-(AS594^2*R_up)+dpup_minQ</f>
        <v>13.538820068097767</v>
      </c>
      <c r="AT596" s="44"/>
      <c r="AU596" s="72"/>
    </row>
    <row r="597" spans="15:47" ht="13" x14ac:dyDescent="0.3">
      <c r="O597" s="6" t="s">
        <v>233</v>
      </c>
      <c r="P597" s="6"/>
      <c r="Q597" s="60"/>
      <c r="R597" s="85">
        <f>P_2_minQ+(R594^2*R_dn)-dpdn_minQ</f>
        <v>24.656803943877648</v>
      </c>
      <c r="S597" s="66"/>
      <c r="T597" s="74"/>
      <c r="U597" s="53">
        <f>P_2_minQ+(U594^2*R_dn)-dpdn_minQ</f>
        <v>24.67165172391066</v>
      </c>
      <c r="V597" s="45"/>
      <c r="W597" s="74"/>
      <c r="X597" s="53">
        <f>P_2_minQ+(X594^2*R_dn)-dpdn_minQ</f>
        <v>24.742509747883162</v>
      </c>
      <c r="Y597" s="45"/>
      <c r="Z597" s="74"/>
      <c r="AA597" s="53">
        <f>P_2_minQ+(AA594^2*R_dn)-dpdn_minQ</f>
        <v>24.969346116330627</v>
      </c>
      <c r="AB597" s="45"/>
      <c r="AC597" s="74"/>
      <c r="AD597" s="53">
        <f>P_2_minQ+(AD594^2*R_dn)-dpdn_minQ</f>
        <v>25.502227881900847</v>
      </c>
      <c r="AE597" s="45"/>
      <c r="AF597" s="74"/>
      <c r="AG597" s="53">
        <f>P_2_minQ+(AG594^2*R_dn)-dpdn_minQ</f>
        <v>26.530907696324558</v>
      </c>
      <c r="AH597" s="45"/>
      <c r="AI597" s="74"/>
      <c r="AJ597" s="53">
        <f>P_2_minQ+(AJ594^2*R_dn)-dpdn_minQ</f>
        <v>27.994421878617761</v>
      </c>
      <c r="AK597" s="45"/>
      <c r="AL597" s="74"/>
      <c r="AM597" s="53">
        <f>P_2_minQ+(AM594^2*R_dn)-dpdn_minQ</f>
        <v>29.626078172059998</v>
      </c>
      <c r="AN597" s="45"/>
      <c r="AO597" s="74"/>
      <c r="AP597" s="53">
        <f>P_2_minQ+(AP594^2*R_dn)-dpdn_minQ</f>
        <v>31.354646156234356</v>
      </c>
      <c r="AQ597" s="45"/>
      <c r="AR597" s="74"/>
      <c r="AS597" s="53">
        <f>P_2_minQ+(AS594^2*R_dn)-dpdn_minQ</f>
        <v>33.332235986380454</v>
      </c>
      <c r="AT597" s="45"/>
      <c r="AU597" s="74"/>
    </row>
    <row r="598" spans="15:47" x14ac:dyDescent="0.25">
      <c r="O598" s="6" t="s">
        <v>243</v>
      </c>
      <c r="Q598" s="60"/>
      <c r="R598" s="53">
        <f>R596-R597</f>
        <v>32.259176336734114</v>
      </c>
      <c r="S598" s="56"/>
      <c r="T598" s="72"/>
      <c r="U598" s="64">
        <f>U596-U597</f>
        <v>32.170089656536035</v>
      </c>
      <c r="V598" s="44"/>
      <c r="W598" s="72"/>
      <c r="X598" s="64">
        <f>X596-X597</f>
        <v>31.74494151270104</v>
      </c>
      <c r="Y598" s="44"/>
      <c r="Z598" s="72"/>
      <c r="AA598" s="64">
        <f>AA596-AA597</f>
        <v>30.383923302016242</v>
      </c>
      <c r="AB598" s="44"/>
      <c r="AC598" s="72"/>
      <c r="AD598" s="64">
        <f>AD596-AD597</f>
        <v>27.186632708594924</v>
      </c>
      <c r="AE598" s="44"/>
      <c r="AF598" s="72"/>
      <c r="AG598" s="64">
        <f>AG596-AG597</f>
        <v>21.014553822052651</v>
      </c>
      <c r="AH598" s="44"/>
      <c r="AI598" s="72"/>
      <c r="AJ598" s="64">
        <f>AJ596-AJ597</f>
        <v>12.233468728293435</v>
      </c>
      <c r="AK598" s="44"/>
      <c r="AL598" s="72"/>
      <c r="AM598" s="64">
        <f>AM596-AM597</f>
        <v>2.4435309676400223</v>
      </c>
      <c r="AN598" s="44"/>
      <c r="AO598" s="72"/>
      <c r="AP598" s="64">
        <f>AP596-AP597</f>
        <v>-7.9278769374061397</v>
      </c>
      <c r="AQ598" s="44"/>
      <c r="AR598" s="72"/>
      <c r="AS598" s="64">
        <f>AS596-AS597</f>
        <v>-19.793415918282687</v>
      </c>
      <c r="AT598" s="44"/>
      <c r="AU598" s="72"/>
    </row>
    <row r="599" spans="15:47" ht="13" x14ac:dyDescent="0.3">
      <c r="O599" s="6" t="s">
        <v>75</v>
      </c>
      <c r="P599" s="6">
        <v>3</v>
      </c>
      <c r="Q599" s="65"/>
      <c r="R599" s="85">
        <f>(F_LP_h/F_P_h)^2*(R596-('Valve Sizing'!$V$4*'Valve Sizing'!$G$7))</f>
        <v>46.765028340162885</v>
      </c>
      <c r="S599" s="58"/>
      <c r="T599" s="73"/>
      <c r="U599" s="53">
        <f>(U$29/U$27)^2*(U596-('Valve Sizing'!$V$4*'Valve Sizing'!$G$7))</f>
        <v>46.690825174419182</v>
      </c>
      <c r="V599" s="41"/>
      <c r="W599" s="73"/>
      <c r="X599" s="53">
        <f>(X$29/X$27)^2*(X596-('Valve Sizing'!$V$4*'Valve Sizing'!$G$7))</f>
        <v>45.350948327378305</v>
      </c>
      <c r="Y599" s="41"/>
      <c r="Z599" s="73"/>
      <c r="AA599" s="53">
        <f>(AA$29/AA$27)^2*(AA596-('Valve Sizing'!$V$4*'Valve Sizing'!$G$7))</f>
        <v>42.436777455513884</v>
      </c>
      <c r="AB599" s="41"/>
      <c r="AC599" s="73"/>
      <c r="AD599" s="53">
        <f>(AD$29/AD$27)^2*(AD596-('Valve Sizing'!$V$4*'Valve Sizing'!$G$7))</f>
        <v>37.681178707016123</v>
      </c>
      <c r="AE599" s="41"/>
      <c r="AF599" s="73"/>
      <c r="AG599" s="53">
        <f>(AG$29/AG$27)^2*(AG596-('Valve Sizing'!$V$4*'Valve Sizing'!$G$7))</f>
        <v>30.337950417254383</v>
      </c>
      <c r="AH599" s="41"/>
      <c r="AI599" s="73"/>
      <c r="AJ599" s="53">
        <f>(AJ$29/AJ$27)^2*(AJ596-('Valve Sizing'!$V$4*'Valve Sizing'!$G$7))</f>
        <v>23.011863551228881</v>
      </c>
      <c r="AK599" s="41"/>
      <c r="AL599" s="73"/>
      <c r="AM599" s="53">
        <f>(AM$29/AM$27)^2*(AM596-('Valve Sizing'!$V$4*'Valve Sizing'!$G$7))</f>
        <v>15.133859473742955</v>
      </c>
      <c r="AN599" s="41"/>
      <c r="AO599" s="73"/>
      <c r="AP599" s="53">
        <f>(AP$29/AP$27)^2*(AP596-('Valve Sizing'!$V$4*'Valve Sizing'!$G$7))</f>
        <v>9.0711730503272321</v>
      </c>
      <c r="AQ599" s="41"/>
      <c r="AR599" s="73"/>
      <c r="AS599" s="53">
        <f>(AS$29/AS$27)^2*(AS596-('Valve Sizing'!$V$4*'Valve Sizing'!$G$7))</f>
        <v>4.9269788905889875</v>
      </c>
      <c r="AT599" s="41"/>
      <c r="AU599" s="73"/>
    </row>
    <row r="600" spans="15:47" ht="13" x14ac:dyDescent="0.25">
      <c r="O600" s="1" t="s">
        <v>69</v>
      </c>
      <c r="P600" s="17">
        <v>7</v>
      </c>
      <c r="Q600" s="65"/>
      <c r="R600" s="53">
        <f>(R594/(N_1*F_P_h))*SQRT('Valve Sizing'!$G$6/R598)</f>
        <v>0.3867547339445746</v>
      </c>
      <c r="S600" s="58"/>
      <c r="T600" s="73"/>
      <c r="U600" s="64">
        <f>(U594/(N_1*U$27))*SQRT('Valve Sizing'!$G$6/U598)</f>
        <v>8.2822913126366657</v>
      </c>
      <c r="V600" s="41"/>
      <c r="W600" s="73"/>
      <c r="X600" s="64">
        <f>(X594/(N_1*X$27))*SQRT('Valve Sizing'!$G$6/X598)</f>
        <v>20.058336461493052</v>
      </c>
      <c r="Y600" s="41"/>
      <c r="Z600" s="73"/>
      <c r="AA600" s="64">
        <f>(AA594/(N_1*AA$27))*SQRT('Valve Sizing'!$G$6/AA598)</f>
        <v>39.372307926697246</v>
      </c>
      <c r="AB600" s="41"/>
      <c r="AC600" s="73"/>
      <c r="AD600" s="64">
        <f>(AD594/(N_1*AD$27))*SQRT('Valve Sizing'!$G$6/AD598)</f>
        <v>69.315279772996519</v>
      </c>
      <c r="AE600" s="41"/>
      <c r="AF600" s="73"/>
      <c r="AG600" s="64">
        <f>(AG594/(N_1*AG$27))*SQRT('Valve Sizing'!$G$6/AG598)</f>
        <v>120.00097207529262</v>
      </c>
      <c r="AH600" s="41"/>
      <c r="AI600" s="73"/>
      <c r="AJ600" s="64">
        <f>(AJ594/(N_1*AJ$27))*SQRT('Valve Sizing'!$G$6/AJ598)</f>
        <v>217.51791218330243</v>
      </c>
      <c r="AK600" s="41"/>
      <c r="AL600" s="73"/>
      <c r="AM600" s="64">
        <f>(AM594/(N_1*AM$27))*SQRT('Valve Sizing'!$G$6/AM598)</f>
        <v>630.09651645245378</v>
      </c>
      <c r="AN600" s="41"/>
      <c r="AO600" s="73"/>
      <c r="AP600" s="64" t="e">
        <f>(AP594/(N_1*AP$27))*SQRT('Valve Sizing'!$G$6/AP598)</f>
        <v>#NUM!</v>
      </c>
      <c r="AQ600" s="41"/>
      <c r="AR600" s="73"/>
      <c r="AS600" s="64" t="e">
        <f>(AS594/(N_1*AS$27))*SQRT('Valve Sizing'!$G$6/AS598)</f>
        <v>#NUM!</v>
      </c>
      <c r="AT600" s="41"/>
      <c r="AU600" s="73"/>
    </row>
    <row r="601" spans="15:47" ht="13" x14ac:dyDescent="0.3">
      <c r="O601" s="1" t="s">
        <v>72</v>
      </c>
      <c r="P601" s="17">
        <v>7</v>
      </c>
      <c r="Q601" s="65"/>
      <c r="R601" s="53">
        <f>(R594/(N_1*F_P_h))*SQRT('Valve Sizing'!$G$6/R599)</f>
        <v>0.32121933195535712</v>
      </c>
      <c r="S601" s="56"/>
      <c r="T601" s="72"/>
      <c r="U601" s="85">
        <f>(U594/(N_1*U$27))*SQRT('Valve Sizing'!$G$6/U599)</f>
        <v>6.8748125769656383</v>
      </c>
      <c r="V601" s="44"/>
      <c r="W601" s="72"/>
      <c r="X601" s="85">
        <f>(X594/(N_1*X$27))*SQRT('Valve Sizing'!$G$6/X599)</f>
        <v>16.781817392549275</v>
      </c>
      <c r="Y601" s="44"/>
      <c r="Z601" s="72"/>
      <c r="AA601" s="85">
        <f>(AA594/(N_1*AA$27))*SQRT('Valve Sizing'!$G$6/AA599)</f>
        <v>33.31513672580612</v>
      </c>
      <c r="AB601" s="44"/>
      <c r="AC601" s="72"/>
      <c r="AD601" s="85">
        <f>(AD594/(N_1*AD$27))*SQRT('Valve Sizing'!$G$6/AD599)</f>
        <v>58.876834294359412</v>
      </c>
      <c r="AE601" s="44"/>
      <c r="AF601" s="72"/>
      <c r="AG601" s="85">
        <f>(AG594/(N_1*AG$27))*SQRT('Valve Sizing'!$G$6/AG599)</f>
        <v>99.873836342427751</v>
      </c>
      <c r="AH601" s="44"/>
      <c r="AI601" s="72"/>
      <c r="AJ601" s="85">
        <f>(AJ594/(N_1*AJ$27))*SQRT('Valve Sizing'!$G$6/AJ599)</f>
        <v>158.59662424466393</v>
      </c>
      <c r="AK601" s="44"/>
      <c r="AL601" s="72"/>
      <c r="AM601" s="85">
        <f>(AM594/(N_1*AM$27))*SQRT('Valve Sizing'!$G$6/AM599)</f>
        <v>253.18685477472414</v>
      </c>
      <c r="AN601" s="44"/>
      <c r="AO601" s="72"/>
      <c r="AP601" s="85">
        <f>(AP594/(N_1*AP$27))*SQRT('Valve Sizing'!$G$6/AP599)</f>
        <v>432.13689674376434</v>
      </c>
      <c r="AQ601" s="44"/>
      <c r="AR601" s="72"/>
      <c r="AS601" s="85">
        <f>(AS594/(N_1*AS$27))*SQRT('Valve Sizing'!$G$6/AS599)</f>
        <v>893.81492654515432</v>
      </c>
      <c r="AT601" s="44"/>
      <c r="AU601" s="72"/>
    </row>
    <row r="602" spans="15:47" x14ac:dyDescent="0.25">
      <c r="O602" s="1" t="s">
        <v>246</v>
      </c>
      <c r="P602" s="18"/>
      <c r="Q602" s="65"/>
      <c r="R602" s="53">
        <f>IF(R598&lt;R599,R600,R601)</f>
        <v>0.3867547339445746</v>
      </c>
      <c r="S602" s="49"/>
      <c r="T602" s="72"/>
      <c r="U602" s="64">
        <f>IF(U598&lt;U599,U600,U601)</f>
        <v>8.2822913126366657</v>
      </c>
      <c r="V602" s="44"/>
      <c r="W602" s="72"/>
      <c r="X602" s="64">
        <f>IF(X598&lt;X599,X600,X601)</f>
        <v>20.058336461493052</v>
      </c>
      <c r="Y602" s="44"/>
      <c r="Z602" s="72"/>
      <c r="AA602" s="64">
        <f>IF(AA598&lt;AA599,AA600,AA601)</f>
        <v>39.372307926697246</v>
      </c>
      <c r="AB602" s="44"/>
      <c r="AC602" s="72"/>
      <c r="AD602" s="64">
        <f>IF(AD598&lt;AD599,AD600,AD601)</f>
        <v>69.315279772996519</v>
      </c>
      <c r="AE602" s="44"/>
      <c r="AF602" s="72"/>
      <c r="AG602" s="64">
        <f>IF(AG598&lt;AG599,AG600,AG601)</f>
        <v>120.00097207529262</v>
      </c>
      <c r="AH602" s="44"/>
      <c r="AI602" s="72"/>
      <c r="AJ602" s="64">
        <f>IF(AJ598&lt;AJ599,AJ600,AJ601)</f>
        <v>217.51791218330243</v>
      </c>
      <c r="AK602" s="44"/>
      <c r="AL602" s="72"/>
      <c r="AM602" s="64">
        <f>IF(AM598&lt;AM599,AM600,AM601)</f>
        <v>630.09651645245378</v>
      </c>
      <c r="AN602" s="44"/>
      <c r="AO602" s="72"/>
      <c r="AP602" s="64" t="e">
        <f>IF(AP598&lt;AP599,AP600,AP601)</f>
        <v>#NUM!</v>
      </c>
      <c r="AQ602" s="44"/>
      <c r="AR602" s="72"/>
      <c r="AS602" s="64" t="e">
        <f>IF(AS598&lt;AS599,AS600,AS601)</f>
        <v>#NUM!</v>
      </c>
      <c r="AT602" s="44"/>
      <c r="AU602" s="72"/>
    </row>
    <row r="603" spans="15:47" ht="13" x14ac:dyDescent="0.3">
      <c r="O603" s="7" t="s">
        <v>264</v>
      </c>
      <c r="Q603" s="61"/>
      <c r="R603" s="53"/>
      <c r="S603" s="69">
        <f>IFERROR(ABS(C_h-R602),Q_max*10)</f>
        <v>4.6132452660554257</v>
      </c>
      <c r="T603" s="76">
        <f>R594</f>
        <v>2.1963358317240638</v>
      </c>
      <c r="U603" s="61"/>
      <c r="V603" s="69">
        <f>IFERROR(ABS(U$23-U602),Q_max*10)</f>
        <v>3.7177086873633343</v>
      </c>
      <c r="W603" s="75">
        <f>U594</f>
        <v>46.9365286847382</v>
      </c>
      <c r="X603" s="61"/>
      <c r="Y603" s="69">
        <f>IFERROR(ABS(X$23-X602),Q_max*10)</f>
        <v>2.9416635385069476</v>
      </c>
      <c r="Z603" s="75">
        <f>X594</f>
        <v>112.66573646899877</v>
      </c>
      <c r="AA603" s="61"/>
      <c r="AB603" s="69">
        <f>IFERROR(ABS(AA$23-AA602),Q_max*10)</f>
        <v>0.37230792669724622</v>
      </c>
      <c r="AC603" s="75">
        <f>AA594</f>
        <v>215.120181579389</v>
      </c>
      <c r="AD603" s="61"/>
      <c r="AE603" s="69">
        <f>IFERROR(ABS(AD$23-AD602),Q_max*10)</f>
        <v>8.3152797729965187</v>
      </c>
      <c r="AF603" s="75">
        <f>AD594</f>
        <v>353.79349614629751</v>
      </c>
      <c r="AG603" s="61"/>
      <c r="AH603" s="69">
        <f>IFERROR(ABS(AG$23-AG602),Q_max*10)</f>
        <v>32.000972075292623</v>
      </c>
      <c r="AI603" s="75">
        <f>AG594</f>
        <v>526.75030559160655</v>
      </c>
      <c r="AJ603" s="61"/>
      <c r="AK603" s="69">
        <f>IFERROR(ABS(AJ$23-AJ602),Q_max*10)</f>
        <v>96.517912183302428</v>
      </c>
      <c r="AL603" s="75">
        <f>AJ594</f>
        <v>702.95032479497411</v>
      </c>
      <c r="AM603" s="61"/>
      <c r="AN603" s="69">
        <f>IFERROR(ABS(AM$23-AM602),Q_max*10)</f>
        <v>465.09651645245378</v>
      </c>
      <c r="AO603" s="75">
        <f>AM594</f>
        <v>857.73298489301578</v>
      </c>
      <c r="AP603" s="61"/>
      <c r="AQ603" s="69">
        <f>IFERROR(ABS(AP$23-AP602),Q_max*10)</f>
        <v>5500</v>
      </c>
      <c r="AR603" s="75">
        <f>AP594</f>
        <v>995.80136745763537</v>
      </c>
      <c r="AS603" s="61"/>
      <c r="AT603" s="69">
        <f>IFERROR(ABS(AS$23-AS602),Q_max*10)</f>
        <v>5500</v>
      </c>
      <c r="AU603" s="75">
        <f>AS594</f>
        <v>1133.3148449498158</v>
      </c>
    </row>
    <row r="604" spans="15:47" ht="14.5" x14ac:dyDescent="0.35">
      <c r="O604" s="6"/>
      <c r="P604" s="6"/>
      <c r="Q604" s="60"/>
      <c r="R604" s="67"/>
      <c r="S604" s="66"/>
      <c r="T604" s="74"/>
      <c r="V604" s="11"/>
      <c r="W604" s="38"/>
      <c r="Y604" s="11"/>
      <c r="Z604" s="38"/>
      <c r="AB604" s="11"/>
      <c r="AC604" s="38"/>
      <c r="AE604" s="11"/>
      <c r="AF604" s="38"/>
      <c r="AH604" s="11"/>
      <c r="AI604" s="38"/>
      <c r="AK604" s="11"/>
      <c r="AL604" s="38"/>
      <c r="AN604" s="11"/>
      <c r="AO604" s="38"/>
      <c r="AQ604" s="11"/>
      <c r="AR604" s="38"/>
      <c r="AT604" s="11"/>
      <c r="AU604" s="38"/>
    </row>
    <row r="605" spans="15:47" ht="14" x14ac:dyDescent="0.3">
      <c r="O605" s="8" t="s">
        <v>235</v>
      </c>
      <c r="P605" s="6"/>
      <c r="Q605" s="60"/>
      <c r="R605" s="53">
        <f>R594*1.02</f>
        <v>2.2402625483585452</v>
      </c>
      <c r="S605" s="58" t="s">
        <v>238</v>
      </c>
      <c r="T605" s="73" t="s">
        <v>241</v>
      </c>
      <c r="U605" s="84">
        <f>U594*1.01</f>
        <v>47.405893971585584</v>
      </c>
      <c r="V605" s="58" t="s">
        <v>238</v>
      </c>
      <c r="W605" s="73" t="s">
        <v>241</v>
      </c>
      <c r="X605" s="84">
        <f>X594*1.01</f>
        <v>113.79239383368876</v>
      </c>
      <c r="Y605" s="58" t="s">
        <v>238</v>
      </c>
      <c r="Z605" s="73" t="s">
        <v>241</v>
      </c>
      <c r="AA605" s="84">
        <f>AA594*1.01</f>
        <v>217.27138339518288</v>
      </c>
      <c r="AB605" s="58" t="s">
        <v>238</v>
      </c>
      <c r="AC605" s="73" t="s">
        <v>241</v>
      </c>
      <c r="AD605" s="84">
        <f>AD594*1.01</f>
        <v>357.33143110776047</v>
      </c>
      <c r="AE605" s="58" t="s">
        <v>238</v>
      </c>
      <c r="AF605" s="73" t="s">
        <v>241</v>
      </c>
      <c r="AG605" s="84">
        <f>AG594*1.01</f>
        <v>532.01780864752266</v>
      </c>
      <c r="AH605" s="58" t="s">
        <v>238</v>
      </c>
      <c r="AI605" s="73" t="s">
        <v>241</v>
      </c>
      <c r="AJ605" s="84">
        <f>AJ594*1.01</f>
        <v>709.97982804292383</v>
      </c>
      <c r="AK605" s="58" t="s">
        <v>238</v>
      </c>
      <c r="AL605" s="73" t="s">
        <v>241</v>
      </c>
      <c r="AM605" s="84">
        <f>AM594*1.01</f>
        <v>866.31031474194594</v>
      </c>
      <c r="AN605" s="58" t="s">
        <v>238</v>
      </c>
      <c r="AO605" s="73" t="s">
        <v>241</v>
      </c>
      <c r="AP605" s="84">
        <f>AP594*1.01</f>
        <v>1005.7593811322117</v>
      </c>
      <c r="AQ605" s="58" t="s">
        <v>238</v>
      </c>
      <c r="AR605" s="73" t="s">
        <v>241</v>
      </c>
      <c r="AS605" s="84">
        <f>AS594*1.01</f>
        <v>1144.6479933993139</v>
      </c>
      <c r="AT605" s="58" t="s">
        <v>238</v>
      </c>
      <c r="AU605" s="73" t="s">
        <v>241</v>
      </c>
    </row>
    <row r="606" spans="15:47" ht="13" x14ac:dyDescent="0.25">
      <c r="O606" s="6"/>
      <c r="P606" s="6"/>
      <c r="Q606" s="60"/>
      <c r="R606" s="70"/>
      <c r="S606" s="63" t="s">
        <v>250</v>
      </c>
      <c r="T606" s="71" t="s">
        <v>242</v>
      </c>
      <c r="U606" s="61"/>
      <c r="V606" s="63" t="s">
        <v>250</v>
      </c>
      <c r="W606" s="71" t="s">
        <v>242</v>
      </c>
      <c r="X606" s="61"/>
      <c r="Y606" s="63" t="s">
        <v>250</v>
      </c>
      <c r="Z606" s="71" t="s">
        <v>242</v>
      </c>
      <c r="AA606" s="61"/>
      <c r="AB606" s="63" t="s">
        <v>250</v>
      </c>
      <c r="AC606" s="71" t="s">
        <v>242</v>
      </c>
      <c r="AD606" s="61"/>
      <c r="AE606" s="63" t="s">
        <v>250</v>
      </c>
      <c r="AF606" s="71" t="s">
        <v>242</v>
      </c>
      <c r="AG606" s="61"/>
      <c r="AH606" s="63" t="s">
        <v>250</v>
      </c>
      <c r="AI606" s="71" t="s">
        <v>242</v>
      </c>
      <c r="AJ606" s="61"/>
      <c r="AK606" s="63" t="s">
        <v>250</v>
      </c>
      <c r="AL606" s="71" t="s">
        <v>242</v>
      </c>
      <c r="AM606" s="61"/>
      <c r="AN606" s="63" t="s">
        <v>250</v>
      </c>
      <c r="AO606" s="71" t="s">
        <v>242</v>
      </c>
      <c r="AP606" s="61"/>
      <c r="AQ606" s="63" t="s">
        <v>250</v>
      </c>
      <c r="AR606" s="71" t="s">
        <v>242</v>
      </c>
      <c r="AS606" s="61"/>
      <c r="AT606" s="63" t="s">
        <v>250</v>
      </c>
      <c r="AU606" s="71" t="s">
        <v>242</v>
      </c>
    </row>
    <row r="607" spans="15:47" ht="13" x14ac:dyDescent="0.3">
      <c r="O607" s="6" t="s">
        <v>231</v>
      </c>
      <c r="P607" s="6"/>
      <c r="Q607" s="60"/>
      <c r="R607" s="85">
        <f>P_1_minQ-(R605^2*R_up)+dpup_minQ</f>
        <v>56.915973698875867</v>
      </c>
      <c r="S607" s="56"/>
      <c r="T607" s="72"/>
      <c r="U607" s="53">
        <f>P_1_minQ-(U605^2*R_up)+dpup_minQ</f>
        <v>56.840245903976857</v>
      </c>
      <c r="V607" s="44"/>
      <c r="W607" s="72"/>
      <c r="X607" s="53">
        <f>P_1_minQ-(X605^2*R_up)+dpup_minQ</f>
        <v>56.478834552705123</v>
      </c>
      <c r="Y607" s="44"/>
      <c r="Z607" s="72"/>
      <c r="AA607" s="53">
        <f>P_1_minQ-(AA605^2*R_up)+dpup_minQ</f>
        <v>55.321855655438817</v>
      </c>
      <c r="AB607" s="44"/>
      <c r="AC607" s="72"/>
      <c r="AD607" s="53">
        <f>P_1_minQ-(AD605^2*R_up)+dpup_minQ</f>
        <v>52.603892210147919</v>
      </c>
      <c r="AE607" s="44"/>
      <c r="AF607" s="72"/>
      <c r="AG607" s="53">
        <f>P_1_minQ-(AG605^2*R_up)+dpup_minQ</f>
        <v>47.357110816679771</v>
      </c>
      <c r="AH607" s="44"/>
      <c r="AI607" s="72"/>
      <c r="AJ607" s="53">
        <f>P_1_minQ-(AJ605^2*R_up)+dpup_minQ</f>
        <v>39.89245672989329</v>
      </c>
      <c r="AK607" s="44"/>
      <c r="AL607" s="72"/>
      <c r="AM607" s="53">
        <f>P_1_minQ-(AM605^2*R_up)+dpup_minQ</f>
        <v>31.570193805191174</v>
      </c>
      <c r="AN607" s="44"/>
      <c r="AO607" s="72"/>
      <c r="AP607" s="53">
        <f>P_1_minQ-(AP605^2*R_up)+dpup_minQ</f>
        <v>22.753632801909848</v>
      </c>
      <c r="AQ607" s="44"/>
      <c r="AR607" s="72"/>
      <c r="AS607" s="53">
        <f>P_1_minQ-(AS605^2*R_up)+dpup_minQ</f>
        <v>12.666935873249717</v>
      </c>
      <c r="AT607" s="44"/>
      <c r="AU607" s="72"/>
    </row>
    <row r="608" spans="15:47" ht="13" x14ac:dyDescent="0.3">
      <c r="O608" s="6" t="s">
        <v>233</v>
      </c>
      <c r="P608" s="6"/>
      <c r="Q608" s="60"/>
      <c r="R608" s="85">
        <f>P_2_minQ+(R605^2*R_dn)-dpdn_minQ</f>
        <v>24.656805260224829</v>
      </c>
      <c r="S608" s="66"/>
      <c r="T608" s="74"/>
      <c r="U608" s="53">
        <f>P_2_minQ+(U605^2*R_dn)-dpdn_minQ</f>
        <v>24.671950819204628</v>
      </c>
      <c r="V608" s="45"/>
      <c r="W608" s="74"/>
      <c r="X608" s="53">
        <f>P_2_minQ+(X605^2*R_dn)-dpdn_minQ</f>
        <v>24.744233089458977</v>
      </c>
      <c r="Y608" s="45"/>
      <c r="Z608" s="74"/>
      <c r="AA608" s="53">
        <f>P_2_minQ+(AA605^2*R_dn)-dpdn_minQ</f>
        <v>24.975628868912239</v>
      </c>
      <c r="AB608" s="45"/>
      <c r="AC608" s="74"/>
      <c r="AD608" s="53">
        <f>P_2_minQ+(AD605^2*R_dn)-dpdn_minQ</f>
        <v>25.519221557970418</v>
      </c>
      <c r="AE608" s="45"/>
      <c r="AF608" s="74"/>
      <c r="AG608" s="53">
        <f>P_2_minQ+(AG605^2*R_dn)-dpdn_minQ</f>
        <v>26.568577836664048</v>
      </c>
      <c r="AH608" s="45"/>
      <c r="AI608" s="74"/>
      <c r="AJ608" s="53">
        <f>P_2_minQ+(AJ605^2*R_dn)-dpdn_minQ</f>
        <v>28.061508654021342</v>
      </c>
      <c r="AK608" s="45"/>
      <c r="AL608" s="74"/>
      <c r="AM608" s="53">
        <f>P_2_minQ+(AM605^2*R_dn)-dpdn_minQ</f>
        <v>29.725961238961766</v>
      </c>
      <c r="AN608" s="45"/>
      <c r="AO608" s="74"/>
      <c r="AP608" s="53">
        <f>P_2_minQ+(AP605^2*R_dn)-dpdn_minQ</f>
        <v>31.489273439618032</v>
      </c>
      <c r="AQ608" s="45"/>
      <c r="AR608" s="74"/>
      <c r="AS608" s="53">
        <f>P_2_minQ+(AS605^2*R_dn)-dpdn_minQ</f>
        <v>33.506612825350061</v>
      </c>
      <c r="AT608" s="45"/>
      <c r="AU608" s="74"/>
    </row>
    <row r="609" spans="15:47" x14ac:dyDescent="0.25">
      <c r="O609" s="6" t="s">
        <v>243</v>
      </c>
      <c r="Q609" s="60"/>
      <c r="R609" s="53">
        <f>R607-R608</f>
        <v>32.259168438651038</v>
      </c>
      <c r="S609" s="56"/>
      <c r="T609" s="72"/>
      <c r="U609" s="64">
        <f>U607-U608</f>
        <v>32.168295084772225</v>
      </c>
      <c r="V609" s="44"/>
      <c r="W609" s="72"/>
      <c r="X609" s="64">
        <f>X607-X608</f>
        <v>31.734601463246147</v>
      </c>
      <c r="Y609" s="44"/>
      <c r="Z609" s="72"/>
      <c r="AA609" s="64">
        <f>AA607-AA608</f>
        <v>30.346226786526579</v>
      </c>
      <c r="AB609" s="44"/>
      <c r="AC609" s="72"/>
      <c r="AD609" s="64">
        <f>AD607-AD608</f>
        <v>27.0846706521775</v>
      </c>
      <c r="AE609" s="44"/>
      <c r="AF609" s="72"/>
      <c r="AG609" s="64">
        <f>AG607-AG608</f>
        <v>20.788532980015724</v>
      </c>
      <c r="AH609" s="44"/>
      <c r="AI609" s="72"/>
      <c r="AJ609" s="64">
        <f>AJ607-AJ608</f>
        <v>11.830948075871948</v>
      </c>
      <c r="AK609" s="44"/>
      <c r="AL609" s="72"/>
      <c r="AM609" s="64">
        <f>AM607-AM608</f>
        <v>1.8442325662294081</v>
      </c>
      <c r="AN609" s="44"/>
      <c r="AO609" s="72"/>
      <c r="AP609" s="64">
        <f>AP607-AP608</f>
        <v>-8.7356406377081832</v>
      </c>
      <c r="AQ609" s="44"/>
      <c r="AR609" s="72"/>
      <c r="AS609" s="64">
        <f>AS607-AS608</f>
        <v>-20.839676952100344</v>
      </c>
      <c r="AT609" s="44"/>
      <c r="AU609" s="72"/>
    </row>
    <row r="610" spans="15:47" ht="13" x14ac:dyDescent="0.3">
      <c r="O610" s="6" t="s">
        <v>75</v>
      </c>
      <c r="P610" s="6">
        <v>3</v>
      </c>
      <c r="Q610" s="65"/>
      <c r="R610" s="85">
        <f>(F_LP_h/F_P_h)^2*(R607-('Valve Sizing'!$V$4*'Valve Sizing'!$G$7))</f>
        <v>46.765022890140088</v>
      </c>
      <c r="S610" s="58"/>
      <c r="T610" s="73"/>
      <c r="U610" s="53">
        <f>(U$29/U$27)^2*(U607-('Valve Sizing'!$V$4*'Valve Sizing'!$G$7))</f>
        <v>46.689587178923112</v>
      </c>
      <c r="V610" s="41"/>
      <c r="W610" s="73"/>
      <c r="X610" s="53">
        <f>(X$29/X$27)^2*(X607-('Valve Sizing'!$V$4*'Valve Sizing'!$G$7))</f>
        <v>45.34397608748035</v>
      </c>
      <c r="Y610" s="41"/>
      <c r="Z610" s="73"/>
      <c r="AA610" s="53">
        <f>(AA$29/AA$27)^2*(AA607-('Valve Sizing'!$V$4*'Valve Sizing'!$G$7))</f>
        <v>42.412500986826288</v>
      </c>
      <c r="AB610" s="41"/>
      <c r="AC610" s="73"/>
      <c r="AD610" s="53">
        <f>(AD$29/AD$27)^2*(AD607-('Valve Sizing'!$V$4*'Valve Sizing'!$G$7))</f>
        <v>37.619900581101135</v>
      </c>
      <c r="AE610" s="41"/>
      <c r="AF610" s="73"/>
      <c r="AG610" s="53">
        <f>(AG$29/AG$27)^2*(AG607-('Valve Sizing'!$V$4*'Valve Sizing'!$G$7))</f>
        <v>30.216644287125057</v>
      </c>
      <c r="AH610" s="41"/>
      <c r="AI610" s="73"/>
      <c r="AJ610" s="53">
        <f>(AJ$29/AJ$27)^2*(AJ607-('Valve Sizing'!$V$4*'Valve Sizing'!$G$7))</f>
        <v>22.817860559901522</v>
      </c>
      <c r="AK610" s="41"/>
      <c r="AL610" s="73"/>
      <c r="AM610" s="53">
        <f>(AM$29/AM$27)^2*(AM607-('Valve Sizing'!$V$4*'Valve Sizing'!$G$7))</f>
        <v>14.894903145244873</v>
      </c>
      <c r="AN610" s="41"/>
      <c r="AO610" s="73"/>
      <c r="AP610" s="53">
        <f>(AP$29/AP$27)^2*(AP607-('Valve Sizing'!$V$4*'Valve Sizing'!$G$7))</f>
        <v>8.8055353617393362</v>
      </c>
      <c r="AQ610" s="41"/>
      <c r="AR610" s="73"/>
      <c r="AS610" s="53">
        <f>(AS$29/AS$27)^2*(AS607-('Valve Sizing'!$V$4*'Valve Sizing'!$G$7))</f>
        <v>4.5990276771722725</v>
      </c>
      <c r="AT610" s="41"/>
      <c r="AU610" s="73"/>
    </row>
    <row r="611" spans="15:47" ht="13" x14ac:dyDescent="0.25">
      <c r="O611" s="1" t="s">
        <v>69</v>
      </c>
      <c r="P611" s="17">
        <v>7</v>
      </c>
      <c r="Q611" s="65"/>
      <c r="R611" s="53">
        <f>(R605/(N_1*F_P_h))*SQRT('Valve Sizing'!$G$6/R609)</f>
        <v>0.39448987691536885</v>
      </c>
      <c r="S611" s="58"/>
      <c r="T611" s="73"/>
      <c r="U611" s="64">
        <f>(U605/(N_1*U$27))*SQRT('Valve Sizing'!$G$6/U609)</f>
        <v>8.3653475547037068</v>
      </c>
      <c r="V611" s="41"/>
      <c r="W611" s="73"/>
      <c r="X611" s="64">
        <f>(X605/(N_1*X$27))*SQRT('Valve Sizing'!$G$6/X609)</f>
        <v>20.262220027820181</v>
      </c>
      <c r="Y611" s="41"/>
      <c r="Z611" s="73"/>
      <c r="AA611" s="64">
        <f>(AA605/(N_1*AA$27))*SQRT('Valve Sizing'!$G$6/AA609)</f>
        <v>39.790722305656573</v>
      </c>
      <c r="AB611" s="41"/>
      <c r="AC611" s="73"/>
      <c r="AD611" s="64">
        <f>(AD605/(N_1*AD$27))*SQRT('Valve Sizing'!$G$6/AD609)</f>
        <v>70.140084500284104</v>
      </c>
      <c r="AE611" s="41"/>
      <c r="AF611" s="73"/>
      <c r="AG611" s="64">
        <f>(AG605/(N_1*AG$27))*SQRT('Valve Sizing'!$G$6/AG609)</f>
        <v>121.85807218996794</v>
      </c>
      <c r="AH611" s="41"/>
      <c r="AI611" s="73"/>
      <c r="AJ611" s="64">
        <f>(AJ605/(N_1*AJ$27))*SQRT('Valve Sizing'!$G$6/AJ609)</f>
        <v>223.39910752327825</v>
      </c>
      <c r="AK611" s="41"/>
      <c r="AL611" s="73"/>
      <c r="AM611" s="64">
        <f>(AM605/(N_1*AM$27))*SQRT('Valve Sizing'!$G$6/AM609)</f>
        <v>732.53694460245333</v>
      </c>
      <c r="AN611" s="41"/>
      <c r="AO611" s="73"/>
      <c r="AP611" s="64" t="e">
        <f>(AP605/(N_1*AP$27))*SQRT('Valve Sizing'!$G$6/AP609)</f>
        <v>#NUM!</v>
      </c>
      <c r="AQ611" s="41"/>
      <c r="AR611" s="73"/>
      <c r="AS611" s="64" t="e">
        <f>(AS605/(N_1*AS$27))*SQRT('Valve Sizing'!$G$6/AS609)</f>
        <v>#NUM!</v>
      </c>
      <c r="AT611" s="41"/>
      <c r="AU611" s="73"/>
    </row>
    <row r="612" spans="15:47" ht="13" x14ac:dyDescent="0.3">
      <c r="O612" s="1" t="s">
        <v>72</v>
      </c>
      <c r="P612" s="17">
        <v>7</v>
      </c>
      <c r="Q612" s="65"/>
      <c r="R612" s="53">
        <f>(R605/(N_1*F_P_h))*SQRT('Valve Sizing'!$G$6/R610)</f>
        <v>0.32764373768635791</v>
      </c>
      <c r="S612" s="56"/>
      <c r="T612" s="72"/>
      <c r="U612" s="85">
        <f>(U605/(N_1*U$27))*SQRT('Valve Sizing'!$G$6/U610)</f>
        <v>6.9436527579494713</v>
      </c>
      <c r="V612" s="44"/>
      <c r="W612" s="72"/>
      <c r="X612" s="85">
        <f>(X605/(N_1*X$27))*SQRT('Valve Sizing'!$G$6/X610)</f>
        <v>16.950938632428386</v>
      </c>
      <c r="Y612" s="44"/>
      <c r="Z612" s="72"/>
      <c r="AA612" s="85">
        <f>(AA605/(N_1*AA$27))*SQRT('Valve Sizing'!$G$6/AA610)</f>
        <v>33.657916678221575</v>
      </c>
      <c r="AB612" s="44"/>
      <c r="AC612" s="72"/>
      <c r="AD612" s="85">
        <f>(AD605/(N_1*AD$27))*SQRT('Valve Sizing'!$G$6/AD610)</f>
        <v>59.514013956256974</v>
      </c>
      <c r="AE612" s="44"/>
      <c r="AF612" s="72"/>
      <c r="AG612" s="85">
        <f>(AG605/(N_1*AG$27))*SQRT('Valve Sizing'!$G$6/AG610)</f>
        <v>101.07485072938063</v>
      </c>
      <c r="AH612" s="44"/>
      <c r="AI612" s="72"/>
      <c r="AJ612" s="85">
        <f>(AJ605/(N_1*AJ$27))*SQRT('Valve Sizing'!$G$6/AJ610)</f>
        <v>160.86210483586083</v>
      </c>
      <c r="AK612" s="44"/>
      <c r="AL612" s="72"/>
      <c r="AM612" s="85">
        <f>(AM605/(N_1*AM$27))*SQRT('Valve Sizing'!$G$6/AM610)</f>
        <v>257.76178719416259</v>
      </c>
      <c r="AN612" s="44"/>
      <c r="AO612" s="72"/>
      <c r="AP612" s="85">
        <f>(AP605/(N_1*AP$27))*SQRT('Valve Sizing'!$G$6/AP610)</f>
        <v>442.99269622587622</v>
      </c>
      <c r="AQ612" s="44"/>
      <c r="AR612" s="72"/>
      <c r="AS612" s="85">
        <f>(AS605/(N_1*AS$27))*SQRT('Valve Sizing'!$G$6/AS610)</f>
        <v>934.38598548890957</v>
      </c>
      <c r="AT612" s="44"/>
      <c r="AU612" s="72"/>
    </row>
    <row r="613" spans="15:47" x14ac:dyDescent="0.25">
      <c r="O613" s="1" t="s">
        <v>246</v>
      </c>
      <c r="P613" s="18"/>
      <c r="Q613" s="65"/>
      <c r="R613" s="53">
        <f>IF(R609&lt;R610,R611,R612)</f>
        <v>0.39448987691536885</v>
      </c>
      <c r="S613" s="49"/>
      <c r="T613" s="72"/>
      <c r="U613" s="64">
        <f>IF(U609&lt;U610,U611,U612)</f>
        <v>8.3653475547037068</v>
      </c>
      <c r="V613" s="44"/>
      <c r="W613" s="72"/>
      <c r="X613" s="64">
        <f>IF(X609&lt;X610,X611,X612)</f>
        <v>20.262220027820181</v>
      </c>
      <c r="Y613" s="44"/>
      <c r="Z613" s="72"/>
      <c r="AA613" s="64">
        <f>IF(AA609&lt;AA610,AA611,AA612)</f>
        <v>39.790722305656573</v>
      </c>
      <c r="AB613" s="44"/>
      <c r="AC613" s="72"/>
      <c r="AD613" s="64">
        <f>IF(AD609&lt;AD610,AD611,AD612)</f>
        <v>70.140084500284104</v>
      </c>
      <c r="AE613" s="44"/>
      <c r="AF613" s="72"/>
      <c r="AG613" s="64">
        <f>IF(AG609&lt;AG610,AG611,AG612)</f>
        <v>121.85807218996794</v>
      </c>
      <c r="AH613" s="44"/>
      <c r="AI613" s="72"/>
      <c r="AJ613" s="64">
        <f>IF(AJ609&lt;AJ610,AJ611,AJ612)</f>
        <v>223.39910752327825</v>
      </c>
      <c r="AK613" s="44"/>
      <c r="AL613" s="72"/>
      <c r="AM613" s="64">
        <f>IF(AM609&lt;AM610,AM611,AM612)</f>
        <v>732.53694460245333</v>
      </c>
      <c r="AN613" s="44"/>
      <c r="AO613" s="72"/>
      <c r="AP613" s="64" t="e">
        <f>IF(AP609&lt;AP610,AP611,AP612)</f>
        <v>#NUM!</v>
      </c>
      <c r="AQ613" s="44"/>
      <c r="AR613" s="72"/>
      <c r="AS613" s="64" t="e">
        <f>IF(AS609&lt;AS610,AS611,AS612)</f>
        <v>#NUM!</v>
      </c>
      <c r="AT613" s="44"/>
      <c r="AU613" s="72"/>
    </row>
    <row r="614" spans="15:47" ht="13" x14ac:dyDescent="0.3">
      <c r="O614" s="7" t="s">
        <v>264</v>
      </c>
      <c r="Q614" s="61"/>
      <c r="R614" s="53"/>
      <c r="S614" s="69">
        <f>IFERROR(ABS(C_h-R613),Q_max*10)</f>
        <v>4.6055101230846311</v>
      </c>
      <c r="T614" s="76">
        <f>R605</f>
        <v>2.2402625483585452</v>
      </c>
      <c r="U614" s="61"/>
      <c r="V614" s="69">
        <f>IFERROR(ABS(U$23-U613),Q_max*10)</f>
        <v>3.6346524452962932</v>
      </c>
      <c r="W614" s="75">
        <f>U605</f>
        <v>47.405893971585584</v>
      </c>
      <c r="X614" s="61"/>
      <c r="Y614" s="69">
        <f>IFERROR(ABS(X$23-X613),Q_max*10)</f>
        <v>2.7377799721798191</v>
      </c>
      <c r="Z614" s="75">
        <f>X605</f>
        <v>113.79239383368876</v>
      </c>
      <c r="AA614" s="61"/>
      <c r="AB614" s="69">
        <f>IFERROR(ABS(AA$23-AA613),Q_max*10)</f>
        <v>0.79072230565657264</v>
      </c>
      <c r="AC614" s="75">
        <f>AA605</f>
        <v>217.27138339518288</v>
      </c>
      <c r="AD614" s="61"/>
      <c r="AE614" s="69">
        <f>IFERROR(ABS(AD$23-AD613),Q_max*10)</f>
        <v>9.1400845002841038</v>
      </c>
      <c r="AF614" s="75">
        <f>AD605</f>
        <v>357.33143110776047</v>
      </c>
      <c r="AG614" s="61"/>
      <c r="AH614" s="69">
        <f>IFERROR(ABS(AG$23-AG613),Q_max*10)</f>
        <v>33.858072189967942</v>
      </c>
      <c r="AI614" s="75">
        <f>AG605</f>
        <v>532.01780864752266</v>
      </c>
      <c r="AJ614" s="61"/>
      <c r="AK614" s="69">
        <f>IFERROR(ABS(AJ$23-AJ613),Q_max*10)</f>
        <v>102.39910752327825</v>
      </c>
      <c r="AL614" s="75">
        <f>AJ605</f>
        <v>709.97982804292383</v>
      </c>
      <c r="AM614" s="61"/>
      <c r="AN614" s="69">
        <f>IFERROR(ABS(AM$23-AM613),Q_max*10)</f>
        <v>567.53694460245333</v>
      </c>
      <c r="AO614" s="75">
        <f>AM605</f>
        <v>866.31031474194594</v>
      </c>
      <c r="AP614" s="61"/>
      <c r="AQ614" s="69">
        <f>IFERROR(ABS(AP$23-AP613),Q_max*10)</f>
        <v>5500</v>
      </c>
      <c r="AR614" s="75">
        <f>AP605</f>
        <v>1005.7593811322117</v>
      </c>
      <c r="AS614" s="61"/>
      <c r="AT614" s="69">
        <f>IFERROR(ABS(AS$23-AS613),Q_max*10)</f>
        <v>5500</v>
      </c>
      <c r="AU614" s="75">
        <f>AS605</f>
        <v>1144.6479933993139</v>
      </c>
    </row>
    <row r="615" spans="15:47" ht="14.5" x14ac:dyDescent="0.35">
      <c r="O615" s="6"/>
      <c r="P615" s="6"/>
      <c r="Q615" s="60"/>
      <c r="R615" s="67"/>
      <c r="S615" s="56"/>
      <c r="T615" s="72"/>
      <c r="V615" s="11"/>
      <c r="W615" s="38"/>
      <c r="Y615" s="11"/>
      <c r="Z615" s="38"/>
      <c r="AB615" s="11"/>
      <c r="AC615" s="38"/>
      <c r="AE615" s="11"/>
      <c r="AF615" s="38"/>
      <c r="AH615" s="11"/>
      <c r="AI615" s="38"/>
      <c r="AK615" s="11"/>
      <c r="AL615" s="38"/>
      <c r="AN615" s="11"/>
      <c r="AO615" s="38"/>
      <c r="AQ615" s="11"/>
      <c r="AR615" s="38"/>
      <c r="AT615" s="11"/>
      <c r="AU615" s="38"/>
    </row>
    <row r="616" spans="15:47" ht="14" x14ac:dyDescent="0.3">
      <c r="O616" s="8" t="s">
        <v>235</v>
      </c>
      <c r="P616" s="6"/>
      <c r="Q616" s="60"/>
      <c r="R616" s="53">
        <f>R605*1.02</f>
        <v>2.285067799325716</v>
      </c>
      <c r="S616" s="58" t="s">
        <v>238</v>
      </c>
      <c r="T616" s="73" t="s">
        <v>241</v>
      </c>
      <c r="U616" s="84">
        <f>U605*1.01</f>
        <v>47.879952911301437</v>
      </c>
      <c r="V616" s="58" t="s">
        <v>238</v>
      </c>
      <c r="W616" s="73" t="s">
        <v>241</v>
      </c>
      <c r="X616" s="84">
        <f>X605*1.01</f>
        <v>114.93031777202565</v>
      </c>
      <c r="Y616" s="58" t="s">
        <v>238</v>
      </c>
      <c r="Z616" s="73" t="s">
        <v>241</v>
      </c>
      <c r="AA616" s="84">
        <f>AA605*1.01</f>
        <v>219.44409722913471</v>
      </c>
      <c r="AB616" s="58" t="s">
        <v>238</v>
      </c>
      <c r="AC616" s="73" t="s">
        <v>241</v>
      </c>
      <c r="AD616" s="84">
        <f>AD605*1.01</f>
        <v>360.90474541883805</v>
      </c>
      <c r="AE616" s="58" t="s">
        <v>238</v>
      </c>
      <c r="AF616" s="73" t="s">
        <v>241</v>
      </c>
      <c r="AG616" s="84">
        <f>AG605*1.01</f>
        <v>537.33798673399792</v>
      </c>
      <c r="AH616" s="58" t="s">
        <v>238</v>
      </c>
      <c r="AI616" s="73" t="s">
        <v>241</v>
      </c>
      <c r="AJ616" s="84">
        <f>AJ605*1.01</f>
        <v>717.07962632335307</v>
      </c>
      <c r="AK616" s="58" t="s">
        <v>238</v>
      </c>
      <c r="AL616" s="73" t="s">
        <v>241</v>
      </c>
      <c r="AM616" s="84">
        <f>AM605*1.01</f>
        <v>874.97341788936546</v>
      </c>
      <c r="AN616" s="58" t="s">
        <v>238</v>
      </c>
      <c r="AO616" s="73" t="s">
        <v>241</v>
      </c>
      <c r="AP616" s="84">
        <f>AP605*1.01</f>
        <v>1015.8169749435339</v>
      </c>
      <c r="AQ616" s="58" t="s">
        <v>238</v>
      </c>
      <c r="AR616" s="73" t="s">
        <v>241</v>
      </c>
      <c r="AS616" s="84">
        <f>AS605*1.01</f>
        <v>1156.0944733333072</v>
      </c>
      <c r="AT616" s="58" t="s">
        <v>238</v>
      </c>
      <c r="AU616" s="73" t="s">
        <v>241</v>
      </c>
    </row>
    <row r="617" spans="15:47" ht="13" x14ac:dyDescent="0.25">
      <c r="O617" s="6"/>
      <c r="P617" s="6"/>
      <c r="Q617" s="60"/>
      <c r="R617" s="70"/>
      <c r="S617" s="63" t="s">
        <v>250</v>
      </c>
      <c r="T617" s="71" t="s">
        <v>242</v>
      </c>
      <c r="U617" s="61"/>
      <c r="V617" s="63" t="s">
        <v>250</v>
      </c>
      <c r="W617" s="71" t="s">
        <v>242</v>
      </c>
      <c r="X617" s="61"/>
      <c r="Y617" s="63" t="s">
        <v>250</v>
      </c>
      <c r="Z617" s="71" t="s">
        <v>242</v>
      </c>
      <c r="AA617" s="61"/>
      <c r="AB617" s="63" t="s">
        <v>250</v>
      </c>
      <c r="AC617" s="71" t="s">
        <v>242</v>
      </c>
      <c r="AD617" s="61"/>
      <c r="AE617" s="63" t="s">
        <v>250</v>
      </c>
      <c r="AF617" s="71" t="s">
        <v>242</v>
      </c>
      <c r="AG617" s="61"/>
      <c r="AH617" s="63" t="s">
        <v>250</v>
      </c>
      <c r="AI617" s="71" t="s">
        <v>242</v>
      </c>
      <c r="AJ617" s="61"/>
      <c r="AK617" s="63" t="s">
        <v>250</v>
      </c>
      <c r="AL617" s="71" t="s">
        <v>242</v>
      </c>
      <c r="AM617" s="61"/>
      <c r="AN617" s="63" t="s">
        <v>250</v>
      </c>
      <c r="AO617" s="71" t="s">
        <v>242</v>
      </c>
      <c r="AP617" s="61"/>
      <c r="AQ617" s="63" t="s">
        <v>250</v>
      </c>
      <c r="AR617" s="71" t="s">
        <v>242</v>
      </c>
      <c r="AS617" s="61"/>
      <c r="AT617" s="63" t="s">
        <v>250</v>
      </c>
      <c r="AU617" s="71" t="s">
        <v>242</v>
      </c>
    </row>
    <row r="618" spans="15:47" ht="13" x14ac:dyDescent="0.3">
      <c r="O618" s="6" t="s">
        <v>231</v>
      </c>
      <c r="P618" s="6"/>
      <c r="Q618" s="60"/>
      <c r="R618" s="85">
        <f>P_1_minQ-(R616^2*R_up)+dpup_minQ</f>
        <v>56.91596685123784</v>
      </c>
      <c r="S618" s="56"/>
      <c r="T618" s="72"/>
      <c r="U618" s="53">
        <f>P_1_minQ-(U616^2*R_up)+dpup_minQ</f>
        <v>56.838720368429975</v>
      </c>
      <c r="V618" s="44"/>
      <c r="W618" s="72"/>
      <c r="X618" s="53">
        <f>P_1_minQ-(X616^2*R_up)+dpup_minQ</f>
        <v>56.470044648997678</v>
      </c>
      <c r="Y618" s="44"/>
      <c r="Z618" s="72"/>
      <c r="AA618" s="53">
        <f>P_1_minQ-(AA616^2*R_up)+dpup_minQ</f>
        <v>55.289810475896324</v>
      </c>
      <c r="AB618" s="44"/>
      <c r="AC618" s="72"/>
      <c r="AD618" s="53">
        <f>P_1_minQ-(AD616^2*R_up)+dpup_minQ</f>
        <v>52.517215965355071</v>
      </c>
      <c r="AE618" s="44"/>
      <c r="AF618" s="72"/>
      <c r="AG618" s="53">
        <f>P_1_minQ-(AG616^2*R_up)+dpup_minQ</f>
        <v>47.164974265878207</v>
      </c>
      <c r="AH618" s="44"/>
      <c r="AI618" s="72"/>
      <c r="AJ618" s="53">
        <f>P_1_minQ-(AJ616^2*R_up)+dpup_minQ</f>
        <v>39.550280631947324</v>
      </c>
      <c r="AK618" s="44"/>
      <c r="AL618" s="72"/>
      <c r="AM618" s="53">
        <f>P_1_minQ-(AM616^2*R_up)+dpup_minQ</f>
        <v>31.060740222458691</v>
      </c>
      <c r="AN618" s="44"/>
      <c r="AO618" s="72"/>
      <c r="AP618" s="53">
        <f>P_1_minQ-(AP616^2*R_up)+dpup_minQ</f>
        <v>22.066966343011412</v>
      </c>
      <c r="AQ618" s="44"/>
      <c r="AR618" s="72"/>
      <c r="AS618" s="53">
        <f>P_1_minQ-(AS616^2*R_up)+dpup_minQ</f>
        <v>11.777526806085216</v>
      </c>
      <c r="AT618" s="44"/>
      <c r="AU618" s="72"/>
    </row>
    <row r="619" spans="15:47" ht="13" x14ac:dyDescent="0.3">
      <c r="O619" s="6" t="s">
        <v>233</v>
      </c>
      <c r="P619" s="6"/>
      <c r="Q619" s="60"/>
      <c r="R619" s="85">
        <f>P_2_minQ+(R616^2*R_dn)-dpdn_minQ</f>
        <v>24.656806629752435</v>
      </c>
      <c r="S619" s="66"/>
      <c r="T619" s="74"/>
      <c r="U619" s="53">
        <f>P_2_minQ+(U616^2*R_dn)-dpdn_minQ</f>
        <v>24.672255926314005</v>
      </c>
      <c r="V619" s="45"/>
      <c r="W619" s="74"/>
      <c r="X619" s="53">
        <f>P_2_minQ+(X616^2*R_dn)-dpdn_minQ</f>
        <v>24.745991070200464</v>
      </c>
      <c r="Y619" s="45"/>
      <c r="Z619" s="74"/>
      <c r="AA619" s="53">
        <f>P_2_minQ+(AA616^2*R_dn)-dpdn_minQ</f>
        <v>24.982037904820736</v>
      </c>
      <c r="AB619" s="45"/>
      <c r="AC619" s="74"/>
      <c r="AD619" s="53">
        <f>P_2_minQ+(AD616^2*R_dn)-dpdn_minQ</f>
        <v>25.536556806928989</v>
      </c>
      <c r="AE619" s="45"/>
      <c r="AF619" s="74"/>
      <c r="AG619" s="53">
        <f>P_2_minQ+(AG616^2*R_dn)-dpdn_minQ</f>
        <v>26.60700514682436</v>
      </c>
      <c r="AH619" s="45"/>
      <c r="AI619" s="74"/>
      <c r="AJ619" s="53">
        <f>P_2_minQ+(AJ616^2*R_dn)-dpdn_minQ</f>
        <v>28.129943873610536</v>
      </c>
      <c r="AK619" s="45"/>
      <c r="AL619" s="74"/>
      <c r="AM619" s="53">
        <f>P_2_minQ+(AM616^2*R_dn)-dpdn_minQ</f>
        <v>29.827851955508262</v>
      </c>
      <c r="AN619" s="45"/>
      <c r="AO619" s="74"/>
      <c r="AP619" s="53">
        <f>P_2_minQ+(AP616^2*R_dn)-dpdn_minQ</f>
        <v>31.626606731397718</v>
      </c>
      <c r="AQ619" s="45"/>
      <c r="AR619" s="74"/>
      <c r="AS619" s="53">
        <f>P_2_minQ+(AS616^2*R_dn)-dpdn_minQ</f>
        <v>33.684494638782965</v>
      </c>
      <c r="AT619" s="45"/>
      <c r="AU619" s="74"/>
    </row>
    <row r="620" spans="15:47" x14ac:dyDescent="0.25">
      <c r="O620" s="6" t="s">
        <v>243</v>
      </c>
      <c r="Q620" s="60"/>
      <c r="R620" s="53">
        <f>R618-R619</f>
        <v>32.259160221485402</v>
      </c>
      <c r="S620" s="56"/>
      <c r="T620" s="72"/>
      <c r="U620" s="64">
        <f>U618-U619</f>
        <v>32.166464442115966</v>
      </c>
      <c r="V620" s="44"/>
      <c r="W620" s="72"/>
      <c r="X620" s="64">
        <f>X618-X619</f>
        <v>31.724053578797214</v>
      </c>
      <c r="Y620" s="44"/>
      <c r="Z620" s="72"/>
      <c r="AA620" s="64">
        <f>AA618-AA619</f>
        <v>30.307772571075589</v>
      </c>
      <c r="AB620" s="44"/>
      <c r="AC620" s="72"/>
      <c r="AD620" s="64">
        <f>AD618-AD619</f>
        <v>26.980659158426082</v>
      </c>
      <c r="AE620" s="44"/>
      <c r="AF620" s="72"/>
      <c r="AG620" s="64">
        <f>AG618-AG619</f>
        <v>20.557969119053848</v>
      </c>
      <c r="AH620" s="44"/>
      <c r="AI620" s="72"/>
      <c r="AJ620" s="64">
        <f>AJ618-AJ619</f>
        <v>11.420336758336788</v>
      </c>
      <c r="AK620" s="44"/>
      <c r="AL620" s="72"/>
      <c r="AM620" s="64">
        <f>AM618-AM619</f>
        <v>1.2328882669504289</v>
      </c>
      <c r="AN620" s="44"/>
      <c r="AO620" s="72"/>
      <c r="AP620" s="64">
        <f>AP618-AP619</f>
        <v>-9.5596403883863061</v>
      </c>
      <c r="AQ620" s="44"/>
      <c r="AR620" s="72"/>
      <c r="AS620" s="64">
        <f>AS618-AS619</f>
        <v>-21.906967832697749</v>
      </c>
      <c r="AT620" s="44"/>
      <c r="AU620" s="72"/>
    </row>
    <row r="621" spans="15:47" ht="13" x14ac:dyDescent="0.3">
      <c r="O621" s="6" t="s">
        <v>75</v>
      </c>
      <c r="P621" s="6">
        <v>3</v>
      </c>
      <c r="Q621" s="65"/>
      <c r="R621" s="85">
        <f>(F_LP_h/F_P_h)^2*(R618-('Valve Sizing'!$V$4*'Valve Sizing'!$G$7))</f>
        <v>46.765017219936375</v>
      </c>
      <c r="S621" s="58"/>
      <c r="T621" s="73"/>
      <c r="U621" s="53">
        <f>(U$29/U$27)^2*(U618-('Valve Sizing'!$V$4*'Valve Sizing'!$G$7))</f>
        <v>46.688324299717564</v>
      </c>
      <c r="V621" s="41"/>
      <c r="W621" s="73"/>
      <c r="X621" s="53">
        <f>(X$29/X$27)^2*(X618-('Valve Sizing'!$V$4*'Valve Sizing'!$G$7))</f>
        <v>45.33686370556044</v>
      </c>
      <c r="Y621" s="41"/>
      <c r="Z621" s="73"/>
      <c r="AA621" s="53">
        <f>(AA$29/AA$27)^2*(AA618-('Valve Sizing'!$V$4*'Valve Sizing'!$G$7))</f>
        <v>42.387736561118082</v>
      </c>
      <c r="AB621" s="41"/>
      <c r="AC621" s="73"/>
      <c r="AD621" s="53">
        <f>(AD$29/AD$27)^2*(AD618-('Valve Sizing'!$V$4*'Valve Sizing'!$G$7))</f>
        <v>37.557390764855256</v>
      </c>
      <c r="AE621" s="41"/>
      <c r="AF621" s="73"/>
      <c r="AG621" s="53">
        <f>(AG$29/AG$27)^2*(AG618-('Valve Sizing'!$V$4*'Valve Sizing'!$G$7))</f>
        <v>30.092899903780125</v>
      </c>
      <c r="AH621" s="41"/>
      <c r="AI621" s="73"/>
      <c r="AJ621" s="53">
        <f>(AJ$29/AJ$27)^2*(AJ618-('Valve Sizing'!$V$4*'Valve Sizing'!$G$7))</f>
        <v>22.619958108448486</v>
      </c>
      <c r="AK621" s="41"/>
      <c r="AL621" s="73"/>
      <c r="AM621" s="53">
        <f>(AM$29/AM$27)^2*(AM618-('Valve Sizing'!$V$4*'Valve Sizing'!$G$7))</f>
        <v>14.651143794543973</v>
      </c>
      <c r="AN621" s="41"/>
      <c r="AO621" s="73"/>
      <c r="AP621" s="53">
        <f>(AP$29/AP$27)^2*(AP618-('Valve Sizing'!$V$4*'Valve Sizing'!$G$7))</f>
        <v>8.5345583556108178</v>
      </c>
      <c r="AQ621" s="41"/>
      <c r="AR621" s="73"/>
      <c r="AS621" s="53">
        <f>(AS$29/AS$27)^2*(AS618-('Valve Sizing'!$V$4*'Valve Sizing'!$G$7))</f>
        <v>4.2644846443658802</v>
      </c>
      <c r="AT621" s="41"/>
      <c r="AU621" s="73"/>
    </row>
    <row r="622" spans="15:47" ht="13" x14ac:dyDescent="0.25">
      <c r="O622" s="1" t="s">
        <v>69</v>
      </c>
      <c r="P622" s="17">
        <v>7</v>
      </c>
      <c r="Q622" s="65"/>
      <c r="R622" s="53">
        <f>(R616/(N_1*F_P_h))*SQRT('Valve Sizing'!$G$6/R620)</f>
        <v>0.40237972570144892</v>
      </c>
      <c r="S622" s="58"/>
      <c r="T622" s="73"/>
      <c r="U622" s="64">
        <f>(U616/(N_1*U$27))*SQRT('Valve Sizing'!$G$6/U620)</f>
        <v>8.4492414496113906</v>
      </c>
      <c r="V622" s="41"/>
      <c r="W622" s="73"/>
      <c r="X622" s="64">
        <f>(X616/(N_1*X$27))*SQRT('Valve Sizing'!$G$6/X620)</f>
        <v>20.468244108169031</v>
      </c>
      <c r="Y622" s="41"/>
      <c r="Z622" s="73"/>
      <c r="AA622" s="64">
        <f>(AA616/(N_1*AA$27))*SQRT('Valve Sizing'!$G$6/AA620)</f>
        <v>40.214116923430346</v>
      </c>
      <c r="AB622" s="41"/>
      <c r="AC622" s="73"/>
      <c r="AD622" s="64">
        <f>(AD616/(N_1*AD$27))*SQRT('Valve Sizing'!$G$6/AD620)</f>
        <v>70.977902343541928</v>
      </c>
      <c r="AE622" s="41"/>
      <c r="AF622" s="73"/>
      <c r="AG622" s="64">
        <f>(AG616/(N_1*AG$27))*SQRT('Valve Sizing'!$G$6/AG620)</f>
        <v>123.7648995705176</v>
      </c>
      <c r="AH622" s="41"/>
      <c r="AI622" s="73"/>
      <c r="AJ622" s="64">
        <f>(AJ616/(N_1*AJ$27))*SQRT('Valve Sizing'!$G$6/AJ620)</f>
        <v>229.65353062619764</v>
      </c>
      <c r="AK622" s="41"/>
      <c r="AL622" s="73"/>
      <c r="AM622" s="64">
        <f>(AM616/(N_1*AM$27))*SQRT('Valve Sizing'!$G$6/AM620)</f>
        <v>904.89229451174253</v>
      </c>
      <c r="AN622" s="41"/>
      <c r="AO622" s="73"/>
      <c r="AP622" s="64" t="e">
        <f>(AP616/(N_1*AP$27))*SQRT('Valve Sizing'!$G$6/AP620)</f>
        <v>#NUM!</v>
      </c>
      <c r="AQ622" s="41"/>
      <c r="AR622" s="73"/>
      <c r="AS622" s="64" t="e">
        <f>(AS616/(N_1*AS$27))*SQRT('Valve Sizing'!$G$6/AS620)</f>
        <v>#NUM!</v>
      </c>
      <c r="AT622" s="41"/>
      <c r="AU622" s="73"/>
    </row>
    <row r="623" spans="15:47" ht="13" x14ac:dyDescent="0.3">
      <c r="O623" s="1" t="s">
        <v>72</v>
      </c>
      <c r="P623" s="17">
        <v>7</v>
      </c>
      <c r="Q623" s="65"/>
      <c r="R623" s="53">
        <f>(R616/(N_1*F_P_h))*SQRT('Valve Sizing'!$G$6/R621)</f>
        <v>0.33419663270055888</v>
      </c>
      <c r="S623" s="56"/>
      <c r="T623" s="72"/>
      <c r="U623" s="85">
        <f>(U616/(N_1*U$27))*SQRT('Valve Sizing'!$G$6/U621)</f>
        <v>7.013184133918446</v>
      </c>
      <c r="V623" s="44"/>
      <c r="W623" s="72"/>
      <c r="X623" s="85">
        <f>(X616/(N_1*X$27))*SQRT('Valve Sizing'!$G$6/X621)</f>
        <v>17.121790881709074</v>
      </c>
      <c r="Y623" s="44"/>
      <c r="Z623" s="72"/>
      <c r="AA623" s="85">
        <f>(AA616/(N_1*AA$27))*SQRT('Valve Sizing'!$G$6/AA621)</f>
        <v>34.004424792745958</v>
      </c>
      <c r="AB623" s="44"/>
      <c r="AC623" s="72"/>
      <c r="AD623" s="85">
        <f>(AD616/(N_1*AD$27))*SQRT('Valve Sizing'!$G$6/AD621)</f>
        <v>60.159155573010729</v>
      </c>
      <c r="AE623" s="44"/>
      <c r="AF623" s="72"/>
      <c r="AG623" s="85">
        <f>(AG616/(N_1*AG$27))*SQRT('Valve Sizing'!$G$6/AG621)</f>
        <v>102.29527593315183</v>
      </c>
      <c r="AH623" s="44"/>
      <c r="AI623" s="72"/>
      <c r="AJ623" s="85">
        <f>(AJ616/(N_1*AJ$27))*SQRT('Valve Sizing'!$G$6/AJ621)</f>
        <v>163.17990786376697</v>
      </c>
      <c r="AK623" s="44"/>
      <c r="AL623" s="72"/>
      <c r="AM623" s="85">
        <f>(AM616/(N_1*AM$27))*SQRT('Valve Sizing'!$G$6/AM621)</f>
        <v>262.49617803895524</v>
      </c>
      <c r="AN623" s="44"/>
      <c r="AO623" s="72"/>
      <c r="AP623" s="85">
        <f>(AP616/(N_1*AP$27))*SQRT('Valve Sizing'!$G$6/AP621)</f>
        <v>454.47007953245185</v>
      </c>
      <c r="AQ623" s="44"/>
      <c r="AR623" s="72"/>
      <c r="AS623" s="85">
        <f>(AS616/(N_1*AS$27))*SQRT('Valve Sizing'!$G$6/AS621)</f>
        <v>980.0481741356665</v>
      </c>
      <c r="AT623" s="44"/>
      <c r="AU623" s="72"/>
    </row>
    <row r="624" spans="15:47" x14ac:dyDescent="0.25">
      <c r="O624" s="1" t="s">
        <v>246</v>
      </c>
      <c r="P624" s="18"/>
      <c r="Q624" s="65"/>
      <c r="R624" s="53">
        <f>IF(R620&lt;R621,R622,R623)</f>
        <v>0.40237972570144892</v>
      </c>
      <c r="S624" s="49"/>
      <c r="T624" s="72"/>
      <c r="U624" s="64">
        <f>IF(U620&lt;U621,U622,U623)</f>
        <v>8.4492414496113906</v>
      </c>
      <c r="V624" s="44"/>
      <c r="W624" s="72"/>
      <c r="X624" s="64">
        <f>IF(X620&lt;X621,X622,X623)</f>
        <v>20.468244108169031</v>
      </c>
      <c r="Y624" s="44"/>
      <c r="Z624" s="72"/>
      <c r="AA624" s="64">
        <f>IF(AA620&lt;AA621,AA622,AA623)</f>
        <v>40.214116923430346</v>
      </c>
      <c r="AB624" s="44"/>
      <c r="AC624" s="72"/>
      <c r="AD624" s="64">
        <f>IF(AD620&lt;AD621,AD622,AD623)</f>
        <v>70.977902343541928</v>
      </c>
      <c r="AE624" s="44"/>
      <c r="AF624" s="72"/>
      <c r="AG624" s="64">
        <f>IF(AG620&lt;AG621,AG622,AG623)</f>
        <v>123.7648995705176</v>
      </c>
      <c r="AH624" s="44"/>
      <c r="AI624" s="72"/>
      <c r="AJ624" s="64">
        <f>IF(AJ620&lt;AJ621,AJ622,AJ623)</f>
        <v>229.65353062619764</v>
      </c>
      <c r="AK624" s="44"/>
      <c r="AL624" s="72"/>
      <c r="AM624" s="64">
        <f>IF(AM620&lt;AM621,AM622,AM623)</f>
        <v>904.89229451174253</v>
      </c>
      <c r="AN624" s="44"/>
      <c r="AO624" s="72"/>
      <c r="AP624" s="64" t="e">
        <f>IF(AP620&lt;AP621,AP622,AP623)</f>
        <v>#NUM!</v>
      </c>
      <c r="AQ624" s="44"/>
      <c r="AR624" s="72"/>
      <c r="AS624" s="64" t="e">
        <f>IF(AS620&lt;AS621,AS622,AS623)</f>
        <v>#NUM!</v>
      </c>
      <c r="AT624" s="44"/>
      <c r="AU624" s="72"/>
    </row>
    <row r="625" spans="15:47" ht="13" x14ac:dyDescent="0.3">
      <c r="O625" s="7" t="s">
        <v>264</v>
      </c>
      <c r="Q625" s="61"/>
      <c r="R625" s="53"/>
      <c r="S625" s="69">
        <f>IFERROR(ABS(C_h-R624),Q_max*10)</f>
        <v>4.597620274298551</v>
      </c>
      <c r="T625" s="76">
        <f>R616</f>
        <v>2.285067799325716</v>
      </c>
      <c r="U625" s="61"/>
      <c r="V625" s="69">
        <f>IFERROR(ABS(U$23-U624),Q_max*10)</f>
        <v>3.5507585503886094</v>
      </c>
      <c r="W625" s="75">
        <f>U616</f>
        <v>47.879952911301437</v>
      </c>
      <c r="X625" s="61"/>
      <c r="Y625" s="69">
        <f>IFERROR(ABS(X$23-X624),Q_max*10)</f>
        <v>2.5317558918309686</v>
      </c>
      <c r="Z625" s="75">
        <f>X616</f>
        <v>114.93031777202565</v>
      </c>
      <c r="AA625" s="61"/>
      <c r="AB625" s="69">
        <f>IFERROR(ABS(AA$23-AA624),Q_max*10)</f>
        <v>1.2141169234303462</v>
      </c>
      <c r="AC625" s="75">
        <f>AA616</f>
        <v>219.44409722913471</v>
      </c>
      <c r="AD625" s="61"/>
      <c r="AE625" s="69">
        <f>IFERROR(ABS(AD$23-AD624),Q_max*10)</f>
        <v>9.9779023435419276</v>
      </c>
      <c r="AF625" s="75">
        <f>AD616</f>
        <v>360.90474541883805</v>
      </c>
      <c r="AG625" s="61"/>
      <c r="AH625" s="69">
        <f>IFERROR(ABS(AG$23-AG624),Q_max*10)</f>
        <v>35.764899570517599</v>
      </c>
      <c r="AI625" s="75">
        <f>AG616</f>
        <v>537.33798673399792</v>
      </c>
      <c r="AJ625" s="61"/>
      <c r="AK625" s="69">
        <f>IFERROR(ABS(AJ$23-AJ624),Q_max*10)</f>
        <v>108.65353062619764</v>
      </c>
      <c r="AL625" s="75">
        <f>AJ616</f>
        <v>717.07962632335307</v>
      </c>
      <c r="AM625" s="61"/>
      <c r="AN625" s="69">
        <f>IFERROR(ABS(AM$23-AM624),Q_max*10)</f>
        <v>739.89229451174253</v>
      </c>
      <c r="AO625" s="75">
        <f>AM616</f>
        <v>874.97341788936546</v>
      </c>
      <c r="AP625" s="61"/>
      <c r="AQ625" s="69">
        <f>IFERROR(ABS(AP$23-AP624),Q_max*10)</f>
        <v>5500</v>
      </c>
      <c r="AR625" s="75">
        <f>AP616</f>
        <v>1015.8169749435339</v>
      </c>
      <c r="AS625" s="61"/>
      <c r="AT625" s="69">
        <f>IFERROR(ABS(AS$23-AS624),Q_max*10)</f>
        <v>5500</v>
      </c>
      <c r="AU625" s="75">
        <f>AS616</f>
        <v>1156.0944733333072</v>
      </c>
    </row>
    <row r="626" spans="15:47" ht="14.5" x14ac:dyDescent="0.35">
      <c r="O626" s="8"/>
      <c r="P626" s="6"/>
      <c r="Q626" s="60"/>
      <c r="R626" s="67"/>
      <c r="S626" s="58"/>
      <c r="T626" s="73"/>
      <c r="V626" s="11"/>
      <c r="W626" s="38"/>
      <c r="Y626" s="11"/>
      <c r="Z626" s="38"/>
      <c r="AB626" s="11"/>
      <c r="AC626" s="38"/>
      <c r="AE626" s="11"/>
      <c r="AF626" s="38"/>
      <c r="AH626" s="11"/>
      <c r="AI626" s="38"/>
      <c r="AK626" s="11"/>
      <c r="AL626" s="38"/>
      <c r="AN626" s="11"/>
      <c r="AO626" s="38"/>
      <c r="AQ626" s="11"/>
      <c r="AR626" s="38"/>
      <c r="AT626" s="11"/>
      <c r="AU626" s="38"/>
    </row>
    <row r="627" spans="15:47" ht="14" x14ac:dyDescent="0.3">
      <c r="O627" s="8" t="s">
        <v>235</v>
      </c>
      <c r="P627" s="6"/>
      <c r="Q627" s="60"/>
      <c r="R627" s="53">
        <f>R616*1.02</f>
        <v>2.3307691553122303</v>
      </c>
      <c r="S627" s="58" t="s">
        <v>238</v>
      </c>
      <c r="T627" s="73" t="s">
        <v>241</v>
      </c>
      <c r="U627" s="84">
        <f>U616*1.01</f>
        <v>48.358752440414449</v>
      </c>
      <c r="V627" s="58" t="s">
        <v>238</v>
      </c>
      <c r="W627" s="73" t="s">
        <v>241</v>
      </c>
      <c r="X627" s="84">
        <f>X616*1.01</f>
        <v>116.0796209497459</v>
      </c>
      <c r="Y627" s="58" t="s">
        <v>238</v>
      </c>
      <c r="Z627" s="73" t="s">
        <v>241</v>
      </c>
      <c r="AA627" s="84">
        <f>AA616*1.01</f>
        <v>221.63853820142606</v>
      </c>
      <c r="AB627" s="58" t="s">
        <v>238</v>
      </c>
      <c r="AC627" s="73" t="s">
        <v>241</v>
      </c>
      <c r="AD627" s="84">
        <f>AD616*1.01</f>
        <v>364.51379287302643</v>
      </c>
      <c r="AE627" s="58" t="s">
        <v>238</v>
      </c>
      <c r="AF627" s="73" t="s">
        <v>241</v>
      </c>
      <c r="AG627" s="84">
        <f>AG616*1.01</f>
        <v>542.71136660133789</v>
      </c>
      <c r="AH627" s="58" t="s">
        <v>238</v>
      </c>
      <c r="AI627" s="73" t="s">
        <v>241</v>
      </c>
      <c r="AJ627" s="84">
        <f>AJ616*1.01</f>
        <v>724.25042258658664</v>
      </c>
      <c r="AK627" s="58" t="s">
        <v>238</v>
      </c>
      <c r="AL627" s="73" t="s">
        <v>241</v>
      </c>
      <c r="AM627" s="84">
        <f>AM616*1.01</f>
        <v>883.72315206825908</v>
      </c>
      <c r="AN627" s="58" t="s">
        <v>238</v>
      </c>
      <c r="AO627" s="73" t="s">
        <v>241</v>
      </c>
      <c r="AP627" s="84">
        <f>AP616*1.01</f>
        <v>1025.9751446929693</v>
      </c>
      <c r="AQ627" s="58" t="s">
        <v>238</v>
      </c>
      <c r="AR627" s="73" t="s">
        <v>241</v>
      </c>
      <c r="AS627" s="84">
        <f>AS616*1.01</f>
        <v>1167.6554180666403</v>
      </c>
      <c r="AT627" s="58" t="s">
        <v>238</v>
      </c>
      <c r="AU627" s="73" t="s">
        <v>241</v>
      </c>
    </row>
    <row r="628" spans="15:47" ht="13" x14ac:dyDescent="0.25">
      <c r="O628" s="6"/>
      <c r="P628" s="6"/>
      <c r="Q628" s="60"/>
      <c r="R628" s="70"/>
      <c r="S628" s="63" t="s">
        <v>250</v>
      </c>
      <c r="T628" s="71" t="s">
        <v>242</v>
      </c>
      <c r="U628" s="61"/>
      <c r="V628" s="63" t="s">
        <v>250</v>
      </c>
      <c r="W628" s="71" t="s">
        <v>242</v>
      </c>
      <c r="X628" s="61"/>
      <c r="Y628" s="63" t="s">
        <v>250</v>
      </c>
      <c r="Z628" s="71" t="s">
        <v>242</v>
      </c>
      <c r="AA628" s="61"/>
      <c r="AB628" s="63" t="s">
        <v>250</v>
      </c>
      <c r="AC628" s="71" t="s">
        <v>242</v>
      </c>
      <c r="AD628" s="61"/>
      <c r="AE628" s="63" t="s">
        <v>250</v>
      </c>
      <c r="AF628" s="71" t="s">
        <v>242</v>
      </c>
      <c r="AG628" s="61"/>
      <c r="AH628" s="63" t="s">
        <v>250</v>
      </c>
      <c r="AI628" s="71" t="s">
        <v>242</v>
      </c>
      <c r="AJ628" s="61"/>
      <c r="AK628" s="63" t="s">
        <v>250</v>
      </c>
      <c r="AL628" s="71" t="s">
        <v>242</v>
      </c>
      <c r="AM628" s="61"/>
      <c r="AN628" s="63" t="s">
        <v>250</v>
      </c>
      <c r="AO628" s="71" t="s">
        <v>242</v>
      </c>
      <c r="AP628" s="61"/>
      <c r="AQ628" s="63" t="s">
        <v>250</v>
      </c>
      <c r="AR628" s="71" t="s">
        <v>242</v>
      </c>
      <c r="AS628" s="61"/>
      <c r="AT628" s="63" t="s">
        <v>250</v>
      </c>
      <c r="AU628" s="71" t="s">
        <v>242</v>
      </c>
    </row>
    <row r="629" spans="15:47" ht="13" x14ac:dyDescent="0.3">
      <c r="O629" s="6" t="s">
        <v>231</v>
      </c>
      <c r="P629" s="6"/>
      <c r="Q629" s="60"/>
      <c r="R629" s="85">
        <f>P_1_minQ-(R627^2*R_up)+dpup_minQ</f>
        <v>56.915959726955236</v>
      </c>
      <c r="S629" s="56"/>
      <c r="T629" s="72"/>
      <c r="U629" s="53">
        <f>P_1_minQ-(U627^2*R_up)+dpup_minQ</f>
        <v>56.837164169618596</v>
      </c>
      <c r="V629" s="44"/>
      <c r="W629" s="72"/>
      <c r="X629" s="53">
        <f>P_1_minQ-(X627^2*R_up)+dpup_minQ</f>
        <v>56.46107806822571</v>
      </c>
      <c r="Y629" s="44"/>
      <c r="Z629" s="72"/>
      <c r="AA629" s="53">
        <f>P_1_minQ-(AA627^2*R_up)+dpup_minQ</f>
        <v>55.257121188245016</v>
      </c>
      <c r="AB629" s="44"/>
      <c r="AC629" s="72"/>
      <c r="AD629" s="53">
        <f>P_1_minQ-(AD627^2*R_up)+dpup_minQ</f>
        <v>52.428797528041891</v>
      </c>
      <c r="AE629" s="44"/>
      <c r="AF629" s="72"/>
      <c r="AG629" s="53">
        <f>P_1_minQ-(AG627^2*R_up)+dpup_minQ</f>
        <v>46.968975770405542</v>
      </c>
      <c r="AH629" s="44"/>
      <c r="AI629" s="72"/>
      <c r="AJ629" s="53">
        <f>P_1_minQ-(AJ627^2*R_up)+dpup_minQ</f>
        <v>39.20122679443265</v>
      </c>
      <c r="AK629" s="44"/>
      <c r="AL629" s="72"/>
      <c r="AM629" s="53">
        <f>P_1_minQ-(AM627^2*R_up)+dpup_minQ</f>
        <v>30.541046622713296</v>
      </c>
      <c r="AN629" s="44"/>
      <c r="AO629" s="72"/>
      <c r="AP629" s="53">
        <f>P_1_minQ-(AP627^2*R_up)+dpup_minQ</f>
        <v>21.366497888289114</v>
      </c>
      <c r="AQ629" s="44"/>
      <c r="AR629" s="72"/>
      <c r="AS629" s="53">
        <f>P_1_minQ-(AS627^2*R_up)+dpup_minQ</f>
        <v>10.870240616670703</v>
      </c>
      <c r="AT629" s="44"/>
      <c r="AU629" s="72"/>
    </row>
    <row r="630" spans="15:47" ht="13" x14ac:dyDescent="0.3">
      <c r="O630" s="6" t="s">
        <v>233</v>
      </c>
      <c r="P630" s="6"/>
      <c r="Q630" s="60"/>
      <c r="R630" s="85">
        <f>P_2_minQ+(R627^2*R_dn)-dpdn_minQ</f>
        <v>24.656808054608952</v>
      </c>
      <c r="S630" s="66"/>
      <c r="T630" s="74"/>
      <c r="U630" s="53">
        <f>P_2_minQ+(U627^2*R_dn)-dpdn_minQ</f>
        <v>24.672567166076281</v>
      </c>
      <c r="V630" s="45"/>
      <c r="W630" s="74"/>
      <c r="X630" s="53">
        <f>P_2_minQ+(X627^2*R_dn)-dpdn_minQ</f>
        <v>24.747784386354859</v>
      </c>
      <c r="Y630" s="45"/>
      <c r="Z630" s="74"/>
      <c r="AA630" s="53">
        <f>P_2_minQ+(AA627^2*R_dn)-dpdn_minQ</f>
        <v>24.988575762350997</v>
      </c>
      <c r="AB630" s="45"/>
      <c r="AC630" s="74"/>
      <c r="AD630" s="53">
        <f>P_2_minQ+(AD627^2*R_dn)-dpdn_minQ</f>
        <v>25.554240494391625</v>
      </c>
      <c r="AE630" s="45"/>
      <c r="AF630" s="74"/>
      <c r="AG630" s="53">
        <f>P_2_minQ+(AG627^2*R_dn)-dpdn_minQ</f>
        <v>26.646204845918891</v>
      </c>
      <c r="AH630" s="45"/>
      <c r="AI630" s="74"/>
      <c r="AJ630" s="53">
        <f>P_2_minQ+(AJ627^2*R_dn)-dpdn_minQ</f>
        <v>28.199754641113472</v>
      </c>
      <c r="AK630" s="45"/>
      <c r="AL630" s="74"/>
      <c r="AM630" s="53">
        <f>P_2_minQ+(AM627^2*R_dn)-dpdn_minQ</f>
        <v>29.931790675457343</v>
      </c>
      <c r="AN630" s="45"/>
      <c r="AO630" s="74"/>
      <c r="AP630" s="53">
        <f>P_2_minQ+(AP627^2*R_dn)-dpdn_minQ</f>
        <v>31.766700422342179</v>
      </c>
      <c r="AQ630" s="45"/>
      <c r="AR630" s="74"/>
      <c r="AS630" s="53">
        <f>P_2_minQ+(AS627^2*R_dn)-dpdn_minQ</f>
        <v>33.865951876665861</v>
      </c>
      <c r="AT630" s="45"/>
      <c r="AU630" s="74"/>
    </row>
    <row r="631" spans="15:47" x14ac:dyDescent="0.25">
      <c r="O631" s="6" t="s">
        <v>243</v>
      </c>
      <c r="Q631" s="60"/>
      <c r="R631" s="53">
        <f>R629-R630</f>
        <v>32.259151672346285</v>
      </c>
      <c r="S631" s="56"/>
      <c r="T631" s="72"/>
      <c r="U631" s="64">
        <f>U629-U630</f>
        <v>32.164597003542312</v>
      </c>
      <c r="V631" s="44"/>
      <c r="W631" s="72"/>
      <c r="X631" s="64">
        <f>X629-X630</f>
        <v>31.713293681870852</v>
      </c>
      <c r="Y631" s="44"/>
      <c r="Z631" s="72"/>
      <c r="AA631" s="64">
        <f>AA629-AA630</f>
        <v>30.268545425894018</v>
      </c>
      <c r="AB631" s="44"/>
      <c r="AC631" s="72"/>
      <c r="AD631" s="64">
        <f>AD629-AD630</f>
        <v>26.874557033650266</v>
      </c>
      <c r="AE631" s="44"/>
      <c r="AF631" s="72"/>
      <c r="AG631" s="64">
        <f>AG629-AG630</f>
        <v>20.322770924486651</v>
      </c>
      <c r="AH631" s="44"/>
      <c r="AI631" s="72"/>
      <c r="AJ631" s="64">
        <f>AJ629-AJ630</f>
        <v>11.001472153319177</v>
      </c>
      <c r="AK631" s="44"/>
      <c r="AL631" s="72"/>
      <c r="AM631" s="64">
        <f>AM629-AM630</f>
        <v>0.60925594725595289</v>
      </c>
      <c r="AN631" s="44"/>
      <c r="AO631" s="72"/>
      <c r="AP631" s="64">
        <f>AP629-AP630</f>
        <v>-10.400202534053065</v>
      </c>
      <c r="AQ631" s="44"/>
      <c r="AR631" s="72"/>
      <c r="AS631" s="64">
        <f>AS629-AS630</f>
        <v>-22.995711259995158</v>
      </c>
      <c r="AT631" s="44"/>
      <c r="AU631" s="72"/>
    </row>
    <row r="632" spans="15:47" ht="13" x14ac:dyDescent="0.3">
      <c r="O632" s="6" t="s">
        <v>75</v>
      </c>
      <c r="P632" s="6">
        <v>3</v>
      </c>
      <c r="Q632" s="65"/>
      <c r="R632" s="85">
        <f>(F_LP_h/F_P_h)^2*(R629-('Valve Sizing'!$V$4*'Valve Sizing'!$G$7))</f>
        <v>46.765011320656427</v>
      </c>
      <c r="S632" s="58"/>
      <c r="T632" s="73"/>
      <c r="U632" s="53">
        <f>(U$29/U$27)^2*(U629-('Valve Sizing'!$V$4*'Valve Sizing'!$G$7))</f>
        <v>46.687036036639988</v>
      </c>
      <c r="V632" s="41"/>
      <c r="W632" s="73"/>
      <c r="X632" s="53">
        <f>(X$29/X$27)^2*(X629-('Valve Sizing'!$V$4*'Valve Sizing'!$G$7))</f>
        <v>45.329608364763942</v>
      </c>
      <c r="Y632" s="41"/>
      <c r="Z632" s="73"/>
      <c r="AA632" s="53">
        <f>(AA$29/AA$27)^2*(AA629-('Valve Sizing'!$V$4*'Valve Sizing'!$G$7))</f>
        <v>42.362474370453128</v>
      </c>
      <c r="AB632" s="41"/>
      <c r="AC632" s="73"/>
      <c r="AD632" s="53">
        <f>(AD$29/AD$27)^2*(AD629-('Valve Sizing'!$V$4*'Valve Sizing'!$G$7))</f>
        <v>37.49362450130284</v>
      </c>
      <c r="AE632" s="41"/>
      <c r="AF632" s="73"/>
      <c r="AG632" s="53">
        <f>(AG$29/AG$27)^2*(AG629-('Valve Sizing'!$V$4*'Valve Sizing'!$G$7))</f>
        <v>29.966668258329968</v>
      </c>
      <c r="AH632" s="41"/>
      <c r="AI632" s="73"/>
      <c r="AJ632" s="53">
        <f>(AJ$29/AJ$27)^2*(AJ629-('Valve Sizing'!$V$4*'Valve Sizing'!$G$7))</f>
        <v>22.418077817721244</v>
      </c>
      <c r="AK632" s="41"/>
      <c r="AL632" s="73"/>
      <c r="AM632" s="53">
        <f>(AM$29/AM$27)^2*(AM629-('Valve Sizing'!$V$4*'Valve Sizing'!$G$7))</f>
        <v>14.402484880893992</v>
      </c>
      <c r="AN632" s="41"/>
      <c r="AO632" s="73"/>
      <c r="AP632" s="53">
        <f>(AP$29/AP$27)^2*(AP629-('Valve Sizing'!$V$4*'Valve Sizing'!$G$7))</f>
        <v>8.2581347116591175</v>
      </c>
      <c r="AQ632" s="41"/>
      <c r="AR632" s="73"/>
      <c r="AS632" s="53">
        <f>(AS$29/AS$27)^2*(AS629-('Valve Sizing'!$V$4*'Valve Sizing'!$G$7))</f>
        <v>3.9232172966000762</v>
      </c>
      <c r="AT632" s="41"/>
      <c r="AU632" s="73"/>
    </row>
    <row r="633" spans="15:47" ht="13" x14ac:dyDescent="0.25">
      <c r="O633" s="1" t="s">
        <v>69</v>
      </c>
      <c r="P633" s="17">
        <v>7</v>
      </c>
      <c r="Q633" s="65"/>
      <c r="R633" s="53">
        <f>(R627/(N_1*F_P_h))*SQRT('Valve Sizing'!$G$6/R631)</f>
        <v>0.41042737460004547</v>
      </c>
      <c r="S633" s="58"/>
      <c r="T633" s="73"/>
      <c r="U633" s="64">
        <f>(U627/(N_1*U$27))*SQRT('Valve Sizing'!$G$6/U631)</f>
        <v>8.5339815897744913</v>
      </c>
      <c r="V633" s="41"/>
      <c r="W633" s="73"/>
      <c r="X633" s="64">
        <f>(X627/(N_1*X$27))*SQRT('Valve Sizing'!$G$6/X631)</f>
        <v>20.676433275746231</v>
      </c>
      <c r="Y633" s="41"/>
      <c r="Z633" s="73"/>
      <c r="AA633" s="64">
        <f>(AA627/(N_1*AA$27))*SQRT('Valve Sizing'!$G$6/AA631)</f>
        <v>40.642568309430274</v>
      </c>
      <c r="AB633" s="41"/>
      <c r="AC633" s="73"/>
      <c r="AD633" s="64">
        <f>(AD627/(N_1*AD$27))*SQRT('Valve Sizing'!$G$6/AD631)</f>
        <v>71.82905528163316</v>
      </c>
      <c r="AE633" s="41"/>
      <c r="AF633" s="73"/>
      <c r="AG633" s="64">
        <f>(AG627/(N_1*AG$27))*SQRT('Valve Sizing'!$G$6/AG631)</f>
        <v>125.72380352970153</v>
      </c>
      <c r="AH633" s="41"/>
      <c r="AI633" s="73"/>
      <c r="AJ633" s="64">
        <f>(AJ627/(N_1*AJ$27))*SQRT('Valve Sizing'!$G$6/AJ631)</f>
        <v>236.32439436817663</v>
      </c>
      <c r="AK633" s="41"/>
      <c r="AL633" s="73"/>
      <c r="AM633" s="64">
        <f>(AM627/(N_1*AM$27))*SQRT('Valve Sizing'!$G$6/AM631)</f>
        <v>1300.1104078421351</v>
      </c>
      <c r="AN633" s="41"/>
      <c r="AO633" s="73"/>
      <c r="AP633" s="64" t="e">
        <f>(AP627/(N_1*AP$27))*SQRT('Valve Sizing'!$G$6/AP631)</f>
        <v>#NUM!</v>
      </c>
      <c r="AQ633" s="41"/>
      <c r="AR633" s="73"/>
      <c r="AS633" s="64" t="e">
        <f>(AS627/(N_1*AS$27))*SQRT('Valve Sizing'!$G$6/AS631)</f>
        <v>#NUM!</v>
      </c>
      <c r="AT633" s="41"/>
      <c r="AU633" s="73"/>
    </row>
    <row r="634" spans="15:47" ht="13" x14ac:dyDescent="0.3">
      <c r="O634" s="1" t="s">
        <v>72</v>
      </c>
      <c r="P634" s="17">
        <v>7</v>
      </c>
      <c r="Q634" s="65"/>
      <c r="R634" s="53">
        <f>(R627/(N_1*F_P_h))*SQRT('Valve Sizing'!$G$6/R632)</f>
        <v>0.34088058685515099</v>
      </c>
      <c r="S634" s="56"/>
      <c r="T634" s="72"/>
      <c r="U634" s="85">
        <f>(U627/(N_1*U$27))*SQRT('Valve Sizing'!$G$6/U632)</f>
        <v>7.0834137016530523</v>
      </c>
      <c r="V634" s="44"/>
      <c r="W634" s="72"/>
      <c r="X634" s="85">
        <f>(X627/(N_1*X$27))*SQRT('Valve Sizing'!$G$6/X632)</f>
        <v>17.294392672459317</v>
      </c>
      <c r="Y634" s="44"/>
      <c r="Z634" s="72"/>
      <c r="AA634" s="85">
        <f>(AA627/(N_1*AA$27))*SQRT('Valve Sizing'!$G$6/AA632)</f>
        <v>34.354707904541655</v>
      </c>
      <c r="AB634" s="44"/>
      <c r="AC634" s="72"/>
      <c r="AD634" s="85">
        <f>(AD627/(N_1*AD$27))*SQRT('Valve Sizing'!$G$6/AD632)</f>
        <v>60.812393774127841</v>
      </c>
      <c r="AE634" s="44"/>
      <c r="AF634" s="72"/>
      <c r="AG634" s="85">
        <f>(AG627/(N_1*AG$27))*SQRT('Valve Sizing'!$G$6/AG632)</f>
        <v>103.53560895285938</v>
      </c>
      <c r="AH634" s="44"/>
      <c r="AI634" s="72"/>
      <c r="AJ634" s="85">
        <f>(AJ627/(N_1*AJ$27))*SQRT('Valve Sizing'!$G$6/AJ632)</f>
        <v>165.55212868618722</v>
      </c>
      <c r="AK634" s="44"/>
      <c r="AL634" s="72"/>
      <c r="AM634" s="85">
        <f>(AM627/(N_1*AM$27))*SQRT('Valve Sizing'!$G$6/AM632)</f>
        <v>267.40000411514427</v>
      </c>
      <c r="AN634" s="44"/>
      <c r="AO634" s="72"/>
      <c r="AP634" s="85">
        <f>(AP627/(N_1*AP$27))*SQRT('Valve Sizing'!$G$6/AP632)</f>
        <v>466.63382315217586</v>
      </c>
      <c r="AQ634" s="44"/>
      <c r="AR634" s="72"/>
      <c r="AS634" s="85">
        <f>(AS627/(N_1*AS$27))*SQRT('Valve Sizing'!$G$6/AS632)</f>
        <v>1032.0028426247484</v>
      </c>
      <c r="AT634" s="44"/>
      <c r="AU634" s="72"/>
    </row>
    <row r="635" spans="15:47" x14ac:dyDescent="0.25">
      <c r="O635" s="1" t="s">
        <v>246</v>
      </c>
      <c r="P635" s="18"/>
      <c r="Q635" s="65"/>
      <c r="R635" s="53">
        <f>IF(R631&lt;R632,R633,R634)</f>
        <v>0.41042737460004547</v>
      </c>
      <c r="S635" s="49"/>
      <c r="T635" s="72"/>
      <c r="U635" s="64">
        <f>IF(U631&lt;U632,U633,U634)</f>
        <v>8.5339815897744913</v>
      </c>
      <c r="V635" s="44"/>
      <c r="W635" s="72"/>
      <c r="X635" s="64">
        <f>IF(X631&lt;X632,X633,X634)</f>
        <v>20.676433275746231</v>
      </c>
      <c r="Y635" s="44"/>
      <c r="Z635" s="72"/>
      <c r="AA635" s="64">
        <f>IF(AA631&lt;AA632,AA633,AA634)</f>
        <v>40.642568309430274</v>
      </c>
      <c r="AB635" s="44"/>
      <c r="AC635" s="72"/>
      <c r="AD635" s="64">
        <f>IF(AD631&lt;AD632,AD633,AD634)</f>
        <v>71.82905528163316</v>
      </c>
      <c r="AE635" s="44"/>
      <c r="AF635" s="72"/>
      <c r="AG635" s="64">
        <f>IF(AG631&lt;AG632,AG633,AG634)</f>
        <v>125.72380352970153</v>
      </c>
      <c r="AH635" s="44"/>
      <c r="AI635" s="72"/>
      <c r="AJ635" s="64">
        <f>IF(AJ631&lt;AJ632,AJ633,AJ634)</f>
        <v>236.32439436817663</v>
      </c>
      <c r="AK635" s="44"/>
      <c r="AL635" s="72"/>
      <c r="AM635" s="64">
        <f>IF(AM631&lt;AM632,AM633,AM634)</f>
        <v>1300.1104078421351</v>
      </c>
      <c r="AN635" s="44"/>
      <c r="AO635" s="72"/>
      <c r="AP635" s="64" t="e">
        <f>IF(AP631&lt;AP632,AP633,AP634)</f>
        <v>#NUM!</v>
      </c>
      <c r="AQ635" s="44"/>
      <c r="AR635" s="72"/>
      <c r="AS635" s="64" t="e">
        <f>IF(AS631&lt;AS632,AS633,AS634)</f>
        <v>#NUM!</v>
      </c>
      <c r="AT635" s="44"/>
      <c r="AU635" s="72"/>
    </row>
    <row r="636" spans="15:47" ht="13" x14ac:dyDescent="0.3">
      <c r="O636" s="7" t="s">
        <v>264</v>
      </c>
      <c r="Q636" s="61"/>
      <c r="R636" s="53"/>
      <c r="S636" s="69">
        <f>IFERROR(ABS(C_h-R635),Q_max*10)</f>
        <v>4.5895726253999545</v>
      </c>
      <c r="T636" s="76">
        <f>R627</f>
        <v>2.3307691553122303</v>
      </c>
      <c r="U636" s="61"/>
      <c r="V636" s="69">
        <f>IFERROR(ABS(U$23-U635),Q_max*10)</f>
        <v>3.4660184102255087</v>
      </c>
      <c r="W636" s="75">
        <f>U627</f>
        <v>48.358752440414449</v>
      </c>
      <c r="X636" s="61"/>
      <c r="Y636" s="69">
        <f>IFERROR(ABS(X$23-X635),Q_max*10)</f>
        <v>2.3235667242537694</v>
      </c>
      <c r="Z636" s="75">
        <f>X627</f>
        <v>116.0796209497459</v>
      </c>
      <c r="AA636" s="61"/>
      <c r="AB636" s="69">
        <f>IFERROR(ABS(AA$23-AA635),Q_max*10)</f>
        <v>1.6425683094302741</v>
      </c>
      <c r="AC636" s="75">
        <f>AA627</f>
        <v>221.63853820142606</v>
      </c>
      <c r="AD636" s="61"/>
      <c r="AE636" s="69">
        <f>IFERROR(ABS(AD$23-AD635),Q_max*10)</f>
        <v>10.82905528163316</v>
      </c>
      <c r="AF636" s="75">
        <f>AD627</f>
        <v>364.51379287302643</v>
      </c>
      <c r="AG636" s="61"/>
      <c r="AH636" s="69">
        <f>IFERROR(ABS(AG$23-AG635),Q_max*10)</f>
        <v>37.723803529701527</v>
      </c>
      <c r="AI636" s="75">
        <f>AG627</f>
        <v>542.71136660133789</v>
      </c>
      <c r="AJ636" s="61"/>
      <c r="AK636" s="69">
        <f>IFERROR(ABS(AJ$23-AJ635),Q_max*10)</f>
        <v>115.32439436817663</v>
      </c>
      <c r="AL636" s="75">
        <f>AJ627</f>
        <v>724.25042258658664</v>
      </c>
      <c r="AM636" s="61"/>
      <c r="AN636" s="69">
        <f>IFERROR(ABS(AM$23-AM635),Q_max*10)</f>
        <v>1135.1104078421351</v>
      </c>
      <c r="AO636" s="75">
        <f>AM627</f>
        <v>883.72315206825908</v>
      </c>
      <c r="AP636" s="61"/>
      <c r="AQ636" s="69">
        <f>IFERROR(ABS(AP$23-AP635),Q_max*10)</f>
        <v>5500</v>
      </c>
      <c r="AR636" s="75">
        <f>AP627</f>
        <v>1025.9751446929693</v>
      </c>
      <c r="AS636" s="61"/>
      <c r="AT636" s="69">
        <f>IFERROR(ABS(AS$23-AS635),Q_max*10)</f>
        <v>5500</v>
      </c>
      <c r="AU636" s="75">
        <f>AS627</f>
        <v>1167.6554180666403</v>
      </c>
    </row>
    <row r="637" spans="15:47" ht="14.5" x14ac:dyDescent="0.35">
      <c r="O637" s="6"/>
      <c r="P637" s="6"/>
      <c r="Q637" s="60"/>
      <c r="R637" s="67"/>
      <c r="S637" s="56"/>
      <c r="T637" s="72"/>
      <c r="V637" s="11"/>
      <c r="W637" s="38"/>
      <c r="Y637" s="11"/>
      <c r="Z637" s="38"/>
      <c r="AB637" s="11"/>
      <c r="AC637" s="38"/>
      <c r="AE637" s="11"/>
      <c r="AF637" s="38"/>
      <c r="AH637" s="11"/>
      <c r="AI637" s="38"/>
      <c r="AK637" s="11"/>
      <c r="AL637" s="38"/>
      <c r="AN637" s="11"/>
      <c r="AO637" s="38"/>
      <c r="AQ637" s="11"/>
      <c r="AR637" s="38"/>
      <c r="AT637" s="11"/>
      <c r="AU637" s="38"/>
    </row>
    <row r="638" spans="15:47" ht="14" x14ac:dyDescent="0.3">
      <c r="O638" s="8" t="s">
        <v>235</v>
      </c>
      <c r="P638" s="6"/>
      <c r="Q638" s="60"/>
      <c r="R638" s="53">
        <f>R627*1.02</f>
        <v>2.3773845384184749</v>
      </c>
      <c r="S638" s="58" t="s">
        <v>238</v>
      </c>
      <c r="T638" s="73" t="s">
        <v>241</v>
      </c>
      <c r="U638" s="84">
        <f>U627*1.01</f>
        <v>48.842339964818592</v>
      </c>
      <c r="V638" s="58" t="s">
        <v>238</v>
      </c>
      <c r="W638" s="73" t="s">
        <v>241</v>
      </c>
      <c r="X638" s="84">
        <f>X627*1.01</f>
        <v>117.24041715924336</v>
      </c>
      <c r="Y638" s="58" t="s">
        <v>238</v>
      </c>
      <c r="Z638" s="73" t="s">
        <v>241</v>
      </c>
      <c r="AA638" s="84">
        <f>AA627*1.01</f>
        <v>223.85492358344032</v>
      </c>
      <c r="AB638" s="58" t="s">
        <v>238</v>
      </c>
      <c r="AC638" s="73" t="s">
        <v>241</v>
      </c>
      <c r="AD638" s="84">
        <f>AD627*1.01</f>
        <v>368.1589308017567</v>
      </c>
      <c r="AE638" s="58" t="s">
        <v>238</v>
      </c>
      <c r="AF638" s="73" t="s">
        <v>241</v>
      </c>
      <c r="AG638" s="84">
        <f>AG627*1.01</f>
        <v>548.13848026735127</v>
      </c>
      <c r="AH638" s="58" t="s">
        <v>238</v>
      </c>
      <c r="AI638" s="73" t="s">
        <v>241</v>
      </c>
      <c r="AJ638" s="84">
        <f>AJ627*1.01</f>
        <v>731.49292681245254</v>
      </c>
      <c r="AK638" s="58" t="s">
        <v>238</v>
      </c>
      <c r="AL638" s="73" t="s">
        <v>241</v>
      </c>
      <c r="AM638" s="84">
        <f>AM627*1.01</f>
        <v>892.5603835889417</v>
      </c>
      <c r="AN638" s="58" t="s">
        <v>238</v>
      </c>
      <c r="AO638" s="73" t="s">
        <v>241</v>
      </c>
      <c r="AP638" s="84">
        <f>AP627*1.01</f>
        <v>1036.2348961398989</v>
      </c>
      <c r="AQ638" s="58" t="s">
        <v>238</v>
      </c>
      <c r="AR638" s="73" t="s">
        <v>241</v>
      </c>
      <c r="AS638" s="84">
        <f>AS627*1.01</f>
        <v>1179.3319722473068</v>
      </c>
      <c r="AT638" s="58" t="s">
        <v>238</v>
      </c>
      <c r="AU638" s="73" t="s">
        <v>241</v>
      </c>
    </row>
    <row r="639" spans="15:47" ht="13" x14ac:dyDescent="0.25">
      <c r="O639" s="6"/>
      <c r="P639" s="6"/>
      <c r="Q639" s="60"/>
      <c r="R639" s="70"/>
      <c r="S639" s="63" t="s">
        <v>250</v>
      </c>
      <c r="T639" s="71" t="s">
        <v>242</v>
      </c>
      <c r="U639" s="61"/>
      <c r="V639" s="63" t="s">
        <v>250</v>
      </c>
      <c r="W639" s="71" t="s">
        <v>242</v>
      </c>
      <c r="X639" s="61"/>
      <c r="Y639" s="63" t="s">
        <v>250</v>
      </c>
      <c r="Z639" s="71" t="s">
        <v>242</v>
      </c>
      <c r="AA639" s="61"/>
      <c r="AB639" s="63" t="s">
        <v>250</v>
      </c>
      <c r="AC639" s="71" t="s">
        <v>242</v>
      </c>
      <c r="AD639" s="61"/>
      <c r="AE639" s="63" t="s">
        <v>250</v>
      </c>
      <c r="AF639" s="71" t="s">
        <v>242</v>
      </c>
      <c r="AG639" s="61"/>
      <c r="AH639" s="63" t="s">
        <v>250</v>
      </c>
      <c r="AI639" s="71" t="s">
        <v>242</v>
      </c>
      <c r="AJ639" s="61"/>
      <c r="AK639" s="63" t="s">
        <v>250</v>
      </c>
      <c r="AL639" s="71" t="s">
        <v>242</v>
      </c>
      <c r="AM639" s="61"/>
      <c r="AN639" s="63" t="s">
        <v>250</v>
      </c>
      <c r="AO639" s="71" t="s">
        <v>242</v>
      </c>
      <c r="AP639" s="61"/>
      <c r="AQ639" s="63" t="s">
        <v>250</v>
      </c>
      <c r="AR639" s="71" t="s">
        <v>242</v>
      </c>
      <c r="AS639" s="61"/>
      <c r="AT639" s="63" t="s">
        <v>250</v>
      </c>
      <c r="AU639" s="71" t="s">
        <v>242</v>
      </c>
    </row>
    <row r="640" spans="15:47" ht="13" x14ac:dyDescent="0.3">
      <c r="O640" s="6" t="s">
        <v>231</v>
      </c>
      <c r="P640" s="6"/>
      <c r="Q640" s="60"/>
      <c r="R640" s="85">
        <f>P_1_minQ-(R638^2*R_up)+dpup_minQ</f>
        <v>56.915952314851623</v>
      </c>
      <c r="S640" s="56"/>
      <c r="T640" s="72"/>
      <c r="U640" s="53">
        <f>P_1_minQ-(U638^2*R_up)+dpup_minQ</f>
        <v>56.835576691211116</v>
      </c>
      <c r="V640" s="44"/>
      <c r="W640" s="72"/>
      <c r="X640" s="53">
        <f>P_1_minQ-(X638^2*R_up)+dpup_minQ</f>
        <v>56.451931259180228</v>
      </c>
      <c r="Y640" s="44"/>
      <c r="Z640" s="72"/>
      <c r="AA640" s="53">
        <f>P_1_minQ-(AA638^2*R_up)+dpup_minQ</f>
        <v>55.223774845911926</v>
      </c>
      <c r="AB640" s="44"/>
      <c r="AC640" s="72"/>
      <c r="AD640" s="53">
        <f>P_1_minQ-(AD638^2*R_up)+dpup_minQ</f>
        <v>52.338601880138718</v>
      </c>
      <c r="AE640" s="44"/>
      <c r="AF640" s="72"/>
      <c r="AG640" s="53">
        <f>P_1_minQ-(AG638^2*R_up)+dpup_minQ</f>
        <v>46.769037705173879</v>
      </c>
      <c r="AH640" s="44"/>
      <c r="AI640" s="72"/>
      <c r="AJ640" s="53">
        <f>P_1_minQ-(AJ638^2*R_up)+dpup_minQ</f>
        <v>38.845156974783926</v>
      </c>
      <c r="AK640" s="44"/>
      <c r="AL640" s="72"/>
      <c r="AM640" s="53">
        <f>P_1_minQ-(AM638^2*R_up)+dpup_minQ</f>
        <v>30.010907181613014</v>
      </c>
      <c r="AN640" s="44"/>
      <c r="AO640" s="72"/>
      <c r="AP640" s="53">
        <f>P_1_minQ-(AP638^2*R_up)+dpup_minQ</f>
        <v>20.65195001762692</v>
      </c>
      <c r="AQ640" s="44"/>
      <c r="AR640" s="72"/>
      <c r="AS640" s="53">
        <f>P_1_minQ-(AS638^2*R_up)+dpup_minQ</f>
        <v>9.9447179748489596</v>
      </c>
      <c r="AT640" s="44"/>
      <c r="AU640" s="72"/>
    </row>
    <row r="641" spans="15:47" ht="13" x14ac:dyDescent="0.3">
      <c r="O641" s="6" t="s">
        <v>233</v>
      </c>
      <c r="P641" s="6"/>
      <c r="Q641" s="60"/>
      <c r="R641" s="85">
        <f>P_2_minQ+(R638^2*R_dn)-dpdn_minQ</f>
        <v>24.656809537029677</v>
      </c>
      <c r="S641" s="66"/>
      <c r="T641" s="74"/>
      <c r="U641" s="53">
        <f>P_2_minQ+(U638^2*R_dn)-dpdn_minQ</f>
        <v>24.672884661757777</v>
      </c>
      <c r="V641" s="45"/>
      <c r="W641" s="74"/>
      <c r="X641" s="53">
        <f>P_2_minQ+(X638^2*R_dn)-dpdn_minQ</f>
        <v>24.749613748163956</v>
      </c>
      <c r="Y641" s="45"/>
      <c r="Z641" s="74"/>
      <c r="AA641" s="53">
        <f>P_2_minQ+(AA638^2*R_dn)-dpdn_minQ</f>
        <v>24.995245030817618</v>
      </c>
      <c r="AB641" s="45"/>
      <c r="AC641" s="74"/>
      <c r="AD641" s="53">
        <f>P_2_minQ+(AD638^2*R_dn)-dpdn_minQ</f>
        <v>25.572279623972257</v>
      </c>
      <c r="AE641" s="45"/>
      <c r="AF641" s="74"/>
      <c r="AG641" s="53">
        <f>P_2_minQ+(AG638^2*R_dn)-dpdn_minQ</f>
        <v>26.686192458965227</v>
      </c>
      <c r="AH641" s="45"/>
      <c r="AI641" s="74"/>
      <c r="AJ641" s="53">
        <f>P_2_minQ+(AJ638^2*R_dn)-dpdn_minQ</f>
        <v>28.270968605043215</v>
      </c>
      <c r="AK641" s="45"/>
      <c r="AL641" s="74"/>
      <c r="AM641" s="53">
        <f>P_2_minQ+(AM638^2*R_dn)-dpdn_minQ</f>
        <v>30.037818563677398</v>
      </c>
      <c r="AN641" s="45"/>
      <c r="AO641" s="74"/>
      <c r="AP641" s="53">
        <f>P_2_minQ+(AP638^2*R_dn)-dpdn_minQ</f>
        <v>31.909609996474618</v>
      </c>
      <c r="AQ641" s="45"/>
      <c r="AR641" s="74"/>
      <c r="AS641" s="53">
        <f>P_2_minQ+(AS638^2*R_dn)-dpdn_minQ</f>
        <v>34.051056405030209</v>
      </c>
      <c r="AT641" s="45"/>
      <c r="AU641" s="74"/>
    </row>
    <row r="642" spans="15:47" x14ac:dyDescent="0.25">
      <c r="O642" s="6" t="s">
        <v>243</v>
      </c>
      <c r="Q642" s="60"/>
      <c r="R642" s="53">
        <f>R640-R641</f>
        <v>32.25914277782195</v>
      </c>
      <c r="S642" s="56"/>
      <c r="T642" s="72"/>
      <c r="U642" s="64">
        <f>U640-U641</f>
        <v>32.162692029453339</v>
      </c>
      <c r="V642" s="44"/>
      <c r="W642" s="72"/>
      <c r="X642" s="64">
        <f>X640-X641</f>
        <v>31.702317511016272</v>
      </c>
      <c r="Y642" s="44"/>
      <c r="Z642" s="72"/>
      <c r="AA642" s="64">
        <f>AA640-AA641</f>
        <v>30.228529815094308</v>
      </c>
      <c r="AB642" s="44"/>
      <c r="AC642" s="72"/>
      <c r="AD642" s="64">
        <f>AD640-AD641</f>
        <v>26.766322256166461</v>
      </c>
      <c r="AE642" s="44"/>
      <c r="AF642" s="72"/>
      <c r="AG642" s="64">
        <f>AG640-AG641</f>
        <v>20.082845246208652</v>
      </c>
      <c r="AH642" s="44"/>
      <c r="AI642" s="72"/>
      <c r="AJ642" s="64">
        <f>AJ640-AJ641</f>
        <v>10.57418836974071</v>
      </c>
      <c r="AK642" s="44"/>
      <c r="AL642" s="72"/>
      <c r="AM642" s="64">
        <f>AM640-AM641</f>
        <v>-2.6911382064383815E-2</v>
      </c>
      <c r="AN642" s="44"/>
      <c r="AO642" s="72"/>
      <c r="AP642" s="64">
        <f>AP640-AP641</f>
        <v>-11.257659978847698</v>
      </c>
      <c r="AQ642" s="44"/>
      <c r="AR642" s="72"/>
      <c r="AS642" s="64">
        <f>AS640-AS641</f>
        <v>-24.10633843018125</v>
      </c>
      <c r="AT642" s="44"/>
      <c r="AU642" s="72"/>
    </row>
    <row r="643" spans="15:47" ht="13" x14ac:dyDescent="0.3">
      <c r="O643" s="6" t="s">
        <v>75</v>
      </c>
      <c r="P643" s="6">
        <v>3</v>
      </c>
      <c r="Q643" s="65"/>
      <c r="R643" s="85">
        <f>(F_LP_h/F_P_h)^2*(R640-('Valve Sizing'!$V$4*'Valve Sizing'!$G$7))</f>
        <v>46.765005183045574</v>
      </c>
      <c r="S643" s="58"/>
      <c r="T643" s="73"/>
      <c r="U643" s="53">
        <f>(U$29/U$27)^2*(U640-('Valve Sizing'!$V$4*'Valve Sizing'!$G$7))</f>
        <v>46.685721879474556</v>
      </c>
      <c r="V643" s="41"/>
      <c r="W643" s="73"/>
      <c r="X643" s="53">
        <f>(X$29/X$27)^2*(X640-('Valve Sizing'!$V$4*'Valve Sizing'!$G$7))</f>
        <v>45.32220719161743</v>
      </c>
      <c r="Y643" s="41"/>
      <c r="Z643" s="73"/>
      <c r="AA643" s="53">
        <f>(AA$29/AA$27)^2*(AA640-('Valve Sizing'!$V$4*'Valve Sizing'!$G$7))</f>
        <v>42.336704409755825</v>
      </c>
      <c r="AB643" s="41"/>
      <c r="AC643" s="73"/>
      <c r="AD643" s="53">
        <f>(AD$29/AD$27)^2*(AD640-('Valve Sizing'!$V$4*'Valve Sizing'!$G$7))</f>
        <v>37.428576535853018</v>
      </c>
      <c r="AE643" s="41"/>
      <c r="AF643" s="73"/>
      <c r="AG643" s="53">
        <f>(AG$29/AG$27)^2*(AG640-('Valve Sizing'!$V$4*'Valve Sizing'!$G$7))</f>
        <v>29.837899356806261</v>
      </c>
      <c r="AH643" s="41"/>
      <c r="AI643" s="73"/>
      <c r="AJ643" s="53">
        <f>(AJ$29/AJ$27)^2*(AJ640-('Valve Sizing'!$V$4*'Valve Sizing'!$G$7))</f>
        <v>22.212139733150384</v>
      </c>
      <c r="AK643" s="41"/>
      <c r="AL643" s="73"/>
      <c r="AM643" s="53">
        <f>(AM$29/AM$27)^2*(AM640-('Valve Sizing'!$V$4*'Valve Sizing'!$G$7))</f>
        <v>14.148827923079644</v>
      </c>
      <c r="AN643" s="41"/>
      <c r="AO643" s="73"/>
      <c r="AP643" s="53">
        <f>(AP$29/AP$27)^2*(AP640-('Valve Sizing'!$V$4*'Valve Sizing'!$G$7))</f>
        <v>7.9761549524639959</v>
      </c>
      <c r="AQ643" s="41"/>
      <c r="AR643" s="73"/>
      <c r="AS643" s="53">
        <f>(AS$29/AS$27)^2*(AS640-('Valve Sizing'!$V$4*'Valve Sizing'!$G$7))</f>
        <v>3.5750904751441808</v>
      </c>
      <c r="AT643" s="41"/>
      <c r="AU643" s="73"/>
    </row>
    <row r="644" spans="15:47" ht="13" x14ac:dyDescent="0.25">
      <c r="O644" s="1" t="s">
        <v>69</v>
      </c>
      <c r="P644" s="17">
        <v>7</v>
      </c>
      <c r="Q644" s="65"/>
      <c r="R644" s="53">
        <f>(R638/(N_1*F_P_h))*SQRT('Valve Sizing'!$G$6/R642)</f>
        <v>0.41863597980540795</v>
      </c>
      <c r="S644" s="58"/>
      <c r="T644" s="73"/>
      <c r="U644" s="64">
        <f>(U638/(N_1*U$27))*SQRT('Valve Sizing'!$G$6/U642)</f>
        <v>8.6195766601267501</v>
      </c>
      <c r="V644" s="41"/>
      <c r="W644" s="73"/>
      <c r="X644" s="64">
        <f>(X638/(N_1*X$27))*SQRT('Valve Sizing'!$G$6/X642)</f>
        <v>20.886812450037265</v>
      </c>
      <c r="Y644" s="41"/>
      <c r="Z644" s="73"/>
      <c r="AA644" s="64">
        <f>(AA638/(N_1*AA$27))*SQRT('Valve Sizing'!$G$6/AA642)</f>
        <v>41.076154713384561</v>
      </c>
      <c r="AB644" s="41"/>
      <c r="AC644" s="73"/>
      <c r="AD644" s="64">
        <f>(AD638/(N_1*AD$27))*SQRT('Valve Sizing'!$G$6/AD642)</f>
        <v>72.693877432090858</v>
      </c>
      <c r="AE644" s="41"/>
      <c r="AF644" s="73"/>
      <c r="AG644" s="64">
        <f>(AG638/(N_1*AG$27))*SQRT('Valve Sizing'!$G$6/AG642)</f>
        <v>127.73729793323761</v>
      </c>
      <c r="AH644" s="41"/>
      <c r="AI644" s="73"/>
      <c r="AJ644" s="64">
        <f>(AJ638/(N_1*AJ$27))*SQRT('Valve Sizing'!$G$6/AJ642)</f>
        <v>243.46234901420024</v>
      </c>
      <c r="AK644" s="41"/>
      <c r="AL644" s="73"/>
      <c r="AM644" s="64" t="e">
        <f>(AM638/(N_1*AM$27))*SQRT('Valve Sizing'!$G$6/AM642)</f>
        <v>#NUM!</v>
      </c>
      <c r="AN644" s="41"/>
      <c r="AO644" s="73"/>
      <c r="AP644" s="64" t="e">
        <f>(AP638/(N_1*AP$27))*SQRT('Valve Sizing'!$G$6/AP642)</f>
        <v>#NUM!</v>
      </c>
      <c r="AQ644" s="41"/>
      <c r="AR644" s="73"/>
      <c r="AS644" s="64" t="e">
        <f>(AS638/(N_1*AS$27))*SQRT('Valve Sizing'!$G$6/AS642)</f>
        <v>#NUM!</v>
      </c>
      <c r="AT644" s="41"/>
      <c r="AU644" s="73"/>
    </row>
    <row r="645" spans="15:47" ht="13" x14ac:dyDescent="0.3">
      <c r="O645" s="1" t="s">
        <v>72</v>
      </c>
      <c r="P645" s="17">
        <v>7</v>
      </c>
      <c r="Q645" s="65"/>
      <c r="R645" s="53">
        <f>(R638/(N_1*F_P_h))*SQRT('Valve Sizing'!$G$6/R643)</f>
        <v>0.34769822140884687</v>
      </c>
      <c r="S645" s="56"/>
      <c r="T645" s="72"/>
      <c r="U645" s="85">
        <f>(U638/(N_1*U$27))*SQRT('Valve Sizing'!$G$6/U643)</f>
        <v>7.1543485304819798</v>
      </c>
      <c r="V645" s="44"/>
      <c r="W645" s="72"/>
      <c r="X645" s="85">
        <f>(X638/(N_1*X$27))*SQRT('Valve Sizing'!$G$6/X643)</f>
        <v>17.468762759924676</v>
      </c>
      <c r="Y645" s="44"/>
      <c r="Z645" s="72"/>
      <c r="AA645" s="85">
        <f>(AA638/(N_1*AA$27))*SQRT('Valve Sizing'!$G$6/AA643)</f>
        <v>34.708813630656948</v>
      </c>
      <c r="AB645" s="44"/>
      <c r="AC645" s="72"/>
      <c r="AD645" s="85">
        <f>(AD638/(N_1*AD$27))*SQRT('Valve Sizing'!$G$6/AD643)</f>
        <v>61.473866592841702</v>
      </c>
      <c r="AE645" s="44"/>
      <c r="AF645" s="72"/>
      <c r="AG645" s="85">
        <f>(AG638/(N_1*AG$27))*SQRT('Valve Sizing'!$G$6/AG643)</f>
        <v>104.79636615785566</v>
      </c>
      <c r="AH645" s="44"/>
      <c r="AI645" s="72"/>
      <c r="AJ645" s="85">
        <f>(AJ638/(N_1*AJ$27))*SQRT('Valve Sizing'!$G$6/AJ643)</f>
        <v>167.98098782872611</v>
      </c>
      <c r="AK645" s="44"/>
      <c r="AL645" s="72"/>
      <c r="AM645" s="85">
        <f>(AM638/(N_1*AM$27))*SQRT('Valve Sizing'!$G$6/AM643)</f>
        <v>272.48416250345571</v>
      </c>
      <c r="AN645" s="44"/>
      <c r="AO645" s="72"/>
      <c r="AP645" s="85">
        <f>(AP638/(N_1*AP$27))*SQRT('Valve Sizing'!$G$6/AP643)</f>
        <v>479.55870504891271</v>
      </c>
      <c r="AQ645" s="44"/>
      <c r="AR645" s="72"/>
      <c r="AS645" s="85">
        <f>(AS638/(N_1*AS$27))*SQRT('Valve Sizing'!$G$6/AS643)</f>
        <v>1091.8926194661012</v>
      </c>
      <c r="AT645" s="44"/>
      <c r="AU645" s="72"/>
    </row>
    <row r="646" spans="15:47" x14ac:dyDescent="0.25">
      <c r="O646" s="1" t="s">
        <v>246</v>
      </c>
      <c r="P646" s="18"/>
      <c r="Q646" s="65"/>
      <c r="R646" s="53">
        <f>IF(R642&lt;R643,R644,R645)</f>
        <v>0.41863597980540795</v>
      </c>
      <c r="S646" s="49"/>
      <c r="T646" s="72"/>
      <c r="U646" s="64">
        <f>IF(U642&lt;U643,U644,U645)</f>
        <v>8.6195766601267501</v>
      </c>
      <c r="V646" s="44"/>
      <c r="W646" s="72"/>
      <c r="X646" s="64">
        <f>IF(X642&lt;X643,X644,X645)</f>
        <v>20.886812450037265</v>
      </c>
      <c r="Y646" s="44"/>
      <c r="Z646" s="72"/>
      <c r="AA646" s="64">
        <f>IF(AA642&lt;AA643,AA644,AA645)</f>
        <v>41.076154713384561</v>
      </c>
      <c r="AB646" s="44"/>
      <c r="AC646" s="72"/>
      <c r="AD646" s="64">
        <f>IF(AD642&lt;AD643,AD644,AD645)</f>
        <v>72.693877432090858</v>
      </c>
      <c r="AE646" s="44"/>
      <c r="AF646" s="72"/>
      <c r="AG646" s="64">
        <f>IF(AG642&lt;AG643,AG644,AG645)</f>
        <v>127.73729793323761</v>
      </c>
      <c r="AH646" s="44"/>
      <c r="AI646" s="72"/>
      <c r="AJ646" s="64">
        <f>IF(AJ642&lt;AJ643,AJ644,AJ645)</f>
        <v>243.46234901420024</v>
      </c>
      <c r="AK646" s="44"/>
      <c r="AL646" s="72"/>
      <c r="AM646" s="64" t="e">
        <f>IF(AM642&lt;AM643,AM644,AM645)</f>
        <v>#NUM!</v>
      </c>
      <c r="AN646" s="44"/>
      <c r="AO646" s="72"/>
      <c r="AP646" s="64" t="e">
        <f>IF(AP642&lt;AP643,AP644,AP645)</f>
        <v>#NUM!</v>
      </c>
      <c r="AQ646" s="44"/>
      <c r="AR646" s="72"/>
      <c r="AS646" s="64" t="e">
        <f>IF(AS642&lt;AS643,AS644,AS645)</f>
        <v>#NUM!</v>
      </c>
      <c r="AT646" s="44"/>
      <c r="AU646" s="72"/>
    </row>
    <row r="647" spans="15:47" ht="13" x14ac:dyDescent="0.3">
      <c r="O647" s="7" t="s">
        <v>264</v>
      </c>
      <c r="Q647" s="61"/>
      <c r="R647" s="53"/>
      <c r="S647" s="69">
        <f>IFERROR(ABS(C_h-R646),Q_max*10)</f>
        <v>4.5813640201945924</v>
      </c>
      <c r="T647" s="76">
        <f>R638</f>
        <v>2.3773845384184749</v>
      </c>
      <c r="U647" s="61"/>
      <c r="V647" s="69">
        <f>IFERROR(ABS(U$23-U646),Q_max*10)</f>
        <v>3.3804233398732499</v>
      </c>
      <c r="W647" s="75">
        <f>U638</f>
        <v>48.842339964818592</v>
      </c>
      <c r="X647" s="61"/>
      <c r="Y647" s="69">
        <f>IFERROR(ABS(X$23-X646),Q_max*10)</f>
        <v>2.1131875499627348</v>
      </c>
      <c r="Z647" s="75">
        <f>X638</f>
        <v>117.24041715924336</v>
      </c>
      <c r="AA647" s="61"/>
      <c r="AB647" s="69">
        <f>IFERROR(ABS(AA$23-AA646),Q_max*10)</f>
        <v>2.076154713384561</v>
      </c>
      <c r="AC647" s="75">
        <f>AA638</f>
        <v>223.85492358344032</v>
      </c>
      <c r="AD647" s="61"/>
      <c r="AE647" s="69">
        <f>IFERROR(ABS(AD$23-AD646),Q_max*10)</f>
        <v>11.693877432090858</v>
      </c>
      <c r="AF647" s="75">
        <f>AD638</f>
        <v>368.1589308017567</v>
      </c>
      <c r="AG647" s="61"/>
      <c r="AH647" s="69">
        <f>IFERROR(ABS(AG$23-AG646),Q_max*10)</f>
        <v>39.737297933237613</v>
      </c>
      <c r="AI647" s="75">
        <f>AG638</f>
        <v>548.13848026735127</v>
      </c>
      <c r="AJ647" s="61"/>
      <c r="AK647" s="69">
        <f>IFERROR(ABS(AJ$23-AJ646),Q_max*10)</f>
        <v>122.46234901420024</v>
      </c>
      <c r="AL647" s="75">
        <f>AJ638</f>
        <v>731.49292681245254</v>
      </c>
      <c r="AM647" s="61"/>
      <c r="AN647" s="69">
        <f>IFERROR(ABS(AM$23-AM646),Q_max*10)</f>
        <v>5500</v>
      </c>
      <c r="AO647" s="75">
        <f>AM638</f>
        <v>892.5603835889417</v>
      </c>
      <c r="AP647" s="61"/>
      <c r="AQ647" s="69">
        <f>IFERROR(ABS(AP$23-AP646),Q_max*10)</f>
        <v>5500</v>
      </c>
      <c r="AR647" s="75">
        <f>AP638</f>
        <v>1036.2348961398989</v>
      </c>
      <c r="AS647" s="61"/>
      <c r="AT647" s="69">
        <f>IFERROR(ABS(AS$23-AS646),Q_max*10)</f>
        <v>5500</v>
      </c>
      <c r="AU647" s="75">
        <f>AS638</f>
        <v>1179.3319722473068</v>
      </c>
    </row>
    <row r="648" spans="15:47" ht="14.5" x14ac:dyDescent="0.35">
      <c r="O648" s="8"/>
      <c r="P648" s="6"/>
      <c r="Q648" s="60"/>
      <c r="R648" s="67"/>
      <c r="S648" s="56"/>
      <c r="T648" s="72"/>
      <c r="V648" s="11"/>
      <c r="W648" s="38"/>
      <c r="Y648" s="11"/>
      <c r="Z648" s="38"/>
      <c r="AB648" s="11"/>
      <c r="AC648" s="38"/>
      <c r="AE648" s="11"/>
      <c r="AF648" s="38"/>
      <c r="AH648" s="11"/>
      <c r="AI648" s="38"/>
      <c r="AK648" s="11"/>
      <c r="AL648" s="38"/>
      <c r="AN648" s="11"/>
      <c r="AO648" s="38"/>
      <c r="AQ648" s="11"/>
      <c r="AR648" s="38"/>
      <c r="AT648" s="11"/>
      <c r="AU648" s="38"/>
    </row>
    <row r="649" spans="15:47" ht="14" x14ac:dyDescent="0.3">
      <c r="O649" s="8" t="s">
        <v>235</v>
      </c>
      <c r="P649" s="6"/>
      <c r="Q649" s="60"/>
      <c r="R649" s="53">
        <f>R638*1.02</f>
        <v>2.4249322291868443</v>
      </c>
      <c r="S649" s="58" t="s">
        <v>238</v>
      </c>
      <c r="T649" s="73" t="s">
        <v>241</v>
      </c>
      <c r="U649" s="84">
        <f>U638*1.01</f>
        <v>49.330763364466776</v>
      </c>
      <c r="V649" s="58" t="s">
        <v>238</v>
      </c>
      <c r="W649" s="73" t="s">
        <v>241</v>
      </c>
      <c r="X649" s="84">
        <f>X638*1.01</f>
        <v>118.4128213308358</v>
      </c>
      <c r="Y649" s="58" t="s">
        <v>238</v>
      </c>
      <c r="Z649" s="73" t="s">
        <v>241</v>
      </c>
      <c r="AA649" s="84">
        <f>AA638*1.01</f>
        <v>226.09347281927472</v>
      </c>
      <c r="AB649" s="58" t="s">
        <v>238</v>
      </c>
      <c r="AC649" s="73" t="s">
        <v>241</v>
      </c>
      <c r="AD649" s="84">
        <f>AD638*1.01</f>
        <v>371.84052010977427</v>
      </c>
      <c r="AE649" s="58" t="s">
        <v>238</v>
      </c>
      <c r="AF649" s="73" t="s">
        <v>241</v>
      </c>
      <c r="AG649" s="84">
        <f>AG638*1.01</f>
        <v>553.61986507002484</v>
      </c>
      <c r="AH649" s="58" t="s">
        <v>238</v>
      </c>
      <c r="AI649" s="73" t="s">
        <v>241</v>
      </c>
      <c r="AJ649" s="84">
        <f>AJ638*1.01</f>
        <v>738.80785608057704</v>
      </c>
      <c r="AK649" s="58" t="s">
        <v>238</v>
      </c>
      <c r="AL649" s="73" t="s">
        <v>241</v>
      </c>
      <c r="AM649" s="84">
        <f>AM638*1.01</f>
        <v>901.48598742483114</v>
      </c>
      <c r="AN649" s="58" t="s">
        <v>238</v>
      </c>
      <c r="AO649" s="73" t="s">
        <v>241</v>
      </c>
      <c r="AP649" s="84">
        <f>AP638*1.01</f>
        <v>1046.5972451012979</v>
      </c>
      <c r="AQ649" s="58" t="s">
        <v>238</v>
      </c>
      <c r="AR649" s="73" t="s">
        <v>241</v>
      </c>
      <c r="AS649" s="84">
        <f>AS638*1.01</f>
        <v>1191.1252919697799</v>
      </c>
      <c r="AT649" s="58" t="s">
        <v>238</v>
      </c>
      <c r="AU649" s="73" t="s">
        <v>241</v>
      </c>
    </row>
    <row r="650" spans="15:47" ht="13" x14ac:dyDescent="0.25">
      <c r="O650" s="6"/>
      <c r="P650" s="6"/>
      <c r="Q650" s="60"/>
      <c r="R650" s="70"/>
      <c r="S650" s="63" t="s">
        <v>250</v>
      </c>
      <c r="T650" s="71" t="s">
        <v>242</v>
      </c>
      <c r="U650" s="61"/>
      <c r="V650" s="63" t="s">
        <v>250</v>
      </c>
      <c r="W650" s="71" t="s">
        <v>242</v>
      </c>
      <c r="X650" s="61"/>
      <c r="Y650" s="63" t="s">
        <v>250</v>
      </c>
      <c r="Z650" s="71" t="s">
        <v>242</v>
      </c>
      <c r="AA650" s="61"/>
      <c r="AB650" s="63" t="s">
        <v>250</v>
      </c>
      <c r="AC650" s="71" t="s">
        <v>242</v>
      </c>
      <c r="AD650" s="61"/>
      <c r="AE650" s="63" t="s">
        <v>250</v>
      </c>
      <c r="AF650" s="71" t="s">
        <v>242</v>
      </c>
      <c r="AG650" s="61"/>
      <c r="AH650" s="63" t="s">
        <v>250</v>
      </c>
      <c r="AI650" s="71" t="s">
        <v>242</v>
      </c>
      <c r="AJ650" s="61"/>
      <c r="AK650" s="63" t="s">
        <v>250</v>
      </c>
      <c r="AL650" s="71" t="s">
        <v>242</v>
      </c>
      <c r="AM650" s="61"/>
      <c r="AN650" s="63" t="s">
        <v>250</v>
      </c>
      <c r="AO650" s="71" t="s">
        <v>242</v>
      </c>
      <c r="AP650" s="61"/>
      <c r="AQ650" s="63" t="s">
        <v>250</v>
      </c>
      <c r="AR650" s="71" t="s">
        <v>242</v>
      </c>
      <c r="AS650" s="61"/>
      <c r="AT650" s="63" t="s">
        <v>250</v>
      </c>
      <c r="AU650" s="71" t="s">
        <v>242</v>
      </c>
    </row>
    <row r="651" spans="15:47" ht="13" x14ac:dyDescent="0.3">
      <c r="O651" s="6" t="s">
        <v>231</v>
      </c>
      <c r="P651" s="6"/>
      <c r="Q651" s="60"/>
      <c r="R651" s="85">
        <f>P_1_minQ-(R649^2*R_up)+dpup_minQ</f>
        <v>56.915944603299018</v>
      </c>
      <c r="S651" s="56"/>
      <c r="T651" s="72"/>
      <c r="U651" s="53">
        <f>P_1_minQ-(U649^2*R_up)+dpup_minQ</f>
        <v>56.83395730448764</v>
      </c>
      <c r="V651" s="44"/>
      <c r="W651" s="72"/>
      <c r="X651" s="53">
        <f>P_1_minQ-(X649^2*R_up)+dpup_minQ</f>
        <v>56.442600599272936</v>
      </c>
      <c r="Y651" s="44"/>
      <c r="Z651" s="72"/>
      <c r="AA651" s="53">
        <f>P_1_minQ-(AA649^2*R_up)+dpup_minQ</f>
        <v>55.189758242097938</v>
      </c>
      <c r="AB651" s="44"/>
      <c r="AC651" s="72"/>
      <c r="AD651" s="53">
        <f>P_1_minQ-(AD649^2*R_up)+dpup_minQ</f>
        <v>52.246593299712686</v>
      </c>
      <c r="AE651" s="44"/>
      <c r="AF651" s="72"/>
      <c r="AG651" s="53">
        <f>P_1_minQ-(AG649^2*R_up)+dpup_minQ</f>
        <v>46.565080884831055</v>
      </c>
      <c r="AH651" s="44"/>
      <c r="AI651" s="72"/>
      <c r="AJ651" s="53">
        <f>P_1_minQ-(AJ649^2*R_up)+dpup_minQ</f>
        <v>38.48193015176026</v>
      </c>
      <c r="AK651" s="44"/>
      <c r="AL651" s="72"/>
      <c r="AM651" s="53">
        <f>P_1_minQ-(AM649^2*R_up)+dpup_minQ</f>
        <v>29.470111937746612</v>
      </c>
      <c r="AN651" s="44"/>
      <c r="AO651" s="72"/>
      <c r="AP651" s="53">
        <f>P_1_minQ-(AP649^2*R_up)+dpup_minQ</f>
        <v>19.923039734764405</v>
      </c>
      <c r="AQ651" s="44"/>
      <c r="AR651" s="72"/>
      <c r="AS651" s="53">
        <f>P_1_minQ-(AS649^2*R_up)+dpup_minQ</f>
        <v>9.0005923279266007</v>
      </c>
      <c r="AT651" s="44"/>
      <c r="AU651" s="72"/>
    </row>
    <row r="652" spans="15:47" ht="13" x14ac:dyDescent="0.3">
      <c r="O652" s="6" t="s">
        <v>233</v>
      </c>
      <c r="P652" s="6"/>
      <c r="Q652" s="60"/>
      <c r="R652" s="85">
        <f>P_2_minQ+(R649^2*R_dn)-dpdn_minQ</f>
        <v>24.656811079340198</v>
      </c>
      <c r="S652" s="66"/>
      <c r="T652" s="74"/>
      <c r="U652" s="53">
        <f>P_2_minQ+(U649^2*R_dn)-dpdn_minQ</f>
        <v>24.673208539102472</v>
      </c>
      <c r="V652" s="45"/>
      <c r="W652" s="74"/>
      <c r="X652" s="53">
        <f>P_2_minQ+(X649^2*R_dn)-dpdn_minQ</f>
        <v>24.751479880145414</v>
      </c>
      <c r="Y652" s="45"/>
      <c r="Z652" s="74"/>
      <c r="AA652" s="53">
        <f>P_2_minQ+(AA649^2*R_dn)-dpdn_minQ</f>
        <v>25.002048351580413</v>
      </c>
      <c r="AB652" s="45"/>
      <c r="AC652" s="74"/>
      <c r="AD652" s="53">
        <f>P_2_minQ+(AD649^2*R_dn)-dpdn_minQ</f>
        <v>25.590681340057465</v>
      </c>
      <c r="AE652" s="45"/>
      <c r="AF652" s="74"/>
      <c r="AG652" s="53">
        <f>P_2_minQ+(AG649^2*R_dn)-dpdn_minQ</f>
        <v>26.726983823033791</v>
      </c>
      <c r="AH652" s="45"/>
      <c r="AI652" s="74"/>
      <c r="AJ652" s="53">
        <f>P_2_minQ+(AJ649^2*R_dn)-dpdn_minQ</f>
        <v>28.343613969647947</v>
      </c>
      <c r="AK652" s="45"/>
      <c r="AL652" s="74"/>
      <c r="AM652" s="53">
        <f>P_2_minQ+(AM649^2*R_dn)-dpdn_minQ</f>
        <v>30.145977612450679</v>
      </c>
      <c r="AN652" s="45"/>
      <c r="AO652" s="74"/>
      <c r="AP652" s="53">
        <f>P_2_minQ+(AP649^2*R_dn)-dpdn_minQ</f>
        <v>32.055392053047122</v>
      </c>
      <c r="AQ652" s="45"/>
      <c r="AR652" s="74"/>
      <c r="AS652" s="53">
        <f>P_2_minQ+(AS649^2*R_dn)-dpdn_minQ</f>
        <v>34.239881534414685</v>
      </c>
      <c r="AT652" s="45"/>
      <c r="AU652" s="74"/>
    </row>
    <row r="653" spans="15:47" x14ac:dyDescent="0.25">
      <c r="O653" s="6" t="s">
        <v>243</v>
      </c>
      <c r="Q653" s="60"/>
      <c r="R653" s="53">
        <f>R651-R652</f>
        <v>32.259133523958823</v>
      </c>
      <c r="S653" s="56"/>
      <c r="T653" s="72"/>
      <c r="U653" s="64">
        <f>U651-U652</f>
        <v>32.160748765385165</v>
      </c>
      <c r="V653" s="44"/>
      <c r="W653" s="72"/>
      <c r="X653" s="64">
        <f>X651-X652</f>
        <v>31.691120719127522</v>
      </c>
      <c r="Y653" s="44"/>
      <c r="Z653" s="72"/>
      <c r="AA653" s="64">
        <f>AA651-AA652</f>
        <v>30.187709890517525</v>
      </c>
      <c r="AB653" s="44"/>
      <c r="AC653" s="72"/>
      <c r="AD653" s="64">
        <f>AD651-AD652</f>
        <v>26.655911959655221</v>
      </c>
      <c r="AE653" s="44"/>
      <c r="AF653" s="72"/>
      <c r="AG653" s="64">
        <f>AG651-AG652</f>
        <v>19.838097061797264</v>
      </c>
      <c r="AH653" s="44"/>
      <c r="AI653" s="72"/>
      <c r="AJ653" s="64">
        <f>AJ651-AJ652</f>
        <v>10.138316182112312</v>
      </c>
      <c r="AK653" s="44"/>
      <c r="AL653" s="72"/>
      <c r="AM653" s="64">
        <f>AM651-AM652</f>
        <v>-0.67586567470406678</v>
      </c>
      <c r="AN653" s="44"/>
      <c r="AO653" s="72"/>
      <c r="AP653" s="64">
        <f>AP651-AP652</f>
        <v>-12.132352318282717</v>
      </c>
      <c r="AQ653" s="44"/>
      <c r="AR653" s="72"/>
      <c r="AS653" s="64">
        <f>AS651-AS652</f>
        <v>-25.239289206488085</v>
      </c>
      <c r="AT653" s="44"/>
      <c r="AU653" s="72"/>
    </row>
    <row r="654" spans="15:47" ht="13" x14ac:dyDescent="0.3">
      <c r="O654" s="6" t="s">
        <v>75</v>
      </c>
      <c r="P654" s="6">
        <v>3</v>
      </c>
      <c r="Q654" s="65"/>
      <c r="R654" s="85">
        <f>(F_LP_h/F_P_h)^2*(R651-('Valve Sizing'!$V$4*'Valve Sizing'!$G$7))</f>
        <v>46.764998797475236</v>
      </c>
      <c r="S654" s="58"/>
      <c r="T654" s="73"/>
      <c r="U654" s="53">
        <f>(U$29/U$27)^2*(U651-('Valve Sizing'!$V$4*'Valve Sizing'!$G$7))</f>
        <v>46.684381307750094</v>
      </c>
      <c r="V654" s="41"/>
      <c r="W654" s="73"/>
      <c r="X654" s="53">
        <f>(X$29/X$27)^2*(X651-('Valve Sizing'!$V$4*'Valve Sizing'!$G$7))</f>
        <v>45.314657254890683</v>
      </c>
      <c r="Y654" s="41"/>
      <c r="Z654" s="73"/>
      <c r="AA654" s="53">
        <f>(AA$29/AA$27)^2*(AA651-('Valve Sizing'!$V$4*'Valve Sizing'!$G$7))</f>
        <v>42.310416472848495</v>
      </c>
      <c r="AB654" s="41"/>
      <c r="AC654" s="73"/>
      <c r="AD654" s="53">
        <f>(AD$29/AD$27)^2*(AD651-('Valve Sizing'!$V$4*'Valve Sizing'!$G$7))</f>
        <v>37.362221106297653</v>
      </c>
      <c r="AE654" s="41"/>
      <c r="AF654" s="73"/>
      <c r="AG654" s="53">
        <f>(AG$29/AG$27)^2*(AG651-('Valve Sizing'!$V$4*'Valve Sizing'!$G$7))</f>
        <v>29.706542200361927</v>
      </c>
      <c r="AH654" s="41"/>
      <c r="AI654" s="73"/>
      <c r="AJ654" s="53">
        <f>(AJ$29/AJ$27)^2*(AJ651-('Valve Sizing'!$V$4*'Valve Sizing'!$G$7))</f>
        <v>22.002062293079646</v>
      </c>
      <c r="AK654" s="41"/>
      <c r="AL654" s="73"/>
      <c r="AM654" s="53">
        <f>(AM$29/AM$27)^2*(AM651-('Valve Sizing'!$V$4*'Valve Sizing'!$G$7))</f>
        <v>13.890072460413226</v>
      </c>
      <c r="AN654" s="41"/>
      <c r="AO654" s="73"/>
      <c r="AP654" s="53">
        <f>(AP$29/AP$27)^2*(AP651-('Valve Sizing'!$V$4*'Valve Sizing'!$G$7))</f>
        <v>7.6885074001090477</v>
      </c>
      <c r="AQ654" s="41"/>
      <c r="AR654" s="73"/>
      <c r="AS654" s="53">
        <f>(AS$29/AS$27)^2*(AS651-('Valve Sizing'!$V$4*'Valve Sizing'!$G$7))</f>
        <v>3.2199663045770226</v>
      </c>
      <c r="AT654" s="41"/>
      <c r="AU654" s="73"/>
    </row>
    <row r="655" spans="15:47" ht="13" x14ac:dyDescent="0.25">
      <c r="O655" s="1" t="s">
        <v>69</v>
      </c>
      <c r="P655" s="17">
        <v>7</v>
      </c>
      <c r="Q655" s="65"/>
      <c r="R655" s="53">
        <f>(R649/(N_1*F_P_h))*SQRT('Valve Sizing'!$G$6/R653)</f>
        <v>0.42700876064742294</v>
      </c>
      <c r="S655" s="58"/>
      <c r="T655" s="73"/>
      <c r="U655" s="64">
        <f>(U649/(N_1*U$27))*SQRT('Valve Sizing'!$G$6/U653)</f>
        <v>8.7060354392486303</v>
      </c>
      <c r="V655" s="41"/>
      <c r="W655" s="73"/>
      <c r="X655" s="64">
        <f>(X649/(N_1*X$27))*SQRT('Valve Sizing'!$G$6/X653)</f>
        <v>21.099406903556023</v>
      </c>
      <c r="Y655" s="41"/>
      <c r="Z655" s="73"/>
      <c r="AA655" s="64">
        <f>(AA649/(N_1*AA$27))*SQRT('Valve Sizing'!$G$6/AA653)</f>
        <v>41.514956159849341</v>
      </c>
      <c r="AB655" s="41"/>
      <c r="AC655" s="73"/>
      <c r="AD655" s="64">
        <f>(AD649/(N_1*AD$27))*SQRT('Valve Sizing'!$G$6/AD653)</f>
        <v>73.572715663709403</v>
      </c>
      <c r="AE655" s="41"/>
      <c r="AF655" s="73"/>
      <c r="AG655" s="64">
        <f>(AG649/(N_1*AG$27))*SQRT('Valve Sizing'!$G$6/AG653)</f>
        <v>129.80807644232684</v>
      </c>
      <c r="AH655" s="41"/>
      <c r="AI655" s="73"/>
      <c r="AJ655" s="64">
        <f>(AJ649/(N_1*AJ$27))*SQRT('Valve Sizing'!$G$6/AJ653)</f>
        <v>251.12721906638095</v>
      </c>
      <c r="AK655" s="41"/>
      <c r="AL655" s="73"/>
      <c r="AM655" s="64" t="e">
        <f>(AM649/(N_1*AM$27))*SQRT('Valve Sizing'!$G$6/AM653)</f>
        <v>#NUM!</v>
      </c>
      <c r="AN655" s="41"/>
      <c r="AO655" s="73"/>
      <c r="AP655" s="64" t="e">
        <f>(AP649/(N_1*AP$27))*SQRT('Valve Sizing'!$G$6/AP653)</f>
        <v>#NUM!</v>
      </c>
      <c r="AQ655" s="41"/>
      <c r="AR655" s="73"/>
      <c r="AS655" s="64" t="e">
        <f>(AS649/(N_1*AS$27))*SQRT('Valve Sizing'!$G$6/AS653)</f>
        <v>#NUM!</v>
      </c>
      <c r="AT655" s="41"/>
      <c r="AU655" s="73"/>
    </row>
    <row r="656" spans="15:47" ht="13" x14ac:dyDescent="0.3">
      <c r="O656" s="1" t="s">
        <v>72</v>
      </c>
      <c r="P656" s="17">
        <v>7</v>
      </c>
      <c r="Q656" s="65"/>
      <c r="R656" s="53">
        <f>(R649/(N_1*F_P_h))*SQRT('Valve Sizing'!$G$6/R654)</f>
        <v>0.35465221005017955</v>
      </c>
      <c r="S656" s="56"/>
      <c r="T656" s="72"/>
      <c r="U656" s="85">
        <f>(U649/(N_1*U$27))*SQRT('Valve Sizing'!$G$6/U654)</f>
        <v>7.225995763086317</v>
      </c>
      <c r="V656" s="44"/>
      <c r="W656" s="72"/>
      <c r="X656" s="85">
        <f>(X649/(N_1*X$27))*SQRT('Valve Sizing'!$G$6/X654)</f>
        <v>17.6449201259502</v>
      </c>
      <c r="Y656" s="44"/>
      <c r="Z656" s="72"/>
      <c r="AA656" s="85">
        <f>(AA649/(N_1*AA$27))*SQRT('Valve Sizing'!$G$6/AA654)</f>
        <v>35.066790388646012</v>
      </c>
      <c r="AB656" s="44"/>
      <c r="AC656" s="72"/>
      <c r="AD656" s="85">
        <f>(AD649/(N_1*AD$27))*SQRT('Valve Sizing'!$G$6/AD654)</f>
        <v>62.143715585818363</v>
      </c>
      <c r="AE656" s="44"/>
      <c r="AF656" s="72"/>
      <c r="AG656" s="85">
        <f>(AG649/(N_1*AG$27))*SQRT('Valve Sizing'!$G$6/AG654)</f>
        <v>106.0780842963059</v>
      </c>
      <c r="AH656" s="44"/>
      <c r="AI656" s="72"/>
      <c r="AJ656" s="85">
        <f>(AJ649/(N_1*AJ$27))*SQRT('Valve Sizing'!$G$6/AJ654)</f>
        <v>170.46884086698014</v>
      </c>
      <c r="AK656" s="44"/>
      <c r="AL656" s="72"/>
      <c r="AM656" s="85">
        <f>(AM649/(N_1*AM$27))*SQRT('Valve Sizing'!$G$6/AM654)</f>
        <v>277.76058329195308</v>
      </c>
      <c r="AN656" s="44"/>
      <c r="AO656" s="72"/>
      <c r="AP656" s="85">
        <f>(AP649/(N_1*AP$27))*SQRT('Valve Sizing'!$G$6/AP654)</f>
        <v>493.3315893944191</v>
      </c>
      <c r="AQ656" s="44"/>
      <c r="AR656" s="72"/>
      <c r="AS656" s="85">
        <f>(AS649/(N_1*AS$27))*SQRT('Valve Sizing'!$G$6/AS654)</f>
        <v>1162.0348667116291</v>
      </c>
      <c r="AT656" s="44"/>
      <c r="AU656" s="72"/>
    </row>
    <row r="657" spans="15:47" x14ac:dyDescent="0.25">
      <c r="O657" s="1" t="s">
        <v>246</v>
      </c>
      <c r="P657" s="18"/>
      <c r="Q657" s="65"/>
      <c r="R657" s="53">
        <f>IF(R653&lt;R654,R655,R656)</f>
        <v>0.42700876064742294</v>
      </c>
      <c r="S657" s="49"/>
      <c r="T657" s="72"/>
      <c r="U657" s="64">
        <f>IF(U653&lt;U654,U655,U656)</f>
        <v>8.7060354392486303</v>
      </c>
      <c r="V657" s="44"/>
      <c r="W657" s="72"/>
      <c r="X657" s="64">
        <f>IF(X653&lt;X654,X655,X656)</f>
        <v>21.099406903556023</v>
      </c>
      <c r="Y657" s="44"/>
      <c r="Z657" s="72"/>
      <c r="AA657" s="64">
        <f>IF(AA653&lt;AA654,AA655,AA656)</f>
        <v>41.514956159849341</v>
      </c>
      <c r="AB657" s="44"/>
      <c r="AC657" s="72"/>
      <c r="AD657" s="64">
        <f>IF(AD653&lt;AD654,AD655,AD656)</f>
        <v>73.572715663709403</v>
      </c>
      <c r="AE657" s="44"/>
      <c r="AF657" s="72"/>
      <c r="AG657" s="64">
        <f>IF(AG653&lt;AG654,AG655,AG656)</f>
        <v>129.80807644232684</v>
      </c>
      <c r="AH657" s="44"/>
      <c r="AI657" s="72"/>
      <c r="AJ657" s="64">
        <f>IF(AJ653&lt;AJ654,AJ655,AJ656)</f>
        <v>251.12721906638095</v>
      </c>
      <c r="AK657" s="44"/>
      <c r="AL657" s="72"/>
      <c r="AM657" s="64" t="e">
        <f>IF(AM653&lt;AM654,AM655,AM656)</f>
        <v>#NUM!</v>
      </c>
      <c r="AN657" s="44"/>
      <c r="AO657" s="72"/>
      <c r="AP657" s="64" t="e">
        <f>IF(AP653&lt;AP654,AP655,AP656)</f>
        <v>#NUM!</v>
      </c>
      <c r="AQ657" s="44"/>
      <c r="AR657" s="72"/>
      <c r="AS657" s="64" t="e">
        <f>IF(AS653&lt;AS654,AS655,AS656)</f>
        <v>#NUM!</v>
      </c>
      <c r="AT657" s="44"/>
      <c r="AU657" s="72"/>
    </row>
    <row r="658" spans="15:47" ht="13" x14ac:dyDescent="0.3">
      <c r="O658" s="7" t="s">
        <v>264</v>
      </c>
      <c r="Q658" s="61"/>
      <c r="R658" s="53"/>
      <c r="S658" s="69">
        <f>IFERROR(ABS(C_h-R657),Q_max*10)</f>
        <v>4.5729912393525769</v>
      </c>
      <c r="T658" s="76">
        <f>R649</f>
        <v>2.4249322291868443</v>
      </c>
      <c r="U658" s="61"/>
      <c r="V658" s="69">
        <f>IFERROR(ABS(U$23-U657),Q_max*10)</f>
        <v>3.2939645607513697</v>
      </c>
      <c r="W658" s="75">
        <f>U649</f>
        <v>49.330763364466776</v>
      </c>
      <c r="X658" s="61"/>
      <c r="Y658" s="69">
        <f>IFERROR(ABS(X$23-X657),Q_max*10)</f>
        <v>1.900593096443977</v>
      </c>
      <c r="Z658" s="75">
        <f>X649</f>
        <v>118.4128213308358</v>
      </c>
      <c r="AA658" s="61"/>
      <c r="AB658" s="69">
        <f>IFERROR(ABS(AA$23-AA657),Q_max*10)</f>
        <v>2.5149561598493406</v>
      </c>
      <c r="AC658" s="75">
        <f>AA649</f>
        <v>226.09347281927472</v>
      </c>
      <c r="AD658" s="61"/>
      <c r="AE658" s="69">
        <f>IFERROR(ABS(AD$23-AD657),Q_max*10)</f>
        <v>12.572715663709403</v>
      </c>
      <c r="AF658" s="75">
        <f>AD649</f>
        <v>371.84052010977427</v>
      </c>
      <c r="AG658" s="61"/>
      <c r="AH658" s="69">
        <f>IFERROR(ABS(AG$23-AG657),Q_max*10)</f>
        <v>41.808076442326836</v>
      </c>
      <c r="AI658" s="75">
        <f>AG649</f>
        <v>553.61986507002484</v>
      </c>
      <c r="AJ658" s="61"/>
      <c r="AK658" s="69">
        <f>IFERROR(ABS(AJ$23-AJ657),Q_max*10)</f>
        <v>130.12721906638095</v>
      </c>
      <c r="AL658" s="75">
        <f>AJ649</f>
        <v>738.80785608057704</v>
      </c>
      <c r="AM658" s="61"/>
      <c r="AN658" s="69">
        <f>IFERROR(ABS(AM$23-AM657),Q_max*10)</f>
        <v>5500</v>
      </c>
      <c r="AO658" s="75">
        <f>AM649</f>
        <v>901.48598742483114</v>
      </c>
      <c r="AP658" s="61"/>
      <c r="AQ658" s="69">
        <f>IFERROR(ABS(AP$23-AP657),Q_max*10)</f>
        <v>5500</v>
      </c>
      <c r="AR658" s="75">
        <f>AP649</f>
        <v>1046.5972451012979</v>
      </c>
      <c r="AS658" s="61"/>
      <c r="AT658" s="69">
        <f>IFERROR(ABS(AS$23-AS657),Q_max*10)</f>
        <v>5500</v>
      </c>
      <c r="AU658" s="75">
        <f>AS649</f>
        <v>1191.1252919697799</v>
      </c>
    </row>
    <row r="659" spans="15:47" ht="14.5" x14ac:dyDescent="0.35">
      <c r="O659" s="6"/>
      <c r="P659" s="6"/>
      <c r="Q659" s="60"/>
      <c r="R659" s="67"/>
      <c r="S659" s="56"/>
      <c r="T659" s="72"/>
      <c r="V659" s="11"/>
      <c r="W659" s="38"/>
      <c r="Y659" s="11"/>
      <c r="Z659" s="38"/>
      <c r="AB659" s="11"/>
      <c r="AC659" s="38"/>
      <c r="AE659" s="11"/>
      <c r="AF659" s="38"/>
      <c r="AH659" s="11"/>
      <c r="AI659" s="38"/>
      <c r="AK659" s="11"/>
      <c r="AL659" s="38"/>
      <c r="AN659" s="11"/>
      <c r="AO659" s="38"/>
      <c r="AQ659" s="11"/>
      <c r="AR659" s="38"/>
      <c r="AT659" s="11"/>
      <c r="AU659" s="38"/>
    </row>
    <row r="660" spans="15:47" ht="14" x14ac:dyDescent="0.3">
      <c r="O660" s="8" t="s">
        <v>235</v>
      </c>
      <c r="P660" s="6"/>
      <c r="Q660" s="60"/>
      <c r="R660" s="53">
        <f>R649*1.02</f>
        <v>2.4734308737705812</v>
      </c>
      <c r="S660" s="58" t="s">
        <v>238</v>
      </c>
      <c r="T660" s="73" t="s">
        <v>241</v>
      </c>
      <c r="U660" s="84">
        <f>U649*1.01</f>
        <v>49.824070998111445</v>
      </c>
      <c r="V660" s="58" t="s">
        <v>238</v>
      </c>
      <c r="W660" s="73" t="s">
        <v>241</v>
      </c>
      <c r="X660" s="84">
        <f>X649*1.01</f>
        <v>119.59694954414415</v>
      </c>
      <c r="Y660" s="58" t="s">
        <v>238</v>
      </c>
      <c r="Z660" s="73" t="s">
        <v>241</v>
      </c>
      <c r="AA660" s="84">
        <f>AA649*1.01</f>
        <v>228.35440754746747</v>
      </c>
      <c r="AB660" s="58" t="s">
        <v>238</v>
      </c>
      <c r="AC660" s="73" t="s">
        <v>241</v>
      </c>
      <c r="AD660" s="84">
        <f>AD649*1.01</f>
        <v>375.55892531087204</v>
      </c>
      <c r="AE660" s="58" t="s">
        <v>238</v>
      </c>
      <c r="AF660" s="73" t="s">
        <v>241</v>
      </c>
      <c r="AG660" s="84">
        <f>AG649*1.01</f>
        <v>559.15606372072511</v>
      </c>
      <c r="AH660" s="58" t="s">
        <v>238</v>
      </c>
      <c r="AI660" s="73" t="s">
        <v>241</v>
      </c>
      <c r="AJ660" s="84">
        <f>AJ649*1.01</f>
        <v>746.19593464138279</v>
      </c>
      <c r="AK660" s="58" t="s">
        <v>238</v>
      </c>
      <c r="AL660" s="73" t="s">
        <v>241</v>
      </c>
      <c r="AM660" s="84">
        <f>AM649*1.01</f>
        <v>910.50084729907951</v>
      </c>
      <c r="AN660" s="58" t="s">
        <v>238</v>
      </c>
      <c r="AO660" s="73" t="s">
        <v>241</v>
      </c>
      <c r="AP660" s="84">
        <f>AP649*1.01</f>
        <v>1057.0632175523108</v>
      </c>
      <c r="AQ660" s="58" t="s">
        <v>238</v>
      </c>
      <c r="AR660" s="73" t="s">
        <v>241</v>
      </c>
      <c r="AS660" s="84">
        <f>AS649*1.01</f>
        <v>1203.0365448894777</v>
      </c>
      <c r="AT660" s="58" t="s">
        <v>238</v>
      </c>
      <c r="AU660" s="73" t="s">
        <v>241</v>
      </c>
    </row>
    <row r="661" spans="15:47" ht="13" x14ac:dyDescent="0.25">
      <c r="O661" s="6"/>
      <c r="P661" s="6"/>
      <c r="Q661" s="60"/>
      <c r="R661" s="70"/>
      <c r="S661" s="63" t="s">
        <v>250</v>
      </c>
      <c r="T661" s="71" t="s">
        <v>242</v>
      </c>
      <c r="U661" s="61"/>
      <c r="V661" s="63" t="s">
        <v>250</v>
      </c>
      <c r="W661" s="71" t="s">
        <v>242</v>
      </c>
      <c r="X661" s="61"/>
      <c r="Y661" s="63" t="s">
        <v>250</v>
      </c>
      <c r="Z661" s="71" t="s">
        <v>242</v>
      </c>
      <c r="AA661" s="61"/>
      <c r="AB661" s="63" t="s">
        <v>250</v>
      </c>
      <c r="AC661" s="71" t="s">
        <v>242</v>
      </c>
      <c r="AD661" s="61"/>
      <c r="AE661" s="63" t="s">
        <v>250</v>
      </c>
      <c r="AF661" s="71" t="s">
        <v>242</v>
      </c>
      <c r="AG661" s="61"/>
      <c r="AH661" s="63" t="s">
        <v>250</v>
      </c>
      <c r="AI661" s="71" t="s">
        <v>242</v>
      </c>
      <c r="AJ661" s="61"/>
      <c r="AK661" s="63" t="s">
        <v>250</v>
      </c>
      <c r="AL661" s="71" t="s">
        <v>242</v>
      </c>
      <c r="AM661" s="61"/>
      <c r="AN661" s="63" t="s">
        <v>250</v>
      </c>
      <c r="AO661" s="71" t="s">
        <v>242</v>
      </c>
      <c r="AP661" s="61"/>
      <c r="AQ661" s="63" t="s">
        <v>250</v>
      </c>
      <c r="AR661" s="71" t="s">
        <v>242</v>
      </c>
      <c r="AS661" s="61"/>
      <c r="AT661" s="63" t="s">
        <v>250</v>
      </c>
      <c r="AU661" s="71" t="s">
        <v>242</v>
      </c>
    </row>
    <row r="662" spans="15:47" ht="13" x14ac:dyDescent="0.3">
      <c r="O662" s="6" t="s">
        <v>231</v>
      </c>
      <c r="P662" s="6"/>
      <c r="Q662" s="60"/>
      <c r="R662" s="85">
        <f>P_1_minQ-(R660^2*R_up)+dpup_minQ</f>
        <v>56.915936580199684</v>
      </c>
      <c r="S662" s="56"/>
      <c r="T662" s="72"/>
      <c r="U662" s="53">
        <f>P_1_minQ-(U660^2*R_up)+dpup_minQ</f>
        <v>56.832305368091021</v>
      </c>
      <c r="V662" s="44"/>
      <c r="W662" s="72"/>
      <c r="X662" s="53">
        <f>P_1_minQ-(X660^2*R_up)+dpup_minQ</f>
        <v>56.4330823931015</v>
      </c>
      <c r="Y662" s="44"/>
      <c r="Z662" s="72"/>
      <c r="AA662" s="53">
        <f>P_1_minQ-(AA660^2*R_up)+dpup_minQ</f>
        <v>55.155057904547284</v>
      </c>
      <c r="AB662" s="44"/>
      <c r="AC662" s="72"/>
      <c r="AD662" s="53">
        <f>P_1_minQ-(AD660^2*R_up)+dpup_minQ</f>
        <v>52.152735346820087</v>
      </c>
      <c r="AE662" s="44"/>
      <c r="AF662" s="72"/>
      <c r="AG662" s="53">
        <f>P_1_minQ-(AG660^2*R_up)+dpup_minQ</f>
        <v>46.357024532399336</v>
      </c>
      <c r="AH662" s="44"/>
      <c r="AI662" s="72"/>
      <c r="AJ662" s="53">
        <f>P_1_minQ-(AJ660^2*R_up)+dpup_minQ</f>
        <v>38.111402469593827</v>
      </c>
      <c r="AK662" s="44"/>
      <c r="AL662" s="72"/>
      <c r="AM662" s="53">
        <f>P_1_minQ-(AM660^2*R_up)+dpup_minQ</f>
        <v>28.918446709478498</v>
      </c>
      <c r="AN662" s="44"/>
      <c r="AO662" s="72"/>
      <c r="AP662" s="53">
        <f>P_1_minQ-(AP660^2*R_up)+dpup_minQ</f>
        <v>19.17947835521635</v>
      </c>
      <c r="AQ662" s="44"/>
      <c r="AR662" s="72"/>
      <c r="AS662" s="53">
        <f>P_1_minQ-(AS660^2*R_up)+dpup_minQ</f>
        <v>8.0374897555011096</v>
      </c>
      <c r="AT662" s="44"/>
      <c r="AU662" s="72"/>
    </row>
    <row r="663" spans="15:47" ht="13" x14ac:dyDescent="0.3">
      <c r="O663" s="6" t="s">
        <v>233</v>
      </c>
      <c r="P663" s="6"/>
      <c r="Q663" s="60"/>
      <c r="R663" s="85">
        <f>P_2_minQ+(R660^2*R_dn)-dpdn_minQ</f>
        <v>24.656812683960066</v>
      </c>
      <c r="S663" s="66"/>
      <c r="T663" s="74"/>
      <c r="U663" s="53">
        <f>P_2_minQ+(U660^2*R_dn)-dpdn_minQ</f>
        <v>24.673538926381799</v>
      </c>
      <c r="V663" s="45"/>
      <c r="W663" s="74"/>
      <c r="X663" s="53">
        <f>P_2_minQ+(X660^2*R_dn)-dpdn_minQ</f>
        <v>24.7533835213797</v>
      </c>
      <c r="Y663" s="45"/>
      <c r="Z663" s="74"/>
      <c r="AA663" s="53">
        <f>P_2_minQ+(AA660^2*R_dn)-dpdn_minQ</f>
        <v>25.008988419090546</v>
      </c>
      <c r="AB663" s="45"/>
      <c r="AC663" s="74"/>
      <c r="AD663" s="53">
        <f>P_2_minQ+(AD660^2*R_dn)-dpdn_minQ</f>
        <v>25.609452930635985</v>
      </c>
      <c r="AE663" s="45"/>
      <c r="AF663" s="74"/>
      <c r="AG663" s="53">
        <f>P_2_minQ+(AG660^2*R_dn)-dpdn_minQ</f>
        <v>26.768595093520133</v>
      </c>
      <c r="AH663" s="45"/>
      <c r="AI663" s="74"/>
      <c r="AJ663" s="53">
        <f>P_2_minQ+(AJ660^2*R_dn)-dpdn_minQ</f>
        <v>28.417719506081237</v>
      </c>
      <c r="AK663" s="45"/>
      <c r="AL663" s="74"/>
      <c r="AM663" s="53">
        <f>P_2_minQ+(AM660^2*R_dn)-dpdn_minQ</f>
        <v>30.256310658104301</v>
      </c>
      <c r="AN663" s="45"/>
      <c r="AO663" s="74"/>
      <c r="AP663" s="53">
        <f>P_2_minQ+(AP660^2*R_dn)-dpdn_minQ</f>
        <v>32.204104328956731</v>
      </c>
      <c r="AQ663" s="45"/>
      <c r="AR663" s="74"/>
      <c r="AS663" s="53">
        <f>P_2_minQ+(AS660^2*R_dn)-dpdn_minQ</f>
        <v>34.432502048899785</v>
      </c>
      <c r="AT663" s="45"/>
      <c r="AU663" s="74"/>
    </row>
    <row r="664" spans="15:47" x14ac:dyDescent="0.25">
      <c r="O664" s="6" t="s">
        <v>243</v>
      </c>
      <c r="Q664" s="60"/>
      <c r="R664" s="53">
        <f>R662-R663</f>
        <v>32.259123896239615</v>
      </c>
      <c r="S664" s="56"/>
      <c r="T664" s="72"/>
      <c r="U664" s="64">
        <f>U662-U663</f>
        <v>32.158766441709218</v>
      </c>
      <c r="V664" s="44"/>
      <c r="W664" s="72"/>
      <c r="X664" s="64">
        <f>X662-X663</f>
        <v>31.679698871721801</v>
      </c>
      <c r="Y664" s="44"/>
      <c r="Z664" s="72"/>
      <c r="AA664" s="64">
        <f>AA662-AA663</f>
        <v>30.146069485456739</v>
      </c>
      <c r="AB664" s="44"/>
      <c r="AC664" s="72"/>
      <c r="AD664" s="64">
        <f>AD662-AD663</f>
        <v>26.543282416184102</v>
      </c>
      <c r="AE664" s="44"/>
      <c r="AF664" s="72"/>
      <c r="AG664" s="64">
        <f>AG662-AG663</f>
        <v>19.588429438879203</v>
      </c>
      <c r="AH664" s="44"/>
      <c r="AI664" s="72"/>
      <c r="AJ664" s="64">
        <f>AJ662-AJ663</f>
        <v>9.6936829635125896</v>
      </c>
      <c r="AK664" s="44"/>
      <c r="AL664" s="72"/>
      <c r="AM664" s="64">
        <f>AM662-AM663</f>
        <v>-1.3378639486258024</v>
      </c>
      <c r="AN664" s="44"/>
      <c r="AO664" s="72"/>
      <c r="AP664" s="64">
        <f>AP662-AP663</f>
        <v>-13.024625973740381</v>
      </c>
      <c r="AQ664" s="44"/>
      <c r="AR664" s="72"/>
      <c r="AS664" s="64">
        <f>AS662-AS663</f>
        <v>-26.395012293398675</v>
      </c>
      <c r="AT664" s="44"/>
      <c r="AU664" s="72"/>
    </row>
    <row r="665" spans="15:47" ht="13" x14ac:dyDescent="0.3">
      <c r="O665" s="6" t="s">
        <v>75</v>
      </c>
      <c r="P665" s="6">
        <v>3</v>
      </c>
      <c r="Q665" s="65"/>
      <c r="R665" s="85">
        <f>(F_LP_h/F_P_h)^2*(R662-('Valve Sizing'!$V$4*'Valve Sizing'!$G$7))</f>
        <v>46.764992153927857</v>
      </c>
      <c r="S665" s="58"/>
      <c r="T665" s="73"/>
      <c r="U665" s="53">
        <f>(U$29/U$27)^2*(U662-('Valve Sizing'!$V$4*'Valve Sizing'!$G$7))</f>
        <v>46.68301379053397</v>
      </c>
      <c r="V665" s="41"/>
      <c r="W665" s="73"/>
      <c r="X665" s="53">
        <f>(X$29/X$27)^2*(X662-('Valve Sizing'!$V$4*'Valve Sizing'!$G$7))</f>
        <v>45.306955564435725</v>
      </c>
      <c r="Y665" s="41"/>
      <c r="Z665" s="73"/>
      <c r="AA665" s="53">
        <f>(AA$29/AA$27)^2*(AA662-('Valve Sizing'!$V$4*'Valve Sizing'!$G$7))</f>
        <v>42.283600148409327</v>
      </c>
      <c r="AB665" s="41"/>
      <c r="AC665" s="73"/>
      <c r="AD665" s="53">
        <f>(AD$29/AD$27)^2*(AD662-('Valve Sizing'!$V$4*'Valve Sizing'!$G$7))</f>
        <v>37.294531932608223</v>
      </c>
      <c r="AE665" s="41"/>
      <c r="AF665" s="73"/>
      <c r="AG665" s="53">
        <f>(AG$29/AG$27)^2*(AG662-('Valve Sizing'!$V$4*'Valve Sizing'!$G$7))</f>
        <v>29.572544765073058</v>
      </c>
      <c r="AH665" s="41"/>
      <c r="AI665" s="73"/>
      <c r="AJ665" s="53">
        <f>(AJ$29/AJ$27)^2*(AJ662-('Valve Sizing'!$V$4*'Valve Sizing'!$G$7))</f>
        <v>21.787762296463494</v>
      </c>
      <c r="AK665" s="41"/>
      <c r="AL665" s="73"/>
      <c r="AM665" s="53">
        <f>(AM$29/AM$27)^2*(AM662-('Valve Sizing'!$V$4*'Valve Sizing'!$G$7))</f>
        <v>13.626116012947213</v>
      </c>
      <c r="AN665" s="41"/>
      <c r="AO665" s="73"/>
      <c r="AP665" s="53">
        <f>(AP$29/AP$27)^2*(AP662-('Valve Sizing'!$V$4*'Valve Sizing'!$G$7))</f>
        <v>7.395078131951764</v>
      </c>
      <c r="AQ665" s="41"/>
      <c r="AR665" s="73"/>
      <c r="AS665" s="53">
        <f>(AS$29/AS$27)^2*(AS662-('Valve Sizing'!$V$4*'Valve Sizing'!$G$7))</f>
        <v>2.8577041381814667</v>
      </c>
      <c r="AT665" s="41"/>
      <c r="AU665" s="73"/>
    </row>
    <row r="666" spans="15:47" ht="13" x14ac:dyDescent="0.25">
      <c r="O666" s="1" t="s">
        <v>69</v>
      </c>
      <c r="P666" s="17">
        <v>7</v>
      </c>
      <c r="Q666" s="65"/>
      <c r="R666" s="53">
        <f>(R660/(N_1*F_P_h))*SQRT('Valve Sizing'!$G$6/R664)</f>
        <v>0.43554900085504633</v>
      </c>
      <c r="S666" s="58"/>
      <c r="T666" s="73"/>
      <c r="U666" s="64">
        <f>(U660/(N_1*U$27))*SQRT('Valve Sizing'!$G$6/U664)</f>
        <v>8.7933668005126098</v>
      </c>
      <c r="V666" s="41"/>
      <c r="W666" s="73"/>
      <c r="X666" s="64">
        <f>(X660/(N_1*X$27))*SQRT('Valve Sizing'!$G$6/X664)</f>
        <v>21.314242268774301</v>
      </c>
      <c r="Y666" s="41"/>
      <c r="Z666" s="73"/>
      <c r="AA666" s="64">
        <f>(AA660/(N_1*AA$27))*SQRT('Valve Sizing'!$G$6/AA664)</f>
        <v>41.959054504900003</v>
      </c>
      <c r="AB666" s="41"/>
      <c r="AC666" s="73"/>
      <c r="AD666" s="64">
        <f>(AD660/(N_1*AD$27))*SQRT('Valve Sizing'!$G$6/AD664)</f>
        <v>74.46593024747753</v>
      </c>
      <c r="AE666" s="41"/>
      <c r="AF666" s="73"/>
      <c r="AG666" s="64">
        <f>(AG660/(N_1*AG$27))*SQRT('Valve Sizing'!$G$6/AG664)</f>
        <v>131.93902952290549</v>
      </c>
      <c r="AH666" s="41"/>
      <c r="AI666" s="73"/>
      <c r="AJ666" s="64">
        <f>(AJ660/(N_1*AJ$27))*SQRT('Valve Sizing'!$G$6/AJ664)</f>
        <v>259.39026386760088</v>
      </c>
      <c r="AK666" s="41"/>
      <c r="AL666" s="73"/>
      <c r="AM666" s="64" t="e">
        <f>(AM660/(N_1*AM$27))*SQRT('Valve Sizing'!$G$6/AM664)</f>
        <v>#NUM!</v>
      </c>
      <c r="AN666" s="41"/>
      <c r="AO666" s="73"/>
      <c r="AP666" s="64" t="e">
        <f>(AP660/(N_1*AP$27))*SQRT('Valve Sizing'!$G$6/AP664)</f>
        <v>#NUM!</v>
      </c>
      <c r="AQ666" s="41"/>
      <c r="AR666" s="73"/>
      <c r="AS666" s="64" t="e">
        <f>(AS660/(N_1*AS$27))*SQRT('Valve Sizing'!$G$6/AS664)</f>
        <v>#NUM!</v>
      </c>
      <c r="AT666" s="41"/>
      <c r="AU666" s="73"/>
    </row>
    <row r="667" spans="15:47" ht="13" x14ac:dyDescent="0.3">
      <c r="O667" s="1" t="s">
        <v>72</v>
      </c>
      <c r="P667" s="17">
        <v>7</v>
      </c>
      <c r="Q667" s="65"/>
      <c r="R667" s="53">
        <f>(R660/(N_1*F_P_h))*SQRT('Valve Sizing'!$G$6/R665)</f>
        <v>0.36174527994638311</v>
      </c>
      <c r="S667" s="56"/>
      <c r="T667" s="72"/>
      <c r="U667" s="85">
        <f>(U660/(N_1*U$27))*SQRT('Valve Sizing'!$G$6/U665)</f>
        <v>7.2983626163141553</v>
      </c>
      <c r="V667" s="44"/>
      <c r="W667" s="72"/>
      <c r="X667" s="85">
        <f>(X660/(N_1*X$27))*SQRT('Valve Sizing'!$G$6/X665)</f>
        <v>17.822883982474842</v>
      </c>
      <c r="Y667" s="44"/>
      <c r="Z667" s="72"/>
      <c r="AA667" s="85">
        <f>(AA660/(N_1*AA$27))*SQRT('Valve Sizing'!$G$6/AA665)</f>
        <v>35.428687415774206</v>
      </c>
      <c r="AB667" s="44"/>
      <c r="AC667" s="72"/>
      <c r="AD667" s="85">
        <f>(AD660/(N_1*AD$27))*SQRT('Valve Sizing'!$G$6/AD665)</f>
        <v>62.822085958127488</v>
      </c>
      <c r="AE667" s="44"/>
      <c r="AF667" s="72"/>
      <c r="AG667" s="85">
        <f>(AG660/(N_1*AG$27))*SQRT('Valve Sizing'!$G$6/AG665)</f>
        <v>107.38132156890964</v>
      </c>
      <c r="AH667" s="44"/>
      <c r="AI667" s="72"/>
      <c r="AJ667" s="85">
        <f>(AJ660/(N_1*AJ$27))*SQRT('Valve Sizing'!$G$6/AJ665)</f>
        <v>173.01818928208542</v>
      </c>
      <c r="AK667" s="44"/>
      <c r="AL667" s="72"/>
      <c r="AM667" s="85">
        <f>(AM660/(N_1*AM$27))*SQRT('Valve Sizing'!$G$6/AM665)</f>
        <v>283.2423597010486</v>
      </c>
      <c r="AN667" s="44"/>
      <c r="AO667" s="72"/>
      <c r="AP667" s="85">
        <f>(AP660/(N_1*AP$27))*SQRT('Valve Sizing'!$G$6/AP665)</f>
        <v>508.05406920050757</v>
      </c>
      <c r="AQ667" s="44"/>
      <c r="AR667" s="72"/>
      <c r="AS667" s="85">
        <f>(AS660/(N_1*AS$27))*SQRT('Valve Sizing'!$G$6/AS665)</f>
        <v>1245.8265003522056</v>
      </c>
      <c r="AT667" s="44"/>
      <c r="AU667" s="72"/>
    </row>
    <row r="668" spans="15:47" x14ac:dyDescent="0.25">
      <c r="O668" s="1" t="s">
        <v>246</v>
      </c>
      <c r="P668" s="18"/>
      <c r="Q668" s="65"/>
      <c r="R668" s="53">
        <f>IF(R664&lt;R665,R666,R667)</f>
        <v>0.43554900085504633</v>
      </c>
      <c r="S668" s="49"/>
      <c r="T668" s="72"/>
      <c r="U668" s="64">
        <f>IF(U664&lt;U665,U666,U667)</f>
        <v>8.7933668005126098</v>
      </c>
      <c r="V668" s="44"/>
      <c r="W668" s="72"/>
      <c r="X668" s="64">
        <f>IF(X664&lt;X665,X666,X667)</f>
        <v>21.314242268774301</v>
      </c>
      <c r="Y668" s="44"/>
      <c r="Z668" s="72"/>
      <c r="AA668" s="64">
        <f>IF(AA664&lt;AA665,AA666,AA667)</f>
        <v>41.959054504900003</v>
      </c>
      <c r="AB668" s="44"/>
      <c r="AC668" s="72"/>
      <c r="AD668" s="64">
        <f>IF(AD664&lt;AD665,AD666,AD667)</f>
        <v>74.46593024747753</v>
      </c>
      <c r="AE668" s="44"/>
      <c r="AF668" s="72"/>
      <c r="AG668" s="64">
        <f>IF(AG664&lt;AG665,AG666,AG667)</f>
        <v>131.93902952290549</v>
      </c>
      <c r="AH668" s="44"/>
      <c r="AI668" s="72"/>
      <c r="AJ668" s="64">
        <f>IF(AJ664&lt;AJ665,AJ666,AJ667)</f>
        <v>259.39026386760088</v>
      </c>
      <c r="AK668" s="44"/>
      <c r="AL668" s="72"/>
      <c r="AM668" s="64" t="e">
        <f>IF(AM664&lt;AM665,AM666,AM667)</f>
        <v>#NUM!</v>
      </c>
      <c r="AN668" s="44"/>
      <c r="AO668" s="72"/>
      <c r="AP668" s="64" t="e">
        <f>IF(AP664&lt;AP665,AP666,AP667)</f>
        <v>#NUM!</v>
      </c>
      <c r="AQ668" s="44"/>
      <c r="AR668" s="72"/>
      <c r="AS668" s="64" t="e">
        <f>IF(AS664&lt;AS665,AS666,AS667)</f>
        <v>#NUM!</v>
      </c>
      <c r="AT668" s="44"/>
      <c r="AU668" s="72"/>
    </row>
    <row r="669" spans="15:47" ht="13" x14ac:dyDescent="0.3">
      <c r="O669" s="7" t="s">
        <v>264</v>
      </c>
      <c r="Q669" s="61"/>
      <c r="R669" s="53"/>
      <c r="S669" s="69">
        <f>IFERROR(ABS(C_h-R668),Q_max*10)</f>
        <v>4.5644509991449533</v>
      </c>
      <c r="T669" s="76">
        <f>R660</f>
        <v>2.4734308737705812</v>
      </c>
      <c r="U669" s="61"/>
      <c r="V669" s="69">
        <f>IFERROR(ABS(U$23-U668),Q_max*10)</f>
        <v>3.2066331994873902</v>
      </c>
      <c r="W669" s="75">
        <f>U660</f>
        <v>49.824070998111445</v>
      </c>
      <c r="X669" s="61"/>
      <c r="Y669" s="69">
        <f>IFERROR(ABS(X$23-X668),Q_max*10)</f>
        <v>1.6857577312256993</v>
      </c>
      <c r="Z669" s="75">
        <f>X660</f>
        <v>119.59694954414415</v>
      </c>
      <c r="AA669" s="61"/>
      <c r="AB669" s="69">
        <f>IFERROR(ABS(AA$23-AA668),Q_max*10)</f>
        <v>2.9590545049000028</v>
      </c>
      <c r="AC669" s="75">
        <f>AA660</f>
        <v>228.35440754746747</v>
      </c>
      <c r="AD669" s="61"/>
      <c r="AE669" s="69">
        <f>IFERROR(ABS(AD$23-AD668),Q_max*10)</f>
        <v>13.46593024747753</v>
      </c>
      <c r="AF669" s="75">
        <f>AD660</f>
        <v>375.55892531087204</v>
      </c>
      <c r="AG669" s="61"/>
      <c r="AH669" s="69">
        <f>IFERROR(ABS(AG$23-AG668),Q_max*10)</f>
        <v>43.939029522905486</v>
      </c>
      <c r="AI669" s="75">
        <f>AG660</f>
        <v>559.15606372072511</v>
      </c>
      <c r="AJ669" s="61"/>
      <c r="AK669" s="69">
        <f>IFERROR(ABS(AJ$23-AJ668),Q_max*10)</f>
        <v>138.39026386760088</v>
      </c>
      <c r="AL669" s="75">
        <f>AJ660</f>
        <v>746.19593464138279</v>
      </c>
      <c r="AM669" s="61"/>
      <c r="AN669" s="69">
        <f>IFERROR(ABS(AM$23-AM668),Q_max*10)</f>
        <v>5500</v>
      </c>
      <c r="AO669" s="75">
        <f>AM660</f>
        <v>910.50084729907951</v>
      </c>
      <c r="AP669" s="61"/>
      <c r="AQ669" s="69">
        <f>IFERROR(ABS(AP$23-AP668),Q_max*10)</f>
        <v>5500</v>
      </c>
      <c r="AR669" s="75">
        <f>AP660</f>
        <v>1057.0632175523108</v>
      </c>
      <c r="AS669" s="61"/>
      <c r="AT669" s="69">
        <f>IFERROR(ABS(AS$23-AS668),Q_max*10)</f>
        <v>5500</v>
      </c>
      <c r="AU669" s="75">
        <f>AS660</f>
        <v>1203.0365448894777</v>
      </c>
    </row>
    <row r="670" spans="15:47" ht="14.5" x14ac:dyDescent="0.35">
      <c r="O670" s="8"/>
      <c r="P670" s="6"/>
      <c r="Q670" s="60"/>
      <c r="R670" s="67"/>
      <c r="S670" s="58"/>
      <c r="T670" s="73"/>
      <c r="V670" s="11"/>
      <c r="W670" s="38"/>
      <c r="Y670" s="11"/>
      <c r="Z670" s="38"/>
      <c r="AB670" s="11"/>
      <c r="AC670" s="38"/>
      <c r="AE670" s="11"/>
      <c r="AF670" s="38"/>
      <c r="AH670" s="11"/>
      <c r="AI670" s="38"/>
      <c r="AK670" s="11"/>
      <c r="AL670" s="38"/>
      <c r="AN670" s="11"/>
      <c r="AO670" s="38"/>
      <c r="AQ670" s="11"/>
      <c r="AR670" s="38"/>
      <c r="AT670" s="11"/>
      <c r="AU670" s="38"/>
    </row>
    <row r="671" spans="15:47" ht="14" x14ac:dyDescent="0.3">
      <c r="O671" s="8" t="s">
        <v>235</v>
      </c>
      <c r="P671" s="6"/>
      <c r="Q671" s="60"/>
      <c r="R671" s="53">
        <f>R660*1.02</f>
        <v>2.522899491245993</v>
      </c>
      <c r="S671" s="58" t="s">
        <v>238</v>
      </c>
      <c r="T671" s="73" t="s">
        <v>241</v>
      </c>
      <c r="U671" s="84">
        <f>U660*1.01</f>
        <v>50.322311708092563</v>
      </c>
      <c r="V671" s="58" t="s">
        <v>238</v>
      </c>
      <c r="W671" s="73" t="s">
        <v>241</v>
      </c>
      <c r="X671" s="84">
        <f>X660*1.01</f>
        <v>120.7929190395856</v>
      </c>
      <c r="Y671" s="58" t="s">
        <v>238</v>
      </c>
      <c r="Z671" s="73" t="s">
        <v>241</v>
      </c>
      <c r="AA671" s="84">
        <f>AA660*1.01</f>
        <v>230.63795162294215</v>
      </c>
      <c r="AB671" s="58" t="s">
        <v>238</v>
      </c>
      <c r="AC671" s="73" t="s">
        <v>241</v>
      </c>
      <c r="AD671" s="84">
        <f>AD660*1.01</f>
        <v>379.31451456398077</v>
      </c>
      <c r="AE671" s="58" t="s">
        <v>238</v>
      </c>
      <c r="AF671" s="73" t="s">
        <v>241</v>
      </c>
      <c r="AG671" s="84">
        <f>AG660*1.01</f>
        <v>564.74762435793241</v>
      </c>
      <c r="AH671" s="58" t="s">
        <v>238</v>
      </c>
      <c r="AI671" s="73" t="s">
        <v>241</v>
      </c>
      <c r="AJ671" s="84">
        <f>AJ660*1.01</f>
        <v>753.65789398779657</v>
      </c>
      <c r="AK671" s="58" t="s">
        <v>238</v>
      </c>
      <c r="AL671" s="73" t="s">
        <v>241</v>
      </c>
      <c r="AM671" s="84">
        <f>AM660*1.01</f>
        <v>919.6058557720703</v>
      </c>
      <c r="AN671" s="58" t="s">
        <v>238</v>
      </c>
      <c r="AO671" s="73" t="s">
        <v>241</v>
      </c>
      <c r="AP671" s="84">
        <f>AP660*1.01</f>
        <v>1067.6338497278339</v>
      </c>
      <c r="AQ671" s="58" t="s">
        <v>238</v>
      </c>
      <c r="AR671" s="73" t="s">
        <v>241</v>
      </c>
      <c r="AS671" s="84">
        <f>AS660*1.01</f>
        <v>1215.0669103383725</v>
      </c>
      <c r="AT671" s="58" t="s">
        <v>238</v>
      </c>
      <c r="AU671" s="73" t="s">
        <v>241</v>
      </c>
    </row>
    <row r="672" spans="15:47" ht="13" x14ac:dyDescent="0.25">
      <c r="O672" s="6"/>
      <c r="P672" s="6"/>
      <c r="Q672" s="60"/>
      <c r="R672" s="70"/>
      <c r="S672" s="63" t="s">
        <v>250</v>
      </c>
      <c r="T672" s="71" t="s">
        <v>242</v>
      </c>
      <c r="U672" s="61"/>
      <c r="V672" s="63" t="s">
        <v>250</v>
      </c>
      <c r="W672" s="71" t="s">
        <v>242</v>
      </c>
      <c r="X672" s="61"/>
      <c r="Y672" s="63" t="s">
        <v>250</v>
      </c>
      <c r="Z672" s="71" t="s">
        <v>242</v>
      </c>
      <c r="AA672" s="61"/>
      <c r="AB672" s="63" t="s">
        <v>250</v>
      </c>
      <c r="AC672" s="71" t="s">
        <v>242</v>
      </c>
      <c r="AD672" s="61"/>
      <c r="AE672" s="63" t="s">
        <v>250</v>
      </c>
      <c r="AF672" s="71" t="s">
        <v>242</v>
      </c>
      <c r="AG672" s="61"/>
      <c r="AH672" s="63" t="s">
        <v>250</v>
      </c>
      <c r="AI672" s="71" t="s">
        <v>242</v>
      </c>
      <c r="AJ672" s="61"/>
      <c r="AK672" s="63" t="s">
        <v>250</v>
      </c>
      <c r="AL672" s="71" t="s">
        <v>242</v>
      </c>
      <c r="AM672" s="61"/>
      <c r="AN672" s="63" t="s">
        <v>250</v>
      </c>
      <c r="AO672" s="71" t="s">
        <v>242</v>
      </c>
      <c r="AP672" s="61"/>
      <c r="AQ672" s="63" t="s">
        <v>250</v>
      </c>
      <c r="AR672" s="71" t="s">
        <v>242</v>
      </c>
      <c r="AS672" s="61"/>
      <c r="AT672" s="63" t="s">
        <v>250</v>
      </c>
      <c r="AU672" s="71" t="s">
        <v>242</v>
      </c>
    </row>
    <row r="673" spans="15:47" ht="13" x14ac:dyDescent="0.3">
      <c r="O673" s="6" t="s">
        <v>231</v>
      </c>
      <c r="P673" s="6"/>
      <c r="Q673" s="60"/>
      <c r="R673" s="85">
        <f>P_1_minQ-(R671^2*R_up)+dpup_minQ</f>
        <v>56.91592823296714</v>
      </c>
      <c r="S673" s="56"/>
      <c r="T673" s="72"/>
      <c r="U673" s="53">
        <f>P_1_minQ-(U671^2*R_up)+dpup_minQ</f>
        <v>56.830620227772833</v>
      </c>
      <c r="V673" s="44"/>
      <c r="W673" s="72"/>
      <c r="X673" s="53">
        <f>P_1_minQ-(X671^2*R_up)+dpup_minQ</f>
        <v>56.423372870986022</v>
      </c>
      <c r="Y673" s="44"/>
      <c r="Z673" s="72"/>
      <c r="AA673" s="53">
        <f>P_1_minQ-(AA671^2*R_up)+dpup_minQ</f>
        <v>55.119660090211866</v>
      </c>
      <c r="AB673" s="44"/>
      <c r="AC673" s="72"/>
      <c r="AD673" s="53">
        <f>P_1_minQ-(AD671^2*R_up)+dpup_minQ</f>
        <v>52.056990849074353</v>
      </c>
      <c r="AE673" s="44"/>
      <c r="AF673" s="72"/>
      <c r="AG673" s="53">
        <f>P_1_minQ-(AG671^2*R_up)+dpup_minQ</f>
        <v>46.14478624728374</v>
      </c>
      <c r="AH673" s="44"/>
      <c r="AI673" s="72"/>
      <c r="AJ673" s="53">
        <f>P_1_minQ-(AJ671^2*R_up)+dpup_minQ</f>
        <v>37.733427181015848</v>
      </c>
      <c r="AK673" s="44"/>
      <c r="AL673" s="72"/>
      <c r="AM673" s="53">
        <f>P_1_minQ-(AM671^2*R_up)+dpup_minQ</f>
        <v>28.355693010122199</v>
      </c>
      <c r="AN673" s="44"/>
      <c r="AO673" s="72"/>
      <c r="AP673" s="53">
        <f>P_1_minQ-(AP671^2*R_up)+dpup_minQ</f>
        <v>18.420971391939386</v>
      </c>
      <c r="AQ673" s="44"/>
      <c r="AR673" s="72"/>
      <c r="AS673" s="53">
        <f>P_1_minQ-(AS671^2*R_up)+dpup_minQ</f>
        <v>7.0550288213698478</v>
      </c>
      <c r="AT673" s="44"/>
      <c r="AU673" s="72"/>
    </row>
    <row r="674" spans="15:47" ht="13" x14ac:dyDescent="0.3">
      <c r="O674" s="6" t="s">
        <v>233</v>
      </c>
      <c r="P674" s="6"/>
      <c r="Q674" s="60"/>
      <c r="R674" s="85">
        <f>P_2_minQ+(R671^2*R_dn)-dpdn_minQ</f>
        <v>24.656814353406574</v>
      </c>
      <c r="S674" s="66"/>
      <c r="T674" s="74"/>
      <c r="U674" s="53">
        <f>P_2_minQ+(U671^2*R_dn)-dpdn_minQ</f>
        <v>24.673875954445435</v>
      </c>
      <c r="V674" s="45"/>
      <c r="W674" s="74"/>
      <c r="X674" s="53">
        <f>P_2_minQ+(X671^2*R_dn)-dpdn_minQ</f>
        <v>24.755325425802798</v>
      </c>
      <c r="Y674" s="45"/>
      <c r="Z674" s="74"/>
      <c r="AA674" s="53">
        <f>P_2_minQ+(AA671^2*R_dn)-dpdn_minQ</f>
        <v>25.016067981957629</v>
      </c>
      <c r="AB674" s="45"/>
      <c r="AC674" s="74"/>
      <c r="AD674" s="53">
        <f>P_2_minQ+(AD671^2*R_dn)-dpdn_minQ</f>
        <v>25.628601830185129</v>
      </c>
      <c r="AE674" s="45"/>
      <c r="AF674" s="74"/>
      <c r="AG674" s="53">
        <f>P_2_minQ+(AG671^2*R_dn)-dpdn_minQ</f>
        <v>26.811042750543251</v>
      </c>
      <c r="AH674" s="45"/>
      <c r="AI674" s="74"/>
      <c r="AJ674" s="53">
        <f>P_2_minQ+(AJ671^2*R_dn)-dpdn_minQ</f>
        <v>28.493314563796833</v>
      </c>
      <c r="AK674" s="45"/>
      <c r="AL674" s="74"/>
      <c r="AM674" s="53">
        <f>P_2_minQ+(AM671^2*R_dn)-dpdn_minQ</f>
        <v>30.368861397975561</v>
      </c>
      <c r="AN674" s="45"/>
      <c r="AO674" s="74"/>
      <c r="AP674" s="53">
        <f>P_2_minQ+(AP671^2*R_dn)-dpdn_minQ</f>
        <v>32.355805721612128</v>
      </c>
      <c r="AQ674" s="45"/>
      <c r="AR674" s="74"/>
      <c r="AS674" s="53">
        <f>P_2_minQ+(AS671^2*R_dn)-dpdn_minQ</f>
        <v>34.628994235726033</v>
      </c>
      <c r="AT674" s="45"/>
      <c r="AU674" s="74"/>
    </row>
    <row r="675" spans="15:47" x14ac:dyDescent="0.25">
      <c r="O675" s="6" t="s">
        <v>243</v>
      </c>
      <c r="Q675" s="60"/>
      <c r="R675" s="53">
        <f>R673-R674</f>
        <v>32.259113879560566</v>
      </c>
      <c r="S675" s="56"/>
      <c r="T675" s="72"/>
      <c r="U675" s="64">
        <f>U673-U674</f>
        <v>32.156744273327398</v>
      </c>
      <c r="V675" s="44"/>
      <c r="W675" s="72"/>
      <c r="X675" s="64">
        <f>X673-X674</f>
        <v>31.668047445183223</v>
      </c>
      <c r="Y675" s="44"/>
      <c r="Z675" s="72"/>
      <c r="AA675" s="64">
        <f>AA673-AA674</f>
        <v>30.103592108254237</v>
      </c>
      <c r="AB675" s="44"/>
      <c r="AC675" s="72"/>
      <c r="AD675" s="64">
        <f>AD673-AD674</f>
        <v>26.428389018889224</v>
      </c>
      <c r="AE675" s="44"/>
      <c r="AF675" s="72"/>
      <c r="AG675" s="64">
        <f>AG673-AG674</f>
        <v>19.333743496740489</v>
      </c>
      <c r="AH675" s="44"/>
      <c r="AI675" s="72"/>
      <c r="AJ675" s="64">
        <f>AJ673-AJ674</f>
        <v>9.2401126172190153</v>
      </c>
      <c r="AK675" s="44"/>
      <c r="AL675" s="72"/>
      <c r="AM675" s="64">
        <f>AM673-AM674</f>
        <v>-2.0131683878533622</v>
      </c>
      <c r="AN675" s="44"/>
      <c r="AO675" s="72"/>
      <c r="AP675" s="64">
        <f>AP673-AP674</f>
        <v>-13.934834329672743</v>
      </c>
      <c r="AQ675" s="44"/>
      <c r="AR675" s="72"/>
      <c r="AS675" s="64">
        <f>AS673-AS674</f>
        <v>-27.573965414356184</v>
      </c>
      <c r="AT675" s="44"/>
      <c r="AU675" s="72"/>
    </row>
    <row r="676" spans="15:47" ht="13" x14ac:dyDescent="0.3">
      <c r="O676" s="6" t="s">
        <v>75</v>
      </c>
      <c r="P676" s="6">
        <v>3</v>
      </c>
      <c r="Q676" s="65"/>
      <c r="R676" s="85">
        <f>(F_LP_h/F_P_h)^2*(R673-('Valve Sizing'!$V$4*'Valve Sizing'!$G$7))</f>
        <v>46.764985241981165</v>
      </c>
      <c r="S676" s="58"/>
      <c r="T676" s="73"/>
      <c r="U676" s="53">
        <f>(U$29/U$27)^2*(U673-('Valve Sizing'!$V$4*'Valve Sizing'!$G$7))</f>
        <v>46.681618786221811</v>
      </c>
      <c r="V676" s="41"/>
      <c r="W676" s="73"/>
      <c r="X676" s="53">
        <f>(X$29/X$27)^2*(X673-('Valve Sizing'!$V$4*'Valve Sizing'!$G$7))</f>
        <v>45.299099070002619</v>
      </c>
      <c r="Y676" s="41"/>
      <c r="Z676" s="73"/>
      <c r="AA676" s="53">
        <f>(AA$29/AA$27)^2*(AA673-('Valve Sizing'!$V$4*'Valve Sizing'!$G$7))</f>
        <v>42.25624481584893</v>
      </c>
      <c r="AB676" s="41"/>
      <c r="AC676" s="73"/>
      <c r="AD676" s="53">
        <f>(AD$29/AD$27)^2*(AD673-('Valve Sizing'!$V$4*'Valve Sizing'!$G$7))</f>
        <v>37.225482206527637</v>
      </c>
      <c r="AE676" s="41"/>
      <c r="AF676" s="73"/>
      <c r="AG676" s="53">
        <f>(AG$29/AG$27)^2*(AG673-('Valve Sizing'!$V$4*'Valve Sizing'!$G$7))</f>
        <v>29.435853981334883</v>
      </c>
      <c r="AH676" s="41"/>
      <c r="AI676" s="73"/>
      <c r="AJ676" s="53">
        <f>(AJ$29/AJ$27)^2*(AJ673-('Valve Sizing'!$V$4*'Valve Sizing'!$G$7))</f>
        <v>21.569154869915355</v>
      </c>
      <c r="AK676" s="41"/>
      <c r="AL676" s="73"/>
      <c r="AM676" s="53">
        <f>(AM$29/AM$27)^2*(AM673-('Valve Sizing'!$V$4*'Valve Sizing'!$G$7))</f>
        <v>13.356854040887136</v>
      </c>
      <c r="AN676" s="41"/>
      <c r="AO676" s="73"/>
      <c r="AP676" s="53">
        <f>(AP$29/AP$27)^2*(AP673-('Valve Sizing'!$V$4*'Valve Sizing'!$G$7))</f>
        <v>7.0957509355045216</v>
      </c>
      <c r="AQ676" s="41"/>
      <c r="AR676" s="73"/>
      <c r="AS676" s="53">
        <f>(AS$29/AS$27)^2*(AS673-('Valve Sizing'!$V$4*'Valve Sizing'!$G$7))</f>
        <v>2.4881605022413535</v>
      </c>
      <c r="AT676" s="41"/>
      <c r="AU676" s="73"/>
    </row>
    <row r="677" spans="15:47" ht="13" x14ac:dyDescent="0.25">
      <c r="O677" s="1" t="s">
        <v>69</v>
      </c>
      <c r="P677" s="17">
        <v>7</v>
      </c>
      <c r="Q677" s="65"/>
      <c r="R677" s="53">
        <f>(R671/(N_1*F_P_h))*SQRT('Valve Sizing'!$G$6/R675)</f>
        <v>0.44426004984504769</v>
      </c>
      <c r="S677" s="58"/>
      <c r="T677" s="73"/>
      <c r="U677" s="64">
        <f>(U671/(N_1*U$27))*SQRT('Valve Sizing'!$G$6/U675)</f>
        <v>8.8815797132464454</v>
      </c>
      <c r="V677" s="41"/>
      <c r="W677" s="73"/>
      <c r="X677" s="64">
        <f>(X671/(N_1*X$27))*SQRT('Valve Sizing'!$G$6/X675)</f>
        <v>21.531344545237104</v>
      </c>
      <c r="Y677" s="41"/>
      <c r="Z677" s="73"/>
      <c r="AA677" s="64">
        <f>(AA671/(N_1*AA$27))*SQRT('Valve Sizing'!$G$6/AA675)</f>
        <v>42.408533495105949</v>
      </c>
      <c r="AB677" s="41"/>
      <c r="AC677" s="73"/>
      <c r="AD677" s="64">
        <f>(AD671/(N_1*AD$27))*SQRT('Valve Sizing'!$G$6/AD675)</f>
        <v>75.373895548725358</v>
      </c>
      <c r="AE677" s="41"/>
      <c r="AF677" s="73"/>
      <c r="AG677" s="64">
        <f>(AG671/(N_1*AG$27))*SQRT('Valve Sizing'!$G$6/AG675)</f>
        <v>134.13326346926763</v>
      </c>
      <c r="AH677" s="41"/>
      <c r="AI677" s="73"/>
      <c r="AJ677" s="64">
        <f>(AJ671/(N_1*AJ$27))*SQRT('Valve Sizing'!$G$6/AJ675)</f>
        <v>268.33715964630096</v>
      </c>
      <c r="AK677" s="41"/>
      <c r="AL677" s="73"/>
      <c r="AM677" s="64" t="e">
        <f>(AM671/(N_1*AM$27))*SQRT('Valve Sizing'!$G$6/AM675)</f>
        <v>#NUM!</v>
      </c>
      <c r="AN677" s="41"/>
      <c r="AO677" s="73"/>
      <c r="AP677" s="64" t="e">
        <f>(AP671/(N_1*AP$27))*SQRT('Valve Sizing'!$G$6/AP675)</f>
        <v>#NUM!</v>
      </c>
      <c r="AQ677" s="41"/>
      <c r="AR677" s="73"/>
      <c r="AS677" s="64" t="e">
        <f>(AS671/(N_1*AS$27))*SQRT('Valve Sizing'!$G$6/AS675)</f>
        <v>#NUM!</v>
      </c>
      <c r="AT677" s="41"/>
      <c r="AU677" s="73"/>
    </row>
    <row r="678" spans="15:47" ht="13" x14ac:dyDescent="0.3">
      <c r="O678" s="1" t="s">
        <v>72</v>
      </c>
      <c r="P678" s="17">
        <v>7</v>
      </c>
      <c r="Q678" s="65"/>
      <c r="R678" s="53">
        <f>(R671/(N_1*F_P_h))*SQRT('Valve Sizing'!$G$6/R676)</f>
        <v>0.36898021281326848</v>
      </c>
      <c r="S678" s="56"/>
      <c r="T678" s="72"/>
      <c r="U678" s="85">
        <f>(U671/(N_1*U$27))*SQRT('Valve Sizing'!$G$6/U676)</f>
        <v>7.3714563820058752</v>
      </c>
      <c r="V678" s="44"/>
      <c r="W678" s="72"/>
      <c r="X678" s="85">
        <f>(X671/(N_1*X$27))*SQRT('Valve Sizing'!$G$6/X676)</f>
        <v>18.002673775100412</v>
      </c>
      <c r="Y678" s="44"/>
      <c r="Z678" s="72"/>
      <c r="AA678" s="85">
        <f>(AA671/(N_1*AA$27))*SQRT('Valve Sizing'!$G$6/AA676)</f>
        <v>35.794554788830908</v>
      </c>
      <c r="AB678" s="44"/>
      <c r="AC678" s="72"/>
      <c r="AD678" s="85">
        <f>(AD671/(N_1*AD$27))*SQRT('Valve Sizing'!$G$6/AD676)</f>
        <v>63.509126693753224</v>
      </c>
      <c r="AE678" s="44"/>
      <c r="AF678" s="72"/>
      <c r="AG678" s="85">
        <f>(AG671/(N_1*AG$27))*SQRT('Valve Sizing'!$G$6/AG676)</f>
        <v>108.70665877280375</v>
      </c>
      <c r="AH678" s="44"/>
      <c r="AI678" s="72"/>
      <c r="AJ678" s="85">
        <f>(AJ671/(N_1*AJ$27))*SQRT('Valve Sizing'!$G$6/AJ676)</f>
        <v>175.63169240520577</v>
      </c>
      <c r="AK678" s="44"/>
      <c r="AL678" s="72"/>
      <c r="AM678" s="85">
        <f>(AM671/(N_1*AM$27))*SQRT('Valve Sizing'!$G$6/AM676)</f>
        <v>288.94389886817316</v>
      </c>
      <c r="AN678" s="44"/>
      <c r="AO678" s="72"/>
      <c r="AP678" s="85">
        <f>(AP671/(N_1*AP$27))*SQRT('Valve Sizing'!$G$6/AP676)</f>
        <v>523.84585251598025</v>
      </c>
      <c r="AQ678" s="44"/>
      <c r="AR678" s="72"/>
      <c r="AS678" s="85">
        <f>(AS671/(N_1*AS$27))*SQRT('Valve Sizing'!$G$6/AS676)</f>
        <v>1348.4920003640054</v>
      </c>
      <c r="AT678" s="44"/>
      <c r="AU678" s="72"/>
    </row>
    <row r="679" spans="15:47" x14ac:dyDescent="0.25">
      <c r="O679" s="1" t="s">
        <v>246</v>
      </c>
      <c r="P679" s="18"/>
      <c r="Q679" s="65"/>
      <c r="R679" s="53">
        <f>IF(R675&lt;R676,R677,R678)</f>
        <v>0.44426004984504769</v>
      </c>
      <c r="S679" s="49"/>
      <c r="T679" s="72"/>
      <c r="U679" s="64">
        <f>IF(U675&lt;U676,U677,U678)</f>
        <v>8.8815797132464454</v>
      </c>
      <c r="V679" s="44"/>
      <c r="W679" s="72"/>
      <c r="X679" s="64">
        <f>IF(X675&lt;X676,X677,X678)</f>
        <v>21.531344545237104</v>
      </c>
      <c r="Y679" s="44"/>
      <c r="Z679" s="72"/>
      <c r="AA679" s="64">
        <f>IF(AA675&lt;AA676,AA677,AA678)</f>
        <v>42.408533495105949</v>
      </c>
      <c r="AB679" s="44"/>
      <c r="AC679" s="72"/>
      <c r="AD679" s="64">
        <f>IF(AD675&lt;AD676,AD677,AD678)</f>
        <v>75.373895548725358</v>
      </c>
      <c r="AE679" s="44"/>
      <c r="AF679" s="72"/>
      <c r="AG679" s="64">
        <f>IF(AG675&lt;AG676,AG677,AG678)</f>
        <v>134.13326346926763</v>
      </c>
      <c r="AH679" s="44"/>
      <c r="AI679" s="72"/>
      <c r="AJ679" s="64">
        <f>IF(AJ675&lt;AJ676,AJ677,AJ678)</f>
        <v>268.33715964630096</v>
      </c>
      <c r="AK679" s="44"/>
      <c r="AL679" s="72"/>
      <c r="AM679" s="64" t="e">
        <f>IF(AM675&lt;AM676,AM677,AM678)</f>
        <v>#NUM!</v>
      </c>
      <c r="AN679" s="44"/>
      <c r="AO679" s="72"/>
      <c r="AP679" s="64" t="e">
        <f>IF(AP675&lt;AP676,AP677,AP678)</f>
        <v>#NUM!</v>
      </c>
      <c r="AQ679" s="44"/>
      <c r="AR679" s="72"/>
      <c r="AS679" s="64" t="e">
        <f>IF(AS675&lt;AS676,AS677,AS678)</f>
        <v>#NUM!</v>
      </c>
      <c r="AT679" s="44"/>
      <c r="AU679" s="72"/>
    </row>
    <row r="680" spans="15:47" ht="13" x14ac:dyDescent="0.3">
      <c r="O680" s="7" t="s">
        <v>264</v>
      </c>
      <c r="Q680" s="61"/>
      <c r="R680" s="53"/>
      <c r="S680" s="69">
        <f>IFERROR(ABS(C_h-R679),Q_max*10)</f>
        <v>4.555739950154952</v>
      </c>
      <c r="T680" s="76">
        <f>R671</f>
        <v>2.522899491245993</v>
      </c>
      <c r="U680" s="61"/>
      <c r="V680" s="69">
        <f>IFERROR(ABS(U$23-U679),Q_max*10)</f>
        <v>3.1184202867535546</v>
      </c>
      <c r="W680" s="75">
        <f>U671</f>
        <v>50.322311708092563</v>
      </c>
      <c r="X680" s="61"/>
      <c r="Y680" s="69">
        <f>IFERROR(ABS(X$23-X679),Q_max*10)</f>
        <v>1.4686554547628958</v>
      </c>
      <c r="Z680" s="75">
        <f>X671</f>
        <v>120.7929190395856</v>
      </c>
      <c r="AA680" s="61"/>
      <c r="AB680" s="69">
        <f>IFERROR(ABS(AA$23-AA679),Q_max*10)</f>
        <v>3.4085334951059494</v>
      </c>
      <c r="AC680" s="75">
        <f>AA671</f>
        <v>230.63795162294215</v>
      </c>
      <c r="AD680" s="61"/>
      <c r="AE680" s="69">
        <f>IFERROR(ABS(AD$23-AD679),Q_max*10)</f>
        <v>14.373895548725358</v>
      </c>
      <c r="AF680" s="75">
        <f>AD671</f>
        <v>379.31451456398077</v>
      </c>
      <c r="AG680" s="61"/>
      <c r="AH680" s="69">
        <f>IFERROR(ABS(AG$23-AG679),Q_max*10)</f>
        <v>46.133263469267632</v>
      </c>
      <c r="AI680" s="75">
        <f>AG671</f>
        <v>564.74762435793241</v>
      </c>
      <c r="AJ680" s="61"/>
      <c r="AK680" s="69">
        <f>IFERROR(ABS(AJ$23-AJ679),Q_max*10)</f>
        <v>147.33715964630096</v>
      </c>
      <c r="AL680" s="75">
        <f>AJ671</f>
        <v>753.65789398779657</v>
      </c>
      <c r="AM680" s="61"/>
      <c r="AN680" s="69">
        <f>IFERROR(ABS(AM$23-AM679),Q_max*10)</f>
        <v>5500</v>
      </c>
      <c r="AO680" s="75">
        <f>AM671</f>
        <v>919.6058557720703</v>
      </c>
      <c r="AP680" s="61"/>
      <c r="AQ680" s="69">
        <f>IFERROR(ABS(AP$23-AP679),Q_max*10)</f>
        <v>5500</v>
      </c>
      <c r="AR680" s="75">
        <f>AP671</f>
        <v>1067.6338497278339</v>
      </c>
      <c r="AS680" s="61"/>
      <c r="AT680" s="69">
        <f>IFERROR(ABS(AS$23-AS679),Q_max*10)</f>
        <v>5500</v>
      </c>
      <c r="AU680" s="75">
        <f>AS671</f>
        <v>1215.0669103383725</v>
      </c>
    </row>
    <row r="681" spans="15:47" ht="14.5" x14ac:dyDescent="0.35">
      <c r="O681" s="6"/>
      <c r="P681" s="6"/>
      <c r="Q681" s="60"/>
      <c r="R681" s="67"/>
      <c r="S681" s="56"/>
      <c r="T681" s="72"/>
      <c r="V681" s="11"/>
      <c r="W681" s="38"/>
      <c r="Y681" s="11"/>
      <c r="Z681" s="38"/>
      <c r="AB681" s="11"/>
      <c r="AC681" s="38"/>
      <c r="AE681" s="11"/>
      <c r="AF681" s="38"/>
      <c r="AH681" s="11"/>
      <c r="AI681" s="38"/>
      <c r="AK681" s="11"/>
      <c r="AL681" s="38"/>
      <c r="AN681" s="11"/>
      <c r="AO681" s="38"/>
      <c r="AQ681" s="11"/>
      <c r="AR681" s="38"/>
      <c r="AT681" s="11"/>
      <c r="AU681" s="38"/>
    </row>
    <row r="682" spans="15:47" ht="14" x14ac:dyDescent="0.3">
      <c r="O682" s="8" t="s">
        <v>235</v>
      </c>
      <c r="P682" s="6"/>
      <c r="Q682" s="60"/>
      <c r="R682" s="53">
        <f>R671*1.02</f>
        <v>2.573357481070913</v>
      </c>
      <c r="S682" s="58" t="s">
        <v>238</v>
      </c>
      <c r="T682" s="73" t="s">
        <v>241</v>
      </c>
      <c r="U682" s="84">
        <f>U671*1.01</f>
        <v>50.825534825173492</v>
      </c>
      <c r="V682" s="58" t="s">
        <v>238</v>
      </c>
      <c r="W682" s="73" t="s">
        <v>241</v>
      </c>
      <c r="X682" s="84">
        <f>X671*1.01</f>
        <v>122.00084822998146</v>
      </c>
      <c r="Y682" s="58" t="s">
        <v>238</v>
      </c>
      <c r="Z682" s="73" t="s">
        <v>241</v>
      </c>
      <c r="AA682" s="84">
        <f>AA671*1.01</f>
        <v>232.94433113917157</v>
      </c>
      <c r="AB682" s="58" t="s">
        <v>238</v>
      </c>
      <c r="AC682" s="73" t="s">
        <v>241</v>
      </c>
      <c r="AD682" s="84">
        <f>AD671*1.01</f>
        <v>383.10765970962058</v>
      </c>
      <c r="AE682" s="58" t="s">
        <v>238</v>
      </c>
      <c r="AF682" s="73" t="s">
        <v>241</v>
      </c>
      <c r="AG682" s="84">
        <f>AG671*1.01</f>
        <v>570.39510060151179</v>
      </c>
      <c r="AH682" s="58" t="s">
        <v>238</v>
      </c>
      <c r="AI682" s="73" t="s">
        <v>241</v>
      </c>
      <c r="AJ682" s="84">
        <f>AJ671*1.01</f>
        <v>761.1944729276745</v>
      </c>
      <c r="AK682" s="58" t="s">
        <v>238</v>
      </c>
      <c r="AL682" s="73" t="s">
        <v>241</v>
      </c>
      <c r="AM682" s="84">
        <f>AM671*1.01</f>
        <v>928.80191432979097</v>
      </c>
      <c r="AN682" s="58" t="s">
        <v>238</v>
      </c>
      <c r="AO682" s="73" t="s">
        <v>241</v>
      </c>
      <c r="AP682" s="84">
        <f>AP671*1.01</f>
        <v>1078.3101882251121</v>
      </c>
      <c r="AQ682" s="58" t="s">
        <v>238</v>
      </c>
      <c r="AR682" s="73" t="s">
        <v>241</v>
      </c>
      <c r="AS682" s="84">
        <f>AS671*1.01</f>
        <v>1227.2175794417562</v>
      </c>
      <c r="AT682" s="58" t="s">
        <v>238</v>
      </c>
      <c r="AU682" s="73" t="s">
        <v>241</v>
      </c>
    </row>
    <row r="683" spans="15:47" ht="13" x14ac:dyDescent="0.25">
      <c r="O683" s="6"/>
      <c r="P683" s="6"/>
      <c r="Q683" s="60"/>
      <c r="R683" s="70"/>
      <c r="S683" s="63" t="s">
        <v>250</v>
      </c>
      <c r="T683" s="71" t="s">
        <v>242</v>
      </c>
      <c r="U683" s="61"/>
      <c r="V683" s="63" t="s">
        <v>250</v>
      </c>
      <c r="W683" s="71" t="s">
        <v>242</v>
      </c>
      <c r="X683" s="61"/>
      <c r="Y683" s="63" t="s">
        <v>250</v>
      </c>
      <c r="Z683" s="71" t="s">
        <v>242</v>
      </c>
      <c r="AA683" s="61"/>
      <c r="AB683" s="63" t="s">
        <v>250</v>
      </c>
      <c r="AC683" s="71" t="s">
        <v>242</v>
      </c>
      <c r="AD683" s="61"/>
      <c r="AE683" s="63" t="s">
        <v>250</v>
      </c>
      <c r="AF683" s="71" t="s">
        <v>242</v>
      </c>
      <c r="AG683" s="61"/>
      <c r="AH683" s="63" t="s">
        <v>250</v>
      </c>
      <c r="AI683" s="71" t="s">
        <v>242</v>
      </c>
      <c r="AJ683" s="61"/>
      <c r="AK683" s="63" t="s">
        <v>250</v>
      </c>
      <c r="AL683" s="71" t="s">
        <v>242</v>
      </c>
      <c r="AM683" s="61"/>
      <c r="AN683" s="63" t="s">
        <v>250</v>
      </c>
      <c r="AO683" s="71" t="s">
        <v>242</v>
      </c>
      <c r="AP683" s="61"/>
      <c r="AQ683" s="63" t="s">
        <v>250</v>
      </c>
      <c r="AR683" s="71" t="s">
        <v>242</v>
      </c>
      <c r="AS683" s="61"/>
      <c r="AT683" s="63" t="s">
        <v>250</v>
      </c>
      <c r="AU683" s="71" t="s">
        <v>242</v>
      </c>
    </row>
    <row r="684" spans="15:47" ht="13" x14ac:dyDescent="0.3">
      <c r="O684" s="6" t="s">
        <v>231</v>
      </c>
      <c r="P684" s="6"/>
      <c r="Q684" s="60"/>
      <c r="R684" s="85">
        <f>P_1_minQ-(R682^2*R_up)+dpup_minQ</f>
        <v>56.915919548506402</v>
      </c>
      <c r="S684" s="56"/>
      <c r="T684" s="72"/>
      <c r="U684" s="53">
        <f>P_1_minQ-(U682^2*R_up)+dpup_minQ</f>
        <v>56.828901216134248</v>
      </c>
      <c r="V684" s="44"/>
      <c r="W684" s="72"/>
      <c r="X684" s="53">
        <f>P_1_minQ-(X682^2*R_up)+dpup_minQ</f>
        <v>56.41346818747602</v>
      </c>
      <c r="Y684" s="44"/>
      <c r="Z684" s="72"/>
      <c r="AA684" s="53">
        <f>P_1_minQ-(AA682^2*R_up)+dpup_minQ</f>
        <v>55.083550779808306</v>
      </c>
      <c r="AB684" s="44"/>
      <c r="AC684" s="72"/>
      <c r="AD684" s="53">
        <f>P_1_minQ-(AD682^2*R_up)+dpup_minQ</f>
        <v>51.959321886923931</v>
      </c>
      <c r="AE684" s="44"/>
      <c r="AF684" s="72"/>
      <c r="AG684" s="53">
        <f>P_1_minQ-(AG682^2*R_up)+dpup_minQ</f>
        <v>45.928281972637329</v>
      </c>
      <c r="AH684" s="44"/>
      <c r="AI684" s="72"/>
      <c r="AJ684" s="53">
        <f>P_1_minQ-(AJ682^2*R_up)+dpup_minQ</f>
        <v>37.347854589137448</v>
      </c>
      <c r="AK684" s="44"/>
      <c r="AL684" s="72"/>
      <c r="AM684" s="53">
        <f>P_1_minQ-(AM682^2*R_up)+dpup_minQ</f>
        <v>27.781627961408837</v>
      </c>
      <c r="AN684" s="44"/>
      <c r="AO684" s="72"/>
      <c r="AP684" s="53">
        <f>P_1_minQ-(AP682^2*R_up)+dpup_minQ</f>
        <v>17.647218438700545</v>
      </c>
      <c r="AQ684" s="44"/>
      <c r="AR684" s="72"/>
      <c r="AS684" s="53">
        <f>P_1_minQ-(AS682^2*R_up)+dpup_minQ</f>
        <v>6.0528204224625695</v>
      </c>
      <c r="AT684" s="44"/>
      <c r="AU684" s="72"/>
    </row>
    <row r="685" spans="15:47" ht="13" x14ac:dyDescent="0.3">
      <c r="O685" s="6" t="s">
        <v>233</v>
      </c>
      <c r="P685" s="6"/>
      <c r="Q685" s="60"/>
      <c r="R685" s="85">
        <f>P_2_minQ+(R682^2*R_dn)-dpdn_minQ</f>
        <v>24.656816090298719</v>
      </c>
      <c r="S685" s="66"/>
      <c r="T685" s="74"/>
      <c r="U685" s="53">
        <f>P_2_minQ+(U682^2*R_dn)-dpdn_minQ</f>
        <v>24.674219756773152</v>
      </c>
      <c r="V685" s="45"/>
      <c r="W685" s="74"/>
      <c r="X685" s="53">
        <f>P_2_minQ+(X682^2*R_dn)-dpdn_minQ</f>
        <v>24.757306362504796</v>
      </c>
      <c r="Y685" s="45"/>
      <c r="Z685" s="74"/>
      <c r="AA685" s="53">
        <f>P_2_minQ+(AA682^2*R_dn)-dpdn_minQ</f>
        <v>25.023289844038338</v>
      </c>
      <c r="AB685" s="45"/>
      <c r="AC685" s="74"/>
      <c r="AD685" s="53">
        <f>P_2_minQ+(AD682^2*R_dn)-dpdn_minQ</f>
        <v>25.648135622615214</v>
      </c>
      <c r="AE685" s="45"/>
      <c r="AF685" s="74"/>
      <c r="AG685" s="53">
        <f>P_2_minQ+(AG682^2*R_dn)-dpdn_minQ</f>
        <v>26.854343605472536</v>
      </c>
      <c r="AH685" s="45"/>
      <c r="AI685" s="74"/>
      <c r="AJ685" s="53">
        <f>P_2_minQ+(AJ682^2*R_dn)-dpdn_minQ</f>
        <v>28.570429082172513</v>
      </c>
      <c r="AK685" s="45"/>
      <c r="AL685" s="74"/>
      <c r="AM685" s="53">
        <f>P_2_minQ+(AM682^2*R_dn)-dpdn_minQ</f>
        <v>30.483674407718233</v>
      </c>
      <c r="AN685" s="45"/>
      <c r="AO685" s="74"/>
      <c r="AP685" s="53">
        <f>P_2_minQ+(AP682^2*R_dn)-dpdn_minQ</f>
        <v>32.510556312259894</v>
      </c>
      <c r="AQ685" s="45"/>
      <c r="AR685" s="74"/>
      <c r="AS685" s="53">
        <f>P_2_minQ+(AS682^2*R_dn)-dpdn_minQ</f>
        <v>34.829435915507489</v>
      </c>
      <c r="AT685" s="45"/>
      <c r="AU685" s="74"/>
    </row>
    <row r="686" spans="15:47" x14ac:dyDescent="0.25">
      <c r="O686" s="6" t="s">
        <v>243</v>
      </c>
      <c r="Q686" s="60"/>
      <c r="R686" s="53">
        <f>R684-R685</f>
        <v>32.259103458207683</v>
      </c>
      <c r="S686" s="56"/>
      <c r="T686" s="72"/>
      <c r="U686" s="64">
        <f>U684-U685</f>
        <v>32.1546814593611</v>
      </c>
      <c r="V686" s="44"/>
      <c r="W686" s="72"/>
      <c r="X686" s="64">
        <f>X684-X685</f>
        <v>31.656161824971225</v>
      </c>
      <c r="Y686" s="44"/>
      <c r="Z686" s="72"/>
      <c r="AA686" s="64">
        <f>AA684-AA685</f>
        <v>30.060260935769968</v>
      </c>
      <c r="AB686" s="44"/>
      <c r="AC686" s="72"/>
      <c r="AD686" s="64">
        <f>AD684-AD685</f>
        <v>26.311186264308716</v>
      </c>
      <c r="AE686" s="44"/>
      <c r="AF686" s="72"/>
      <c r="AG686" s="64">
        <f>AG684-AG685</f>
        <v>19.073938367164793</v>
      </c>
      <c r="AH686" s="44"/>
      <c r="AI686" s="72"/>
      <c r="AJ686" s="64">
        <f>AJ684-AJ685</f>
        <v>8.777425506964935</v>
      </c>
      <c r="AK686" s="44"/>
      <c r="AL686" s="72"/>
      <c r="AM686" s="64">
        <f>AM684-AM685</f>
        <v>-2.7020464463093958</v>
      </c>
      <c r="AN686" s="44"/>
      <c r="AO686" s="72"/>
      <c r="AP686" s="64">
        <f>AP684-AP685</f>
        <v>-14.863337873559349</v>
      </c>
      <c r="AQ686" s="44"/>
      <c r="AR686" s="72"/>
      <c r="AS686" s="64">
        <f>AS684-AS685</f>
        <v>-28.776615493044918</v>
      </c>
      <c r="AT686" s="44"/>
      <c r="AU686" s="72"/>
    </row>
    <row r="687" spans="15:47" ht="13" x14ac:dyDescent="0.3">
      <c r="O687" s="6" t="s">
        <v>75</v>
      </c>
      <c r="P687" s="6">
        <v>3</v>
      </c>
      <c r="Q687" s="65"/>
      <c r="R687" s="85">
        <f>(F_LP_h/F_P_h)^2*(R684-('Valve Sizing'!$V$4*'Valve Sizing'!$G$7))</f>
        <v>46.764978050791825</v>
      </c>
      <c r="S687" s="58"/>
      <c r="T687" s="73"/>
      <c r="U687" s="53">
        <f>(U$29/U$27)^2*(U684-('Valve Sizing'!$V$4*'Valve Sizing'!$G$7))</f>
        <v>46.680195742322965</v>
      </c>
      <c r="V687" s="41"/>
      <c r="W687" s="73"/>
      <c r="X687" s="53">
        <f>(X$29/X$27)^2*(X684-('Valve Sizing'!$V$4*'Valve Sizing'!$G$7))</f>
        <v>45.291084660031409</v>
      </c>
      <c r="Y687" s="41"/>
      <c r="Z687" s="73"/>
      <c r="AA687" s="53">
        <f>(AA$29/AA$27)^2*(AA684-('Valve Sizing'!$V$4*'Valve Sizing'!$G$7))</f>
        <v>42.228339641104078</v>
      </c>
      <c r="AB687" s="41"/>
      <c r="AC687" s="73"/>
      <c r="AD687" s="53">
        <f>(AD$29/AD$27)^2*(AD684-('Valve Sizing'!$V$4*'Valve Sizing'!$G$7))</f>
        <v>37.155044580952833</v>
      </c>
      <c r="AE687" s="41"/>
      <c r="AF687" s="73"/>
      <c r="AG687" s="53">
        <f>(AG$29/AG$27)^2*(AG684-('Valve Sizing'!$V$4*'Valve Sizing'!$G$7))</f>
        <v>29.296415712843579</v>
      </c>
      <c r="AH687" s="41"/>
      <c r="AI687" s="73"/>
      <c r="AJ687" s="53">
        <f>(AJ$29/AJ$27)^2*(AJ684-('Valve Sizing'!$V$4*'Valve Sizing'!$G$7))</f>
        <v>21.346153434093598</v>
      </c>
      <c r="AK687" s="41"/>
      <c r="AL687" s="73"/>
      <c r="AM687" s="53">
        <f>(AM$29/AM$27)^2*(AM684-('Valve Sizing'!$V$4*'Valve Sizing'!$G$7))</f>
        <v>13.082179903188649</v>
      </c>
      <c r="AN687" s="41"/>
      <c r="AO687" s="73"/>
      <c r="AP687" s="53">
        <f>(AP$29/AP$27)^2*(AP684-('Valve Sizing'!$V$4*'Valve Sizing'!$G$7))</f>
        <v>6.790407262408686</v>
      </c>
      <c r="AQ687" s="41"/>
      <c r="AR687" s="73"/>
      <c r="AS687" s="53">
        <f>(AS$29/AS$27)^2*(AS684-('Valve Sizing'!$V$4*'Valve Sizing'!$G$7))</f>
        <v>2.1111890392188526</v>
      </c>
      <c r="AT687" s="41"/>
      <c r="AU687" s="73"/>
    </row>
    <row r="688" spans="15:47" ht="13" x14ac:dyDescent="0.25">
      <c r="O688" s="1" t="s">
        <v>69</v>
      </c>
      <c r="P688" s="17">
        <v>7</v>
      </c>
      <c r="Q688" s="65"/>
      <c r="R688" s="53">
        <f>(R682/(N_1*F_P_h))*SQRT('Valve Sizing'!$G$6/R686)</f>
        <v>0.45314532403657715</v>
      </c>
      <c r="S688" s="58"/>
      <c r="T688" s="73"/>
      <c r="U688" s="64">
        <f>(U682/(N_1*U$27))*SQRT('Valve Sizing'!$G$6/U686)</f>
        <v>8.9706832439146904</v>
      </c>
      <c r="V688" s="41"/>
      <c r="W688" s="73"/>
      <c r="X688" s="64">
        <f>(X682/(N_1*X$27))*SQRT('Valve Sizing'!$G$6/X686)</f>
        <v>21.75074010686992</v>
      </c>
      <c r="Y688" s="41"/>
      <c r="Z688" s="73"/>
      <c r="AA688" s="64">
        <f>(AA682/(N_1*AA$27))*SQRT('Valve Sizing'!$G$6/AA686)</f>
        <v>42.863478828898089</v>
      </c>
      <c r="AB688" s="41"/>
      <c r="AC688" s="73"/>
      <c r="AD688" s="64">
        <f>(AD682/(N_1*AD$27))*SQRT('Valve Sizing'!$G$6/AD686)</f>
        <v>76.297000763609674</v>
      </c>
      <c r="AE688" s="41"/>
      <c r="AF688" s="73"/>
      <c r="AG688" s="64">
        <f>(AG682/(N_1*AG$27))*SQRT('Valve Sizing'!$G$6/AG686)</f>
        <v>136.39412173068021</v>
      </c>
      <c r="AH688" s="41"/>
      <c r="AI688" s="73"/>
      <c r="AJ688" s="64">
        <f>(AJ682/(N_1*AJ$27))*SQRT('Valve Sizing'!$G$6/AJ686)</f>
        <v>278.07199215310737</v>
      </c>
      <c r="AK688" s="41"/>
      <c r="AL688" s="73"/>
      <c r="AM688" s="64" t="e">
        <f>(AM682/(N_1*AM$27))*SQRT('Valve Sizing'!$G$6/AM686)</f>
        <v>#NUM!</v>
      </c>
      <c r="AN688" s="41"/>
      <c r="AO688" s="73"/>
      <c r="AP688" s="64" t="e">
        <f>(AP682/(N_1*AP$27))*SQRT('Valve Sizing'!$G$6/AP686)</f>
        <v>#NUM!</v>
      </c>
      <c r="AQ688" s="41"/>
      <c r="AR688" s="73"/>
      <c r="AS688" s="64" t="e">
        <f>(AS682/(N_1*AS$27))*SQRT('Valve Sizing'!$G$6/AS686)</f>
        <v>#NUM!</v>
      </c>
      <c r="AT688" s="41"/>
      <c r="AU688" s="73"/>
    </row>
    <row r="689" spans="15:47" ht="13" x14ac:dyDescent="0.3">
      <c r="O689" s="1" t="s">
        <v>72</v>
      </c>
      <c r="P689" s="17">
        <v>7</v>
      </c>
      <c r="Q689" s="65"/>
      <c r="R689" s="53">
        <f>(R682/(N_1*F_P_h))*SQRT('Valve Sizing'!$G$6/R687)</f>
        <v>0.37635984600651534</v>
      </c>
      <c r="S689" s="56"/>
      <c r="T689" s="72"/>
      <c r="U689" s="85">
        <f>(U682/(N_1*U$27))*SQRT('Valve Sizing'!$G$6/U687)</f>
        <v>7.4452844278302148</v>
      </c>
      <c r="V689" s="44"/>
      <c r="W689" s="72"/>
      <c r="X689" s="85">
        <f>(X682/(N_1*X$27))*SQRT('Valve Sizing'!$G$6/X687)</f>
        <v>18.184309186737085</v>
      </c>
      <c r="Y689" s="44"/>
      <c r="Z689" s="72"/>
      <c r="AA689" s="85">
        <f>(AA682/(N_1*AA$27))*SQRT('Valve Sizing'!$G$6/AA687)</f>
        <v>36.164443444572811</v>
      </c>
      <c r="AB689" s="44"/>
      <c r="AC689" s="72"/>
      <c r="AD689" s="85">
        <f>(AD682/(N_1*AD$27))*SQRT('Valve Sizing'!$G$6/AD687)</f>
        <v>64.204990691936743</v>
      </c>
      <c r="AE689" s="44"/>
      <c r="AF689" s="72"/>
      <c r="AG689" s="85">
        <f>(AG682/(N_1*AG$27))*SQRT('Valve Sizing'!$G$6/AG687)</f>
        <v>110.05470052114146</v>
      </c>
      <c r="AH689" s="44"/>
      <c r="AI689" s="72"/>
      <c r="AJ689" s="85">
        <f>(AJ682/(N_1*AJ$27))*SQRT('Valve Sizing'!$G$6/AJ687)</f>
        <v>178.31218058269846</v>
      </c>
      <c r="AK689" s="44"/>
      <c r="AL689" s="72"/>
      <c r="AM689" s="85">
        <f>(AM682/(N_1*AM$27))*SQRT('Valve Sizing'!$G$6/AM687)</f>
        <v>294.88109728934762</v>
      </c>
      <c r="AN689" s="44"/>
      <c r="AO689" s="72"/>
      <c r="AP689" s="85">
        <f>(AP682/(N_1*AP$27))*SQRT('Valve Sizing'!$G$6/AP687)</f>
        <v>540.84915304770118</v>
      </c>
      <c r="AQ689" s="44"/>
      <c r="AR689" s="72"/>
      <c r="AS689" s="85">
        <f>(AS682/(N_1*AS$27))*SQRT('Valve Sizing'!$G$6/AS687)</f>
        <v>1478.5818909349264</v>
      </c>
      <c r="AT689" s="44"/>
      <c r="AU689" s="72"/>
    </row>
    <row r="690" spans="15:47" x14ac:dyDescent="0.25">
      <c r="O690" s="1" t="s">
        <v>246</v>
      </c>
      <c r="P690" s="18"/>
      <c r="Q690" s="65"/>
      <c r="R690" s="53">
        <f>IF(R686&lt;R687,R688,R689)</f>
        <v>0.45314532403657715</v>
      </c>
      <c r="S690" s="49"/>
      <c r="T690" s="72"/>
      <c r="U690" s="64">
        <f>IF(U686&lt;U687,U688,U689)</f>
        <v>8.9706832439146904</v>
      </c>
      <c r="V690" s="44"/>
      <c r="W690" s="72"/>
      <c r="X690" s="64">
        <f>IF(X686&lt;X687,X688,X689)</f>
        <v>21.75074010686992</v>
      </c>
      <c r="Y690" s="44"/>
      <c r="Z690" s="72"/>
      <c r="AA690" s="64">
        <f>IF(AA686&lt;AA687,AA688,AA689)</f>
        <v>42.863478828898089</v>
      </c>
      <c r="AB690" s="44"/>
      <c r="AC690" s="72"/>
      <c r="AD690" s="64">
        <f>IF(AD686&lt;AD687,AD688,AD689)</f>
        <v>76.297000763609674</v>
      </c>
      <c r="AE690" s="44"/>
      <c r="AF690" s="72"/>
      <c r="AG690" s="64">
        <f>IF(AG686&lt;AG687,AG688,AG689)</f>
        <v>136.39412173068021</v>
      </c>
      <c r="AH690" s="44"/>
      <c r="AI690" s="72"/>
      <c r="AJ690" s="64">
        <f>IF(AJ686&lt;AJ687,AJ688,AJ689)</f>
        <v>278.07199215310737</v>
      </c>
      <c r="AK690" s="44"/>
      <c r="AL690" s="72"/>
      <c r="AM690" s="64" t="e">
        <f>IF(AM686&lt;AM687,AM688,AM689)</f>
        <v>#NUM!</v>
      </c>
      <c r="AN690" s="44"/>
      <c r="AO690" s="72"/>
      <c r="AP690" s="64" t="e">
        <f>IF(AP686&lt;AP687,AP688,AP689)</f>
        <v>#NUM!</v>
      </c>
      <c r="AQ690" s="44"/>
      <c r="AR690" s="72"/>
      <c r="AS690" s="64" t="e">
        <f>IF(AS686&lt;AS687,AS688,AS689)</f>
        <v>#NUM!</v>
      </c>
      <c r="AT690" s="44"/>
      <c r="AU690" s="72"/>
    </row>
    <row r="691" spans="15:47" ht="13" x14ac:dyDescent="0.3">
      <c r="O691" s="7" t="s">
        <v>264</v>
      </c>
      <c r="Q691" s="61"/>
      <c r="R691" s="53"/>
      <c r="S691" s="69">
        <f>IFERROR(ABS(C_h-R690),Q_max*10)</f>
        <v>4.5468546759634227</v>
      </c>
      <c r="T691" s="76">
        <f>R682</f>
        <v>2.573357481070913</v>
      </c>
      <c r="U691" s="61"/>
      <c r="V691" s="69">
        <f>IFERROR(ABS(U$23-U690),Q_max*10)</f>
        <v>3.0293167560853096</v>
      </c>
      <c r="W691" s="75">
        <f>U682</f>
        <v>50.825534825173492</v>
      </c>
      <c r="X691" s="61"/>
      <c r="Y691" s="69">
        <f>IFERROR(ABS(X$23-X690),Q_max*10)</f>
        <v>1.2492598931300805</v>
      </c>
      <c r="Z691" s="75">
        <f>X682</f>
        <v>122.00084822998146</v>
      </c>
      <c r="AA691" s="61"/>
      <c r="AB691" s="69">
        <f>IFERROR(ABS(AA$23-AA690),Q_max*10)</f>
        <v>3.8634788288980886</v>
      </c>
      <c r="AC691" s="75">
        <f>AA682</f>
        <v>232.94433113917157</v>
      </c>
      <c r="AD691" s="61"/>
      <c r="AE691" s="69">
        <f>IFERROR(ABS(AD$23-AD690),Q_max*10)</f>
        <v>15.297000763609674</v>
      </c>
      <c r="AF691" s="75">
        <f>AD682</f>
        <v>383.10765970962058</v>
      </c>
      <c r="AG691" s="61"/>
      <c r="AH691" s="69">
        <f>IFERROR(ABS(AG$23-AG690),Q_max*10)</f>
        <v>48.394121730680212</v>
      </c>
      <c r="AI691" s="75">
        <f>AG682</f>
        <v>570.39510060151179</v>
      </c>
      <c r="AJ691" s="61"/>
      <c r="AK691" s="69">
        <f>IFERROR(ABS(AJ$23-AJ690),Q_max*10)</f>
        <v>157.07199215310737</v>
      </c>
      <c r="AL691" s="75">
        <f>AJ682</f>
        <v>761.1944729276745</v>
      </c>
      <c r="AM691" s="61"/>
      <c r="AN691" s="69">
        <f>IFERROR(ABS(AM$23-AM690),Q_max*10)</f>
        <v>5500</v>
      </c>
      <c r="AO691" s="75">
        <f>AM682</f>
        <v>928.80191432979097</v>
      </c>
      <c r="AP691" s="61"/>
      <c r="AQ691" s="69">
        <f>IFERROR(ABS(AP$23-AP690),Q_max*10)</f>
        <v>5500</v>
      </c>
      <c r="AR691" s="75">
        <f>AP682</f>
        <v>1078.3101882251121</v>
      </c>
      <c r="AS691" s="61"/>
      <c r="AT691" s="69">
        <f>IFERROR(ABS(AS$23-AS690),Q_max*10)</f>
        <v>5500</v>
      </c>
      <c r="AU691" s="75">
        <f>AS682</f>
        <v>1227.2175794417562</v>
      </c>
    </row>
    <row r="692" spans="15:47" ht="14.5" x14ac:dyDescent="0.35">
      <c r="O692" s="6"/>
      <c r="P692" s="6"/>
      <c r="Q692" s="60"/>
      <c r="R692" s="67"/>
      <c r="S692" s="66"/>
      <c r="T692" s="74"/>
      <c r="V692" s="11"/>
      <c r="W692" s="38"/>
      <c r="Y692" s="11"/>
      <c r="Z692" s="38"/>
      <c r="AB692" s="11"/>
      <c r="AC692" s="38"/>
      <c r="AE692" s="11"/>
      <c r="AF692" s="38"/>
      <c r="AH692" s="11"/>
      <c r="AI692" s="38"/>
      <c r="AK692" s="11"/>
      <c r="AL692" s="38"/>
      <c r="AN692" s="11"/>
      <c r="AO692" s="38"/>
      <c r="AQ692" s="11"/>
      <c r="AR692" s="38"/>
      <c r="AT692" s="11"/>
      <c r="AU692" s="38"/>
    </row>
    <row r="693" spans="15:47" ht="14" x14ac:dyDescent="0.3">
      <c r="O693" s="8" t="s">
        <v>235</v>
      </c>
      <c r="P693" s="6"/>
      <c r="Q693" s="60"/>
      <c r="R693" s="53">
        <f>R682*1.02</f>
        <v>2.6248246306923315</v>
      </c>
      <c r="S693" s="58" t="s">
        <v>238</v>
      </c>
      <c r="T693" s="73" t="s">
        <v>241</v>
      </c>
      <c r="U693" s="84">
        <f>U682*1.01</f>
        <v>51.333790173425228</v>
      </c>
      <c r="V693" s="58" t="s">
        <v>238</v>
      </c>
      <c r="W693" s="73" t="s">
        <v>241</v>
      </c>
      <c r="X693" s="84">
        <f>X682*1.01</f>
        <v>123.22085671228128</v>
      </c>
      <c r="Y693" s="58" t="s">
        <v>238</v>
      </c>
      <c r="Z693" s="73" t="s">
        <v>241</v>
      </c>
      <c r="AA693" s="84">
        <f>AA682*1.01</f>
        <v>235.27377445056328</v>
      </c>
      <c r="AB693" s="58" t="s">
        <v>238</v>
      </c>
      <c r="AC693" s="73" t="s">
        <v>241</v>
      </c>
      <c r="AD693" s="84">
        <f>AD682*1.01</f>
        <v>386.93873630671681</v>
      </c>
      <c r="AE693" s="58" t="s">
        <v>238</v>
      </c>
      <c r="AF693" s="73" t="s">
        <v>241</v>
      </c>
      <c r="AG693" s="84">
        <f>AG682*1.01</f>
        <v>576.09905160752692</v>
      </c>
      <c r="AH693" s="58" t="s">
        <v>238</v>
      </c>
      <c r="AI693" s="73" t="s">
        <v>241</v>
      </c>
      <c r="AJ693" s="84">
        <f>AJ682*1.01</f>
        <v>768.80641765695123</v>
      </c>
      <c r="AK693" s="58" t="s">
        <v>238</v>
      </c>
      <c r="AL693" s="73" t="s">
        <v>241</v>
      </c>
      <c r="AM693" s="84">
        <f>AM682*1.01</f>
        <v>938.08993347308888</v>
      </c>
      <c r="AN693" s="58" t="s">
        <v>238</v>
      </c>
      <c r="AO693" s="73" t="s">
        <v>241</v>
      </c>
      <c r="AP693" s="84">
        <f>AP682*1.01</f>
        <v>1089.0932901073634</v>
      </c>
      <c r="AQ693" s="58" t="s">
        <v>238</v>
      </c>
      <c r="AR693" s="73" t="s">
        <v>241</v>
      </c>
      <c r="AS693" s="84">
        <f>AS682*1.01</f>
        <v>1239.4897552361738</v>
      </c>
      <c r="AT693" s="58" t="s">
        <v>238</v>
      </c>
      <c r="AU693" s="73" t="s">
        <v>241</v>
      </c>
    </row>
    <row r="694" spans="15:47" ht="13" x14ac:dyDescent="0.25">
      <c r="O694" s="6"/>
      <c r="P694" s="6"/>
      <c r="Q694" s="60"/>
      <c r="R694" s="70"/>
      <c r="S694" s="63" t="s">
        <v>250</v>
      </c>
      <c r="T694" s="71" t="s">
        <v>242</v>
      </c>
      <c r="U694" s="61"/>
      <c r="V694" s="63" t="s">
        <v>250</v>
      </c>
      <c r="W694" s="71" t="s">
        <v>242</v>
      </c>
      <c r="X694" s="61"/>
      <c r="Y694" s="63" t="s">
        <v>250</v>
      </c>
      <c r="Z694" s="71" t="s">
        <v>242</v>
      </c>
      <c r="AA694" s="61"/>
      <c r="AB694" s="63" t="s">
        <v>250</v>
      </c>
      <c r="AC694" s="71" t="s">
        <v>242</v>
      </c>
      <c r="AD694" s="61"/>
      <c r="AE694" s="63" t="s">
        <v>250</v>
      </c>
      <c r="AF694" s="71" t="s">
        <v>242</v>
      </c>
      <c r="AG694" s="61"/>
      <c r="AH694" s="63" t="s">
        <v>250</v>
      </c>
      <c r="AI694" s="71" t="s">
        <v>242</v>
      </c>
      <c r="AJ694" s="61"/>
      <c r="AK694" s="63" t="s">
        <v>250</v>
      </c>
      <c r="AL694" s="71" t="s">
        <v>242</v>
      </c>
      <c r="AM694" s="61"/>
      <c r="AN694" s="63" t="s">
        <v>250</v>
      </c>
      <c r="AO694" s="71" t="s">
        <v>242</v>
      </c>
      <c r="AP694" s="61"/>
      <c r="AQ694" s="63" t="s">
        <v>250</v>
      </c>
      <c r="AR694" s="71" t="s">
        <v>242</v>
      </c>
      <c r="AS694" s="61"/>
      <c r="AT694" s="63" t="s">
        <v>250</v>
      </c>
      <c r="AU694" s="71" t="s">
        <v>242</v>
      </c>
    </row>
    <row r="695" spans="15:47" ht="13" x14ac:dyDescent="0.3">
      <c r="O695" s="6" t="s">
        <v>231</v>
      </c>
      <c r="P695" s="6"/>
      <c r="Q695" s="60"/>
      <c r="R695" s="85">
        <f>P_1_minQ-(R693^2*R_up)+dpup_minQ</f>
        <v>56.915910513193452</v>
      </c>
      <c r="S695" s="56"/>
      <c r="T695" s="72"/>
      <c r="U695" s="53">
        <f>P_1_minQ-(U693^2*R_up)+dpup_minQ</f>
        <v>56.827147652361731</v>
      </c>
      <c r="V695" s="44"/>
      <c r="W695" s="72"/>
      <c r="X695" s="53">
        <f>P_1_minQ-(X693^2*R_up)+dpup_minQ</f>
        <v>56.403364419827469</v>
      </c>
      <c r="Y695" s="44"/>
      <c r="Z695" s="72"/>
      <c r="AA695" s="53">
        <f>P_1_minQ-(AA693^2*R_up)+dpup_minQ</f>
        <v>55.046715672265634</v>
      </c>
      <c r="AB695" s="44"/>
      <c r="AC695" s="72"/>
      <c r="AD695" s="53">
        <f>P_1_minQ-(AD693^2*R_up)+dpup_minQ</f>
        <v>51.859689778634284</v>
      </c>
      <c r="AE695" s="44"/>
      <c r="AF695" s="72"/>
      <c r="AG695" s="53">
        <f>P_1_minQ-(AG693^2*R_up)+dpup_minQ</f>
        <v>45.707425962070516</v>
      </c>
      <c r="AH695" s="44"/>
      <c r="AI695" s="72"/>
      <c r="AJ695" s="53">
        <f>P_1_minQ-(AJ693^2*R_up)+dpup_minQ</f>
        <v>36.954531988162294</v>
      </c>
      <c r="AK695" s="44"/>
      <c r="AL695" s="72"/>
      <c r="AM695" s="53">
        <f>P_1_minQ-(AM693^2*R_up)+dpup_minQ</f>
        <v>27.196024205216336</v>
      </c>
      <c r="AN695" s="44"/>
      <c r="AO695" s="72"/>
      <c r="AP695" s="53">
        <f>P_1_minQ-(AP693^2*R_up)+dpup_minQ</f>
        <v>16.857913051101601</v>
      </c>
      <c r="AQ695" s="44"/>
      <c r="AR695" s="72"/>
      <c r="AS695" s="53">
        <f>P_1_minQ-(AS693^2*R_up)+dpup_minQ</f>
        <v>5.0304676347372519</v>
      </c>
      <c r="AT695" s="44"/>
      <c r="AU695" s="72"/>
    </row>
    <row r="696" spans="15:47" ht="13" x14ac:dyDescent="0.3">
      <c r="O696" s="6" t="s">
        <v>233</v>
      </c>
      <c r="P696" s="6"/>
      <c r="Q696" s="60"/>
      <c r="R696" s="85">
        <f>P_2_minQ+(R693^2*R_dn)-dpdn_minQ</f>
        <v>24.656817897361311</v>
      </c>
      <c r="S696" s="66"/>
      <c r="T696" s="74"/>
      <c r="U696" s="53">
        <f>P_2_minQ+(U693^2*R_dn)-dpdn_minQ</f>
        <v>24.674570469527655</v>
      </c>
      <c r="V696" s="45"/>
      <c r="W696" s="74"/>
      <c r="X696" s="53">
        <f>P_2_minQ+(X693^2*R_dn)-dpdn_minQ</f>
        <v>24.759327116034505</v>
      </c>
      <c r="Y696" s="45"/>
      <c r="Z696" s="74"/>
      <c r="AA696" s="53">
        <f>P_2_minQ+(AA693^2*R_dn)-dpdn_minQ</f>
        <v>25.030656865546874</v>
      </c>
      <c r="AB696" s="45"/>
      <c r="AC696" s="74"/>
      <c r="AD696" s="53">
        <f>P_2_minQ+(AD693^2*R_dn)-dpdn_minQ</f>
        <v>25.668062044273146</v>
      </c>
      <c r="AE696" s="45"/>
      <c r="AF696" s="74"/>
      <c r="AG696" s="53">
        <f>P_2_minQ+(AG693^2*R_dn)-dpdn_minQ</f>
        <v>26.898514807585897</v>
      </c>
      <c r="AH696" s="45"/>
      <c r="AI696" s="74"/>
      <c r="AJ696" s="53">
        <f>P_2_minQ+(AJ693^2*R_dn)-dpdn_minQ</f>
        <v>28.649093602367543</v>
      </c>
      <c r="AK696" s="45"/>
      <c r="AL696" s="74"/>
      <c r="AM696" s="53">
        <f>P_2_minQ+(AM693^2*R_dn)-dpdn_minQ</f>
        <v>30.600795158956732</v>
      </c>
      <c r="AN696" s="45"/>
      <c r="AO696" s="74"/>
      <c r="AP696" s="53">
        <f>P_2_minQ+(AP693^2*R_dn)-dpdn_minQ</f>
        <v>32.668417389779684</v>
      </c>
      <c r="AQ696" s="45"/>
      <c r="AR696" s="74"/>
      <c r="AS696" s="53">
        <f>P_2_minQ+(AS693^2*R_dn)-dpdn_minQ</f>
        <v>35.033906473052554</v>
      </c>
      <c r="AT696" s="45"/>
      <c r="AU696" s="74"/>
    </row>
    <row r="697" spans="15:47" x14ac:dyDescent="0.25">
      <c r="O697" s="6" t="s">
        <v>243</v>
      </c>
      <c r="Q697" s="60"/>
      <c r="R697" s="53">
        <f>R695-R696</f>
        <v>32.259092615832145</v>
      </c>
      <c r="S697" s="56"/>
      <c r="T697" s="72"/>
      <c r="U697" s="64">
        <f>U695-U696</f>
        <v>32.152577182834079</v>
      </c>
      <c r="V697" s="44"/>
      <c r="W697" s="72"/>
      <c r="X697" s="64">
        <f>X695-X696</f>
        <v>31.644037303792963</v>
      </c>
      <c r="Y697" s="44"/>
      <c r="Z697" s="72"/>
      <c r="AA697" s="64">
        <f>AA695-AA696</f>
        <v>30.01605880671876</v>
      </c>
      <c r="AB697" s="44"/>
      <c r="AC697" s="72"/>
      <c r="AD697" s="64">
        <f>AD695-AD696</f>
        <v>26.191627734361138</v>
      </c>
      <c r="AE697" s="44"/>
      <c r="AF697" s="72"/>
      <c r="AG697" s="64">
        <f>AG695-AG696</f>
        <v>18.808911154484619</v>
      </c>
      <c r="AH697" s="44"/>
      <c r="AI697" s="72"/>
      <c r="AJ697" s="64">
        <f>AJ695-AJ696</f>
        <v>8.3054383857947514</v>
      </c>
      <c r="AK697" s="44"/>
      <c r="AL697" s="72"/>
      <c r="AM697" s="64">
        <f>AM695-AM696</f>
        <v>-3.4047709537403961</v>
      </c>
      <c r="AN697" s="44"/>
      <c r="AO697" s="72"/>
      <c r="AP697" s="64">
        <f>AP695-AP696</f>
        <v>-15.810504338678083</v>
      </c>
      <c r="AQ697" s="44"/>
      <c r="AR697" s="72"/>
      <c r="AS697" s="64">
        <f>AS695-AS696</f>
        <v>-30.003438838315301</v>
      </c>
      <c r="AT697" s="44"/>
      <c r="AU697" s="72"/>
    </row>
    <row r="698" spans="15:47" ht="13" x14ac:dyDescent="0.3">
      <c r="O698" s="6" t="s">
        <v>75</v>
      </c>
      <c r="P698" s="6">
        <v>3</v>
      </c>
      <c r="Q698" s="65"/>
      <c r="R698" s="85">
        <f>(F_LP_h/F_P_h)^2*(R695-('Valve Sizing'!$V$4*'Valve Sizing'!$G$7))</f>
        <v>46.764970569078443</v>
      </c>
      <c r="S698" s="58"/>
      <c r="T698" s="73"/>
      <c r="U698" s="53">
        <f>(U$29/U$27)^2*(U695-('Valve Sizing'!$V$4*'Valve Sizing'!$G$7))</f>
        <v>46.678744095241761</v>
      </c>
      <c r="V698" s="41"/>
      <c r="W698" s="73"/>
      <c r="X698" s="53">
        <f>(X$29/X$27)^2*(X695-('Valve Sizing'!$V$4*'Valve Sizing'!$G$7))</f>
        <v>45.282909160419777</v>
      </c>
      <c r="Y698" s="41"/>
      <c r="Z698" s="73"/>
      <c r="AA698" s="53">
        <f>(AA$29/AA$27)^2*(AA695-('Valve Sizing'!$V$4*'Valve Sizing'!$G$7))</f>
        <v>42.199873572346846</v>
      </c>
      <c r="AB698" s="41"/>
      <c r="AC698" s="73"/>
      <c r="AD698" s="53">
        <f>(AD$29/AD$27)^2*(AD695-('Valve Sizing'!$V$4*'Valve Sizing'!$G$7))</f>
        <v>37.083191159103976</v>
      </c>
      <c r="AE698" s="41"/>
      <c r="AF698" s="73"/>
      <c r="AG698" s="53">
        <f>(AG$29/AG$27)^2*(AG695-('Valve Sizing'!$V$4*'Valve Sizing'!$G$7))</f>
        <v>29.154174735155593</v>
      </c>
      <c r="AH698" s="41"/>
      <c r="AI698" s="73"/>
      <c r="AJ698" s="53">
        <f>(AJ$29/AJ$27)^2*(AJ695-('Valve Sizing'!$V$4*'Valve Sizing'!$G$7))</f>
        <v>21.118669669411823</v>
      </c>
      <c r="AK698" s="41"/>
      <c r="AL698" s="73"/>
      <c r="AM698" s="53">
        <f>(AM$29/AM$27)^2*(AM695-('Valve Sizing'!$V$4*'Valve Sizing'!$G$7))</f>
        <v>12.801984815322424</v>
      </c>
      <c r="AN698" s="41"/>
      <c r="AO698" s="73"/>
      <c r="AP698" s="53">
        <f>(AP$29/AP$27)^2*(AP695-('Valve Sizing'!$V$4*'Valve Sizing'!$G$7))</f>
        <v>6.4789261814836223</v>
      </c>
      <c r="AQ698" s="41"/>
      <c r="AR698" s="73"/>
      <c r="AS698" s="53">
        <f>(AS$29/AS$27)^2*(AS695-('Valve Sizing'!$V$4*'Valve Sizing'!$G$7))</f>
        <v>1.7266404497895982</v>
      </c>
      <c r="AT698" s="41"/>
      <c r="AU698" s="73"/>
    </row>
    <row r="699" spans="15:47" ht="13" x14ac:dyDescent="0.25">
      <c r="O699" s="1" t="s">
        <v>69</v>
      </c>
      <c r="P699" s="17">
        <v>7</v>
      </c>
      <c r="Q699" s="65"/>
      <c r="R699" s="53">
        <f>(R693/(N_1*F_P_h))*SQRT('Valve Sizing'!$G$6/R697)</f>
        <v>0.46220830819207243</v>
      </c>
      <c r="S699" s="58"/>
      <c r="T699" s="73"/>
      <c r="U699" s="64">
        <f>(U693/(N_1*U$27))*SQRT('Valve Sizing'!$G$6/U697)</f>
        <v>9.0606865573189719</v>
      </c>
      <c r="V699" s="41"/>
      <c r="W699" s="73"/>
      <c r="X699" s="64">
        <f>(X693/(N_1*X$27))*SQRT('Valve Sizing'!$G$6/X697)</f>
        <v>21.972455709484322</v>
      </c>
      <c r="Y699" s="41"/>
      <c r="Z699" s="73"/>
      <c r="AA699" s="64">
        <f>(AA693/(N_1*AA$27))*SQRT('Valve Sizing'!$G$6/AA697)</f>
        <v>43.323978220444118</v>
      </c>
      <c r="AB699" s="41"/>
      <c r="AC699" s="73"/>
      <c r="AD699" s="64">
        <f>(AD693/(N_1*AD$27))*SQRT('Valve Sizing'!$G$6/AD697)</f>
        <v>77.235650703338223</v>
      </c>
      <c r="AE699" s="41"/>
      <c r="AF699" s="73"/>
      <c r="AG699" s="64">
        <f>(AG693/(N_1*AG$27))*SQRT('Valve Sizing'!$G$6/AG697)</f>
        <v>138.72520887845894</v>
      </c>
      <c r="AH699" s="41"/>
      <c r="AI699" s="73"/>
      <c r="AJ699" s="64">
        <f>(AJ693/(N_1*AJ$27))*SQRT('Valve Sizing'!$G$6/AJ697)</f>
        <v>288.72269164732762</v>
      </c>
      <c r="AK699" s="41"/>
      <c r="AL699" s="73"/>
      <c r="AM699" s="64" t="e">
        <f>(AM693/(N_1*AM$27))*SQRT('Valve Sizing'!$G$6/AM697)</f>
        <v>#NUM!</v>
      </c>
      <c r="AN699" s="41"/>
      <c r="AO699" s="73"/>
      <c r="AP699" s="64" t="e">
        <f>(AP693/(N_1*AP$27))*SQRT('Valve Sizing'!$G$6/AP697)</f>
        <v>#NUM!</v>
      </c>
      <c r="AQ699" s="41"/>
      <c r="AR699" s="73"/>
      <c r="AS699" s="64" t="e">
        <f>(AS693/(N_1*AS$27))*SQRT('Valve Sizing'!$G$6/AS697)</f>
        <v>#NUM!</v>
      </c>
      <c r="AT699" s="41"/>
      <c r="AU699" s="73"/>
    </row>
    <row r="700" spans="15:47" ht="13" x14ac:dyDescent="0.3">
      <c r="O700" s="1" t="s">
        <v>72</v>
      </c>
      <c r="P700" s="17">
        <v>7</v>
      </c>
      <c r="Q700" s="65"/>
      <c r="R700" s="53">
        <f>(R693/(N_1*F_P_h))*SQRT('Valve Sizing'!$G$6/R698)</f>
        <v>0.38388707363480906</v>
      </c>
      <c r="S700" s="56"/>
      <c r="T700" s="72"/>
      <c r="U700" s="85">
        <f>(U693/(N_1*U$27))*SQRT('Valve Sizing'!$G$6/U698)</f>
        <v>7.5198541981313456</v>
      </c>
      <c r="V700" s="44"/>
      <c r="W700" s="72"/>
      <c r="X700" s="85">
        <f>(X693/(N_1*X$27))*SQRT('Valve Sizing'!$G$6/X698)</f>
        <v>18.367810141327752</v>
      </c>
      <c r="Y700" s="44"/>
      <c r="Z700" s="72"/>
      <c r="AA700" s="85">
        <f>(AA693/(N_1*AA$27))*SQRT('Valve Sizing'!$G$6/AA698)</f>
        <v>36.5384052008217</v>
      </c>
      <c r="AB700" s="44"/>
      <c r="AC700" s="72"/>
      <c r="AD700" s="85">
        <f>(AD693/(N_1*AD$27))*SQRT('Valve Sizing'!$G$6/AD698)</f>
        <v>64.909834909660262</v>
      </c>
      <c r="AE700" s="44"/>
      <c r="AF700" s="72"/>
      <c r="AG700" s="85">
        <f>(AG693/(N_1*AG$27))*SQRT('Valve Sizing'!$G$6/AG698)</f>
        <v>111.42607654434595</v>
      </c>
      <c r="AH700" s="44"/>
      <c r="AI700" s="72"/>
      <c r="AJ700" s="85">
        <f>(AJ693/(N_1*AJ$27))*SQRT('Valve Sizing'!$G$6/AJ698)</f>
        <v>181.06266971245444</v>
      </c>
      <c r="AK700" s="44"/>
      <c r="AL700" s="72"/>
      <c r="AM700" s="85">
        <f>(AM693/(N_1*AM$27))*SQRT('Valve Sizing'!$G$6/AM698)</f>
        <v>301.07154583544997</v>
      </c>
      <c r="AN700" s="44"/>
      <c r="AO700" s="72"/>
      <c r="AP700" s="85">
        <f>(AP693/(N_1*AP$27))*SQRT('Valve Sizing'!$G$6/AP698)</f>
        <v>559.23445776235906</v>
      </c>
      <c r="AQ700" s="44"/>
      <c r="AR700" s="72"/>
      <c r="AS700" s="85">
        <f>(AS693/(N_1*AS$27))*SQRT('Valve Sizing'!$G$6/AS698)</f>
        <v>1651.3128574671098</v>
      </c>
      <c r="AT700" s="44"/>
      <c r="AU700" s="72"/>
    </row>
    <row r="701" spans="15:47" x14ac:dyDescent="0.25">
      <c r="O701" s="1" t="s">
        <v>246</v>
      </c>
      <c r="P701" s="18"/>
      <c r="Q701" s="65"/>
      <c r="R701" s="53">
        <f>IF(R697&lt;R698,R699,R700)</f>
        <v>0.46220830819207243</v>
      </c>
      <c r="S701" s="49"/>
      <c r="T701" s="72"/>
      <c r="U701" s="64">
        <f>IF(U697&lt;U698,U699,U700)</f>
        <v>9.0606865573189719</v>
      </c>
      <c r="V701" s="44"/>
      <c r="W701" s="72"/>
      <c r="X701" s="64">
        <f>IF(X697&lt;X698,X699,X700)</f>
        <v>21.972455709484322</v>
      </c>
      <c r="Y701" s="44"/>
      <c r="Z701" s="72"/>
      <c r="AA701" s="64">
        <f>IF(AA697&lt;AA698,AA699,AA700)</f>
        <v>43.323978220444118</v>
      </c>
      <c r="AB701" s="44"/>
      <c r="AC701" s="72"/>
      <c r="AD701" s="64">
        <f>IF(AD697&lt;AD698,AD699,AD700)</f>
        <v>77.235650703338223</v>
      </c>
      <c r="AE701" s="44"/>
      <c r="AF701" s="72"/>
      <c r="AG701" s="64">
        <f>IF(AG697&lt;AG698,AG699,AG700)</f>
        <v>138.72520887845894</v>
      </c>
      <c r="AH701" s="44"/>
      <c r="AI701" s="72"/>
      <c r="AJ701" s="64">
        <f>IF(AJ697&lt;AJ698,AJ699,AJ700)</f>
        <v>288.72269164732762</v>
      </c>
      <c r="AK701" s="44"/>
      <c r="AL701" s="72"/>
      <c r="AM701" s="64" t="e">
        <f>IF(AM697&lt;AM698,AM699,AM700)</f>
        <v>#NUM!</v>
      </c>
      <c r="AN701" s="44"/>
      <c r="AO701" s="72"/>
      <c r="AP701" s="64" t="e">
        <f>IF(AP697&lt;AP698,AP699,AP700)</f>
        <v>#NUM!</v>
      </c>
      <c r="AQ701" s="44"/>
      <c r="AR701" s="72"/>
      <c r="AS701" s="64" t="e">
        <f>IF(AS697&lt;AS698,AS699,AS700)</f>
        <v>#NUM!</v>
      </c>
      <c r="AT701" s="44"/>
      <c r="AU701" s="72"/>
    </row>
    <row r="702" spans="15:47" ht="13" x14ac:dyDescent="0.3">
      <c r="O702" s="7" t="s">
        <v>264</v>
      </c>
      <c r="Q702" s="61"/>
      <c r="R702" s="53"/>
      <c r="S702" s="69">
        <f>IFERROR(ABS(C_h-R701),Q_max*10)</f>
        <v>4.5377916918079277</v>
      </c>
      <c r="T702" s="76">
        <f>R693</f>
        <v>2.6248246306923315</v>
      </c>
      <c r="U702" s="61"/>
      <c r="V702" s="69">
        <f>IFERROR(ABS(U$23-U701),Q_max*10)</f>
        <v>2.9393134426810281</v>
      </c>
      <c r="W702" s="75">
        <f>U693</f>
        <v>51.333790173425228</v>
      </c>
      <c r="X702" s="61"/>
      <c r="Y702" s="69">
        <f>IFERROR(ABS(X$23-X701),Q_max*10)</f>
        <v>1.027544290515678</v>
      </c>
      <c r="Z702" s="75">
        <f>X693</f>
        <v>123.22085671228128</v>
      </c>
      <c r="AA702" s="61"/>
      <c r="AB702" s="69">
        <f>IFERROR(ABS(AA$23-AA701),Q_max*10)</f>
        <v>4.3239782204441184</v>
      </c>
      <c r="AC702" s="75">
        <f>AA693</f>
        <v>235.27377445056328</v>
      </c>
      <c r="AD702" s="61"/>
      <c r="AE702" s="69">
        <f>IFERROR(ABS(AD$23-AD701),Q_max*10)</f>
        <v>16.235650703338223</v>
      </c>
      <c r="AF702" s="75">
        <f>AD693</f>
        <v>386.93873630671681</v>
      </c>
      <c r="AG702" s="61"/>
      <c r="AH702" s="69">
        <f>IFERROR(ABS(AG$23-AG701),Q_max*10)</f>
        <v>50.725208878458943</v>
      </c>
      <c r="AI702" s="75">
        <f>AG693</f>
        <v>576.09905160752692</v>
      </c>
      <c r="AJ702" s="61"/>
      <c r="AK702" s="69">
        <f>IFERROR(ABS(AJ$23-AJ701),Q_max*10)</f>
        <v>167.72269164732762</v>
      </c>
      <c r="AL702" s="75">
        <f>AJ693</f>
        <v>768.80641765695123</v>
      </c>
      <c r="AM702" s="61"/>
      <c r="AN702" s="69">
        <f>IFERROR(ABS(AM$23-AM701),Q_max*10)</f>
        <v>5500</v>
      </c>
      <c r="AO702" s="75">
        <f>AM693</f>
        <v>938.08993347308888</v>
      </c>
      <c r="AP702" s="61"/>
      <c r="AQ702" s="69">
        <f>IFERROR(ABS(AP$23-AP701),Q_max*10)</f>
        <v>5500</v>
      </c>
      <c r="AR702" s="75">
        <f>AP693</f>
        <v>1089.0932901073634</v>
      </c>
      <c r="AS702" s="61"/>
      <c r="AT702" s="69">
        <f>IFERROR(ABS(AS$23-AS701),Q_max*10)</f>
        <v>5500</v>
      </c>
      <c r="AU702" s="75">
        <f>AS693</f>
        <v>1239.4897552361738</v>
      </c>
    </row>
    <row r="703" spans="15:47" ht="14.5" x14ac:dyDescent="0.35">
      <c r="O703" s="6"/>
      <c r="P703" s="6"/>
      <c r="Q703" s="60"/>
      <c r="R703" s="67"/>
      <c r="S703" s="56"/>
      <c r="T703" s="72"/>
      <c r="V703" s="11"/>
      <c r="W703" s="38"/>
      <c r="Y703" s="11"/>
      <c r="Z703" s="38"/>
      <c r="AB703" s="11"/>
      <c r="AC703" s="38"/>
      <c r="AE703" s="11"/>
      <c r="AF703" s="38"/>
      <c r="AH703" s="11"/>
      <c r="AI703" s="38"/>
      <c r="AK703" s="11"/>
      <c r="AL703" s="38"/>
      <c r="AN703" s="11"/>
      <c r="AO703" s="38"/>
      <c r="AQ703" s="11"/>
      <c r="AR703" s="38"/>
      <c r="AT703" s="11"/>
      <c r="AU703" s="38"/>
    </row>
    <row r="704" spans="15:47" ht="14" x14ac:dyDescent="0.3">
      <c r="O704" s="8" t="s">
        <v>235</v>
      </c>
      <c r="P704" s="6"/>
      <c r="Q704" s="60"/>
      <c r="R704" s="53">
        <f>R693*1.02</f>
        <v>2.6773211233061782</v>
      </c>
      <c r="S704" s="58" t="s">
        <v>238</v>
      </c>
      <c r="T704" s="73" t="s">
        <v>241</v>
      </c>
      <c r="U704" s="84">
        <f>U693*1.01</f>
        <v>51.847128075159482</v>
      </c>
      <c r="V704" s="58" t="s">
        <v>238</v>
      </c>
      <c r="W704" s="73" t="s">
        <v>241</v>
      </c>
      <c r="X704" s="84">
        <f>X693*1.01</f>
        <v>124.45306527940409</v>
      </c>
      <c r="Y704" s="58" t="s">
        <v>238</v>
      </c>
      <c r="Z704" s="73" t="s">
        <v>241</v>
      </c>
      <c r="AA704" s="84">
        <f>AA693*1.01</f>
        <v>237.62651219506893</v>
      </c>
      <c r="AB704" s="58" t="s">
        <v>238</v>
      </c>
      <c r="AC704" s="73" t="s">
        <v>241</v>
      </c>
      <c r="AD704" s="84">
        <f>AD693*1.01</f>
        <v>390.80812366978398</v>
      </c>
      <c r="AE704" s="58" t="s">
        <v>238</v>
      </c>
      <c r="AF704" s="73" t="s">
        <v>241</v>
      </c>
      <c r="AG704" s="84">
        <f>AG693*1.01</f>
        <v>581.86004212360217</v>
      </c>
      <c r="AH704" s="58" t="s">
        <v>238</v>
      </c>
      <c r="AI704" s="73" t="s">
        <v>241</v>
      </c>
      <c r="AJ704" s="84">
        <f>AJ693*1.01</f>
        <v>776.49448183352069</v>
      </c>
      <c r="AK704" s="58" t="s">
        <v>238</v>
      </c>
      <c r="AL704" s="73" t="s">
        <v>241</v>
      </c>
      <c r="AM704" s="84">
        <f>AM693*1.01</f>
        <v>947.47083280781976</v>
      </c>
      <c r="AN704" s="58" t="s">
        <v>238</v>
      </c>
      <c r="AO704" s="73" t="s">
        <v>241</v>
      </c>
      <c r="AP704" s="84">
        <f>AP693*1.01</f>
        <v>1099.9842230084371</v>
      </c>
      <c r="AQ704" s="58" t="s">
        <v>238</v>
      </c>
      <c r="AR704" s="73" t="s">
        <v>241</v>
      </c>
      <c r="AS704" s="84">
        <f>AS693*1.01</f>
        <v>1251.8846527885355</v>
      </c>
      <c r="AT704" s="58" t="s">
        <v>238</v>
      </c>
      <c r="AU704" s="73" t="s">
        <v>241</v>
      </c>
    </row>
    <row r="705" spans="15:47" ht="13" x14ac:dyDescent="0.25">
      <c r="O705" s="6"/>
      <c r="P705" s="6"/>
      <c r="Q705" s="60"/>
      <c r="R705" s="70"/>
      <c r="S705" s="63" t="s">
        <v>250</v>
      </c>
      <c r="T705" s="71" t="s">
        <v>242</v>
      </c>
      <c r="U705" s="61"/>
      <c r="V705" s="63" t="s">
        <v>250</v>
      </c>
      <c r="W705" s="71" t="s">
        <v>242</v>
      </c>
      <c r="X705" s="61"/>
      <c r="Y705" s="63" t="s">
        <v>250</v>
      </c>
      <c r="Z705" s="71" t="s">
        <v>242</v>
      </c>
      <c r="AA705" s="61"/>
      <c r="AB705" s="63" t="s">
        <v>250</v>
      </c>
      <c r="AC705" s="71" t="s">
        <v>242</v>
      </c>
      <c r="AD705" s="61"/>
      <c r="AE705" s="63" t="s">
        <v>250</v>
      </c>
      <c r="AF705" s="71" t="s">
        <v>242</v>
      </c>
      <c r="AG705" s="61"/>
      <c r="AH705" s="63" t="s">
        <v>250</v>
      </c>
      <c r="AI705" s="71" t="s">
        <v>242</v>
      </c>
      <c r="AJ705" s="61"/>
      <c r="AK705" s="63" t="s">
        <v>250</v>
      </c>
      <c r="AL705" s="71" t="s">
        <v>242</v>
      </c>
      <c r="AM705" s="61"/>
      <c r="AN705" s="63" t="s">
        <v>250</v>
      </c>
      <c r="AO705" s="71" t="s">
        <v>242</v>
      </c>
      <c r="AP705" s="61"/>
      <c r="AQ705" s="63" t="s">
        <v>250</v>
      </c>
      <c r="AR705" s="71" t="s">
        <v>242</v>
      </c>
      <c r="AS705" s="61"/>
      <c r="AT705" s="63" t="s">
        <v>250</v>
      </c>
      <c r="AU705" s="71" t="s">
        <v>242</v>
      </c>
    </row>
    <row r="706" spans="15:47" ht="13" x14ac:dyDescent="0.3">
      <c r="O706" s="6" t="s">
        <v>231</v>
      </c>
      <c r="P706" s="6"/>
      <c r="Q706" s="60"/>
      <c r="R706" s="85">
        <f>P_1_minQ-(R704^2*R_up)+dpup_minQ</f>
        <v>56.915901112853859</v>
      </c>
      <c r="S706" s="56"/>
      <c r="T706" s="72"/>
      <c r="U706" s="53">
        <f>P_1_minQ-(U704^2*R_up)+dpup_minQ</f>
        <v>56.825358841957382</v>
      </c>
      <c r="V706" s="44"/>
      <c r="W706" s="72"/>
      <c r="X706" s="53">
        <f>P_1_minQ-(X704^2*R_up)+dpup_minQ</f>
        <v>56.393057566449187</v>
      </c>
      <c r="Y706" s="44"/>
      <c r="Z706" s="72"/>
      <c r="AA706" s="53">
        <f>P_1_minQ-(AA704^2*R_up)+dpup_minQ</f>
        <v>55.009140179061355</v>
      </c>
      <c r="AB706" s="44"/>
      <c r="AC706" s="72"/>
      <c r="AD706" s="53">
        <f>P_1_minQ-(AD704^2*R_up)+dpup_minQ</f>
        <v>51.758055064968012</v>
      </c>
      <c r="AE706" s="44"/>
      <c r="AF706" s="72"/>
      <c r="AG706" s="53">
        <f>P_1_minQ-(AG704^2*R_up)+dpup_minQ</f>
        <v>45.482130745691315</v>
      </c>
      <c r="AH706" s="44"/>
      <c r="AI706" s="72"/>
      <c r="AJ706" s="53">
        <f>P_1_minQ-(AJ704^2*R_up)+dpup_minQ</f>
        <v>36.55330360290754</v>
      </c>
      <c r="AK706" s="44"/>
      <c r="AL706" s="72"/>
      <c r="AM706" s="53">
        <f>P_1_minQ-(AM704^2*R_up)+dpup_minQ</f>
        <v>26.598649813524368</v>
      </c>
      <c r="AN706" s="44"/>
      <c r="AO706" s="72"/>
      <c r="AP706" s="53">
        <f>P_1_minQ-(AP704^2*R_up)+dpup_minQ</f>
        <v>16.052742625211916</v>
      </c>
      <c r="AQ706" s="44"/>
      <c r="AR706" s="72"/>
      <c r="AS706" s="53">
        <f>P_1_minQ-(AS704^2*R_up)+dpup_minQ</f>
        <v>3.9875655559786507</v>
      </c>
      <c r="AT706" s="44"/>
      <c r="AU706" s="72"/>
    </row>
    <row r="707" spans="15:47" ht="13" x14ac:dyDescent="0.3">
      <c r="O707" s="6" t="s">
        <v>233</v>
      </c>
      <c r="P707" s="6"/>
      <c r="Q707" s="60"/>
      <c r="R707" s="85">
        <f>P_2_minQ+(R704^2*R_dn)-dpdn_minQ</f>
        <v>24.656819777429231</v>
      </c>
      <c r="S707" s="66"/>
      <c r="T707" s="74"/>
      <c r="U707" s="53">
        <f>P_2_minQ+(U704^2*R_dn)-dpdn_minQ</f>
        <v>24.674928231608526</v>
      </c>
      <c r="V707" s="45"/>
      <c r="W707" s="74"/>
      <c r="X707" s="53">
        <f>P_2_minQ+(X704^2*R_dn)-dpdn_minQ</f>
        <v>24.761388486710164</v>
      </c>
      <c r="Y707" s="45"/>
      <c r="Z707" s="74"/>
      <c r="AA707" s="53">
        <f>P_2_minQ+(AA704^2*R_dn)-dpdn_minQ</f>
        <v>25.038171964187729</v>
      </c>
      <c r="AB707" s="45"/>
      <c r="AC707" s="74"/>
      <c r="AD707" s="53">
        <f>P_2_minQ+(AD704^2*R_dn)-dpdn_minQ</f>
        <v>25.688388987006398</v>
      </c>
      <c r="AE707" s="45"/>
      <c r="AF707" s="74"/>
      <c r="AG707" s="53">
        <f>P_2_minQ+(AG704^2*R_dn)-dpdn_minQ</f>
        <v>26.943573850861739</v>
      </c>
      <c r="AH707" s="45"/>
      <c r="AI707" s="74"/>
      <c r="AJ707" s="53">
        <f>P_2_minQ+(AJ704^2*R_dn)-dpdn_minQ</f>
        <v>28.729339279418493</v>
      </c>
      <c r="AK707" s="45"/>
      <c r="AL707" s="74"/>
      <c r="AM707" s="53">
        <f>P_2_minQ+(AM704^2*R_dn)-dpdn_minQ</f>
        <v>30.720270037295126</v>
      </c>
      <c r="AN707" s="45"/>
      <c r="AO707" s="74"/>
      <c r="AP707" s="53">
        <f>P_2_minQ+(AP704^2*R_dn)-dpdn_minQ</f>
        <v>32.829451474957622</v>
      </c>
      <c r="AQ707" s="45"/>
      <c r="AR707" s="74"/>
      <c r="AS707" s="53">
        <f>P_2_minQ+(AS704^2*R_dn)-dpdn_minQ</f>
        <v>35.242486888804272</v>
      </c>
      <c r="AT707" s="45"/>
      <c r="AU707" s="74"/>
    </row>
    <row r="708" spans="15:47" x14ac:dyDescent="0.25">
      <c r="O708" s="6" t="s">
        <v>243</v>
      </c>
      <c r="Q708" s="60"/>
      <c r="R708" s="53">
        <f>R706-R707</f>
        <v>32.259081335424625</v>
      </c>
      <c r="S708" s="56"/>
      <c r="T708" s="72"/>
      <c r="U708" s="64">
        <f>U706-U707</f>
        <v>32.150430610348856</v>
      </c>
      <c r="V708" s="44"/>
      <c r="W708" s="72"/>
      <c r="X708" s="64">
        <f>X706-X707</f>
        <v>31.631669079739023</v>
      </c>
      <c r="Y708" s="44"/>
      <c r="Z708" s="72"/>
      <c r="AA708" s="64">
        <f>AA706-AA707</f>
        <v>29.970968214873626</v>
      </c>
      <c r="AB708" s="44"/>
      <c r="AC708" s="72"/>
      <c r="AD708" s="64">
        <f>AD706-AD707</f>
        <v>26.069666077961614</v>
      </c>
      <c r="AE708" s="44"/>
      <c r="AF708" s="72"/>
      <c r="AG708" s="64">
        <f>AG706-AG707</f>
        <v>18.538556894829576</v>
      </c>
      <c r="AH708" s="44"/>
      <c r="AI708" s="72"/>
      <c r="AJ708" s="64">
        <f>AJ706-AJ707</f>
        <v>7.8239643234890472</v>
      </c>
      <c r="AK708" s="44"/>
      <c r="AL708" s="72"/>
      <c r="AM708" s="64">
        <f>AM706-AM707</f>
        <v>-4.1216202237707584</v>
      </c>
      <c r="AN708" s="44"/>
      <c r="AO708" s="72"/>
      <c r="AP708" s="64">
        <f>AP706-AP707</f>
        <v>-16.776708849745706</v>
      </c>
      <c r="AQ708" s="44"/>
      <c r="AR708" s="72"/>
      <c r="AS708" s="64">
        <f>AS706-AS707</f>
        <v>-31.254921332825621</v>
      </c>
      <c r="AT708" s="44"/>
      <c r="AU708" s="72"/>
    </row>
    <row r="709" spans="15:47" ht="13" x14ac:dyDescent="0.3">
      <c r="O709" s="6" t="s">
        <v>75</v>
      </c>
      <c r="P709" s="6">
        <v>3</v>
      </c>
      <c r="Q709" s="65"/>
      <c r="R709" s="85">
        <f>(F_LP_h/F_P_h)^2*(R706-('Valve Sizing'!$V$4*'Valve Sizing'!$G$7))</f>
        <v>46.764962785103833</v>
      </c>
      <c r="S709" s="58"/>
      <c r="T709" s="73"/>
      <c r="U709" s="53">
        <f>(U$29/U$27)^2*(U706-('Valve Sizing'!$V$4*'Valve Sizing'!$G$7))</f>
        <v>46.677263270054226</v>
      </c>
      <c r="V709" s="41"/>
      <c r="W709" s="73"/>
      <c r="X709" s="53">
        <f>(X$29/X$27)^2*(X706-('Valve Sizing'!$V$4*'Valve Sizing'!$G$7))</f>
        <v>45.274569333265951</v>
      </c>
      <c r="Y709" s="41"/>
      <c r="Z709" s="73"/>
      <c r="AA709" s="53">
        <f>(AA$29/AA$27)^2*(AA706-('Valve Sizing'!$V$4*'Valve Sizing'!$G$7))</f>
        <v>42.170835335607599</v>
      </c>
      <c r="AB709" s="41"/>
      <c r="AC709" s="73"/>
      <c r="AD709" s="53">
        <f>(AD$29/AD$27)^2*(AD706-('Valve Sizing'!$V$4*'Valve Sizing'!$G$7))</f>
        <v>37.009893483475949</v>
      </c>
      <c r="AE709" s="41"/>
      <c r="AF709" s="73"/>
      <c r="AG709" s="53">
        <f>(AG$29/AG$27)^2*(AG706-('Valve Sizing'!$V$4*'Valve Sizing'!$G$7))</f>
        <v>29.00907471381608</v>
      </c>
      <c r="AH709" s="41"/>
      <c r="AI709" s="73"/>
      <c r="AJ709" s="53">
        <f>(AJ$29/AJ$27)^2*(AJ706-('Valve Sizing'!$V$4*'Valve Sizing'!$G$7))</f>
        <v>20.886613481059943</v>
      </c>
      <c r="AK709" s="41"/>
      <c r="AL709" s="73"/>
      <c r="AM709" s="53">
        <f>(AM$29/AM$27)^2*(AM706-('Valve Sizing'!$V$4*'Valve Sizing'!$G$7))</f>
        <v>12.516157806190089</v>
      </c>
      <c r="AN709" s="41"/>
      <c r="AO709" s="73"/>
      <c r="AP709" s="53">
        <f>(AP$29/AP$27)^2*(AP706-('Valve Sizing'!$V$4*'Valve Sizing'!$G$7))</f>
        <v>6.1611843308319658</v>
      </c>
      <c r="AQ709" s="41"/>
      <c r="AR709" s="73"/>
      <c r="AS709" s="53">
        <f>(AS$29/AS$27)^2*(AS706-('Valve Sizing'!$V$4*'Valve Sizing'!$G$7))</f>
        <v>1.3343624337128139</v>
      </c>
      <c r="AT709" s="41"/>
      <c r="AU709" s="73"/>
    </row>
    <row r="710" spans="15:47" ht="13" x14ac:dyDescent="0.25">
      <c r="O710" s="1" t="s">
        <v>69</v>
      </c>
      <c r="P710" s="17">
        <v>7</v>
      </c>
      <c r="Q710" s="65"/>
      <c r="R710" s="53">
        <f>(R704/(N_1*F_P_h))*SQRT('Valve Sizing'!$G$6/R708)</f>
        <v>0.47145255678503689</v>
      </c>
      <c r="S710" s="58"/>
      <c r="T710" s="73"/>
      <c r="U710" s="64">
        <f>(U704/(N_1*U$27))*SQRT('Valve Sizing'!$G$6/U708)</f>
        <v>9.1515989178173438</v>
      </c>
      <c r="V710" s="41"/>
      <c r="W710" s="73"/>
      <c r="X710" s="64">
        <f>(X704/(N_1*X$27))*SQRT('Valve Sizing'!$G$6/X708)</f>
        <v>22.196518498488462</v>
      </c>
      <c r="Y710" s="41"/>
      <c r="Z710" s="73"/>
      <c r="AA710" s="64">
        <f>(AA704/(N_1*AA$27))*SQRT('Valve Sizing'!$G$6/AA708)</f>
        <v>43.790121466153252</v>
      </c>
      <c r="AB710" s="41"/>
      <c r="AC710" s="73"/>
      <c r="AD710" s="64">
        <f>(AD704/(N_1*AD$27))*SQRT('Valve Sizing'!$G$6/AD708)</f>
        <v>78.190266629839357</v>
      </c>
      <c r="AE710" s="41"/>
      <c r="AF710" s="73"/>
      <c r="AG710" s="64">
        <f>(AG704/(N_1*AG$27))*SQRT('Valve Sizing'!$G$6/AG708)</f>
        <v>141.13041760940723</v>
      </c>
      <c r="AH710" s="41"/>
      <c r="AI710" s="73"/>
      <c r="AJ710" s="64">
        <f>(AJ704/(N_1*AJ$27))*SQRT('Valve Sizing'!$G$6/AJ708)</f>
        <v>300.4485699678745</v>
      </c>
      <c r="AK710" s="41"/>
      <c r="AL710" s="73"/>
      <c r="AM710" s="64" t="e">
        <f>(AM704/(N_1*AM$27))*SQRT('Valve Sizing'!$G$6/AM708)</f>
        <v>#NUM!</v>
      </c>
      <c r="AN710" s="41"/>
      <c r="AO710" s="73"/>
      <c r="AP710" s="64" t="e">
        <f>(AP704/(N_1*AP$27))*SQRT('Valve Sizing'!$G$6/AP708)</f>
        <v>#NUM!</v>
      </c>
      <c r="AQ710" s="41"/>
      <c r="AR710" s="73"/>
      <c r="AS710" s="64" t="e">
        <f>(AS704/(N_1*AS$27))*SQRT('Valve Sizing'!$G$6/AS708)</f>
        <v>#NUM!</v>
      </c>
      <c r="AT710" s="41"/>
      <c r="AU710" s="73"/>
    </row>
    <row r="711" spans="15:47" ht="13" x14ac:dyDescent="0.3">
      <c r="O711" s="1" t="s">
        <v>72</v>
      </c>
      <c r="P711" s="17">
        <v>7</v>
      </c>
      <c r="Q711" s="65"/>
      <c r="R711" s="53">
        <f>(R704/(N_1*F_P_h))*SQRT('Valve Sizing'!$G$6/R709)</f>
        <v>0.39156484769526179</v>
      </c>
      <c r="S711" s="56"/>
      <c r="T711" s="72"/>
      <c r="U711" s="85">
        <f>(U704/(N_1*U$27))*SQRT('Valve Sizing'!$G$6/U709)</f>
        <v>7.5951732147871578</v>
      </c>
      <c r="V711" s="44"/>
      <c r="W711" s="72"/>
      <c r="X711" s="85">
        <f>(X704/(N_1*X$27))*SQRT('Valve Sizing'!$G$6/X709)</f>
        <v>18.553196807653176</v>
      </c>
      <c r="Y711" s="44"/>
      <c r="Z711" s="72"/>
      <c r="AA711" s="85">
        <f>(AA704/(N_1*AA$27))*SQRT('Valve Sizing'!$G$6/AA709)</f>
        <v>36.916492778241775</v>
      </c>
      <c r="AB711" s="44"/>
      <c r="AC711" s="72"/>
      <c r="AD711" s="85">
        <f>(AD704/(N_1*AD$27))*SQRT('Valve Sizing'!$G$6/AD709)</f>
        <v>65.623820510601448</v>
      </c>
      <c r="AE711" s="44"/>
      <c r="AF711" s="72"/>
      <c r="AG711" s="85">
        <f>(AG704/(N_1*AG$27))*SQRT('Valve Sizing'!$G$6/AG709)</f>
        <v>112.82144307959265</v>
      </c>
      <c r="AH711" s="44"/>
      <c r="AI711" s="72"/>
      <c r="AJ711" s="85">
        <f>(AJ704/(N_1*AJ$27))*SQRT('Valve Sizing'!$G$6/AJ709)</f>
        <v>183.88637732376128</v>
      </c>
      <c r="AK711" s="44"/>
      <c r="AL711" s="72"/>
      <c r="AM711" s="85">
        <f>(AM704/(N_1*AM$27))*SQRT('Valve Sizing'!$G$6/AM709)</f>
        <v>307.53477042954432</v>
      </c>
      <c r="AN711" s="44"/>
      <c r="AO711" s="72"/>
      <c r="AP711" s="85">
        <f>(AP704/(N_1*AP$27))*SQRT('Valve Sizing'!$G$6/AP709)</f>
        <v>579.20821323967402</v>
      </c>
      <c r="AQ711" s="44"/>
      <c r="AR711" s="72"/>
      <c r="AS711" s="85">
        <f>(AS704/(N_1*AS$27))*SQRT('Valve Sizing'!$G$6/AS709)</f>
        <v>1897.2073052321155</v>
      </c>
      <c r="AT711" s="44"/>
      <c r="AU711" s="72"/>
    </row>
    <row r="712" spans="15:47" x14ac:dyDescent="0.25">
      <c r="O712" s="1" t="s">
        <v>246</v>
      </c>
      <c r="P712" s="18"/>
      <c r="Q712" s="65"/>
      <c r="R712" s="53">
        <f>IF(R708&lt;R709,R710,R711)</f>
        <v>0.47145255678503689</v>
      </c>
      <c r="S712" s="49"/>
      <c r="T712" s="72"/>
      <c r="U712" s="64">
        <f>IF(U708&lt;U709,U710,U711)</f>
        <v>9.1515989178173438</v>
      </c>
      <c r="V712" s="44"/>
      <c r="W712" s="72"/>
      <c r="X712" s="64">
        <f>IF(X708&lt;X709,X710,X711)</f>
        <v>22.196518498488462</v>
      </c>
      <c r="Y712" s="44"/>
      <c r="Z712" s="72"/>
      <c r="AA712" s="64">
        <f>IF(AA708&lt;AA709,AA710,AA711)</f>
        <v>43.790121466153252</v>
      </c>
      <c r="AB712" s="44"/>
      <c r="AC712" s="72"/>
      <c r="AD712" s="64">
        <f>IF(AD708&lt;AD709,AD710,AD711)</f>
        <v>78.190266629839357</v>
      </c>
      <c r="AE712" s="44"/>
      <c r="AF712" s="72"/>
      <c r="AG712" s="64">
        <f>IF(AG708&lt;AG709,AG710,AG711)</f>
        <v>141.13041760940723</v>
      </c>
      <c r="AH712" s="44"/>
      <c r="AI712" s="72"/>
      <c r="AJ712" s="64">
        <f>IF(AJ708&lt;AJ709,AJ710,AJ711)</f>
        <v>300.4485699678745</v>
      </c>
      <c r="AK712" s="44"/>
      <c r="AL712" s="72"/>
      <c r="AM712" s="64" t="e">
        <f>IF(AM708&lt;AM709,AM710,AM711)</f>
        <v>#NUM!</v>
      </c>
      <c r="AN712" s="44"/>
      <c r="AO712" s="72"/>
      <c r="AP712" s="64" t="e">
        <f>IF(AP708&lt;AP709,AP710,AP711)</f>
        <v>#NUM!</v>
      </c>
      <c r="AQ712" s="44"/>
      <c r="AR712" s="72"/>
      <c r="AS712" s="64" t="e">
        <f>IF(AS708&lt;AS709,AS710,AS711)</f>
        <v>#NUM!</v>
      </c>
      <c r="AT712" s="44"/>
      <c r="AU712" s="72"/>
    </row>
    <row r="713" spans="15:47" ht="13" x14ac:dyDescent="0.3">
      <c r="O713" s="7" t="s">
        <v>264</v>
      </c>
      <c r="Q713" s="61"/>
      <c r="R713" s="53"/>
      <c r="S713" s="69">
        <f>IFERROR(ABS(C_h-R712),Q_max*10)</f>
        <v>4.5285474432149631</v>
      </c>
      <c r="T713" s="76">
        <f>R704</f>
        <v>2.6773211233061782</v>
      </c>
      <c r="U713" s="61"/>
      <c r="V713" s="69">
        <f>IFERROR(ABS(U$23-U712),Q_max*10)</f>
        <v>2.8484010821826562</v>
      </c>
      <c r="W713" s="75">
        <f>U704</f>
        <v>51.847128075159482</v>
      </c>
      <c r="X713" s="61"/>
      <c r="Y713" s="69">
        <f>IFERROR(ABS(X$23-X712),Q_max*10)</f>
        <v>0.80348150151153774</v>
      </c>
      <c r="Z713" s="75">
        <f>X704</f>
        <v>124.45306527940409</v>
      </c>
      <c r="AA713" s="61"/>
      <c r="AB713" s="69">
        <f>IFERROR(ABS(AA$23-AA712),Q_max*10)</f>
        <v>4.7901214661532521</v>
      </c>
      <c r="AC713" s="75">
        <f>AA704</f>
        <v>237.62651219506893</v>
      </c>
      <c r="AD713" s="61"/>
      <c r="AE713" s="69">
        <f>IFERROR(ABS(AD$23-AD712),Q_max*10)</f>
        <v>17.190266629839357</v>
      </c>
      <c r="AF713" s="75">
        <f>AD704</f>
        <v>390.80812366978398</v>
      </c>
      <c r="AG713" s="61"/>
      <c r="AH713" s="69">
        <f>IFERROR(ABS(AG$23-AG712),Q_max*10)</f>
        <v>53.130417609407232</v>
      </c>
      <c r="AI713" s="75">
        <f>AG704</f>
        <v>581.86004212360217</v>
      </c>
      <c r="AJ713" s="61"/>
      <c r="AK713" s="69">
        <f>IFERROR(ABS(AJ$23-AJ712),Q_max*10)</f>
        <v>179.4485699678745</v>
      </c>
      <c r="AL713" s="75">
        <f>AJ704</f>
        <v>776.49448183352069</v>
      </c>
      <c r="AM713" s="61"/>
      <c r="AN713" s="69">
        <f>IFERROR(ABS(AM$23-AM712),Q_max*10)</f>
        <v>5500</v>
      </c>
      <c r="AO713" s="75">
        <f>AM704</f>
        <v>947.47083280781976</v>
      </c>
      <c r="AP713" s="61"/>
      <c r="AQ713" s="69">
        <f>IFERROR(ABS(AP$23-AP712),Q_max*10)</f>
        <v>5500</v>
      </c>
      <c r="AR713" s="75">
        <f>AP704</f>
        <v>1099.9842230084371</v>
      </c>
      <c r="AS713" s="61"/>
      <c r="AT713" s="69">
        <f>IFERROR(ABS(AS$23-AS712),Q_max*10)</f>
        <v>5500</v>
      </c>
      <c r="AU713" s="75">
        <f>AS704</f>
        <v>1251.8846527885355</v>
      </c>
    </row>
    <row r="714" spans="15:47" ht="14.5" x14ac:dyDescent="0.35">
      <c r="O714" s="8"/>
      <c r="P714" s="6"/>
      <c r="Q714" s="60"/>
      <c r="R714" s="67"/>
      <c r="S714" s="58"/>
      <c r="T714" s="73"/>
      <c r="V714" s="11"/>
      <c r="W714" s="38"/>
      <c r="Y714" s="11"/>
      <c r="Z714" s="38"/>
      <c r="AB714" s="11"/>
      <c r="AC714" s="38"/>
      <c r="AE714" s="11"/>
      <c r="AF714" s="38"/>
      <c r="AH714" s="11"/>
      <c r="AI714" s="38"/>
      <c r="AK714" s="11"/>
      <c r="AL714" s="38"/>
      <c r="AN714" s="11"/>
      <c r="AO714" s="38"/>
      <c r="AQ714" s="11"/>
      <c r="AR714" s="38"/>
      <c r="AT714" s="11"/>
      <c r="AU714" s="38"/>
    </row>
    <row r="715" spans="15:47" ht="14" x14ac:dyDescent="0.3">
      <c r="O715" s="8" t="s">
        <v>235</v>
      </c>
      <c r="P715" s="6"/>
      <c r="Q715" s="60"/>
      <c r="R715" s="53">
        <f>R704*1.02</f>
        <v>2.730867545772302</v>
      </c>
      <c r="S715" s="58" t="s">
        <v>238</v>
      </c>
      <c r="T715" s="73" t="s">
        <v>241</v>
      </c>
      <c r="U715" s="84">
        <f>U704*1.01</f>
        <v>52.36559935591108</v>
      </c>
      <c r="V715" s="58" t="s">
        <v>238</v>
      </c>
      <c r="W715" s="73" t="s">
        <v>241</v>
      </c>
      <c r="X715" s="84">
        <f>X704*1.01</f>
        <v>125.69759593219813</v>
      </c>
      <c r="Y715" s="58" t="s">
        <v>238</v>
      </c>
      <c r="Z715" s="73" t="s">
        <v>241</v>
      </c>
      <c r="AA715" s="84">
        <f>AA704*1.01</f>
        <v>240.00277731701962</v>
      </c>
      <c r="AB715" s="58" t="s">
        <v>238</v>
      </c>
      <c r="AC715" s="73" t="s">
        <v>241</v>
      </c>
      <c r="AD715" s="84">
        <f>AD704*1.01</f>
        <v>394.71620490648183</v>
      </c>
      <c r="AE715" s="58" t="s">
        <v>238</v>
      </c>
      <c r="AF715" s="73" t="s">
        <v>241</v>
      </c>
      <c r="AG715" s="84">
        <f>AG704*1.01</f>
        <v>587.67864254483823</v>
      </c>
      <c r="AH715" s="58" t="s">
        <v>238</v>
      </c>
      <c r="AI715" s="73" t="s">
        <v>241</v>
      </c>
      <c r="AJ715" s="84">
        <f>AJ704*1.01</f>
        <v>784.25942665185596</v>
      </c>
      <c r="AK715" s="58" t="s">
        <v>238</v>
      </c>
      <c r="AL715" s="73" t="s">
        <v>241</v>
      </c>
      <c r="AM715" s="84">
        <f>AM704*1.01</f>
        <v>956.945541135898</v>
      </c>
      <c r="AN715" s="58" t="s">
        <v>238</v>
      </c>
      <c r="AO715" s="73" t="s">
        <v>241</v>
      </c>
      <c r="AP715" s="84">
        <f>AP704*1.01</f>
        <v>1110.9840652385215</v>
      </c>
      <c r="AQ715" s="58" t="s">
        <v>238</v>
      </c>
      <c r="AR715" s="73" t="s">
        <v>241</v>
      </c>
      <c r="AS715" s="84">
        <f>AS704*1.01</f>
        <v>1264.4034993164209</v>
      </c>
      <c r="AT715" s="58" t="s">
        <v>238</v>
      </c>
      <c r="AU715" s="73" t="s">
        <v>241</v>
      </c>
    </row>
    <row r="716" spans="15:47" ht="13" x14ac:dyDescent="0.25">
      <c r="O716" s="6"/>
      <c r="P716" s="6"/>
      <c r="Q716" s="60"/>
      <c r="R716" s="70"/>
      <c r="S716" s="63" t="s">
        <v>250</v>
      </c>
      <c r="T716" s="71" t="s">
        <v>242</v>
      </c>
      <c r="U716" s="61"/>
      <c r="V716" s="63" t="s">
        <v>250</v>
      </c>
      <c r="W716" s="71" t="s">
        <v>242</v>
      </c>
      <c r="X716" s="61"/>
      <c r="Y716" s="63" t="s">
        <v>250</v>
      </c>
      <c r="Z716" s="71" t="s">
        <v>242</v>
      </c>
      <c r="AA716" s="61"/>
      <c r="AB716" s="63" t="s">
        <v>250</v>
      </c>
      <c r="AC716" s="71" t="s">
        <v>242</v>
      </c>
      <c r="AD716" s="61"/>
      <c r="AE716" s="63" t="s">
        <v>250</v>
      </c>
      <c r="AF716" s="71" t="s">
        <v>242</v>
      </c>
      <c r="AG716" s="61"/>
      <c r="AH716" s="63" t="s">
        <v>250</v>
      </c>
      <c r="AI716" s="71" t="s">
        <v>242</v>
      </c>
      <c r="AJ716" s="61"/>
      <c r="AK716" s="63" t="s">
        <v>250</v>
      </c>
      <c r="AL716" s="71" t="s">
        <v>242</v>
      </c>
      <c r="AM716" s="61"/>
      <c r="AN716" s="63" t="s">
        <v>250</v>
      </c>
      <c r="AO716" s="71" t="s">
        <v>242</v>
      </c>
      <c r="AP716" s="61"/>
      <c r="AQ716" s="63" t="s">
        <v>250</v>
      </c>
      <c r="AR716" s="71" t="s">
        <v>242</v>
      </c>
      <c r="AS716" s="61"/>
      <c r="AT716" s="63" t="s">
        <v>250</v>
      </c>
      <c r="AU716" s="71" t="s">
        <v>242</v>
      </c>
    </row>
    <row r="717" spans="15:47" ht="13" x14ac:dyDescent="0.3">
      <c r="O717" s="6" t="s">
        <v>231</v>
      </c>
      <c r="P717" s="6"/>
      <c r="Q717" s="60"/>
      <c r="R717" s="85">
        <f>P_1_minQ-(R715^2*R_up)+dpup_minQ</f>
        <v>56.915891332740543</v>
      </c>
      <c r="S717" s="56"/>
      <c r="T717" s="72"/>
      <c r="U717" s="53">
        <f>P_1_minQ-(U715^2*R_up)+dpup_minQ</f>
        <v>56.823534076463908</v>
      </c>
      <c r="V717" s="44"/>
      <c r="W717" s="72"/>
      <c r="X717" s="53">
        <f>P_1_minQ-(X715^2*R_up)+dpup_minQ</f>
        <v>56.382543545317994</v>
      </c>
      <c r="Y717" s="44"/>
      <c r="Z717" s="72"/>
      <c r="AA717" s="53">
        <f>P_1_minQ-(AA715^2*R_up)+dpup_minQ</f>
        <v>54.970809418443672</v>
      </c>
      <c r="AB717" s="44"/>
      <c r="AC717" s="72"/>
      <c r="AD717" s="53">
        <f>P_1_minQ-(AD715^2*R_up)+dpup_minQ</f>
        <v>51.65437749355705</v>
      </c>
      <c r="AE717" s="44"/>
      <c r="AF717" s="72"/>
      <c r="AG717" s="53">
        <f>P_1_minQ-(AG715^2*R_up)+dpup_minQ</f>
        <v>45.252307095462889</v>
      </c>
      <c r="AH717" s="44"/>
      <c r="AI717" s="72"/>
      <c r="AJ717" s="53">
        <f>P_1_minQ-(AJ715^2*R_up)+dpup_minQ</f>
        <v>36.144010527109153</v>
      </c>
      <c r="AK717" s="44"/>
      <c r="AL717" s="72"/>
      <c r="AM717" s="53">
        <f>P_1_minQ-(AM715^2*R_up)+dpup_minQ</f>
        <v>25.989268196559387</v>
      </c>
      <c r="AN717" s="44"/>
      <c r="AO717" s="72"/>
      <c r="AP717" s="53">
        <f>P_1_minQ-(AP715^2*R_up)+dpup_minQ</f>
        <v>15.231388273761855</v>
      </c>
      <c r="AQ717" s="44"/>
      <c r="AR717" s="72"/>
      <c r="AS717" s="53">
        <f>P_1_minQ-(AS715^2*R_up)+dpup_minQ</f>
        <v>2.9237011454369961</v>
      </c>
      <c r="AT717" s="44"/>
      <c r="AU717" s="72"/>
    </row>
    <row r="718" spans="15:47" ht="13" x14ac:dyDescent="0.3">
      <c r="O718" s="6" t="s">
        <v>233</v>
      </c>
      <c r="P718" s="6"/>
      <c r="Q718" s="60"/>
      <c r="R718" s="85">
        <f>P_2_minQ+(R715^2*R_dn)-dpdn_minQ</f>
        <v>24.656821733451892</v>
      </c>
      <c r="S718" s="66"/>
      <c r="T718" s="74"/>
      <c r="U718" s="53">
        <f>P_2_minQ+(U715^2*R_dn)-dpdn_minQ</f>
        <v>24.675293184707222</v>
      </c>
      <c r="V718" s="45"/>
      <c r="W718" s="74"/>
      <c r="X718" s="53">
        <f>P_2_minQ+(X715^2*R_dn)-dpdn_minQ</f>
        <v>24.7634912909364</v>
      </c>
      <c r="Y718" s="45"/>
      <c r="Z718" s="74"/>
      <c r="AA718" s="53">
        <f>P_2_minQ+(AA715^2*R_dn)-dpdn_minQ</f>
        <v>25.045838116311266</v>
      </c>
      <c r="AB718" s="45"/>
      <c r="AC718" s="74"/>
      <c r="AD718" s="53">
        <f>P_2_minQ+(AD715^2*R_dn)-dpdn_minQ</f>
        <v>25.709124501288592</v>
      </c>
      <c r="AE718" s="45"/>
      <c r="AF718" s="74"/>
      <c r="AG718" s="53">
        <f>P_2_minQ+(AG715^2*R_dn)-dpdn_minQ</f>
        <v>26.989538580907421</v>
      </c>
      <c r="AH718" s="45"/>
      <c r="AI718" s="74"/>
      <c r="AJ718" s="53">
        <f>P_2_minQ+(AJ715^2*R_dn)-dpdn_minQ</f>
        <v>28.811197894578168</v>
      </c>
      <c r="AK718" s="45"/>
      <c r="AL718" s="74"/>
      <c r="AM718" s="53">
        <f>P_2_minQ+(AM715^2*R_dn)-dpdn_minQ</f>
        <v>30.842146360688123</v>
      </c>
      <c r="AN718" s="45"/>
      <c r="AO718" s="74"/>
      <c r="AP718" s="53">
        <f>P_2_minQ+(AP715^2*R_dn)-dpdn_minQ</f>
        <v>32.993722345247633</v>
      </c>
      <c r="AQ718" s="45"/>
      <c r="AR718" s="74"/>
      <c r="AS718" s="53">
        <f>P_2_minQ+(AS715^2*R_dn)-dpdn_minQ</f>
        <v>35.455259770912605</v>
      </c>
      <c r="AT718" s="45"/>
      <c r="AU718" s="74"/>
    </row>
    <row r="719" spans="15:47" x14ac:dyDescent="0.25">
      <c r="O719" s="6" t="s">
        <v>243</v>
      </c>
      <c r="Q719" s="60"/>
      <c r="R719" s="53">
        <f>R717-R718</f>
        <v>32.259069599288651</v>
      </c>
      <c r="S719" s="56"/>
      <c r="T719" s="72"/>
      <c r="U719" s="64">
        <f>U717-U718</f>
        <v>32.148240891756686</v>
      </c>
      <c r="V719" s="44"/>
      <c r="W719" s="72"/>
      <c r="X719" s="64">
        <f>X717-X718</f>
        <v>31.619052254381593</v>
      </c>
      <c r="Y719" s="44"/>
      <c r="Z719" s="72"/>
      <c r="AA719" s="64">
        <f>AA717-AA718</f>
        <v>29.924971302132406</v>
      </c>
      <c r="AB719" s="44"/>
      <c r="AC719" s="72"/>
      <c r="AD719" s="64">
        <f>AD717-AD718</f>
        <v>25.945252992268458</v>
      </c>
      <c r="AE719" s="44"/>
      <c r="AF719" s="72"/>
      <c r="AG719" s="64">
        <f>AG717-AG718</f>
        <v>18.262768514555468</v>
      </c>
      <c r="AH719" s="44"/>
      <c r="AI719" s="72"/>
      <c r="AJ719" s="64">
        <f>AJ717-AJ718</f>
        <v>7.3328126325309846</v>
      </c>
      <c r="AK719" s="44"/>
      <c r="AL719" s="72"/>
      <c r="AM719" s="64">
        <f>AM717-AM718</f>
        <v>-4.852878164128736</v>
      </c>
      <c r="AN719" s="44"/>
      <c r="AO719" s="72"/>
      <c r="AP719" s="64">
        <f>AP717-AP718</f>
        <v>-17.762334071485778</v>
      </c>
      <c r="AQ719" s="44"/>
      <c r="AR719" s="72"/>
      <c r="AS719" s="64">
        <f>AS717-AS718</f>
        <v>-32.531558625475611</v>
      </c>
      <c r="AT719" s="44"/>
      <c r="AU719" s="72"/>
    </row>
    <row r="720" spans="15:47" ht="13" x14ac:dyDescent="0.3">
      <c r="O720" s="6" t="s">
        <v>75</v>
      </c>
      <c r="P720" s="6">
        <v>3</v>
      </c>
      <c r="Q720" s="65"/>
      <c r="R720" s="85">
        <f>(F_LP_h/F_P_h)^2*(R717-('Valve Sizing'!$V$4*'Valve Sizing'!$G$7))</f>
        <v>46.764954686656651</v>
      </c>
      <c r="S720" s="58"/>
      <c r="T720" s="73"/>
      <c r="U720" s="53">
        <f>(U$29/U$27)^2*(U717-('Valve Sizing'!$V$4*'Valve Sizing'!$G$7))</f>
        <v>46.675752680280418</v>
      </c>
      <c r="V720" s="41"/>
      <c r="W720" s="73"/>
      <c r="X720" s="53">
        <f>(X$29/X$27)^2*(X717-('Valve Sizing'!$V$4*'Valve Sizing'!$G$7))</f>
        <v>45.266061875586338</v>
      </c>
      <c r="Y720" s="41"/>
      <c r="Z720" s="73"/>
      <c r="AA720" s="53">
        <f>(AA$29/AA$27)^2*(AA717-('Valve Sizing'!$V$4*'Valve Sizing'!$G$7))</f>
        <v>42.141213430309897</v>
      </c>
      <c r="AB720" s="41"/>
      <c r="AC720" s="73"/>
      <c r="AD720" s="53">
        <f>(AD$29/AD$27)^2*(AD717-('Valve Sizing'!$V$4*'Valve Sizing'!$G$7))</f>
        <v>36.935122524567809</v>
      </c>
      <c r="AE720" s="41"/>
      <c r="AF720" s="73"/>
      <c r="AG720" s="53">
        <f>(AG$29/AG$27)^2*(AG717-('Valve Sizing'!$V$4*'Valve Sizing'!$G$7))</f>
        <v>28.861058182047643</v>
      </c>
      <c r="AH720" s="41"/>
      <c r="AI720" s="73"/>
      <c r="AJ720" s="53">
        <f>(AJ$29/AJ$27)^2*(AJ717-('Valve Sizing'!$V$4*'Valve Sizing'!$G$7))</f>
        <v>20.649892963322184</v>
      </c>
      <c r="AK720" s="41"/>
      <c r="AL720" s="73"/>
      <c r="AM720" s="53">
        <f>(AM$29/AM$27)^2*(AM717-('Valve Sizing'!$V$4*'Valve Sizing'!$G$7))</f>
        <v>12.224585674174191</v>
      </c>
      <c r="AN720" s="41"/>
      <c r="AO720" s="73"/>
      <c r="AP720" s="53">
        <f>(AP$29/AP$27)^2*(AP717-('Valve Sizing'!$V$4*'Valve Sizing'!$G$7))</f>
        <v>5.8370558689822118</v>
      </c>
      <c r="AQ720" s="41"/>
      <c r="AR720" s="73"/>
      <c r="AS720" s="53">
        <f>(AS$29/AS$27)^2*(AS717-('Valve Sizing'!$V$4*'Valve Sizing'!$G$7))</f>
        <v>0.93419962951288416</v>
      </c>
      <c r="AT720" s="41"/>
      <c r="AU720" s="73"/>
    </row>
    <row r="721" spans="15:47" ht="13" x14ac:dyDescent="0.25">
      <c r="O721" s="1" t="s">
        <v>69</v>
      </c>
      <c r="P721" s="17">
        <v>7</v>
      </c>
      <c r="Q721" s="65"/>
      <c r="R721" s="53">
        <f>(R715/(N_1*F_P_h))*SQRT('Valve Sizing'!$G$6/R719)</f>
        <v>0.48088169539522924</v>
      </c>
      <c r="S721" s="58"/>
      <c r="T721" s="73"/>
      <c r="U721" s="64">
        <f>(U715/(N_1*U$27))*SQRT('Valve Sizing'!$G$6/U719)</f>
        <v>9.2434296905631737</v>
      </c>
      <c r="V721" s="41"/>
      <c r="W721" s="73"/>
      <c r="X721" s="64">
        <f>(X715/(N_1*X$27))*SQRT('Valve Sizing'!$G$6/X719)</f>
        <v>22.422956016809387</v>
      </c>
      <c r="Y721" s="41"/>
      <c r="Z721" s="73"/>
      <c r="AA721" s="64">
        <f>(AA715/(N_1*AA$27))*SQRT('Valve Sizing'!$G$6/AA719)</f>
        <v>44.262000513939057</v>
      </c>
      <c r="AB721" s="41"/>
      <c r="AC721" s="73"/>
      <c r="AD721" s="64">
        <f>(AD715/(N_1*AD$27))*SQRT('Valve Sizing'!$G$6/AD719)</f>
        <v>79.161287146919733</v>
      </c>
      <c r="AE721" s="41"/>
      <c r="AF721" s="73"/>
      <c r="AG721" s="64">
        <f>(AG715/(N_1*AG$27))*SQRT('Valve Sizing'!$G$6/AG719)</f>
        <v>143.61395925170464</v>
      </c>
      <c r="AH721" s="41"/>
      <c r="AI721" s="73"/>
      <c r="AJ721" s="64">
        <f>(AJ715/(N_1*AJ$27))*SQRT('Valve Sizing'!$G$6/AJ719)</f>
        <v>313.45099424326628</v>
      </c>
      <c r="AK721" s="41"/>
      <c r="AL721" s="73"/>
      <c r="AM721" s="64" t="e">
        <f>(AM715/(N_1*AM$27))*SQRT('Valve Sizing'!$G$6/AM719)</f>
        <v>#NUM!</v>
      </c>
      <c r="AN721" s="41"/>
      <c r="AO721" s="73"/>
      <c r="AP721" s="64" t="e">
        <f>(AP715/(N_1*AP$27))*SQRT('Valve Sizing'!$G$6/AP719)</f>
        <v>#NUM!</v>
      </c>
      <c r="AQ721" s="41"/>
      <c r="AR721" s="73"/>
      <c r="AS721" s="64" t="e">
        <f>(AS715/(N_1*AS$27))*SQRT('Valve Sizing'!$G$6/AS719)</f>
        <v>#NUM!</v>
      </c>
      <c r="AT721" s="41"/>
      <c r="AU721" s="73"/>
    </row>
    <row r="722" spans="15:47" ht="13" x14ac:dyDescent="0.3">
      <c r="O722" s="1" t="s">
        <v>72</v>
      </c>
      <c r="P722" s="17">
        <v>7</v>
      </c>
      <c r="Q722" s="65"/>
      <c r="R722" s="53">
        <f>(R715/(N_1*F_P_h))*SQRT('Valve Sizing'!$G$6/R720)</f>
        <v>0.3993961792315639</v>
      </c>
      <c r="S722" s="56"/>
      <c r="T722" s="72"/>
      <c r="U722" s="85">
        <f>(U715/(N_1*U$27))*SQRT('Valve Sizing'!$G$6/U720)</f>
        <v>7.6712490780789127</v>
      </c>
      <c r="V722" s="44"/>
      <c r="W722" s="72"/>
      <c r="X722" s="85">
        <f>(X715/(N_1*X$27))*SQRT('Valve Sizing'!$G$6/X720)</f>
        <v>18.740489603220475</v>
      </c>
      <c r="Y722" s="44"/>
      <c r="Z722" s="72"/>
      <c r="AA722" s="85">
        <f>(AA715/(N_1*AA$27))*SQRT('Valve Sizing'!$G$6/AA720)</f>
        <v>37.298759822822682</v>
      </c>
      <c r="AB722" s="44"/>
      <c r="AC722" s="72"/>
      <c r="AD722" s="85">
        <f>(AD715/(N_1*AD$27))*SQRT('Valve Sizing'!$G$6/AD720)</f>
        <v>66.347113020907713</v>
      </c>
      <c r="AE722" s="44"/>
      <c r="AF722" s="72"/>
      <c r="AG722" s="85">
        <f>(AG715/(N_1*AG$27))*SQRT('Valve Sizing'!$G$6/AG720)</f>
        <v>114.24148435569001</v>
      </c>
      <c r="AH722" s="44"/>
      <c r="AI722" s="72"/>
      <c r="AJ722" s="85">
        <f>(AJ715/(N_1*AJ$27))*SQRT('Valve Sizing'!$G$6/AJ720)</f>
        <v>186.78674039855417</v>
      </c>
      <c r="AK722" s="44"/>
      <c r="AL722" s="72"/>
      <c r="AM722" s="85">
        <f>(AM715/(N_1*AM$27))*SQRT('Valve Sizing'!$G$6/AM720)</f>
        <v>314.29251596539638</v>
      </c>
      <c r="AN722" s="44"/>
      <c r="AO722" s="72"/>
      <c r="AP722" s="85">
        <f>(AP715/(N_1*AP$27))*SQRT('Valve Sizing'!$G$6/AP720)</f>
        <v>601.02323453126905</v>
      </c>
      <c r="AQ722" s="44"/>
      <c r="AR722" s="72"/>
      <c r="AS722" s="85">
        <f>(AS715/(N_1*AS$27))*SQRT('Valve Sizing'!$G$6/AS720)</f>
        <v>2290.0935314612889</v>
      </c>
      <c r="AT722" s="44"/>
      <c r="AU722" s="72"/>
    </row>
    <row r="723" spans="15:47" x14ac:dyDescent="0.25">
      <c r="O723" s="1" t="s">
        <v>246</v>
      </c>
      <c r="P723" s="18"/>
      <c r="Q723" s="65"/>
      <c r="R723" s="53">
        <f>IF(R719&lt;R720,R721,R722)</f>
        <v>0.48088169539522924</v>
      </c>
      <c r="S723" s="49"/>
      <c r="T723" s="72"/>
      <c r="U723" s="64">
        <f>IF(U719&lt;U720,U721,U722)</f>
        <v>9.2434296905631737</v>
      </c>
      <c r="V723" s="44"/>
      <c r="W723" s="72"/>
      <c r="X723" s="64">
        <f>IF(X719&lt;X720,X721,X722)</f>
        <v>22.422956016809387</v>
      </c>
      <c r="Y723" s="44"/>
      <c r="Z723" s="72"/>
      <c r="AA723" s="64">
        <f>IF(AA719&lt;AA720,AA721,AA722)</f>
        <v>44.262000513939057</v>
      </c>
      <c r="AB723" s="44"/>
      <c r="AC723" s="72"/>
      <c r="AD723" s="64">
        <f>IF(AD719&lt;AD720,AD721,AD722)</f>
        <v>79.161287146919733</v>
      </c>
      <c r="AE723" s="44"/>
      <c r="AF723" s="72"/>
      <c r="AG723" s="64">
        <f>IF(AG719&lt;AG720,AG721,AG722)</f>
        <v>143.61395925170464</v>
      </c>
      <c r="AH723" s="44"/>
      <c r="AI723" s="72"/>
      <c r="AJ723" s="64">
        <f>IF(AJ719&lt;AJ720,AJ721,AJ722)</f>
        <v>313.45099424326628</v>
      </c>
      <c r="AK723" s="44"/>
      <c r="AL723" s="72"/>
      <c r="AM723" s="64" t="e">
        <f>IF(AM719&lt;AM720,AM721,AM722)</f>
        <v>#NUM!</v>
      </c>
      <c r="AN723" s="44"/>
      <c r="AO723" s="72"/>
      <c r="AP723" s="64" t="e">
        <f>IF(AP719&lt;AP720,AP721,AP722)</f>
        <v>#NUM!</v>
      </c>
      <c r="AQ723" s="44"/>
      <c r="AR723" s="72"/>
      <c r="AS723" s="64" t="e">
        <f>IF(AS719&lt;AS720,AS721,AS722)</f>
        <v>#NUM!</v>
      </c>
      <c r="AT723" s="44"/>
      <c r="AU723" s="72"/>
    </row>
    <row r="724" spans="15:47" ht="13" x14ac:dyDescent="0.3">
      <c r="O724" s="7" t="s">
        <v>264</v>
      </c>
      <c r="Q724" s="61"/>
      <c r="R724" s="53"/>
      <c r="S724" s="69">
        <f>IFERROR(ABS(C_h-R723),Q_max*10)</f>
        <v>4.5191183046047705</v>
      </c>
      <c r="T724" s="76">
        <f>R715</f>
        <v>2.730867545772302</v>
      </c>
      <c r="U724" s="61"/>
      <c r="V724" s="69">
        <f>IFERROR(ABS(U$23-U723),Q_max*10)</f>
        <v>2.7565703094368263</v>
      </c>
      <c r="W724" s="75">
        <f>U715</f>
        <v>52.36559935591108</v>
      </c>
      <c r="X724" s="61"/>
      <c r="Y724" s="69">
        <f>IFERROR(ABS(X$23-X723),Q_max*10)</f>
        <v>0.57704398319061312</v>
      </c>
      <c r="Z724" s="75">
        <f>X715</f>
        <v>125.69759593219813</v>
      </c>
      <c r="AA724" s="61"/>
      <c r="AB724" s="69">
        <f>IFERROR(ABS(AA$23-AA723),Q_max*10)</f>
        <v>5.2620005139390571</v>
      </c>
      <c r="AC724" s="75">
        <f>AA715</f>
        <v>240.00277731701962</v>
      </c>
      <c r="AD724" s="61"/>
      <c r="AE724" s="69">
        <f>IFERROR(ABS(AD$23-AD723),Q_max*10)</f>
        <v>18.161287146919733</v>
      </c>
      <c r="AF724" s="75">
        <f>AD715</f>
        <v>394.71620490648183</v>
      </c>
      <c r="AG724" s="61"/>
      <c r="AH724" s="69">
        <f>IFERROR(ABS(AG$23-AG723),Q_max*10)</f>
        <v>55.613959251704642</v>
      </c>
      <c r="AI724" s="75">
        <f>AG715</f>
        <v>587.67864254483823</v>
      </c>
      <c r="AJ724" s="61"/>
      <c r="AK724" s="69">
        <f>IFERROR(ABS(AJ$23-AJ723),Q_max*10)</f>
        <v>192.45099424326628</v>
      </c>
      <c r="AL724" s="75">
        <f>AJ715</f>
        <v>784.25942665185596</v>
      </c>
      <c r="AM724" s="61"/>
      <c r="AN724" s="69">
        <f>IFERROR(ABS(AM$23-AM723),Q_max*10)</f>
        <v>5500</v>
      </c>
      <c r="AO724" s="75">
        <f>AM715</f>
        <v>956.945541135898</v>
      </c>
      <c r="AP724" s="61"/>
      <c r="AQ724" s="69">
        <f>IFERROR(ABS(AP$23-AP723),Q_max*10)</f>
        <v>5500</v>
      </c>
      <c r="AR724" s="75">
        <f>AP715</f>
        <v>1110.9840652385215</v>
      </c>
      <c r="AS724" s="61"/>
      <c r="AT724" s="69">
        <f>IFERROR(ABS(AS$23-AS723),Q_max*10)</f>
        <v>5500</v>
      </c>
      <c r="AU724" s="75">
        <f>AS715</f>
        <v>1264.4034993164209</v>
      </c>
    </row>
    <row r="725" spans="15:47" ht="14.5" x14ac:dyDescent="0.35">
      <c r="O725" s="6"/>
      <c r="P725" s="6"/>
      <c r="Q725" s="60"/>
      <c r="R725" s="67"/>
      <c r="S725" s="56"/>
      <c r="T725" s="72"/>
      <c r="V725" s="11"/>
      <c r="W725" s="38"/>
      <c r="Y725" s="11"/>
      <c r="Z725" s="38"/>
      <c r="AB725" s="11"/>
      <c r="AC725" s="38"/>
      <c r="AE725" s="11"/>
      <c r="AF725" s="38"/>
      <c r="AH725" s="11"/>
      <c r="AI725" s="38"/>
      <c r="AK725" s="11"/>
      <c r="AL725" s="38"/>
      <c r="AN725" s="11"/>
      <c r="AO725" s="38"/>
      <c r="AQ725" s="11"/>
      <c r="AR725" s="38"/>
      <c r="AT725" s="11"/>
      <c r="AU725" s="38"/>
    </row>
    <row r="726" spans="15:47" ht="14" x14ac:dyDescent="0.3">
      <c r="O726" s="8" t="s">
        <v>235</v>
      </c>
      <c r="P726" s="6"/>
      <c r="Q726" s="60"/>
      <c r="R726" s="53">
        <f>R715*1.02</f>
        <v>2.7854848966877479</v>
      </c>
      <c r="S726" s="58" t="s">
        <v>238</v>
      </c>
      <c r="T726" s="73" t="s">
        <v>241</v>
      </c>
      <c r="U726" s="84">
        <f>U715*1.01</f>
        <v>52.88925534947019</v>
      </c>
      <c r="V726" s="58" t="s">
        <v>238</v>
      </c>
      <c r="W726" s="73" t="s">
        <v>241</v>
      </c>
      <c r="X726" s="84">
        <f>X715*1.01</f>
        <v>126.9545718915201</v>
      </c>
      <c r="Y726" s="58" t="s">
        <v>238</v>
      </c>
      <c r="Z726" s="73" t="s">
        <v>241</v>
      </c>
      <c r="AA726" s="84">
        <f>AA715*1.01</f>
        <v>242.40280509018982</v>
      </c>
      <c r="AB726" s="58" t="s">
        <v>238</v>
      </c>
      <c r="AC726" s="73" t="s">
        <v>241</v>
      </c>
      <c r="AD726" s="84">
        <f>AD715*1.01</f>
        <v>398.66336695554668</v>
      </c>
      <c r="AE726" s="58" t="s">
        <v>238</v>
      </c>
      <c r="AF726" s="73" t="s">
        <v>241</v>
      </c>
      <c r="AG726" s="84">
        <f>AG715*1.01</f>
        <v>593.55542897028658</v>
      </c>
      <c r="AH726" s="58" t="s">
        <v>238</v>
      </c>
      <c r="AI726" s="73" t="s">
        <v>241</v>
      </c>
      <c r="AJ726" s="84">
        <f>AJ715*1.01</f>
        <v>792.10202091837448</v>
      </c>
      <c r="AK726" s="58" t="s">
        <v>238</v>
      </c>
      <c r="AL726" s="73" t="s">
        <v>241</v>
      </c>
      <c r="AM726" s="84">
        <f>AM715*1.01</f>
        <v>966.51499654725694</v>
      </c>
      <c r="AN726" s="58" t="s">
        <v>238</v>
      </c>
      <c r="AO726" s="73" t="s">
        <v>241</v>
      </c>
      <c r="AP726" s="84">
        <f>AP715*1.01</f>
        <v>1122.0939058909066</v>
      </c>
      <c r="AQ726" s="58" t="s">
        <v>238</v>
      </c>
      <c r="AR726" s="73" t="s">
        <v>241</v>
      </c>
      <c r="AS726" s="84">
        <f>AS715*1.01</f>
        <v>1277.0475343095852</v>
      </c>
      <c r="AT726" s="58" t="s">
        <v>238</v>
      </c>
      <c r="AU726" s="73" t="s">
        <v>241</v>
      </c>
    </row>
    <row r="727" spans="15:47" ht="13" x14ac:dyDescent="0.25">
      <c r="O727" s="6"/>
      <c r="P727" s="6"/>
      <c r="Q727" s="60"/>
      <c r="R727" s="70"/>
      <c r="S727" s="63" t="s">
        <v>250</v>
      </c>
      <c r="T727" s="71" t="s">
        <v>242</v>
      </c>
      <c r="U727" s="61"/>
      <c r="V727" s="63" t="s">
        <v>250</v>
      </c>
      <c r="W727" s="71" t="s">
        <v>242</v>
      </c>
      <c r="X727" s="61"/>
      <c r="Y727" s="63" t="s">
        <v>250</v>
      </c>
      <c r="Z727" s="71" t="s">
        <v>242</v>
      </c>
      <c r="AA727" s="61"/>
      <c r="AB727" s="63" t="s">
        <v>250</v>
      </c>
      <c r="AC727" s="71" t="s">
        <v>242</v>
      </c>
      <c r="AD727" s="61"/>
      <c r="AE727" s="63" t="s">
        <v>250</v>
      </c>
      <c r="AF727" s="71" t="s">
        <v>242</v>
      </c>
      <c r="AG727" s="61"/>
      <c r="AH727" s="63" t="s">
        <v>250</v>
      </c>
      <c r="AI727" s="71" t="s">
        <v>242</v>
      </c>
      <c r="AJ727" s="61"/>
      <c r="AK727" s="63" t="s">
        <v>250</v>
      </c>
      <c r="AL727" s="71" t="s">
        <v>242</v>
      </c>
      <c r="AM727" s="61"/>
      <c r="AN727" s="63" t="s">
        <v>250</v>
      </c>
      <c r="AO727" s="71" t="s">
        <v>242</v>
      </c>
      <c r="AP727" s="61"/>
      <c r="AQ727" s="63" t="s">
        <v>250</v>
      </c>
      <c r="AR727" s="71" t="s">
        <v>242</v>
      </c>
      <c r="AS727" s="61"/>
      <c r="AT727" s="63" t="s">
        <v>250</v>
      </c>
      <c r="AU727" s="71" t="s">
        <v>242</v>
      </c>
    </row>
    <row r="728" spans="15:47" ht="13" x14ac:dyDescent="0.3">
      <c r="O728" s="6" t="s">
        <v>231</v>
      </c>
      <c r="P728" s="6"/>
      <c r="Q728" s="60"/>
      <c r="R728" s="85">
        <f>P_1_minQ-(R726^2*R_up)+dpup_minQ</f>
        <v>56.915881157510647</v>
      </c>
      <c r="S728" s="56"/>
      <c r="T728" s="72"/>
      <c r="U728" s="53">
        <f>P_1_minQ-(U726^2*R_up)+dpup_minQ</f>
        <v>56.821672633184008</v>
      </c>
      <c r="V728" s="44"/>
      <c r="W728" s="72"/>
      <c r="X728" s="53">
        <f>P_1_minQ-(X726^2*R_up)+dpup_minQ</f>
        <v>56.37181819236207</v>
      </c>
      <c r="Y728" s="44"/>
      <c r="Z728" s="72"/>
      <c r="AA728" s="53">
        <f>P_1_minQ-(AA726^2*R_up)+dpup_minQ</f>
        <v>54.931708209537568</v>
      </c>
      <c r="AB728" s="44"/>
      <c r="AC728" s="72"/>
      <c r="AD728" s="53">
        <f>P_1_minQ-(AD726^2*R_up)+dpup_minQ</f>
        <v>51.548616002960728</v>
      </c>
      <c r="AE728" s="44"/>
      <c r="AF728" s="72"/>
      <c r="AG728" s="53">
        <f>P_1_minQ-(AG726^2*R_up)+dpup_minQ</f>
        <v>45.017863989864878</v>
      </c>
      <c r="AH728" s="44"/>
      <c r="AI728" s="72"/>
      <c r="AJ728" s="53">
        <f>P_1_minQ-(AJ726^2*R_up)+dpup_minQ</f>
        <v>35.726490660487237</v>
      </c>
      <c r="AK728" s="44"/>
      <c r="AL728" s="72"/>
      <c r="AM728" s="53">
        <f>P_1_minQ-(AM726^2*R_up)+dpup_minQ</f>
        <v>25.367638009093412</v>
      </c>
      <c r="AN728" s="44"/>
      <c r="AO728" s="72"/>
      <c r="AP728" s="53">
        <f>P_1_minQ-(AP726^2*R_up)+dpup_minQ</f>
        <v>14.393524699847664</v>
      </c>
      <c r="AQ728" s="44"/>
      <c r="AR728" s="72"/>
      <c r="AS728" s="53">
        <f>P_1_minQ-(AS726^2*R_up)+dpup_minQ</f>
        <v>1.838453060243455</v>
      </c>
      <c r="AT728" s="44"/>
      <c r="AU728" s="72"/>
    </row>
    <row r="729" spans="15:47" ht="13" x14ac:dyDescent="0.3">
      <c r="O729" s="6" t="s">
        <v>233</v>
      </c>
      <c r="P729" s="6"/>
      <c r="Q729" s="60"/>
      <c r="R729" s="85">
        <f>P_2_minQ+(R726^2*R_dn)-dpdn_minQ</f>
        <v>24.656823768497873</v>
      </c>
      <c r="S729" s="66"/>
      <c r="T729" s="74"/>
      <c r="U729" s="53">
        <f>P_2_minQ+(U726^2*R_dn)-dpdn_minQ</f>
        <v>24.6756654733632</v>
      </c>
      <c r="V729" s="45"/>
      <c r="W729" s="74"/>
      <c r="X729" s="53">
        <f>P_2_minQ+(X726^2*R_dn)-dpdn_minQ</f>
        <v>24.765636361527587</v>
      </c>
      <c r="Y729" s="45"/>
      <c r="Z729" s="74"/>
      <c r="AA729" s="53">
        <f>P_2_minQ+(AA726^2*R_dn)-dpdn_minQ</f>
        <v>25.053658358092488</v>
      </c>
      <c r="AB729" s="45"/>
      <c r="AC729" s="74"/>
      <c r="AD729" s="53">
        <f>P_2_minQ+(AD726^2*R_dn)-dpdn_minQ</f>
        <v>25.730276799407857</v>
      </c>
      <c r="AE729" s="45"/>
      <c r="AF729" s="74"/>
      <c r="AG729" s="53">
        <f>P_2_minQ+(AG726^2*R_dn)-dpdn_minQ</f>
        <v>27.036427202027024</v>
      </c>
      <c r="AH729" s="45"/>
      <c r="AI729" s="74"/>
      <c r="AJ729" s="53">
        <f>P_2_minQ+(AJ726^2*R_dn)-dpdn_minQ</f>
        <v>28.894701867902555</v>
      </c>
      <c r="AK729" s="45"/>
      <c r="AL729" s="74"/>
      <c r="AM729" s="53">
        <f>P_2_minQ+(AM726^2*R_dn)-dpdn_minQ</f>
        <v>30.96647239818132</v>
      </c>
      <c r="AN729" s="45"/>
      <c r="AO729" s="74"/>
      <c r="AP729" s="53">
        <f>P_2_minQ+(AP726^2*R_dn)-dpdn_minQ</f>
        <v>33.161295060030469</v>
      </c>
      <c r="AQ729" s="45"/>
      <c r="AR729" s="74"/>
      <c r="AS729" s="53">
        <f>P_2_minQ+(AS726^2*R_dn)-dpdn_minQ</f>
        <v>35.672309387951316</v>
      </c>
      <c r="AT729" s="45"/>
      <c r="AU729" s="74"/>
    </row>
    <row r="730" spans="15:47" x14ac:dyDescent="0.25">
      <c r="O730" s="6" t="s">
        <v>243</v>
      </c>
      <c r="Q730" s="60"/>
      <c r="R730" s="53">
        <f>R728-R729</f>
        <v>32.259057389012774</v>
      </c>
      <c r="S730" s="56"/>
      <c r="T730" s="72"/>
      <c r="U730" s="64">
        <f>U728-U729</f>
        <v>32.146007159820812</v>
      </c>
      <c r="V730" s="44"/>
      <c r="W730" s="72"/>
      <c r="X730" s="64">
        <f>X728-X729</f>
        <v>31.606181830834483</v>
      </c>
      <c r="Y730" s="44"/>
      <c r="Z730" s="72"/>
      <c r="AA730" s="64">
        <f>AA728-AA729</f>
        <v>29.878049851445081</v>
      </c>
      <c r="AB730" s="44"/>
      <c r="AC730" s="72"/>
      <c r="AD730" s="64">
        <f>AD728-AD729</f>
        <v>25.81833920355287</v>
      </c>
      <c r="AE730" s="44"/>
      <c r="AF730" s="72"/>
      <c r="AG730" s="64">
        <f>AG728-AG729</f>
        <v>17.981436787837854</v>
      </c>
      <c r="AH730" s="44"/>
      <c r="AI730" s="72"/>
      <c r="AJ730" s="64">
        <f>AJ728-AJ729</f>
        <v>6.8317887925846819</v>
      </c>
      <c r="AK730" s="44"/>
      <c r="AL730" s="72"/>
      <c r="AM730" s="64">
        <f>AM728-AM729</f>
        <v>-5.5988343890879086</v>
      </c>
      <c r="AN730" s="44"/>
      <c r="AO730" s="72"/>
      <c r="AP730" s="64">
        <f>AP728-AP729</f>
        <v>-18.767770360182805</v>
      </c>
      <c r="AQ730" s="44"/>
      <c r="AR730" s="72"/>
      <c r="AS730" s="64">
        <f>AS728-AS729</f>
        <v>-33.833856327707863</v>
      </c>
      <c r="AT730" s="44"/>
      <c r="AU730" s="72"/>
    </row>
    <row r="731" spans="15:47" ht="13" x14ac:dyDescent="0.3">
      <c r="O731" s="6" t="s">
        <v>75</v>
      </c>
      <c r="P731" s="6">
        <v>3</v>
      </c>
      <c r="Q731" s="65"/>
      <c r="R731" s="85">
        <f>(F_LP_h/F_P_h)^2*(R728-('Valve Sizing'!$V$4*'Valve Sizing'!$G$7))</f>
        <v>46.7649462610322</v>
      </c>
      <c r="S731" s="58"/>
      <c r="T731" s="73"/>
      <c r="U731" s="53">
        <f>(U$29/U$27)^2*(U728-('Valve Sizing'!$V$4*'Valve Sizing'!$G$7))</f>
        <v>46.67421172765215</v>
      </c>
      <c r="V731" s="41"/>
      <c r="W731" s="73"/>
      <c r="X731" s="53">
        <f>(X$29/X$27)^2*(X728-('Valve Sizing'!$V$4*'Valve Sizing'!$G$7))</f>
        <v>45.257383418007358</v>
      </c>
      <c r="Y731" s="41"/>
      <c r="Z731" s="73"/>
      <c r="AA731" s="53">
        <f>(AA$29/AA$27)^2*(AA728-('Valve Sizing'!$V$4*'Valve Sizing'!$G$7))</f>
        <v>42.110996124715705</v>
      </c>
      <c r="AB731" s="41"/>
      <c r="AC731" s="73"/>
      <c r="AD731" s="53">
        <f>(AD$29/AD$27)^2*(AD728-('Valve Sizing'!$V$4*'Valve Sizing'!$G$7))</f>
        <v>36.858848669385608</v>
      </c>
      <c r="AE731" s="41"/>
      <c r="AF731" s="73"/>
      <c r="AG731" s="53">
        <f>(AG$29/AG$27)^2*(AG728-('Valve Sizing'!$V$4*'Valve Sizing'!$G$7))</f>
        <v>28.710066517990661</v>
      </c>
      <c r="AH731" s="41"/>
      <c r="AI731" s="73"/>
      <c r="AJ731" s="53">
        <f>(AJ$29/AJ$27)^2*(AJ728-('Valve Sizing'!$V$4*'Valve Sizing'!$G$7))</f>
        <v>20.408414363177908</v>
      </c>
      <c r="AK731" s="41"/>
      <c r="AL731" s="73"/>
      <c r="AM731" s="53">
        <f>(AM$29/AM$27)^2*(AM728-('Valve Sizing'!$V$4*'Valve Sizing'!$G$7))</f>
        <v>11.927152942304774</v>
      </c>
      <c r="AN731" s="41"/>
      <c r="AO731" s="73"/>
      <c r="AP731" s="53">
        <f>(AP$29/AP$27)^2*(AP728-('Valve Sizing'!$V$4*'Valve Sizing'!$G$7))</f>
        <v>5.5064124250492847</v>
      </c>
      <c r="AQ731" s="41"/>
      <c r="AR731" s="73"/>
      <c r="AS731" s="53">
        <f>(AS$29/AS$27)^2*(AS728-('Valve Sizing'!$V$4*'Valve Sizing'!$G$7))</f>
        <v>0.525993552948536</v>
      </c>
      <c r="AT731" s="41"/>
      <c r="AU731" s="73"/>
    </row>
    <row r="732" spans="15:47" ht="13" x14ac:dyDescent="0.25">
      <c r="O732" s="1" t="s">
        <v>69</v>
      </c>
      <c r="P732" s="17">
        <v>7</v>
      </c>
      <c r="Q732" s="65"/>
      <c r="R732" s="53">
        <f>(R726/(N_1*F_P_h))*SQRT('Valve Sizing'!$G$6/R730)</f>
        <v>0.49049942213181585</v>
      </c>
      <c r="S732" s="58"/>
      <c r="T732" s="73"/>
      <c r="U732" s="64">
        <f>(U726/(N_1*U$27))*SQRT('Valve Sizing'!$G$6/U730)</f>
        <v>9.3361883427639896</v>
      </c>
      <c r="V732" s="41"/>
      <c r="W732" s="73"/>
      <c r="X732" s="64">
        <f>(X726/(N_1*X$27))*SQRT('Valve Sizing'!$G$6/X730)</f>
        <v>22.651796213034157</v>
      </c>
      <c r="Y732" s="41"/>
      <c r="Z732" s="73"/>
      <c r="AA732" s="64">
        <f>(AA726/(N_1*AA$27))*SQRT('Valve Sizing'!$G$6/AA730)</f>
        <v>44.739709535376029</v>
      </c>
      <c r="AB732" s="41"/>
      <c r="AC732" s="73"/>
      <c r="AD732" s="64">
        <f>(AD726/(N_1*AD$27))*SQRT('Valve Sizing'!$G$6/AD730)</f>
        <v>80.149169151324372</v>
      </c>
      <c r="AE732" s="41"/>
      <c r="AF732" s="73"/>
      <c r="AG732" s="64">
        <f>(AG726/(N_1*AG$27))*SQRT('Valve Sizing'!$G$6/AG730)</f>
        <v>146.18039832396354</v>
      </c>
      <c r="AH732" s="41"/>
      <c r="AI732" s="73"/>
      <c r="AJ732" s="64">
        <f>(AJ726/(N_1*AJ$27))*SQRT('Valve Sizing'!$G$6/AJ730)</f>
        <v>327.98886789839725</v>
      </c>
      <c r="AK732" s="41"/>
      <c r="AL732" s="73"/>
      <c r="AM732" s="64" t="e">
        <f>(AM726/(N_1*AM$27))*SQRT('Valve Sizing'!$G$6/AM730)</f>
        <v>#NUM!</v>
      </c>
      <c r="AN732" s="41"/>
      <c r="AO732" s="73"/>
      <c r="AP732" s="64" t="e">
        <f>(AP726/(N_1*AP$27))*SQRT('Valve Sizing'!$G$6/AP730)</f>
        <v>#NUM!</v>
      </c>
      <c r="AQ732" s="41"/>
      <c r="AR732" s="73"/>
      <c r="AS732" s="64" t="e">
        <f>(AS726/(N_1*AS$27))*SQRT('Valve Sizing'!$G$6/AS730)</f>
        <v>#NUM!</v>
      </c>
      <c r="AT732" s="41"/>
      <c r="AU732" s="73"/>
    </row>
    <row r="733" spans="15:47" ht="13" x14ac:dyDescent="0.3">
      <c r="O733" s="1" t="s">
        <v>72</v>
      </c>
      <c r="P733" s="17">
        <v>7</v>
      </c>
      <c r="Q733" s="65"/>
      <c r="R733" s="53">
        <f>(R726/(N_1*F_P_h))*SQRT('Valve Sizing'!$G$6/R731)</f>
        <v>0.4073841395153211</v>
      </c>
      <c r="S733" s="56"/>
      <c r="T733" s="72"/>
      <c r="U733" s="85">
        <f>(U726/(N_1*U$27))*SQRT('Valve Sizing'!$G$6/U731)</f>
        <v>7.7480894675724956</v>
      </c>
      <c r="V733" s="44"/>
      <c r="W733" s="72"/>
      <c r="X733" s="85">
        <f>(X726/(N_1*X$27))*SQRT('Valve Sizing'!$G$6/X731)</f>
        <v>18.929709198237124</v>
      </c>
      <c r="Y733" s="44"/>
      <c r="Z733" s="72"/>
      <c r="AA733" s="85">
        <f>(AA726/(N_1*AA$27))*SQRT('Valve Sizing'!$G$6/AA731)</f>
        <v>37.685260929095584</v>
      </c>
      <c r="AB733" s="44"/>
      <c r="AC733" s="72"/>
      <c r="AD733" s="85">
        <f>(AD726/(N_1*AD$27))*SQRT('Valve Sizing'!$G$6/AD731)</f>
        <v>67.07988249216163</v>
      </c>
      <c r="AE733" s="44"/>
      <c r="AF733" s="72"/>
      <c r="AG733" s="85">
        <f>(AG726/(N_1*AG$27))*SQRT('Valve Sizing'!$G$6/AG731)</f>
        <v>115.68691418121057</v>
      </c>
      <c r="AH733" s="44"/>
      <c r="AI733" s="72"/>
      <c r="AJ733" s="85">
        <f>(AJ726/(N_1*AJ$27))*SQRT('Valve Sizing'!$G$6/AJ731)</f>
        <v>189.76743516181094</v>
      </c>
      <c r="AK733" s="44"/>
      <c r="AL733" s="72"/>
      <c r="AM733" s="85">
        <f>(AM726/(N_1*AM$27))*SQRT('Valve Sizing'!$G$6/AM731)</f>
        <v>321.36908297085097</v>
      </c>
      <c r="AN733" s="44"/>
      <c r="AO733" s="72"/>
      <c r="AP733" s="85">
        <f>(AP726/(N_1*AP$27))*SQRT('Valve Sizing'!$G$6/AP731)</f>
        <v>624.99305582190925</v>
      </c>
      <c r="AQ733" s="44"/>
      <c r="AR733" s="72"/>
      <c r="AS733" s="85">
        <f>(AS726/(N_1*AS$27))*SQRT('Valve Sizing'!$G$6/AS731)</f>
        <v>3082.5081154601876</v>
      </c>
      <c r="AT733" s="44"/>
      <c r="AU733" s="72"/>
    </row>
    <row r="734" spans="15:47" x14ac:dyDescent="0.25">
      <c r="O734" s="1" t="s">
        <v>246</v>
      </c>
      <c r="P734" s="18"/>
      <c r="Q734" s="65"/>
      <c r="R734" s="53">
        <f>IF(R730&lt;R731,R732,R733)</f>
        <v>0.49049942213181585</v>
      </c>
      <c r="S734" s="49"/>
      <c r="T734" s="72"/>
      <c r="U734" s="64">
        <f>IF(U730&lt;U731,U732,U733)</f>
        <v>9.3361883427639896</v>
      </c>
      <c r="V734" s="44"/>
      <c r="W734" s="72"/>
      <c r="X734" s="64">
        <f>IF(X730&lt;X731,X732,X733)</f>
        <v>22.651796213034157</v>
      </c>
      <c r="Y734" s="44"/>
      <c r="Z734" s="72"/>
      <c r="AA734" s="64">
        <f>IF(AA730&lt;AA731,AA732,AA733)</f>
        <v>44.739709535376029</v>
      </c>
      <c r="AB734" s="44"/>
      <c r="AC734" s="72"/>
      <c r="AD734" s="64">
        <f>IF(AD730&lt;AD731,AD732,AD733)</f>
        <v>80.149169151324372</v>
      </c>
      <c r="AE734" s="44"/>
      <c r="AF734" s="72"/>
      <c r="AG734" s="64">
        <f>IF(AG730&lt;AG731,AG732,AG733)</f>
        <v>146.18039832396354</v>
      </c>
      <c r="AH734" s="44"/>
      <c r="AI734" s="72"/>
      <c r="AJ734" s="64">
        <f>IF(AJ730&lt;AJ731,AJ732,AJ733)</f>
        <v>327.98886789839725</v>
      </c>
      <c r="AK734" s="44"/>
      <c r="AL734" s="72"/>
      <c r="AM734" s="64" t="e">
        <f>IF(AM730&lt;AM731,AM732,AM733)</f>
        <v>#NUM!</v>
      </c>
      <c r="AN734" s="44"/>
      <c r="AO734" s="72"/>
      <c r="AP734" s="64" t="e">
        <f>IF(AP730&lt;AP731,AP732,AP733)</f>
        <v>#NUM!</v>
      </c>
      <c r="AQ734" s="44"/>
      <c r="AR734" s="72"/>
      <c r="AS734" s="64" t="e">
        <f>IF(AS730&lt;AS731,AS732,AS733)</f>
        <v>#NUM!</v>
      </c>
      <c r="AT734" s="44"/>
      <c r="AU734" s="72"/>
    </row>
    <row r="735" spans="15:47" ht="13" x14ac:dyDescent="0.3">
      <c r="O735" s="7" t="s">
        <v>264</v>
      </c>
      <c r="Q735" s="61"/>
      <c r="R735" s="53"/>
      <c r="S735" s="69">
        <f>IFERROR(ABS(C_h-R734),Q_max*10)</f>
        <v>4.5095005778681845</v>
      </c>
      <c r="T735" s="76">
        <f>R726</f>
        <v>2.7854848966877479</v>
      </c>
      <c r="U735" s="61"/>
      <c r="V735" s="69">
        <f>IFERROR(ABS(U$23-U734),Q_max*10)</f>
        <v>2.6638116572360104</v>
      </c>
      <c r="W735" s="75">
        <f>U726</f>
        <v>52.88925534947019</v>
      </c>
      <c r="X735" s="61"/>
      <c r="Y735" s="69">
        <f>IFERROR(ABS(X$23-X734),Q_max*10)</f>
        <v>0.34820378696584342</v>
      </c>
      <c r="Z735" s="75">
        <f>X726</f>
        <v>126.9545718915201</v>
      </c>
      <c r="AA735" s="61"/>
      <c r="AB735" s="69">
        <f>IFERROR(ABS(AA$23-AA734),Q_max*10)</f>
        <v>5.7397095353760292</v>
      </c>
      <c r="AC735" s="75">
        <f>AA726</f>
        <v>242.40280509018982</v>
      </c>
      <c r="AD735" s="61"/>
      <c r="AE735" s="69">
        <f>IFERROR(ABS(AD$23-AD734),Q_max*10)</f>
        <v>19.149169151324372</v>
      </c>
      <c r="AF735" s="75">
        <f>AD726</f>
        <v>398.66336695554668</v>
      </c>
      <c r="AG735" s="61"/>
      <c r="AH735" s="69">
        <f>IFERROR(ABS(AG$23-AG734),Q_max*10)</f>
        <v>58.180398323963544</v>
      </c>
      <c r="AI735" s="75">
        <f>AG726</f>
        <v>593.55542897028658</v>
      </c>
      <c r="AJ735" s="61"/>
      <c r="AK735" s="69">
        <f>IFERROR(ABS(AJ$23-AJ734),Q_max*10)</f>
        <v>206.98886789839725</v>
      </c>
      <c r="AL735" s="75">
        <f>AJ726</f>
        <v>792.10202091837448</v>
      </c>
      <c r="AM735" s="61"/>
      <c r="AN735" s="69">
        <f>IFERROR(ABS(AM$23-AM734),Q_max*10)</f>
        <v>5500</v>
      </c>
      <c r="AO735" s="75">
        <f>AM726</f>
        <v>966.51499654725694</v>
      </c>
      <c r="AP735" s="61"/>
      <c r="AQ735" s="69">
        <f>IFERROR(ABS(AP$23-AP734),Q_max*10)</f>
        <v>5500</v>
      </c>
      <c r="AR735" s="75">
        <f>AP726</f>
        <v>1122.0939058909066</v>
      </c>
      <c r="AS735" s="61"/>
      <c r="AT735" s="69">
        <f>IFERROR(ABS(AS$23-AS734),Q_max*10)</f>
        <v>5500</v>
      </c>
      <c r="AU735" s="75">
        <f>AS726</f>
        <v>1277.0475343095852</v>
      </c>
    </row>
    <row r="736" spans="15:47" ht="14.5" x14ac:dyDescent="0.35">
      <c r="O736" s="8"/>
      <c r="P736" s="6"/>
      <c r="Q736" s="60"/>
      <c r="R736" s="67"/>
      <c r="S736" s="66"/>
      <c r="T736" s="74"/>
      <c r="V736" s="11"/>
      <c r="W736" s="38"/>
      <c r="Y736" s="11"/>
      <c r="Z736" s="38"/>
      <c r="AB736" s="11"/>
      <c r="AC736" s="38"/>
      <c r="AE736" s="11"/>
      <c r="AF736" s="38"/>
      <c r="AH736" s="11"/>
      <c r="AI736" s="38"/>
      <c r="AK736" s="11"/>
      <c r="AL736" s="38"/>
      <c r="AN736" s="11"/>
      <c r="AO736" s="38"/>
      <c r="AQ736" s="11"/>
      <c r="AR736" s="38"/>
      <c r="AT736" s="11"/>
      <c r="AU736" s="38"/>
    </row>
    <row r="737" spans="15:47" ht="14" x14ac:dyDescent="0.3">
      <c r="O737" s="8" t="s">
        <v>235</v>
      </c>
      <c r="P737" s="6"/>
      <c r="Q737" s="60"/>
      <c r="R737" s="53">
        <f>R726*1.02</f>
        <v>2.8411945946215029</v>
      </c>
      <c r="S737" s="58" t="s">
        <v>238</v>
      </c>
      <c r="T737" s="73" t="s">
        <v>241</v>
      </c>
      <c r="U737" s="84">
        <f>U726*1.01</f>
        <v>53.41814790296489</v>
      </c>
      <c r="V737" s="58" t="s">
        <v>238</v>
      </c>
      <c r="W737" s="73" t="s">
        <v>241</v>
      </c>
      <c r="X737" s="84">
        <f>X726*1.01</f>
        <v>128.22411761043531</v>
      </c>
      <c r="Y737" s="58" t="s">
        <v>238</v>
      </c>
      <c r="Z737" s="73" t="s">
        <v>241</v>
      </c>
      <c r="AA737" s="84">
        <f>AA726*1.01</f>
        <v>244.82683314109173</v>
      </c>
      <c r="AB737" s="58" t="s">
        <v>238</v>
      </c>
      <c r="AC737" s="73" t="s">
        <v>241</v>
      </c>
      <c r="AD737" s="84">
        <f>AD726*1.01</f>
        <v>402.65000062510217</v>
      </c>
      <c r="AE737" s="58" t="s">
        <v>238</v>
      </c>
      <c r="AF737" s="73" t="s">
        <v>241</v>
      </c>
      <c r="AG737" s="84">
        <f>AG726*1.01</f>
        <v>599.49098325998943</v>
      </c>
      <c r="AH737" s="58" t="s">
        <v>238</v>
      </c>
      <c r="AI737" s="73" t="s">
        <v>241</v>
      </c>
      <c r="AJ737" s="84">
        <f>AJ726*1.01</f>
        <v>800.02304112755826</v>
      </c>
      <c r="AK737" s="58" t="s">
        <v>238</v>
      </c>
      <c r="AL737" s="73" t="s">
        <v>241</v>
      </c>
      <c r="AM737" s="84">
        <f>AM726*1.01</f>
        <v>976.18014651272949</v>
      </c>
      <c r="AN737" s="58" t="s">
        <v>238</v>
      </c>
      <c r="AO737" s="73" t="s">
        <v>241</v>
      </c>
      <c r="AP737" s="84">
        <f>AP726*1.01</f>
        <v>1133.3148449498158</v>
      </c>
      <c r="AQ737" s="58" t="s">
        <v>238</v>
      </c>
      <c r="AR737" s="73" t="s">
        <v>241</v>
      </c>
      <c r="AS737" s="84">
        <f>AS726*1.01</f>
        <v>1289.818009652681</v>
      </c>
      <c r="AT737" s="58" t="s">
        <v>238</v>
      </c>
      <c r="AU737" s="73" t="s">
        <v>241</v>
      </c>
    </row>
    <row r="738" spans="15:47" ht="13" x14ac:dyDescent="0.25">
      <c r="O738" s="6"/>
      <c r="P738" s="6"/>
      <c r="Q738" s="60"/>
      <c r="R738" s="70"/>
      <c r="S738" s="63" t="s">
        <v>250</v>
      </c>
      <c r="T738" s="71" t="s">
        <v>242</v>
      </c>
      <c r="U738" s="61"/>
      <c r="V738" s="63" t="s">
        <v>250</v>
      </c>
      <c r="W738" s="71" t="s">
        <v>242</v>
      </c>
      <c r="X738" s="61"/>
      <c r="Y738" s="63" t="s">
        <v>250</v>
      </c>
      <c r="Z738" s="71" t="s">
        <v>242</v>
      </c>
      <c r="AA738" s="61"/>
      <c r="AB738" s="63" t="s">
        <v>250</v>
      </c>
      <c r="AC738" s="71" t="s">
        <v>242</v>
      </c>
      <c r="AD738" s="61"/>
      <c r="AE738" s="63" t="s">
        <v>250</v>
      </c>
      <c r="AF738" s="71" t="s">
        <v>242</v>
      </c>
      <c r="AG738" s="61"/>
      <c r="AH738" s="63" t="s">
        <v>250</v>
      </c>
      <c r="AI738" s="71" t="s">
        <v>242</v>
      </c>
      <c r="AJ738" s="61"/>
      <c r="AK738" s="63" t="s">
        <v>250</v>
      </c>
      <c r="AL738" s="71" t="s">
        <v>242</v>
      </c>
      <c r="AM738" s="61"/>
      <c r="AN738" s="63" t="s">
        <v>250</v>
      </c>
      <c r="AO738" s="71" t="s">
        <v>242</v>
      </c>
      <c r="AP738" s="61"/>
      <c r="AQ738" s="63" t="s">
        <v>250</v>
      </c>
      <c r="AR738" s="71" t="s">
        <v>242</v>
      </c>
      <c r="AS738" s="61"/>
      <c r="AT738" s="63" t="s">
        <v>250</v>
      </c>
      <c r="AU738" s="71" t="s">
        <v>242</v>
      </c>
    </row>
    <row r="739" spans="15:47" ht="13" x14ac:dyDescent="0.3">
      <c r="O739" s="6" t="s">
        <v>231</v>
      </c>
      <c r="P739" s="6"/>
      <c r="Q739" s="60"/>
      <c r="R739" s="85">
        <f>P_1_minQ-(R737^2*R_up)+dpup_minQ</f>
        <v>56.915870571201467</v>
      </c>
      <c r="S739" s="56"/>
      <c r="T739" s="72"/>
      <c r="U739" s="53">
        <f>P_1_minQ-(U737^2*R_up)+dpup_minQ</f>
        <v>56.819773774894188</v>
      </c>
      <c r="V739" s="44"/>
      <c r="W739" s="72"/>
      <c r="X739" s="53">
        <f>P_1_minQ-(X737^2*R_up)+dpup_minQ</f>
        <v>56.36087725981173</v>
      </c>
      <c r="Y739" s="44"/>
      <c r="Z739" s="72"/>
      <c r="AA739" s="53">
        <f>P_1_minQ-(AA737^2*R_up)+dpup_minQ</f>
        <v>54.891821066332454</v>
      </c>
      <c r="AB739" s="44"/>
      <c r="AC739" s="72"/>
      <c r="AD739" s="53">
        <f>P_1_minQ-(AD737^2*R_up)+dpup_minQ</f>
        <v>51.440728706403419</v>
      </c>
      <c r="AE739" s="44"/>
      <c r="AF739" s="72"/>
      <c r="AG739" s="53">
        <f>P_1_minQ-(AG737^2*R_up)+dpup_minQ</f>
        <v>44.778708577844341</v>
      </c>
      <c r="AH739" s="44"/>
      <c r="AI739" s="72"/>
      <c r="AJ739" s="53">
        <f>P_1_minQ-(AJ737^2*R_up)+dpup_minQ</f>
        <v>35.300578644546206</v>
      </c>
      <c r="AK739" s="44"/>
      <c r="AL739" s="72"/>
      <c r="AM739" s="53">
        <f>P_1_minQ-(AM737^2*R_up)+dpup_minQ</f>
        <v>24.733513054859369</v>
      </c>
      <c r="AN739" s="44"/>
      <c r="AO739" s="72"/>
      <c r="AP739" s="53">
        <f>P_1_minQ-(AP737^2*R_up)+dpup_minQ</f>
        <v>13.538820068097767</v>
      </c>
      <c r="AQ739" s="44"/>
      <c r="AR739" s="72"/>
      <c r="AS739" s="53">
        <f>P_1_minQ-(AS737^2*R_up)+dpup_minQ</f>
        <v>0.73139148853754243</v>
      </c>
      <c r="AT739" s="44"/>
      <c r="AU739" s="72"/>
    </row>
    <row r="740" spans="15:47" ht="13" x14ac:dyDescent="0.3">
      <c r="O740" s="6" t="s">
        <v>233</v>
      </c>
      <c r="P740" s="6"/>
      <c r="Q740" s="60"/>
      <c r="R740" s="85">
        <f>P_2_minQ+(R737^2*R_dn)-dpdn_minQ</f>
        <v>24.656825885759709</v>
      </c>
      <c r="S740" s="66"/>
      <c r="T740" s="74"/>
      <c r="U740" s="53">
        <f>P_2_minQ+(U737^2*R_dn)-dpdn_minQ</f>
        <v>24.676045245021164</v>
      </c>
      <c r="V740" s="45"/>
      <c r="W740" s="74"/>
      <c r="X740" s="53">
        <f>P_2_minQ+(X737^2*R_dn)-dpdn_minQ</f>
        <v>24.767824548037655</v>
      </c>
      <c r="Y740" s="45"/>
      <c r="Z740" s="74"/>
      <c r="AA740" s="53">
        <f>P_2_minQ+(AA737^2*R_dn)-dpdn_minQ</f>
        <v>25.061635786733511</v>
      </c>
      <c r="AB740" s="45"/>
      <c r="AC740" s="74"/>
      <c r="AD740" s="53">
        <f>P_2_minQ+(AD737^2*R_dn)-dpdn_minQ</f>
        <v>25.751854258719316</v>
      </c>
      <c r="AE740" s="45"/>
      <c r="AF740" s="74"/>
      <c r="AG740" s="53">
        <f>P_2_minQ+(AG737^2*R_dn)-dpdn_minQ</f>
        <v>27.084258284431133</v>
      </c>
      <c r="AH740" s="45"/>
      <c r="AI740" s="74"/>
      <c r="AJ740" s="53">
        <f>P_2_minQ+(AJ737^2*R_dn)-dpdn_minQ</f>
        <v>28.979884271090757</v>
      </c>
      <c r="AK740" s="45"/>
      <c r="AL740" s="74"/>
      <c r="AM740" s="53">
        <f>P_2_minQ+(AM737^2*R_dn)-dpdn_minQ</f>
        <v>31.093297389028127</v>
      </c>
      <c r="AN740" s="45"/>
      <c r="AO740" s="74"/>
      <c r="AP740" s="53">
        <f>P_2_minQ+(AP737^2*R_dn)-dpdn_minQ</f>
        <v>33.332235986380454</v>
      </c>
      <c r="AQ740" s="45"/>
      <c r="AR740" s="74"/>
      <c r="AS740" s="53">
        <f>P_2_minQ+(AS737^2*R_dn)-dpdn_minQ</f>
        <v>35.893721702292495</v>
      </c>
      <c r="AT740" s="45"/>
      <c r="AU740" s="74"/>
    </row>
    <row r="741" spans="15:47" x14ac:dyDescent="0.25">
      <c r="O741" s="6" t="s">
        <v>243</v>
      </c>
      <c r="Q741" s="60"/>
      <c r="R741" s="53">
        <f>R739-R740</f>
        <v>32.259044685441758</v>
      </c>
      <c r="S741" s="56"/>
      <c r="T741" s="72"/>
      <c r="U741" s="64">
        <f>U739-U740</f>
        <v>32.143728529873023</v>
      </c>
      <c r="V741" s="44"/>
      <c r="W741" s="72"/>
      <c r="X741" s="64">
        <f>X739-X740</f>
        <v>31.593052711774074</v>
      </c>
      <c r="Y741" s="44"/>
      <c r="Z741" s="72"/>
      <c r="AA741" s="64">
        <f>AA739-AA740</f>
        <v>29.830185279598943</v>
      </c>
      <c r="AB741" s="44"/>
      <c r="AC741" s="72"/>
      <c r="AD741" s="64">
        <f>AD739-AD740</f>
        <v>25.688874447684103</v>
      </c>
      <c r="AE741" s="44"/>
      <c r="AF741" s="72"/>
      <c r="AG741" s="64">
        <f>AG739-AG740</f>
        <v>17.694450293413208</v>
      </c>
      <c r="AH741" s="44"/>
      <c r="AI741" s="72"/>
      <c r="AJ741" s="64">
        <f>AJ739-AJ740</f>
        <v>6.3206943734554493</v>
      </c>
      <c r="AK741" s="44"/>
      <c r="AL741" s="72"/>
      <c r="AM741" s="64">
        <f>AM739-AM740</f>
        <v>-6.3597843341687579</v>
      </c>
      <c r="AN741" s="44"/>
      <c r="AO741" s="72"/>
      <c r="AP741" s="64">
        <f>AP739-AP740</f>
        <v>-19.793415918282687</v>
      </c>
      <c r="AQ741" s="44"/>
      <c r="AR741" s="72"/>
      <c r="AS741" s="64">
        <f>AS739-AS740</f>
        <v>-35.162330213754956</v>
      </c>
      <c r="AT741" s="44"/>
      <c r="AU741" s="72"/>
    </row>
    <row r="742" spans="15:47" ht="13" x14ac:dyDescent="0.3">
      <c r="O742" s="6" t="s">
        <v>75</v>
      </c>
      <c r="P742" s="6">
        <v>3</v>
      </c>
      <c r="Q742" s="65"/>
      <c r="R742" s="85">
        <f>(F_LP_h/F_P_h)^2*(R739-('Valve Sizing'!$V$4*'Valve Sizing'!$G$7))</f>
        <v>46.764937495012525</v>
      </c>
      <c r="S742" s="58"/>
      <c r="T742" s="73"/>
      <c r="U742" s="53">
        <f>(U$29/U$27)^2*(U739-('Valve Sizing'!$V$4*'Valve Sizing'!$G$7))</f>
        <v>46.672639801876059</v>
      </c>
      <c r="V742" s="41"/>
      <c r="W742" s="73"/>
      <c r="X742" s="53">
        <f>(X$29/X$27)^2*(X739-('Valve Sizing'!$V$4*'Valve Sizing'!$G$7))</f>
        <v>45.24853052343105</v>
      </c>
      <c r="Y742" s="41"/>
      <c r="Z742" s="73"/>
      <c r="AA742" s="53">
        <f>(AA$29/AA$27)^2*(AA739-('Valve Sizing'!$V$4*'Valve Sizing'!$G$7))</f>
        <v>42.080171451279064</v>
      </c>
      <c r="AB742" s="41"/>
      <c r="AC742" s="73"/>
      <c r="AD742" s="53">
        <f>(AD$29/AD$27)^2*(AD739-('Valve Sizing'!$V$4*'Valve Sizing'!$G$7))</f>
        <v>36.781041709714252</v>
      </c>
      <c r="AE742" s="41"/>
      <c r="AF742" s="73"/>
      <c r="AG742" s="53">
        <f>(AG$29/AG$27)^2*(AG739-('Valve Sizing'!$V$4*'Valve Sizing'!$G$7))</f>
        <v>28.556039921486132</v>
      </c>
      <c r="AH742" s="41"/>
      <c r="AI742" s="73"/>
      <c r="AJ742" s="53">
        <f>(AJ$29/AJ$27)^2*(AJ739-('Valve Sizing'!$V$4*'Valve Sizing'!$G$7))</f>
        <v>20.162082043170724</v>
      </c>
      <c r="AK742" s="41"/>
      <c r="AL742" s="73"/>
      <c r="AM742" s="53">
        <f>(AM$29/AM$27)^2*(AM739-('Valve Sizing'!$V$4*'Valve Sizing'!$G$7))</f>
        <v>11.623741812524782</v>
      </c>
      <c r="AN742" s="41"/>
      <c r="AO742" s="73"/>
      <c r="AP742" s="53">
        <f>(AP$29/AP$27)^2*(AP739-('Valve Sizing'!$V$4*'Valve Sizing'!$G$7))</f>
        <v>5.1691230478932937</v>
      </c>
      <c r="AQ742" s="41"/>
      <c r="AR742" s="73"/>
      <c r="AS742" s="53">
        <f>(AS$29/AS$27)^2*(AS739-('Valve Sizing'!$V$4*'Valve Sizing'!$G$7))</f>
        <v>0.10958253424525166</v>
      </c>
      <c r="AT742" s="41"/>
      <c r="AU742" s="73"/>
    </row>
    <row r="743" spans="15:47" ht="13" x14ac:dyDescent="0.25">
      <c r="O743" s="1" t="s">
        <v>69</v>
      </c>
      <c r="P743" s="17">
        <v>7</v>
      </c>
      <c r="Q743" s="65"/>
      <c r="R743" s="53">
        <f>(R737/(N_1*F_P_h))*SQRT('Valve Sizing'!$G$6/R741)</f>
        <v>0.50030950908504912</v>
      </c>
      <c r="S743" s="58"/>
      <c r="T743" s="73"/>
      <c r="U743" s="64">
        <f>(U737/(N_1*U$27))*SQRT('Valve Sizing'!$G$6/U741)</f>
        <v>9.4298844449607131</v>
      </c>
      <c r="V743" s="41"/>
      <c r="W743" s="73"/>
      <c r="X743" s="64">
        <f>(X737/(N_1*X$27))*SQRT('Valve Sizing'!$G$6/X741)</f>
        <v>22.883067449777343</v>
      </c>
      <c r="Y743" s="41"/>
      <c r="Z743" s="73"/>
      <c r="AA743" s="64">
        <f>(AA737/(N_1*AA$27))*SQRT('Valve Sizing'!$G$6/AA741)</f>
        <v>45.223345000893488</v>
      </c>
      <c r="AB743" s="41"/>
      <c r="AC743" s="73"/>
      <c r="AD743" s="64">
        <f>(AD737/(N_1*AD$27))*SQRT('Valve Sizing'!$G$6/AD741)</f>
        <v>81.154388848524619</v>
      </c>
      <c r="AE743" s="41"/>
      <c r="AF743" s="73"/>
      <c r="AG743" s="64">
        <f>(AG737/(N_1*AG$27))*SQRT('Valve Sizing'!$G$6/AG741)</f>
        <v>148.8346918006709</v>
      </c>
      <c r="AH743" s="41"/>
      <c r="AI743" s="73"/>
      <c r="AJ743" s="64">
        <f>(AJ737/(N_1*AJ$27))*SQRT('Valve Sizing'!$G$6/AJ741)</f>
        <v>344.40170887917628</v>
      </c>
      <c r="AK743" s="41"/>
      <c r="AL743" s="73"/>
      <c r="AM743" s="64" t="e">
        <f>(AM737/(N_1*AM$27))*SQRT('Valve Sizing'!$G$6/AM741)</f>
        <v>#NUM!</v>
      </c>
      <c r="AN743" s="41"/>
      <c r="AO743" s="73"/>
      <c r="AP743" s="64" t="e">
        <f>(AP737/(N_1*AP$27))*SQRT('Valve Sizing'!$G$6/AP741)</f>
        <v>#NUM!</v>
      </c>
      <c r="AQ743" s="41"/>
      <c r="AR743" s="73"/>
      <c r="AS743" s="64" t="e">
        <f>(AS737/(N_1*AS$27))*SQRT('Valve Sizing'!$G$6/AS741)</f>
        <v>#NUM!</v>
      </c>
      <c r="AT743" s="41"/>
      <c r="AU743" s="73"/>
    </row>
    <row r="744" spans="15:47" ht="13" x14ac:dyDescent="0.3">
      <c r="O744" s="1" t="s">
        <v>72</v>
      </c>
      <c r="P744" s="17">
        <v>7</v>
      </c>
      <c r="Q744" s="65"/>
      <c r="R744" s="53">
        <f>(R737/(N_1*F_P_h))*SQRT('Valve Sizing'!$G$6/R742)</f>
        <v>0.41553186125104424</v>
      </c>
      <c r="S744" s="56"/>
      <c r="T744" s="72"/>
      <c r="U744" s="85">
        <f>(U737/(N_1*U$27))*SQRT('Valve Sizing'!$G$6/U742)</f>
        <v>7.8257021430114619</v>
      </c>
      <c r="V744" s="44"/>
      <c r="W744" s="72"/>
      <c r="X744" s="85">
        <f>(X737/(N_1*X$27))*SQRT('Valve Sizing'!$G$6/X742)</f>
        <v>19.120876519672983</v>
      </c>
      <c r="Y744" s="44"/>
      <c r="Z744" s="72"/>
      <c r="AA744" s="85">
        <f>(AA737/(N_1*AA$27))*SQRT('Valve Sizing'!$G$6/AA742)</f>
        <v>38.076051664110743</v>
      </c>
      <c r="AB744" s="44"/>
      <c r="AC744" s="72"/>
      <c r="AD744" s="85">
        <f>(AD737/(N_1*AD$27))*SQRT('Valve Sizing'!$G$6/AD742)</f>
        <v>67.822303671932602</v>
      </c>
      <c r="AE744" s="44"/>
      <c r="AF744" s="72"/>
      <c r="AG744" s="85">
        <f>(AG737/(N_1*AG$27))*SQRT('Valve Sizing'!$G$6/AG742)</f>
        <v>117.158477644481</v>
      </c>
      <c r="AH744" s="44"/>
      <c r="AI744" s="72"/>
      <c r="AJ744" s="85">
        <f>(AJ737/(N_1*AJ$27))*SQRT('Valve Sizing'!$G$6/AJ742)</f>
        <v>192.83239910396617</v>
      </c>
      <c r="AK744" s="44"/>
      <c r="AL744" s="72"/>
      <c r="AM744" s="85">
        <f>(AM737/(N_1*AM$27))*SQRT('Valve Sizing'!$G$6/AM742)</f>
        <v>328.79172901620092</v>
      </c>
      <c r="AN744" s="44"/>
      <c r="AO744" s="72"/>
      <c r="AP744" s="85">
        <f>(AP737/(N_1*AP$27))*SQRT('Valve Sizing'!$G$6/AP742)</f>
        <v>651.5121193901266</v>
      </c>
      <c r="AQ744" s="44"/>
      <c r="AR744" s="72"/>
      <c r="AS744" s="85">
        <f>(AS737/(N_1*AS$27))*SQRT('Valve Sizing'!$G$6/AS742)</f>
        <v>6820.9543511026695</v>
      </c>
      <c r="AT744" s="44"/>
      <c r="AU744" s="72"/>
    </row>
    <row r="745" spans="15:47" x14ac:dyDescent="0.25">
      <c r="O745" s="1" t="s">
        <v>246</v>
      </c>
      <c r="P745" s="18"/>
      <c r="Q745" s="65"/>
      <c r="R745" s="53">
        <f>IF(R741&lt;R742,R743,R744)</f>
        <v>0.50030950908504912</v>
      </c>
      <c r="S745" s="49"/>
      <c r="T745" s="72"/>
      <c r="U745" s="64">
        <f>IF(U741&lt;U742,U743,U744)</f>
        <v>9.4298844449607131</v>
      </c>
      <c r="V745" s="44"/>
      <c r="W745" s="72"/>
      <c r="X745" s="64">
        <f>IF(X741&lt;X742,X743,X744)</f>
        <v>22.883067449777343</v>
      </c>
      <c r="Y745" s="44"/>
      <c r="Z745" s="72"/>
      <c r="AA745" s="64">
        <f>IF(AA741&lt;AA742,AA743,AA744)</f>
        <v>45.223345000893488</v>
      </c>
      <c r="AB745" s="44"/>
      <c r="AC745" s="72"/>
      <c r="AD745" s="64">
        <f>IF(AD741&lt;AD742,AD743,AD744)</f>
        <v>81.154388848524619</v>
      </c>
      <c r="AE745" s="44"/>
      <c r="AF745" s="72"/>
      <c r="AG745" s="64">
        <f>IF(AG741&lt;AG742,AG743,AG744)</f>
        <v>148.8346918006709</v>
      </c>
      <c r="AH745" s="44"/>
      <c r="AI745" s="72"/>
      <c r="AJ745" s="64">
        <f>IF(AJ741&lt;AJ742,AJ743,AJ744)</f>
        <v>344.40170887917628</v>
      </c>
      <c r="AK745" s="44"/>
      <c r="AL745" s="72"/>
      <c r="AM745" s="64" t="e">
        <f>IF(AM741&lt;AM742,AM743,AM744)</f>
        <v>#NUM!</v>
      </c>
      <c r="AN745" s="44"/>
      <c r="AO745" s="72"/>
      <c r="AP745" s="64" t="e">
        <f>IF(AP741&lt;AP742,AP743,AP744)</f>
        <v>#NUM!</v>
      </c>
      <c r="AQ745" s="44"/>
      <c r="AR745" s="72"/>
      <c r="AS745" s="64" t="e">
        <f>IF(AS741&lt;AS742,AS743,AS744)</f>
        <v>#NUM!</v>
      </c>
      <c r="AT745" s="44"/>
      <c r="AU745" s="72"/>
    </row>
    <row r="746" spans="15:47" ht="13" x14ac:dyDescent="0.3">
      <c r="O746" s="7" t="s">
        <v>264</v>
      </c>
      <c r="Q746" s="61"/>
      <c r="R746" s="53"/>
      <c r="S746" s="69">
        <f>IFERROR(ABS(C_h-R745),Q_max*10)</f>
        <v>4.4996904909149507</v>
      </c>
      <c r="T746" s="76">
        <f>R737</f>
        <v>2.8411945946215029</v>
      </c>
      <c r="U746" s="61"/>
      <c r="V746" s="69">
        <f>IFERROR(ABS(U$23-U745),Q_max*10)</f>
        <v>2.5701155550392869</v>
      </c>
      <c r="W746" s="75">
        <f>U737</f>
        <v>53.41814790296489</v>
      </c>
      <c r="X746" s="61"/>
      <c r="Y746" s="69">
        <f>IFERROR(ABS(X$23-X745),Q_max*10)</f>
        <v>0.11693255022265703</v>
      </c>
      <c r="Z746" s="75">
        <f>X737</f>
        <v>128.22411761043531</v>
      </c>
      <c r="AA746" s="61"/>
      <c r="AB746" s="69">
        <f>IFERROR(ABS(AA$23-AA745),Q_max*10)</f>
        <v>6.2233450008934881</v>
      </c>
      <c r="AC746" s="75">
        <f>AA737</f>
        <v>244.82683314109173</v>
      </c>
      <c r="AD746" s="61"/>
      <c r="AE746" s="69">
        <f>IFERROR(ABS(AD$23-AD745),Q_max*10)</f>
        <v>20.154388848524619</v>
      </c>
      <c r="AF746" s="75">
        <f>AD737</f>
        <v>402.65000062510217</v>
      </c>
      <c r="AG746" s="61"/>
      <c r="AH746" s="69">
        <f>IFERROR(ABS(AG$23-AG745),Q_max*10)</f>
        <v>60.834691800670896</v>
      </c>
      <c r="AI746" s="75">
        <f>AG737</f>
        <v>599.49098325998943</v>
      </c>
      <c r="AJ746" s="61"/>
      <c r="AK746" s="69">
        <f>IFERROR(ABS(AJ$23-AJ745),Q_max*10)</f>
        <v>223.40170887917628</v>
      </c>
      <c r="AL746" s="75">
        <f>AJ737</f>
        <v>800.02304112755826</v>
      </c>
      <c r="AM746" s="61"/>
      <c r="AN746" s="69">
        <f>IFERROR(ABS(AM$23-AM745),Q_max*10)</f>
        <v>5500</v>
      </c>
      <c r="AO746" s="75">
        <f>AM737</f>
        <v>976.18014651272949</v>
      </c>
      <c r="AP746" s="61"/>
      <c r="AQ746" s="69">
        <f>IFERROR(ABS(AP$23-AP745),Q_max*10)</f>
        <v>5500</v>
      </c>
      <c r="AR746" s="75">
        <f>AP737</f>
        <v>1133.3148449498158</v>
      </c>
      <c r="AS746" s="61"/>
      <c r="AT746" s="69">
        <f>IFERROR(ABS(AS$23-AS745),Q_max*10)</f>
        <v>5500</v>
      </c>
      <c r="AU746" s="75">
        <f>AS737</f>
        <v>1289.818009652681</v>
      </c>
    </row>
    <row r="747" spans="15:47" ht="14.5" x14ac:dyDescent="0.35">
      <c r="O747" s="6"/>
      <c r="P747" s="6"/>
      <c r="Q747" s="60"/>
      <c r="R747" s="67"/>
      <c r="S747" s="58"/>
      <c r="T747" s="73"/>
      <c r="V747" s="11"/>
      <c r="W747" s="38"/>
      <c r="Y747" s="11"/>
      <c r="Z747" s="38"/>
      <c r="AB747" s="11"/>
      <c r="AC747" s="38"/>
      <c r="AE747" s="11"/>
      <c r="AF747" s="38"/>
      <c r="AH747" s="11"/>
      <c r="AI747" s="38"/>
      <c r="AK747" s="11"/>
      <c r="AL747" s="38"/>
      <c r="AN747" s="11"/>
      <c r="AO747" s="38"/>
      <c r="AQ747" s="11"/>
      <c r="AR747" s="38"/>
      <c r="AT747" s="11"/>
      <c r="AU747" s="38"/>
    </row>
    <row r="748" spans="15:47" ht="14" x14ac:dyDescent="0.3">
      <c r="O748" s="8" t="s">
        <v>235</v>
      </c>
      <c r="P748" s="6"/>
      <c r="Q748" s="60"/>
      <c r="R748" s="53">
        <f>R737*1.02</f>
        <v>2.8980184865139331</v>
      </c>
      <c r="S748" s="58" t="s">
        <v>238</v>
      </c>
      <c r="T748" s="73" t="s">
        <v>241</v>
      </c>
      <c r="U748" s="84">
        <f>U737*1.01</f>
        <v>53.952329381994538</v>
      </c>
      <c r="V748" s="58" t="s">
        <v>238</v>
      </c>
      <c r="W748" s="73" t="s">
        <v>241</v>
      </c>
      <c r="X748" s="84">
        <f>X737*1.01</f>
        <v>129.50635878653966</v>
      </c>
      <c r="Y748" s="58" t="s">
        <v>238</v>
      </c>
      <c r="Z748" s="73" t="s">
        <v>241</v>
      </c>
      <c r="AA748" s="84">
        <f>AA737*1.01</f>
        <v>247.27510147250266</v>
      </c>
      <c r="AB748" s="58" t="s">
        <v>238</v>
      </c>
      <c r="AC748" s="73" t="s">
        <v>241</v>
      </c>
      <c r="AD748" s="84">
        <f>AD737*1.01</f>
        <v>406.67650063135318</v>
      </c>
      <c r="AE748" s="58" t="s">
        <v>238</v>
      </c>
      <c r="AF748" s="73" t="s">
        <v>241</v>
      </c>
      <c r="AG748" s="84">
        <f>AG737*1.01</f>
        <v>605.48589309258932</v>
      </c>
      <c r="AH748" s="58" t="s">
        <v>238</v>
      </c>
      <c r="AI748" s="73" t="s">
        <v>241</v>
      </c>
      <c r="AJ748" s="84">
        <f>AJ737*1.01</f>
        <v>808.0232715388338</v>
      </c>
      <c r="AK748" s="58" t="s">
        <v>238</v>
      </c>
      <c r="AL748" s="73" t="s">
        <v>241</v>
      </c>
      <c r="AM748" s="84">
        <f>AM737*1.01</f>
        <v>985.94194797785678</v>
      </c>
      <c r="AN748" s="58" t="s">
        <v>238</v>
      </c>
      <c r="AO748" s="73" t="s">
        <v>241</v>
      </c>
      <c r="AP748" s="84">
        <f>AP737*1.01</f>
        <v>1144.6479933993139</v>
      </c>
      <c r="AQ748" s="58" t="s">
        <v>238</v>
      </c>
      <c r="AR748" s="73" t="s">
        <v>241</v>
      </c>
      <c r="AS748" s="84">
        <f>AS737*1.01</f>
        <v>1302.7161897492078</v>
      </c>
      <c r="AT748" s="58" t="s">
        <v>238</v>
      </c>
      <c r="AU748" s="73" t="s">
        <v>241</v>
      </c>
    </row>
    <row r="749" spans="15:47" ht="13" x14ac:dyDescent="0.25">
      <c r="O749" s="6"/>
      <c r="P749" s="6"/>
      <c r="Q749" s="60"/>
      <c r="R749" s="70"/>
      <c r="S749" s="63" t="s">
        <v>250</v>
      </c>
      <c r="T749" s="71" t="s">
        <v>242</v>
      </c>
      <c r="U749" s="61"/>
      <c r="V749" s="63" t="s">
        <v>250</v>
      </c>
      <c r="W749" s="71" t="s">
        <v>242</v>
      </c>
      <c r="X749" s="61"/>
      <c r="Y749" s="63" t="s">
        <v>250</v>
      </c>
      <c r="Z749" s="71" t="s">
        <v>242</v>
      </c>
      <c r="AA749" s="61"/>
      <c r="AB749" s="63" t="s">
        <v>250</v>
      </c>
      <c r="AC749" s="71" t="s">
        <v>242</v>
      </c>
      <c r="AD749" s="61"/>
      <c r="AE749" s="63" t="s">
        <v>250</v>
      </c>
      <c r="AF749" s="71" t="s">
        <v>242</v>
      </c>
      <c r="AG749" s="61"/>
      <c r="AH749" s="63" t="s">
        <v>250</v>
      </c>
      <c r="AI749" s="71" t="s">
        <v>242</v>
      </c>
      <c r="AJ749" s="61"/>
      <c r="AK749" s="63" t="s">
        <v>250</v>
      </c>
      <c r="AL749" s="71" t="s">
        <v>242</v>
      </c>
      <c r="AM749" s="61"/>
      <c r="AN749" s="63" t="s">
        <v>250</v>
      </c>
      <c r="AO749" s="71" t="s">
        <v>242</v>
      </c>
      <c r="AP749" s="61"/>
      <c r="AQ749" s="63" t="s">
        <v>250</v>
      </c>
      <c r="AR749" s="71" t="s">
        <v>242</v>
      </c>
      <c r="AS749" s="61"/>
      <c r="AT749" s="63" t="s">
        <v>250</v>
      </c>
      <c r="AU749" s="71" t="s">
        <v>242</v>
      </c>
    </row>
    <row r="750" spans="15:47" ht="13" x14ac:dyDescent="0.3">
      <c r="O750" s="6" t="s">
        <v>231</v>
      </c>
      <c r="P750" s="6"/>
      <c r="Q750" s="60"/>
      <c r="R750" s="85">
        <f>P_1_minQ-(R748^2*R_up)+dpup_minQ</f>
        <v>56.915859557205401</v>
      </c>
      <c r="S750" s="56"/>
      <c r="T750" s="72"/>
      <c r="U750" s="53">
        <f>P_1_minQ-(U748^2*R_up)+dpup_minQ</f>
        <v>56.817836749552747</v>
      </c>
      <c r="V750" s="44"/>
      <c r="W750" s="72"/>
      <c r="X750" s="53">
        <f>P_1_minQ-(X748^2*R_up)+dpup_minQ</f>
        <v>56.349716414517125</v>
      </c>
      <c r="Y750" s="44"/>
      <c r="Z750" s="72"/>
      <c r="AA750" s="53">
        <f>P_1_minQ-(AA748^2*R_up)+dpup_minQ</f>
        <v>54.851132191548921</v>
      </c>
      <c r="AB750" s="44"/>
      <c r="AC750" s="72"/>
      <c r="AD750" s="53">
        <f>P_1_minQ-(AD748^2*R_up)+dpup_minQ</f>
        <v>51.330672875185307</v>
      </c>
      <c r="AE750" s="44"/>
      <c r="AF750" s="72"/>
      <c r="AG750" s="53">
        <f>P_1_minQ-(AG748^2*R_up)+dpup_minQ</f>
        <v>44.534746142042195</v>
      </c>
      <c r="AH750" s="44"/>
      <c r="AI750" s="72"/>
      <c r="AJ750" s="53">
        <f>P_1_minQ-(AJ748^2*R_up)+dpup_minQ</f>
        <v>34.866105797084764</v>
      </c>
      <c r="AK750" s="44"/>
      <c r="AL750" s="72"/>
      <c r="AM750" s="53">
        <f>P_1_minQ-(AM748^2*R_up)+dpup_minQ</f>
        <v>24.086642189045225</v>
      </c>
      <c r="AN750" s="44"/>
      <c r="AO750" s="72"/>
      <c r="AP750" s="53">
        <f>P_1_minQ-(AP748^2*R_up)+dpup_minQ</f>
        <v>12.666935873249717</v>
      </c>
      <c r="AQ750" s="44"/>
      <c r="AR750" s="72"/>
      <c r="AS750" s="53">
        <f>P_1_minQ-(AS748^2*R_up)+dpup_minQ</f>
        <v>-0.39792202075967686</v>
      </c>
      <c r="AT750" s="44"/>
      <c r="AU750" s="72"/>
    </row>
    <row r="751" spans="15:47" ht="13" x14ac:dyDescent="0.3">
      <c r="O751" s="6" t="s">
        <v>233</v>
      </c>
      <c r="P751" s="6"/>
      <c r="Q751" s="60"/>
      <c r="R751" s="85">
        <f>P_2_minQ+(R748^2*R_dn)-dpdn_minQ</f>
        <v>24.656828088558921</v>
      </c>
      <c r="S751" s="66"/>
      <c r="T751" s="74"/>
      <c r="U751" s="53">
        <f>P_2_minQ+(U748^2*R_dn)-dpdn_minQ</f>
        <v>24.676432650089453</v>
      </c>
      <c r="V751" s="45"/>
      <c r="W751" s="74"/>
      <c r="X751" s="53">
        <f>P_2_minQ+(X748^2*R_dn)-dpdn_minQ</f>
        <v>24.770056717096576</v>
      </c>
      <c r="Y751" s="45"/>
      <c r="Z751" s="74"/>
      <c r="AA751" s="53">
        <f>P_2_minQ+(AA748^2*R_dn)-dpdn_minQ</f>
        <v>25.069773561690216</v>
      </c>
      <c r="AB751" s="45"/>
      <c r="AC751" s="74"/>
      <c r="AD751" s="53">
        <f>P_2_minQ+(AD748^2*R_dn)-dpdn_minQ</f>
        <v>25.773865424962938</v>
      </c>
      <c r="AE751" s="45"/>
      <c r="AF751" s="74"/>
      <c r="AG751" s="53">
        <f>P_2_minQ+(AG748^2*R_dn)-dpdn_minQ</f>
        <v>27.133050771591563</v>
      </c>
      <c r="AH751" s="45"/>
      <c r="AI751" s="74"/>
      <c r="AJ751" s="53">
        <f>P_2_minQ+(AJ748^2*R_dn)-dpdn_minQ</f>
        <v>29.066778840583048</v>
      </c>
      <c r="AK751" s="45"/>
      <c r="AL751" s="74"/>
      <c r="AM751" s="53">
        <f>P_2_minQ+(AM748^2*R_dn)-dpdn_minQ</f>
        <v>31.222671562190957</v>
      </c>
      <c r="AN751" s="45"/>
      <c r="AO751" s="74"/>
      <c r="AP751" s="53">
        <f>P_2_minQ+(AP748^2*R_dn)-dpdn_minQ</f>
        <v>33.506612825350061</v>
      </c>
      <c r="AQ751" s="45"/>
      <c r="AR751" s="74"/>
      <c r="AS751" s="53">
        <f>P_2_minQ+(AS748^2*R_dn)-dpdn_minQ</f>
        <v>36.119584404151936</v>
      </c>
      <c r="AT751" s="45"/>
      <c r="AU751" s="74"/>
    </row>
    <row r="752" spans="15:47" x14ac:dyDescent="0.25">
      <c r="O752" s="6" t="s">
        <v>243</v>
      </c>
      <c r="Q752" s="60"/>
      <c r="R752" s="53">
        <f>R750-R751</f>
        <v>32.259031468646484</v>
      </c>
      <c r="S752" s="56"/>
      <c r="T752" s="72"/>
      <c r="U752" s="64">
        <f>U750-U751</f>
        <v>32.141404099463294</v>
      </c>
      <c r="V752" s="44"/>
      <c r="W752" s="72"/>
      <c r="X752" s="64">
        <f>X750-X751</f>
        <v>31.579659697420549</v>
      </c>
      <c r="Y752" s="44"/>
      <c r="Z752" s="72"/>
      <c r="AA752" s="64">
        <f>AA750-AA751</f>
        <v>29.781358629858705</v>
      </c>
      <c r="AB752" s="44"/>
      <c r="AC752" s="72"/>
      <c r="AD752" s="64">
        <f>AD750-AD751</f>
        <v>25.556807450222369</v>
      </c>
      <c r="AE752" s="44"/>
      <c r="AF752" s="72"/>
      <c r="AG752" s="64">
        <f>AG750-AG751</f>
        <v>17.401695370450632</v>
      </c>
      <c r="AH752" s="44"/>
      <c r="AI752" s="72"/>
      <c r="AJ752" s="64">
        <f>AJ750-AJ751</f>
        <v>5.7993269565017158</v>
      </c>
      <c r="AK752" s="44"/>
      <c r="AL752" s="72"/>
      <c r="AM752" s="64">
        <f>AM750-AM751</f>
        <v>-7.1360293731457318</v>
      </c>
      <c r="AN752" s="44"/>
      <c r="AO752" s="72"/>
      <c r="AP752" s="64">
        <f>AP750-AP751</f>
        <v>-20.839676952100344</v>
      </c>
      <c r="AQ752" s="44"/>
      <c r="AR752" s="72"/>
      <c r="AS752" s="64">
        <f>AS750-AS751</f>
        <v>-36.517506424911616</v>
      </c>
      <c r="AT752" s="44"/>
      <c r="AU752" s="72"/>
    </row>
    <row r="753" spans="15:47" ht="13" x14ac:dyDescent="0.3">
      <c r="O753" s="6" t="s">
        <v>75</v>
      </c>
      <c r="P753" s="6">
        <v>3</v>
      </c>
      <c r="Q753" s="65"/>
      <c r="R753" s="85">
        <f>(F_LP_h/F_P_h)^2*(R750-('Valve Sizing'!$V$4*'Valve Sizing'!$G$7))</f>
        <v>46.76492837484566</v>
      </c>
      <c r="S753" s="58"/>
      <c r="T753" s="73"/>
      <c r="U753" s="53">
        <f>(U$29/U$27)^2*(U750-('Valve Sizing'!$V$4*'Valve Sizing'!$G$7))</f>
        <v>46.671036280391874</v>
      </c>
      <c r="V753" s="41"/>
      <c r="W753" s="73"/>
      <c r="X753" s="53">
        <f>(X$29/X$27)^2*(X750-('Valve Sizing'!$V$4*'Valve Sizing'!$G$7))</f>
        <v>45.239499685673749</v>
      </c>
      <c r="Y753" s="41"/>
      <c r="Z753" s="73"/>
      <c r="AA753" s="53">
        <f>(AA$29/AA$27)^2*(AA750-('Valve Sizing'!$V$4*'Valve Sizing'!$G$7))</f>
        <v>42.04872720190636</v>
      </c>
      <c r="AB753" s="41"/>
      <c r="AC753" s="73"/>
      <c r="AD753" s="53">
        <f>(AD$29/AD$27)^2*(AD750-('Valve Sizing'!$V$4*'Valve Sizing'!$G$7))</f>
        <v>36.701670830153496</v>
      </c>
      <c r="AE753" s="41"/>
      <c r="AF753" s="73"/>
      <c r="AG753" s="53">
        <f>(AG$29/AG$27)^2*(AG750-('Valve Sizing'!$V$4*'Valve Sizing'!$G$7))</f>
        <v>28.398917390391865</v>
      </c>
      <c r="AH753" s="41"/>
      <c r="AI753" s="73"/>
      <c r="AJ753" s="53">
        <f>(AJ$29/AJ$27)^2*(AJ750-('Valve Sizing'!$V$4*'Valve Sizing'!$G$7))</f>
        <v>19.910798443531398</v>
      </c>
      <c r="AK753" s="41"/>
      <c r="AL753" s="73"/>
      <c r="AM753" s="53">
        <f>(AM$29/AM$27)^2*(AM750-('Valve Sizing'!$V$4*'Valve Sizing'!$G$7))</f>
        <v>11.314232119036214</v>
      </c>
      <c r="AN753" s="41"/>
      <c r="AO753" s="73"/>
      <c r="AP753" s="53">
        <f>(AP$29/AP$27)^2*(AP750-('Valve Sizing'!$V$4*'Valve Sizing'!$G$7))</f>
        <v>4.8250541542564749</v>
      </c>
      <c r="AQ753" s="41"/>
      <c r="AR753" s="73"/>
      <c r="AS753" s="53">
        <f>(AS$29/AS$27)^2*(AS750-('Valve Sizing'!$V$4*'Valve Sizing'!$G$7))</f>
        <v>-0.3151983459339755</v>
      </c>
      <c r="AT753" s="41"/>
      <c r="AU753" s="73"/>
    </row>
    <row r="754" spans="15:47" ht="13" x14ac:dyDescent="0.25">
      <c r="O754" s="1" t="s">
        <v>69</v>
      </c>
      <c r="P754" s="17">
        <v>7</v>
      </c>
      <c r="Q754" s="65"/>
      <c r="R754" s="53">
        <f>(R748/(N_1*F_P_h))*SQRT('Valve Sizing'!$G$6/R752)</f>
        <v>0.51031580380704678</v>
      </c>
      <c r="S754" s="58"/>
      <c r="T754" s="73"/>
      <c r="U754" s="64">
        <f>(U748/(N_1*U$27))*SQRT('Valve Sizing'!$G$6/U752)</f>
        <v>9.5245276723277144</v>
      </c>
      <c r="V754" s="41"/>
      <c r="W754" s="73"/>
      <c r="X754" s="64">
        <f>(X748/(N_1*X$27))*SQRT('Valve Sizing'!$G$6/X752)</f>
        <v>23.116798512282397</v>
      </c>
      <c r="Y754" s="41"/>
      <c r="Z754" s="73"/>
      <c r="AA754" s="64">
        <f>(AA748/(N_1*AA$27))*SQRT('Valve Sizing'!$G$6/AA752)</f>
        <v>45.713005758158751</v>
      </c>
      <c r="AB754" s="41"/>
      <c r="AC754" s="73"/>
      <c r="AD754" s="64">
        <f>(AD748/(N_1*AD$27))*SQRT('Valve Sizing'!$G$6/AD752)</f>
        <v>82.177442838513983</v>
      </c>
      <c r="AE754" s="41"/>
      <c r="AF754" s="73"/>
      <c r="AG754" s="64">
        <f>(AG748/(N_1*AG$27))*SQRT('Valve Sizing'!$G$6/AG752)</f>
        <v>151.58223386190861</v>
      </c>
      <c r="AH754" s="41"/>
      <c r="AI754" s="73"/>
      <c r="AJ754" s="64">
        <f>(AJ748/(N_1*AJ$27))*SQRT('Valve Sizing'!$G$6/AJ752)</f>
        <v>363.1451681387224</v>
      </c>
      <c r="AK754" s="41"/>
      <c r="AL754" s="73"/>
      <c r="AM754" s="64" t="e">
        <f>(AM748/(N_1*AM$27))*SQRT('Valve Sizing'!$G$6/AM752)</f>
        <v>#NUM!</v>
      </c>
      <c r="AN754" s="41"/>
      <c r="AO754" s="73"/>
      <c r="AP754" s="64" t="e">
        <f>(AP748/(N_1*AP$27))*SQRT('Valve Sizing'!$G$6/AP752)</f>
        <v>#NUM!</v>
      </c>
      <c r="AQ754" s="41"/>
      <c r="AR754" s="73"/>
      <c r="AS754" s="64" t="e">
        <f>(AS748/(N_1*AS$27))*SQRT('Valve Sizing'!$G$6/AS752)</f>
        <v>#NUM!</v>
      </c>
      <c r="AT754" s="41"/>
      <c r="AU754" s="73"/>
    </row>
    <row r="755" spans="15:47" ht="13" x14ac:dyDescent="0.3">
      <c r="O755" s="1" t="s">
        <v>72</v>
      </c>
      <c r="P755" s="17">
        <v>7</v>
      </c>
      <c r="Q755" s="65"/>
      <c r="R755" s="53">
        <f>(R748/(N_1*F_P_h))*SQRT('Valve Sizing'!$G$6/R753)</f>
        <v>0.42384253980526487</v>
      </c>
      <c r="S755" s="56"/>
      <c r="T755" s="72"/>
      <c r="U755" s="85">
        <f>(U748/(N_1*U$27))*SQRT('Valve Sizing'!$G$6/U753)</f>
        <v>7.9040949452220932</v>
      </c>
      <c r="V755" s="44"/>
      <c r="W755" s="72"/>
      <c r="X755" s="85">
        <f>(X748/(N_1*X$27))*SQRT('Valve Sizing'!$G$6/X753)</f>
        <v>19.314012755412843</v>
      </c>
      <c r="Y755" s="44"/>
      <c r="Z755" s="72"/>
      <c r="AA755" s="85">
        <f>(AA748/(N_1*AA$27))*SQRT('Valve Sizing'!$G$6/AA753)</f>
        <v>38.471188592206502</v>
      </c>
      <c r="AB755" s="44"/>
      <c r="AC755" s="72"/>
      <c r="AD755" s="85">
        <f>(AD748/(N_1*AD$27))*SQRT('Valve Sizing'!$G$6/AD753)</f>
        <v>68.574556182334774</v>
      </c>
      <c r="AE755" s="44"/>
      <c r="AF755" s="72"/>
      <c r="AG755" s="85">
        <f>(AG748/(N_1*AG$27))*SQRT('Valve Sizing'!$G$6/AG753)</f>
        <v>118.65695293487883</v>
      </c>
      <c r="AH755" s="44"/>
      <c r="AI755" s="72"/>
      <c r="AJ755" s="85">
        <f>(AJ748/(N_1*AJ$27))*SQRT('Valve Sizing'!$G$6/AJ753)</f>
        <v>195.98585553960314</v>
      </c>
      <c r="AK755" s="44"/>
      <c r="AL755" s="72"/>
      <c r="AM755" s="85">
        <f>(AM748/(N_1*AM$27))*SQRT('Valve Sizing'!$G$6/AM753)</f>
        <v>336.59115013474542</v>
      </c>
      <c r="AN755" s="44"/>
      <c r="AO755" s="72"/>
      <c r="AP755" s="85">
        <f>(AP748/(N_1*AP$27))*SQRT('Valve Sizing'!$G$6/AP753)</f>
        <v>681.08483720153856</v>
      </c>
      <c r="AQ755" s="44"/>
      <c r="AR755" s="72"/>
      <c r="AS755" s="85" t="e">
        <f>(AS748/(N_1*AS$27))*SQRT('Valve Sizing'!$G$6/AS753)</f>
        <v>#NUM!</v>
      </c>
      <c r="AT755" s="44"/>
      <c r="AU755" s="72"/>
    </row>
    <row r="756" spans="15:47" x14ac:dyDescent="0.25">
      <c r="O756" s="1" t="s">
        <v>246</v>
      </c>
      <c r="P756" s="18"/>
      <c r="Q756" s="65"/>
      <c r="R756" s="53">
        <f>IF(R752&lt;R753,R754,R755)</f>
        <v>0.51031580380704678</v>
      </c>
      <c r="S756" s="49"/>
      <c r="T756" s="72"/>
      <c r="U756" s="64">
        <f>IF(U752&lt;U753,U754,U755)</f>
        <v>9.5245276723277144</v>
      </c>
      <c r="V756" s="44"/>
      <c r="W756" s="72"/>
      <c r="X756" s="64">
        <f>IF(X752&lt;X753,X754,X755)</f>
        <v>23.116798512282397</v>
      </c>
      <c r="Y756" s="44"/>
      <c r="Z756" s="72"/>
      <c r="AA756" s="64">
        <f>IF(AA752&lt;AA753,AA754,AA755)</f>
        <v>45.713005758158751</v>
      </c>
      <c r="AB756" s="44"/>
      <c r="AC756" s="72"/>
      <c r="AD756" s="64">
        <f>IF(AD752&lt;AD753,AD754,AD755)</f>
        <v>82.177442838513983</v>
      </c>
      <c r="AE756" s="44"/>
      <c r="AF756" s="72"/>
      <c r="AG756" s="64">
        <f>IF(AG752&lt;AG753,AG754,AG755)</f>
        <v>151.58223386190861</v>
      </c>
      <c r="AH756" s="44"/>
      <c r="AI756" s="72"/>
      <c r="AJ756" s="64">
        <f>IF(AJ752&lt;AJ753,AJ754,AJ755)</f>
        <v>363.1451681387224</v>
      </c>
      <c r="AK756" s="44"/>
      <c r="AL756" s="72"/>
      <c r="AM756" s="64" t="e">
        <f>IF(AM752&lt;AM753,AM754,AM755)</f>
        <v>#NUM!</v>
      </c>
      <c r="AN756" s="44"/>
      <c r="AO756" s="72"/>
      <c r="AP756" s="64" t="e">
        <f>IF(AP752&lt;AP753,AP754,AP755)</f>
        <v>#NUM!</v>
      </c>
      <c r="AQ756" s="44"/>
      <c r="AR756" s="72"/>
      <c r="AS756" s="64" t="e">
        <f>IF(AS752&lt;AS753,AS754,AS755)</f>
        <v>#NUM!</v>
      </c>
      <c r="AT756" s="44"/>
      <c r="AU756" s="72"/>
    </row>
    <row r="757" spans="15:47" ht="13" x14ac:dyDescent="0.3">
      <c r="O757" s="7" t="s">
        <v>264</v>
      </c>
      <c r="Q757" s="61"/>
      <c r="R757" s="53"/>
      <c r="S757" s="69">
        <f>IFERROR(ABS(C_h-R756),Q_max*10)</f>
        <v>4.489684196192953</v>
      </c>
      <c r="T757" s="76">
        <f>R748</f>
        <v>2.8980184865139331</v>
      </c>
      <c r="U757" s="61"/>
      <c r="V757" s="69">
        <f>IFERROR(ABS(U$23-U756),Q_max*10)</f>
        <v>2.4754723276722856</v>
      </c>
      <c r="W757" s="75">
        <f>U748</f>
        <v>53.952329381994538</v>
      </c>
      <c r="X757" s="61"/>
      <c r="Y757" s="69">
        <f>IFERROR(ABS(X$23-X756),Q_max*10)</f>
        <v>0.11679851228239713</v>
      </c>
      <c r="Z757" s="75">
        <f>X748</f>
        <v>129.50635878653966</v>
      </c>
      <c r="AA757" s="61"/>
      <c r="AB757" s="69">
        <f>IFERROR(ABS(AA$23-AA756),Q_max*10)</f>
        <v>6.7130057581587508</v>
      </c>
      <c r="AC757" s="75">
        <f>AA748</f>
        <v>247.27510147250266</v>
      </c>
      <c r="AD757" s="61"/>
      <c r="AE757" s="69">
        <f>IFERROR(ABS(AD$23-AD756),Q_max*10)</f>
        <v>21.177442838513983</v>
      </c>
      <c r="AF757" s="75">
        <f>AD748</f>
        <v>406.67650063135318</v>
      </c>
      <c r="AG757" s="61"/>
      <c r="AH757" s="69">
        <f>IFERROR(ABS(AG$23-AG756),Q_max*10)</f>
        <v>63.582233861908605</v>
      </c>
      <c r="AI757" s="75">
        <f>AG748</f>
        <v>605.48589309258932</v>
      </c>
      <c r="AJ757" s="61"/>
      <c r="AK757" s="69">
        <f>IFERROR(ABS(AJ$23-AJ756),Q_max*10)</f>
        <v>242.1451681387224</v>
      </c>
      <c r="AL757" s="75">
        <f>AJ748</f>
        <v>808.0232715388338</v>
      </c>
      <c r="AM757" s="61"/>
      <c r="AN757" s="69">
        <f>IFERROR(ABS(AM$23-AM756),Q_max*10)</f>
        <v>5500</v>
      </c>
      <c r="AO757" s="75">
        <f>AM748</f>
        <v>985.94194797785678</v>
      </c>
      <c r="AP757" s="61"/>
      <c r="AQ757" s="69">
        <f>IFERROR(ABS(AP$23-AP756),Q_max*10)</f>
        <v>5500</v>
      </c>
      <c r="AR757" s="75">
        <f>AP748</f>
        <v>1144.6479933993139</v>
      </c>
      <c r="AS757" s="61"/>
      <c r="AT757" s="69">
        <f>IFERROR(ABS(AS$23-AS756),Q_max*10)</f>
        <v>5500</v>
      </c>
      <c r="AU757" s="75">
        <f>AS748</f>
        <v>1302.7161897492078</v>
      </c>
    </row>
    <row r="758" spans="15:47" ht="14.5" x14ac:dyDescent="0.35">
      <c r="O758" s="8"/>
      <c r="P758" s="6"/>
      <c r="Q758" s="60"/>
      <c r="R758" s="67"/>
      <c r="S758" s="56"/>
      <c r="T758" s="72"/>
      <c r="V758" s="11"/>
      <c r="W758" s="38"/>
      <c r="Y758" s="11"/>
      <c r="Z758" s="38"/>
      <c r="AB758" s="11"/>
      <c r="AC758" s="38"/>
      <c r="AE758" s="11"/>
      <c r="AF758" s="38"/>
      <c r="AH758" s="11"/>
      <c r="AI758" s="38"/>
      <c r="AK758" s="11"/>
      <c r="AL758" s="38"/>
      <c r="AN758" s="11"/>
      <c r="AO758" s="38"/>
      <c r="AQ758" s="11"/>
      <c r="AR758" s="38"/>
      <c r="AT758" s="11"/>
      <c r="AU758" s="38"/>
    </row>
    <row r="759" spans="15:47" ht="14" x14ac:dyDescent="0.3">
      <c r="O759" s="8" t="s">
        <v>235</v>
      </c>
      <c r="P759" s="6"/>
      <c r="Q759" s="60"/>
      <c r="R759" s="53">
        <f>R748*1.02</f>
        <v>2.955978856244212</v>
      </c>
      <c r="S759" s="58" t="s">
        <v>238</v>
      </c>
      <c r="T759" s="73" t="s">
        <v>241</v>
      </c>
      <c r="U759" s="84">
        <f>U748*1.01</f>
        <v>54.491852675814485</v>
      </c>
      <c r="V759" s="58" t="s">
        <v>238</v>
      </c>
      <c r="W759" s="73" t="s">
        <v>241</v>
      </c>
      <c r="X759" s="84">
        <f>X748*1.01</f>
        <v>130.80142237440506</v>
      </c>
      <c r="Y759" s="58" t="s">
        <v>238</v>
      </c>
      <c r="Z759" s="73" t="s">
        <v>241</v>
      </c>
      <c r="AA759" s="84">
        <f>AA748*1.01</f>
        <v>249.74785248722768</v>
      </c>
      <c r="AB759" s="58" t="s">
        <v>238</v>
      </c>
      <c r="AC759" s="73" t="s">
        <v>241</v>
      </c>
      <c r="AD759" s="84">
        <f>AD748*1.01</f>
        <v>410.7432656376667</v>
      </c>
      <c r="AE759" s="58" t="s">
        <v>238</v>
      </c>
      <c r="AF759" s="73" t="s">
        <v>241</v>
      </c>
      <c r="AG759" s="84">
        <f>AG748*1.01</f>
        <v>611.54075202351521</v>
      </c>
      <c r="AH759" s="58" t="s">
        <v>238</v>
      </c>
      <c r="AI759" s="73" t="s">
        <v>241</v>
      </c>
      <c r="AJ759" s="84">
        <f>AJ748*1.01</f>
        <v>816.10350425422212</v>
      </c>
      <c r="AK759" s="58" t="s">
        <v>238</v>
      </c>
      <c r="AL759" s="73" t="s">
        <v>241</v>
      </c>
      <c r="AM759" s="84">
        <f>AM748*1.01</f>
        <v>995.80136745763537</v>
      </c>
      <c r="AN759" s="58" t="s">
        <v>238</v>
      </c>
      <c r="AO759" s="73" t="s">
        <v>241</v>
      </c>
      <c r="AP759" s="84">
        <f>AP748*1.01</f>
        <v>1156.0944733333072</v>
      </c>
      <c r="AQ759" s="58" t="s">
        <v>238</v>
      </c>
      <c r="AR759" s="73" t="s">
        <v>241</v>
      </c>
      <c r="AS759" s="84">
        <f>AS748*1.01</f>
        <v>1315.7433516466999</v>
      </c>
      <c r="AT759" s="58" t="s">
        <v>238</v>
      </c>
      <c r="AU759" s="73" t="s">
        <v>241</v>
      </c>
    </row>
    <row r="760" spans="15:47" ht="13" x14ac:dyDescent="0.25">
      <c r="O760" s="6"/>
      <c r="P760" s="6"/>
      <c r="Q760" s="60"/>
      <c r="R760" s="70"/>
      <c r="S760" s="63" t="s">
        <v>250</v>
      </c>
      <c r="T760" s="71" t="s">
        <v>242</v>
      </c>
      <c r="U760" s="61"/>
      <c r="V760" s="63" t="s">
        <v>250</v>
      </c>
      <c r="W760" s="71" t="s">
        <v>242</v>
      </c>
      <c r="X760" s="61"/>
      <c r="Y760" s="63" t="s">
        <v>250</v>
      </c>
      <c r="Z760" s="71" t="s">
        <v>242</v>
      </c>
      <c r="AA760" s="61"/>
      <c r="AB760" s="63" t="s">
        <v>250</v>
      </c>
      <c r="AC760" s="71" t="s">
        <v>242</v>
      </c>
      <c r="AD760" s="61"/>
      <c r="AE760" s="63" t="s">
        <v>250</v>
      </c>
      <c r="AF760" s="71" t="s">
        <v>242</v>
      </c>
      <c r="AG760" s="61"/>
      <c r="AH760" s="63" t="s">
        <v>250</v>
      </c>
      <c r="AI760" s="71" t="s">
        <v>242</v>
      </c>
      <c r="AJ760" s="61"/>
      <c r="AK760" s="63" t="s">
        <v>250</v>
      </c>
      <c r="AL760" s="71" t="s">
        <v>242</v>
      </c>
      <c r="AM760" s="61"/>
      <c r="AN760" s="63" t="s">
        <v>250</v>
      </c>
      <c r="AO760" s="71" t="s">
        <v>242</v>
      </c>
      <c r="AP760" s="61"/>
      <c r="AQ760" s="63" t="s">
        <v>250</v>
      </c>
      <c r="AR760" s="71" t="s">
        <v>242</v>
      </c>
      <c r="AS760" s="61"/>
      <c r="AT760" s="63" t="s">
        <v>250</v>
      </c>
      <c r="AU760" s="71" t="s">
        <v>242</v>
      </c>
    </row>
    <row r="761" spans="15:47" ht="13" x14ac:dyDescent="0.3">
      <c r="O761" s="6" t="s">
        <v>231</v>
      </c>
      <c r="P761" s="6"/>
      <c r="Q761" s="60"/>
      <c r="R761" s="85">
        <f>P_1_minQ-(R759^2*R_up)+dpup_minQ</f>
        <v>56.915848098243885</v>
      </c>
      <c r="S761" s="56"/>
      <c r="T761" s="72"/>
      <c r="U761" s="53">
        <f>P_1_minQ-(U759^2*R_up)+dpup_minQ</f>
        <v>56.815860790001935</v>
      </c>
      <c r="V761" s="44"/>
      <c r="W761" s="72"/>
      <c r="X761" s="53">
        <f>P_1_minQ-(X759^2*R_up)+dpup_minQ</f>
        <v>56.338331236232101</v>
      </c>
      <c r="Y761" s="44"/>
      <c r="Z761" s="72"/>
      <c r="AA761" s="53">
        <f>P_1_minQ-(AA759^2*R_up)+dpup_minQ</f>
        <v>54.809625470382237</v>
      </c>
      <c r="AB761" s="44"/>
      <c r="AC761" s="72"/>
      <c r="AD761" s="53">
        <f>P_1_minQ-(AD759^2*R_up)+dpup_minQ</f>
        <v>51.218404921759713</v>
      </c>
      <c r="AE761" s="44"/>
      <c r="AF761" s="72"/>
      <c r="AG761" s="53">
        <f>P_1_minQ-(AG759^2*R_up)+dpup_minQ</f>
        <v>44.28588006128043</v>
      </c>
      <c r="AH761" s="44"/>
      <c r="AI761" s="72"/>
      <c r="AJ761" s="53">
        <f>P_1_minQ-(AJ759^2*R_up)+dpup_minQ</f>
        <v>34.422900045389355</v>
      </c>
      <c r="AK761" s="44"/>
      <c r="AL761" s="72"/>
      <c r="AM761" s="53">
        <f>P_1_minQ-(AM759^2*R_up)+dpup_minQ</f>
        <v>23.426769218828216</v>
      </c>
      <c r="AN761" s="44"/>
      <c r="AO761" s="72"/>
      <c r="AP761" s="53">
        <f>P_1_minQ-(AP759^2*R_up)+dpup_minQ</f>
        <v>11.777526806085216</v>
      </c>
      <c r="AQ761" s="44"/>
      <c r="AR761" s="72"/>
      <c r="AS761" s="53">
        <f>P_1_minQ-(AS759^2*R_up)+dpup_minQ</f>
        <v>-1.5499347315937628</v>
      </c>
      <c r="AT761" s="44"/>
      <c r="AU761" s="72"/>
    </row>
    <row r="762" spans="15:47" ht="13" x14ac:dyDescent="0.3">
      <c r="O762" s="6" t="s">
        <v>233</v>
      </c>
      <c r="P762" s="6"/>
      <c r="Q762" s="60"/>
      <c r="R762" s="85">
        <f>P_2_minQ+(R759^2*R_dn)-dpdn_minQ</f>
        <v>24.656830380351224</v>
      </c>
      <c r="S762" s="66"/>
      <c r="T762" s="74"/>
      <c r="U762" s="53">
        <f>P_2_minQ+(U759^2*R_dn)-dpdn_minQ</f>
        <v>24.676827841999614</v>
      </c>
      <c r="V762" s="45"/>
      <c r="W762" s="74"/>
      <c r="X762" s="53">
        <f>P_2_minQ+(X759^2*R_dn)-dpdn_minQ</f>
        <v>24.772333752753582</v>
      </c>
      <c r="Y762" s="45"/>
      <c r="Z762" s="74"/>
      <c r="AA762" s="53">
        <f>P_2_minQ+(AA759^2*R_dn)-dpdn_minQ</f>
        <v>25.078074905923554</v>
      </c>
      <c r="AB762" s="45"/>
      <c r="AC762" s="74"/>
      <c r="AD762" s="53">
        <f>P_2_minQ+(AD759^2*R_dn)-dpdn_minQ</f>
        <v>25.796319015648059</v>
      </c>
      <c r="AE762" s="45"/>
      <c r="AF762" s="74"/>
      <c r="AG762" s="53">
        <f>P_2_minQ+(AG759^2*R_dn)-dpdn_minQ</f>
        <v>27.182823987743916</v>
      </c>
      <c r="AH762" s="45"/>
      <c r="AI762" s="74"/>
      <c r="AJ762" s="53">
        <f>P_2_minQ+(AJ759^2*R_dn)-dpdn_minQ</f>
        <v>29.15541999092213</v>
      </c>
      <c r="AK762" s="45"/>
      <c r="AL762" s="74"/>
      <c r="AM762" s="53">
        <f>P_2_minQ+(AM759^2*R_dn)-dpdn_minQ</f>
        <v>31.354646156234356</v>
      </c>
      <c r="AN762" s="45"/>
      <c r="AO762" s="74"/>
      <c r="AP762" s="53">
        <f>P_2_minQ+(AP759^2*R_dn)-dpdn_minQ</f>
        <v>33.684494638782965</v>
      </c>
      <c r="AQ762" s="45"/>
      <c r="AR762" s="74"/>
      <c r="AS762" s="53">
        <f>P_2_minQ+(AS759^2*R_dn)-dpdn_minQ</f>
        <v>36.349986946318758</v>
      </c>
      <c r="AT762" s="45"/>
      <c r="AU762" s="74"/>
    </row>
    <row r="763" spans="15:47" x14ac:dyDescent="0.25">
      <c r="O763" s="6" t="s">
        <v>243</v>
      </c>
      <c r="Q763" s="60"/>
      <c r="R763" s="53">
        <f>R761-R762</f>
        <v>32.259017717892661</v>
      </c>
      <c r="S763" s="56"/>
      <c r="T763" s="72"/>
      <c r="U763" s="64">
        <f>U761-U762</f>
        <v>32.139032948002324</v>
      </c>
      <c r="V763" s="44"/>
      <c r="W763" s="72"/>
      <c r="X763" s="64">
        <f>X761-X762</f>
        <v>31.565997483478519</v>
      </c>
      <c r="Y763" s="44"/>
      <c r="Z763" s="72"/>
      <c r="AA763" s="64">
        <f>AA761-AA762</f>
        <v>29.731550564458683</v>
      </c>
      <c r="AB763" s="44"/>
      <c r="AC763" s="72"/>
      <c r="AD763" s="64">
        <f>AD761-AD762</f>
        <v>25.422085906111654</v>
      </c>
      <c r="AE763" s="44"/>
      <c r="AF763" s="72"/>
      <c r="AG763" s="64">
        <f>AG761-AG762</f>
        <v>17.103056073536514</v>
      </c>
      <c r="AH763" s="44"/>
      <c r="AI763" s="72"/>
      <c r="AJ763" s="64">
        <f>AJ761-AJ762</f>
        <v>5.2674800544672244</v>
      </c>
      <c r="AK763" s="44"/>
      <c r="AL763" s="72"/>
      <c r="AM763" s="64">
        <f>AM761-AM762</f>
        <v>-7.9278769374061397</v>
      </c>
      <c r="AN763" s="44"/>
      <c r="AO763" s="72"/>
      <c r="AP763" s="64">
        <f>AP761-AP762</f>
        <v>-21.906967832697749</v>
      </c>
      <c r="AQ763" s="44"/>
      <c r="AR763" s="72"/>
      <c r="AS763" s="64">
        <f>AS761-AS762</f>
        <v>-37.899921677912523</v>
      </c>
      <c r="AT763" s="44"/>
      <c r="AU763" s="72"/>
    </row>
    <row r="764" spans="15:47" ht="13" x14ac:dyDescent="0.3">
      <c r="O764" s="6" t="s">
        <v>75</v>
      </c>
      <c r="P764" s="6">
        <v>3</v>
      </c>
      <c r="Q764" s="65"/>
      <c r="R764" s="85">
        <f>(F_LP_h/F_P_h)^2*(R761-('Valve Sizing'!$V$4*'Valve Sizing'!$G$7))</f>
        <v>46.764918886224038</v>
      </c>
      <c r="S764" s="58"/>
      <c r="T764" s="73"/>
      <c r="U764" s="53">
        <f>(U$29/U$27)^2*(U761-('Valve Sizing'!$V$4*'Valve Sizing'!$G$7))</f>
        <v>46.669400528125848</v>
      </c>
      <c r="V764" s="41"/>
      <c r="W764" s="73"/>
      <c r="X764" s="53">
        <f>(X$29/X$27)^2*(X761-('Valve Sizing'!$V$4*'Valve Sizing'!$G$7))</f>
        <v>45.23028732807753</v>
      </c>
      <c r="Y764" s="41"/>
      <c r="Z764" s="73"/>
      <c r="AA764" s="53">
        <f>(AA$29/AA$27)^2*(AA761-('Valve Sizing'!$V$4*'Valve Sizing'!$G$7))</f>
        <v>42.016650923121254</v>
      </c>
      <c r="AB764" s="41"/>
      <c r="AC764" s="73"/>
      <c r="AD764" s="53">
        <f>(AD$29/AD$27)^2*(AD761-('Valve Sizing'!$V$4*'Valve Sizing'!$G$7))</f>
        <v>36.620704595913566</v>
      </c>
      <c r="AE764" s="41"/>
      <c r="AF764" s="73"/>
      <c r="AG764" s="53">
        <f>(AG$29/AG$27)^2*(AG761-('Valve Sizing'!$V$4*'Valve Sizing'!$G$7))</f>
        <v>28.238636696422606</v>
      </c>
      <c r="AH764" s="41"/>
      <c r="AI764" s="73"/>
      <c r="AJ764" s="53">
        <f>(AJ$29/AJ$27)^2*(AJ761-('Valve Sizing'!$V$4*'Valve Sizing'!$G$7))</f>
        <v>19.654464043539324</v>
      </c>
      <c r="AK764" s="41"/>
      <c r="AL764" s="73"/>
      <c r="AM764" s="53">
        <f>(AM$29/AM$27)^2*(AM761-('Valve Sizing'!$V$4*'Valve Sizing'!$G$7))</f>
        <v>10.998501280708526</v>
      </c>
      <c r="AN764" s="41"/>
      <c r="AO764" s="73"/>
      <c r="AP764" s="53">
        <f>(AP$29/AP$27)^2*(AP761-('Valve Sizing'!$V$4*'Valve Sizing'!$G$7))</f>
        <v>4.4740694758575552</v>
      </c>
      <c r="AQ764" s="41"/>
      <c r="AR764" s="73"/>
      <c r="AS764" s="53">
        <f>(AS$29/AS$27)^2*(AS761-('Valve Sizing'!$V$4*'Valve Sizing'!$G$7))</f>
        <v>-0.74851732180480235</v>
      </c>
      <c r="AT764" s="41"/>
      <c r="AU764" s="73"/>
    </row>
    <row r="765" spans="15:47" ht="13" x14ac:dyDescent="0.25">
      <c r="O765" s="1" t="s">
        <v>69</v>
      </c>
      <c r="P765" s="17">
        <v>7</v>
      </c>
      <c r="Q765" s="65"/>
      <c r="R765" s="53">
        <f>(R759/(N_1*F_P_h))*SQRT('Valve Sizing'!$G$6/R763)</f>
        <v>0.52052223082225646</v>
      </c>
      <c r="S765" s="58"/>
      <c r="T765" s="73"/>
      <c r="U765" s="64">
        <f>(U759/(N_1*U$27))*SQRT('Valve Sizing'!$G$6/U763)</f>
        <v>9.6201278059942172</v>
      </c>
      <c r="V765" s="41"/>
      <c r="W765" s="73"/>
      <c r="X765" s="64">
        <f>(X759/(N_1*X$27))*SQRT('Valve Sizing'!$G$6/X763)</f>
        <v>23.353018617265015</v>
      </c>
      <c r="Y765" s="41"/>
      <c r="Z765" s="73"/>
      <c r="AA765" s="64">
        <f>(AA759/(N_1*AA$27))*SQRT('Valve Sizing'!$G$6/AA763)</f>
        <v>46.208793113810025</v>
      </c>
      <c r="AB765" s="41"/>
      <c r="AC765" s="73"/>
      <c r="AD765" s="64">
        <f>(AD759/(N_1*AD$27))*SQRT('Valve Sizing'!$G$6/AD763)</f>
        <v>83.218849277396288</v>
      </c>
      <c r="AE765" s="41"/>
      <c r="AF765" s="73"/>
      <c r="AG765" s="64">
        <f>(AG759/(N_1*AG$27))*SQRT('Valve Sizing'!$G$6/AG763)</f>
        <v>154.4289070576221</v>
      </c>
      <c r="AH765" s="41"/>
      <c r="AI765" s="73"/>
      <c r="AJ765" s="64">
        <f>(AJ759/(N_1*AJ$27))*SQRT('Valve Sizing'!$G$6/AJ763)</f>
        <v>384.8477847171838</v>
      </c>
      <c r="AK765" s="41"/>
      <c r="AL765" s="73"/>
      <c r="AM765" s="64" t="e">
        <f>(AM759/(N_1*AM$27))*SQRT('Valve Sizing'!$G$6/AM763)</f>
        <v>#NUM!</v>
      </c>
      <c r="AN765" s="41"/>
      <c r="AO765" s="73"/>
      <c r="AP765" s="64" t="e">
        <f>(AP759/(N_1*AP$27))*SQRT('Valve Sizing'!$G$6/AP763)</f>
        <v>#NUM!</v>
      </c>
      <c r="AQ765" s="41"/>
      <c r="AR765" s="73"/>
      <c r="AS765" s="64" t="e">
        <f>(AS759/(N_1*AS$27))*SQRT('Valve Sizing'!$G$6/AS763)</f>
        <v>#NUM!</v>
      </c>
      <c r="AT765" s="41"/>
      <c r="AU765" s="73"/>
    </row>
    <row r="766" spans="15:47" ht="13" x14ac:dyDescent="0.3">
      <c r="O766" s="1" t="s">
        <v>72</v>
      </c>
      <c r="P766" s="17">
        <v>7</v>
      </c>
      <c r="Q766" s="65"/>
      <c r="R766" s="53">
        <f>(R759/(N_1*F_P_h))*SQRT('Valve Sizing'!$G$6/R764)</f>
        <v>0.43231943446026061</v>
      </c>
      <c r="S766" s="56"/>
      <c r="T766" s="72"/>
      <c r="U766" s="85">
        <f>(U759/(N_1*U$27))*SQRT('Valve Sizing'!$G$6/U764)</f>
        <v>7.9832757970306787</v>
      </c>
      <c r="V766" s="44"/>
      <c r="W766" s="72"/>
      <c r="X766" s="85">
        <f>(X759/(N_1*X$27))*SQRT('Valve Sizing'!$G$6/X764)</f>
        <v>19.509139358502079</v>
      </c>
      <c r="Y766" s="44"/>
      <c r="Z766" s="72"/>
      <c r="AA766" s="85">
        <f>(AA759/(N_1*AA$27))*SQRT('Valve Sizing'!$G$6/AA764)</f>
        <v>38.8707293006008</v>
      </c>
      <c r="AB766" s="44"/>
      <c r="AC766" s="72"/>
      <c r="AD766" s="85">
        <f>(AD759/(N_1*AD$27))*SQRT('Valve Sizing'!$G$6/AD764)</f>
        <v>69.336824707038573</v>
      </c>
      <c r="AE766" s="44"/>
      <c r="AF766" s="72"/>
      <c r="AG766" s="85">
        <f>(AG759/(N_1*AG$27))*SQRT('Valve Sizing'!$G$6/AG764)</f>
        <v>120.18315329581976</v>
      </c>
      <c r="AH766" s="44"/>
      <c r="AI766" s="72"/>
      <c r="AJ766" s="85">
        <f>(AJ759/(N_1*AJ$27))*SQRT('Valve Sizing'!$G$6/AJ764)</f>
        <v>199.23234105562227</v>
      </c>
      <c r="AK766" s="44"/>
      <c r="AL766" s="72"/>
      <c r="AM766" s="85">
        <f>(AM759/(N_1*AM$27))*SQRT('Valve Sizing'!$G$6/AM764)</f>
        <v>344.80206183641275</v>
      </c>
      <c r="AN766" s="44"/>
      <c r="AO766" s="72"/>
      <c r="AP766" s="85">
        <f>(AP759/(N_1*AP$27))*SQRT('Valve Sizing'!$G$6/AP764)</f>
        <v>714.36853880208162</v>
      </c>
      <c r="AQ766" s="44"/>
      <c r="AR766" s="72"/>
      <c r="AS766" s="85" t="e">
        <f>(AS759/(N_1*AS$27))*SQRT('Valve Sizing'!$G$6/AS764)</f>
        <v>#NUM!</v>
      </c>
      <c r="AT766" s="44"/>
      <c r="AU766" s="72"/>
    </row>
    <row r="767" spans="15:47" x14ac:dyDescent="0.25">
      <c r="O767" s="1" t="s">
        <v>246</v>
      </c>
      <c r="P767" s="18"/>
      <c r="Q767" s="65"/>
      <c r="R767" s="53">
        <f>IF(R763&lt;R764,R765,R766)</f>
        <v>0.52052223082225646</v>
      </c>
      <c r="S767" s="49"/>
      <c r="T767" s="72"/>
      <c r="U767" s="64">
        <f>IF(U763&lt;U764,U765,U766)</f>
        <v>9.6201278059942172</v>
      </c>
      <c r="V767" s="44"/>
      <c r="W767" s="72"/>
      <c r="X767" s="64">
        <f>IF(X763&lt;X764,X765,X766)</f>
        <v>23.353018617265015</v>
      </c>
      <c r="Y767" s="44"/>
      <c r="Z767" s="72"/>
      <c r="AA767" s="64">
        <f>IF(AA763&lt;AA764,AA765,AA766)</f>
        <v>46.208793113810025</v>
      </c>
      <c r="AB767" s="44"/>
      <c r="AC767" s="72"/>
      <c r="AD767" s="64">
        <f>IF(AD763&lt;AD764,AD765,AD766)</f>
        <v>83.218849277396288</v>
      </c>
      <c r="AE767" s="44"/>
      <c r="AF767" s="72"/>
      <c r="AG767" s="64">
        <f>IF(AG763&lt;AG764,AG765,AG766)</f>
        <v>154.4289070576221</v>
      </c>
      <c r="AH767" s="44"/>
      <c r="AI767" s="72"/>
      <c r="AJ767" s="64">
        <f>IF(AJ763&lt;AJ764,AJ765,AJ766)</f>
        <v>384.8477847171838</v>
      </c>
      <c r="AK767" s="44"/>
      <c r="AL767" s="72"/>
      <c r="AM767" s="64" t="e">
        <f>IF(AM763&lt;AM764,AM765,AM766)</f>
        <v>#NUM!</v>
      </c>
      <c r="AN767" s="44"/>
      <c r="AO767" s="72"/>
      <c r="AP767" s="64" t="e">
        <f>IF(AP763&lt;AP764,AP765,AP766)</f>
        <v>#NUM!</v>
      </c>
      <c r="AQ767" s="44"/>
      <c r="AR767" s="72"/>
      <c r="AS767" s="64" t="e">
        <f>IF(AS763&lt;AS764,AS765,AS766)</f>
        <v>#NUM!</v>
      </c>
      <c r="AT767" s="44"/>
      <c r="AU767" s="72"/>
    </row>
    <row r="768" spans="15:47" ht="13" x14ac:dyDescent="0.3">
      <c r="O768" s="7" t="s">
        <v>264</v>
      </c>
      <c r="Q768" s="61"/>
      <c r="R768" s="53"/>
      <c r="S768" s="69">
        <f>IFERROR(ABS(C_h-R767),Q_max*10)</f>
        <v>4.4794777691777439</v>
      </c>
      <c r="T768" s="76">
        <f>R759</f>
        <v>2.955978856244212</v>
      </c>
      <c r="U768" s="61"/>
      <c r="V768" s="69">
        <f>IFERROR(ABS(U$23-U767),Q_max*10)</f>
        <v>2.3798721940057828</v>
      </c>
      <c r="W768" s="75">
        <f>U759</f>
        <v>54.491852675814485</v>
      </c>
      <c r="X768" s="61"/>
      <c r="Y768" s="69">
        <f>IFERROR(ABS(X$23-X767),Q_max*10)</f>
        <v>0.35301861726501471</v>
      </c>
      <c r="Z768" s="75">
        <f>X759</f>
        <v>130.80142237440506</v>
      </c>
      <c r="AA768" s="61"/>
      <c r="AB768" s="69">
        <f>IFERROR(ABS(AA$23-AA767),Q_max*10)</f>
        <v>7.2087931138100245</v>
      </c>
      <c r="AC768" s="75">
        <f>AA759</f>
        <v>249.74785248722768</v>
      </c>
      <c r="AD768" s="61"/>
      <c r="AE768" s="69">
        <f>IFERROR(ABS(AD$23-AD767),Q_max*10)</f>
        <v>22.218849277396288</v>
      </c>
      <c r="AF768" s="75">
        <f>AD759</f>
        <v>410.7432656376667</v>
      </c>
      <c r="AG768" s="61"/>
      <c r="AH768" s="69">
        <f>IFERROR(ABS(AG$23-AG767),Q_max*10)</f>
        <v>66.428907057622098</v>
      </c>
      <c r="AI768" s="75">
        <f>AG759</f>
        <v>611.54075202351521</v>
      </c>
      <c r="AJ768" s="61"/>
      <c r="AK768" s="69">
        <f>IFERROR(ABS(AJ$23-AJ767),Q_max*10)</f>
        <v>263.8477847171838</v>
      </c>
      <c r="AL768" s="75">
        <f>AJ759</f>
        <v>816.10350425422212</v>
      </c>
      <c r="AM768" s="61"/>
      <c r="AN768" s="69">
        <f>IFERROR(ABS(AM$23-AM767),Q_max*10)</f>
        <v>5500</v>
      </c>
      <c r="AO768" s="75">
        <f>AM759</f>
        <v>995.80136745763537</v>
      </c>
      <c r="AP768" s="61"/>
      <c r="AQ768" s="69">
        <f>IFERROR(ABS(AP$23-AP767),Q_max*10)</f>
        <v>5500</v>
      </c>
      <c r="AR768" s="75">
        <f>AP759</f>
        <v>1156.0944733333072</v>
      </c>
      <c r="AS768" s="61"/>
      <c r="AT768" s="69">
        <f>IFERROR(ABS(AS$23-AS767),Q_max*10)</f>
        <v>5500</v>
      </c>
      <c r="AU768" s="75">
        <f>AS759</f>
        <v>1315.7433516466999</v>
      </c>
    </row>
    <row r="769" spans="15:47" ht="14.5" x14ac:dyDescent="0.35">
      <c r="O769" s="6"/>
      <c r="P769" s="6"/>
      <c r="Q769" s="60"/>
      <c r="R769" s="67"/>
      <c r="S769" s="66"/>
      <c r="T769" s="74"/>
      <c r="V769" s="11"/>
      <c r="W769" s="38"/>
      <c r="Y769" s="11"/>
      <c r="Z769" s="38"/>
      <c r="AB769" s="11"/>
      <c r="AC769" s="38"/>
      <c r="AE769" s="11"/>
      <c r="AF769" s="38"/>
      <c r="AH769" s="11"/>
      <c r="AI769" s="38"/>
      <c r="AK769" s="11"/>
      <c r="AL769" s="38"/>
      <c r="AN769" s="11"/>
      <c r="AO769" s="38"/>
      <c r="AQ769" s="11"/>
      <c r="AR769" s="38"/>
      <c r="AT769" s="11"/>
      <c r="AU769" s="38"/>
    </row>
    <row r="770" spans="15:47" ht="14" x14ac:dyDescent="0.3">
      <c r="O770" s="8" t="s">
        <v>235</v>
      </c>
      <c r="P770" s="6"/>
      <c r="Q770" s="60"/>
      <c r="R770" s="53">
        <f>R759*1.02</f>
        <v>3.0150984333690962</v>
      </c>
      <c r="S770" s="58" t="s">
        <v>238</v>
      </c>
      <c r="T770" s="73" t="s">
        <v>241</v>
      </c>
      <c r="U770" s="84">
        <f>U759*1.01</f>
        <v>55.036771202572631</v>
      </c>
      <c r="V770" s="58" t="s">
        <v>238</v>
      </c>
      <c r="W770" s="73" t="s">
        <v>241</v>
      </c>
      <c r="X770" s="84">
        <f>X759*1.01</f>
        <v>132.1094365981491</v>
      </c>
      <c r="Y770" s="58" t="s">
        <v>238</v>
      </c>
      <c r="Z770" s="73" t="s">
        <v>241</v>
      </c>
      <c r="AA770" s="84">
        <f>AA759*1.01</f>
        <v>252.24533101209997</v>
      </c>
      <c r="AB770" s="58" t="s">
        <v>238</v>
      </c>
      <c r="AC770" s="73" t="s">
        <v>241</v>
      </c>
      <c r="AD770" s="84">
        <f>AD759*1.01</f>
        <v>414.85069829404335</v>
      </c>
      <c r="AE770" s="58" t="s">
        <v>238</v>
      </c>
      <c r="AF770" s="73" t="s">
        <v>241</v>
      </c>
      <c r="AG770" s="84">
        <f>AG759*1.01</f>
        <v>617.65615954375039</v>
      </c>
      <c r="AH770" s="58" t="s">
        <v>238</v>
      </c>
      <c r="AI770" s="73" t="s">
        <v>241</v>
      </c>
      <c r="AJ770" s="84">
        <f>AJ759*1.01</f>
        <v>824.26453929676438</v>
      </c>
      <c r="AK770" s="58" t="s">
        <v>238</v>
      </c>
      <c r="AL770" s="73" t="s">
        <v>241</v>
      </c>
      <c r="AM770" s="84">
        <f>AM759*1.01</f>
        <v>1005.7593811322117</v>
      </c>
      <c r="AN770" s="58" t="s">
        <v>238</v>
      </c>
      <c r="AO770" s="73" t="s">
        <v>241</v>
      </c>
      <c r="AP770" s="84">
        <f>AP759*1.01</f>
        <v>1167.6554180666403</v>
      </c>
      <c r="AQ770" s="58" t="s">
        <v>238</v>
      </c>
      <c r="AR770" s="73" t="s">
        <v>241</v>
      </c>
      <c r="AS770" s="84">
        <f>AS759*1.01</f>
        <v>1328.900785163167</v>
      </c>
      <c r="AT770" s="58" t="s">
        <v>238</v>
      </c>
      <c r="AU770" s="73" t="s">
        <v>241</v>
      </c>
    </row>
    <row r="771" spans="15:47" ht="13" x14ac:dyDescent="0.25">
      <c r="O771" s="6"/>
      <c r="P771" s="6"/>
      <c r="Q771" s="60"/>
      <c r="R771" s="70"/>
      <c r="S771" s="63" t="s">
        <v>250</v>
      </c>
      <c r="T771" s="71" t="s">
        <v>242</v>
      </c>
      <c r="U771" s="61"/>
      <c r="V771" s="63" t="s">
        <v>250</v>
      </c>
      <c r="W771" s="71" t="s">
        <v>242</v>
      </c>
      <c r="X771" s="61"/>
      <c r="Y771" s="63" t="s">
        <v>250</v>
      </c>
      <c r="Z771" s="71" t="s">
        <v>242</v>
      </c>
      <c r="AA771" s="61"/>
      <c r="AB771" s="63" t="s">
        <v>250</v>
      </c>
      <c r="AC771" s="71" t="s">
        <v>242</v>
      </c>
      <c r="AD771" s="61"/>
      <c r="AE771" s="63" t="s">
        <v>250</v>
      </c>
      <c r="AF771" s="71" t="s">
        <v>242</v>
      </c>
      <c r="AG771" s="61"/>
      <c r="AH771" s="63" t="s">
        <v>250</v>
      </c>
      <c r="AI771" s="71" t="s">
        <v>242</v>
      </c>
      <c r="AJ771" s="61"/>
      <c r="AK771" s="63" t="s">
        <v>250</v>
      </c>
      <c r="AL771" s="71" t="s">
        <v>242</v>
      </c>
      <c r="AM771" s="61"/>
      <c r="AN771" s="63" t="s">
        <v>250</v>
      </c>
      <c r="AO771" s="71" t="s">
        <v>242</v>
      </c>
      <c r="AP771" s="61"/>
      <c r="AQ771" s="63" t="s">
        <v>250</v>
      </c>
      <c r="AR771" s="71" t="s">
        <v>242</v>
      </c>
      <c r="AS771" s="61"/>
      <c r="AT771" s="63" t="s">
        <v>250</v>
      </c>
      <c r="AU771" s="71" t="s">
        <v>242</v>
      </c>
    </row>
    <row r="772" spans="15:47" ht="13" x14ac:dyDescent="0.3">
      <c r="O772" s="6" t="s">
        <v>231</v>
      </c>
      <c r="P772" s="6"/>
      <c r="Q772" s="60"/>
      <c r="R772" s="85">
        <f>P_1_minQ-(R770^2*R_up)+dpup_minQ</f>
        <v>56.915836176340328</v>
      </c>
      <c r="S772" s="56"/>
      <c r="T772" s="72"/>
      <c r="U772" s="53">
        <f>P_1_minQ-(U770^2*R_up)+dpup_minQ</f>
        <v>56.813845113664158</v>
      </c>
      <c r="V772" s="44"/>
      <c r="W772" s="72"/>
      <c r="X772" s="53">
        <f>P_1_minQ-(X770^2*R_up)+dpup_minQ</f>
        <v>56.326717215863546</v>
      </c>
      <c r="Y772" s="44"/>
      <c r="Z772" s="72"/>
      <c r="AA772" s="53">
        <f>P_1_minQ-(AA770^2*R_up)+dpup_minQ</f>
        <v>54.767284464120095</v>
      </c>
      <c r="AB772" s="44"/>
      <c r="AC772" s="72"/>
      <c r="AD772" s="53">
        <f>P_1_minQ-(AD770^2*R_up)+dpup_minQ</f>
        <v>51.103880382470265</v>
      </c>
      <c r="AE772" s="44"/>
      <c r="AF772" s="72"/>
      <c r="AG772" s="53">
        <f>P_1_minQ-(AG770^2*R_up)+dpup_minQ</f>
        <v>44.032011772295341</v>
      </c>
      <c r="AH772" s="44"/>
      <c r="AI772" s="72"/>
      <c r="AJ772" s="53">
        <f>P_1_minQ-(AJ770^2*R_up)+dpup_minQ</f>
        <v>33.970785858084859</v>
      </c>
      <c r="AK772" s="44"/>
      <c r="AL772" s="72"/>
      <c r="AM772" s="53">
        <f>P_1_minQ-(AM770^2*R_up)+dpup_minQ</f>
        <v>22.753632801909848</v>
      </c>
      <c r="AN772" s="44"/>
      <c r="AO772" s="72"/>
      <c r="AP772" s="53">
        <f>P_1_minQ-(AP770^2*R_up)+dpup_minQ</f>
        <v>10.870240616670703</v>
      </c>
      <c r="AQ772" s="44"/>
      <c r="AR772" s="72"/>
      <c r="AS772" s="53">
        <f>P_1_minQ-(AS770^2*R_up)+dpup_minQ</f>
        <v>-2.7251028979156375</v>
      </c>
      <c r="AT772" s="44"/>
      <c r="AU772" s="72"/>
    </row>
    <row r="773" spans="15:47" ht="13" x14ac:dyDescent="0.3">
      <c r="O773" s="6" t="s">
        <v>233</v>
      </c>
      <c r="P773" s="6"/>
      <c r="Q773" s="60"/>
      <c r="R773" s="85">
        <f>P_2_minQ+(R770^2*R_dn)-dpdn_minQ</f>
        <v>24.656832764731934</v>
      </c>
      <c r="S773" s="66"/>
      <c r="T773" s="74"/>
      <c r="U773" s="53">
        <f>P_2_minQ+(U770^2*R_dn)-dpdn_minQ</f>
        <v>24.677230977267168</v>
      </c>
      <c r="V773" s="45"/>
      <c r="W773" s="74"/>
      <c r="X773" s="53">
        <f>P_2_minQ+(X770^2*R_dn)-dpdn_minQ</f>
        <v>24.774656556827292</v>
      </c>
      <c r="Y773" s="45"/>
      <c r="Z773" s="74"/>
      <c r="AA773" s="53">
        <f>P_2_minQ+(AA770^2*R_dn)-dpdn_minQ</f>
        <v>25.086543107175981</v>
      </c>
      <c r="AB773" s="45"/>
      <c r="AC773" s="74"/>
      <c r="AD773" s="53">
        <f>P_2_minQ+(AD770^2*R_dn)-dpdn_minQ</f>
        <v>25.819223923505948</v>
      </c>
      <c r="AE773" s="45"/>
      <c r="AF773" s="74"/>
      <c r="AG773" s="53">
        <f>P_2_minQ+(AG770^2*R_dn)-dpdn_minQ</f>
        <v>27.233597645540932</v>
      </c>
      <c r="AH773" s="45"/>
      <c r="AI773" s="74"/>
      <c r="AJ773" s="53">
        <f>P_2_minQ+(AJ770^2*R_dn)-dpdn_minQ</f>
        <v>29.245842828383029</v>
      </c>
      <c r="AK773" s="45"/>
      <c r="AL773" s="74"/>
      <c r="AM773" s="53">
        <f>P_2_minQ+(AM770^2*R_dn)-dpdn_minQ</f>
        <v>31.489273439618032</v>
      </c>
      <c r="AN773" s="45"/>
      <c r="AO773" s="74"/>
      <c r="AP773" s="53">
        <f>P_2_minQ+(AP770^2*R_dn)-dpdn_minQ</f>
        <v>33.865951876665861</v>
      </c>
      <c r="AQ773" s="45"/>
      <c r="AR773" s="74"/>
      <c r="AS773" s="53">
        <f>P_2_minQ+(AS770^2*R_dn)-dpdn_minQ</f>
        <v>36.58502057958313</v>
      </c>
      <c r="AT773" s="45"/>
      <c r="AU773" s="74"/>
    </row>
    <row r="774" spans="15:47" x14ac:dyDescent="0.25">
      <c r="O774" s="6" t="s">
        <v>243</v>
      </c>
      <c r="Q774" s="60"/>
      <c r="R774" s="53">
        <f>R772-R773</f>
        <v>32.25900341160839</v>
      </c>
      <c r="S774" s="56"/>
      <c r="T774" s="72"/>
      <c r="U774" s="64">
        <f>U772-U773</f>
        <v>32.136614136396986</v>
      </c>
      <c r="V774" s="44"/>
      <c r="W774" s="72"/>
      <c r="X774" s="64">
        <f>X772-X773</f>
        <v>31.552060659036254</v>
      </c>
      <c r="Y774" s="44"/>
      <c r="Z774" s="72"/>
      <c r="AA774" s="64">
        <f>AA772-AA773</f>
        <v>29.680741356944115</v>
      </c>
      <c r="AB774" s="44"/>
      <c r="AC774" s="72"/>
      <c r="AD774" s="64">
        <f>AD772-AD773</f>
        <v>25.284656458964317</v>
      </c>
      <c r="AE774" s="44"/>
      <c r="AF774" s="72"/>
      <c r="AG774" s="64">
        <f>AG772-AG773</f>
        <v>16.798414126754409</v>
      </c>
      <c r="AH774" s="44"/>
      <c r="AI774" s="72"/>
      <c r="AJ774" s="64">
        <f>AJ772-AJ773</f>
        <v>4.72494302970183</v>
      </c>
      <c r="AK774" s="44"/>
      <c r="AL774" s="72"/>
      <c r="AM774" s="64">
        <f>AM772-AM773</f>
        <v>-8.7356406377081832</v>
      </c>
      <c r="AN774" s="44"/>
      <c r="AO774" s="72"/>
      <c r="AP774" s="64">
        <f>AP772-AP773</f>
        <v>-22.995711259995158</v>
      </c>
      <c r="AQ774" s="44"/>
      <c r="AR774" s="72"/>
      <c r="AS774" s="64">
        <f>AS772-AS773</f>
        <v>-39.31012347749877</v>
      </c>
      <c r="AT774" s="44"/>
      <c r="AU774" s="72"/>
    </row>
    <row r="775" spans="15:47" ht="13" x14ac:dyDescent="0.3">
      <c r="O775" s="6" t="s">
        <v>75</v>
      </c>
      <c r="P775" s="6">
        <v>3</v>
      </c>
      <c r="Q775" s="65"/>
      <c r="R775" s="85">
        <f>(F_LP_h/F_P_h)^2*(R772-('Valve Sizing'!$V$4*'Valve Sizing'!$G$7))</f>
        <v>46.764909014262116</v>
      </c>
      <c r="S775" s="58"/>
      <c r="T775" s="73"/>
      <c r="U775" s="53">
        <f>(U$29/U$27)^2*(U772-('Valve Sizing'!$V$4*'Valve Sizing'!$G$7))</f>
        <v>46.667731897239278</v>
      </c>
      <c r="V775" s="41"/>
      <c r="W775" s="73"/>
      <c r="X775" s="53">
        <f>(X$29/X$27)^2*(X772-('Valve Sizing'!$V$4*'Valve Sizing'!$G$7))</f>
        <v>45.220889802093623</v>
      </c>
      <c r="Y775" s="41"/>
      <c r="Z775" s="73"/>
      <c r="AA775" s="53">
        <f>(AA$29/AA$27)^2*(AA772-('Valve Sizing'!$V$4*'Valve Sizing'!$G$7))</f>
        <v>41.98392991113257</v>
      </c>
      <c r="AB775" s="41"/>
      <c r="AC775" s="73"/>
      <c r="AD775" s="53">
        <f>(AD$29/AD$27)^2*(AD772-('Valve Sizing'!$V$4*'Valve Sizing'!$G$7))</f>
        <v>36.538110940365421</v>
      </c>
      <c r="AE775" s="41"/>
      <c r="AF775" s="73"/>
      <c r="AG775" s="53">
        <f>(AG$29/AG$27)^2*(AG772-('Valve Sizing'!$V$4*'Valve Sizing'!$G$7))</f>
        <v>28.075134360504556</v>
      </c>
      <c r="AH775" s="41"/>
      <c r="AI775" s="73"/>
      <c r="AJ775" s="53">
        <f>(AJ$29/AJ$27)^2*(AJ772-('Valve Sizing'!$V$4*'Valve Sizing'!$G$7))</f>
        <v>19.392977322107406</v>
      </c>
      <c r="AK775" s="41"/>
      <c r="AL775" s="73"/>
      <c r="AM775" s="53">
        <f>(AM$29/AM$27)^2*(AM772-('Valve Sizing'!$V$4*'Valve Sizing'!$G$7))</f>
        <v>10.676424252530451</v>
      </c>
      <c r="AN775" s="41"/>
      <c r="AO775" s="73"/>
      <c r="AP775" s="53">
        <f>(AP$29/AP$27)^2*(AP772-('Valve Sizing'!$V$4*'Valve Sizing'!$G$7))</f>
        <v>4.1160300054228136</v>
      </c>
      <c r="AQ775" s="41"/>
      <c r="AR775" s="73"/>
      <c r="AS775" s="53">
        <f>(AS$29/AS$27)^2*(AS772-('Valve Sizing'!$V$4*'Valve Sizing'!$G$7))</f>
        <v>-1.1905460090906417</v>
      </c>
      <c r="AT775" s="41"/>
      <c r="AU775" s="73"/>
    </row>
    <row r="776" spans="15:47" ht="13" x14ac:dyDescent="0.25">
      <c r="O776" s="1" t="s">
        <v>69</v>
      </c>
      <c r="P776" s="17">
        <v>7</v>
      </c>
      <c r="Q776" s="65"/>
      <c r="R776" s="53">
        <f>(R770/(N_1*F_P_h))*SQRT('Valve Sizing'!$G$6/R774)</f>
        <v>0.53093279316820563</v>
      </c>
      <c r="S776" s="58"/>
      <c r="T776" s="73"/>
      <c r="U776" s="64">
        <f>(U770/(N_1*U$27))*SQRT('Valve Sizing'!$G$6/U774)</f>
        <v>9.7166947343874313</v>
      </c>
      <c r="V776" s="41"/>
      <c r="W776" s="73"/>
      <c r="X776" s="64">
        <f>(X770/(N_1*X$27))*SQRT('Valve Sizing'!$G$6/X774)</f>
        <v>23.591757422006676</v>
      </c>
      <c r="Y776" s="41"/>
      <c r="Z776" s="73"/>
      <c r="AA776" s="64">
        <f>(AA770/(N_1*AA$27))*SQRT('Valve Sizing'!$G$6/AA774)</f>
        <v>46.710810918709214</v>
      </c>
      <c r="AB776" s="41"/>
      <c r="AC776" s="73"/>
      <c r="AD776" s="64">
        <f>(AD770/(N_1*AD$27))*SQRT('Valve Sizing'!$G$6/AD774)</f>
        <v>84.279149121110223</v>
      </c>
      <c r="AE776" s="41"/>
      <c r="AF776" s="73"/>
      <c r="AG776" s="64">
        <f>(AG770/(N_1*AG$27))*SQRT('Valve Sizing'!$G$6/AG774)</f>
        <v>157.38114100383206</v>
      </c>
      <c r="AH776" s="41"/>
      <c r="AI776" s="73"/>
      <c r="AJ776" s="64">
        <f>(AJ770/(N_1*AJ$27))*SQRT('Valve Sizing'!$G$6/AJ774)</f>
        <v>410.40583469157082</v>
      </c>
      <c r="AK776" s="41"/>
      <c r="AL776" s="73"/>
      <c r="AM776" s="64" t="e">
        <f>(AM770/(N_1*AM$27))*SQRT('Valve Sizing'!$G$6/AM774)</f>
        <v>#NUM!</v>
      </c>
      <c r="AN776" s="41"/>
      <c r="AO776" s="73"/>
      <c r="AP776" s="64" t="e">
        <f>(AP770/(N_1*AP$27))*SQRT('Valve Sizing'!$G$6/AP774)</f>
        <v>#NUM!</v>
      </c>
      <c r="AQ776" s="41"/>
      <c r="AR776" s="73"/>
      <c r="AS776" s="64" t="e">
        <f>(AS770/(N_1*AS$27))*SQRT('Valve Sizing'!$G$6/AS774)</f>
        <v>#NUM!</v>
      </c>
      <c r="AT776" s="41"/>
      <c r="AU776" s="73"/>
    </row>
    <row r="777" spans="15:47" ht="13" x14ac:dyDescent="0.3">
      <c r="O777" s="1" t="s">
        <v>72</v>
      </c>
      <c r="P777" s="17">
        <v>7</v>
      </c>
      <c r="Q777" s="65"/>
      <c r="R777" s="53">
        <f>(R770/(N_1*F_P_h))*SQRT('Valve Sizing'!$G$6/R775)</f>
        <v>0.44096586969288565</v>
      </c>
      <c r="S777" s="56"/>
      <c r="T777" s="72"/>
      <c r="U777" s="85">
        <f>(U770/(N_1*U$27))*SQRT('Valve Sizing'!$G$6/U775)</f>
        <v>8.0632527041932089</v>
      </c>
      <c r="V777" s="44"/>
      <c r="W777" s="72"/>
      <c r="X777" s="85">
        <f>(X770/(N_1*X$27))*SQRT('Valve Sizing'!$G$6/X775)</f>
        <v>19.706278051488123</v>
      </c>
      <c r="Y777" s="44"/>
      <c r="Z777" s="72"/>
      <c r="AA777" s="85">
        <f>(AA770/(N_1*AA$27))*SQRT('Valve Sizing'!$G$6/AA775)</f>
        <v>39.274732425837769</v>
      </c>
      <c r="AB777" s="44"/>
      <c r="AC777" s="72"/>
      <c r="AD777" s="85">
        <f>(AD770/(N_1*AD$27))*SQRT('Valve Sizing'!$G$6/AD775)</f>
        <v>70.109299187212301</v>
      </c>
      <c r="AE777" s="44"/>
      <c r="AF777" s="72"/>
      <c r="AG777" s="85">
        <f>(AG770/(N_1*AG$27))*SQRT('Valve Sizing'!$G$6/AG775)</f>
        <v>121.73792912085888</v>
      </c>
      <c r="AH777" s="44"/>
      <c r="AI777" s="72"/>
      <c r="AJ777" s="85">
        <f>(AJ770/(N_1*AJ$27))*SQRT('Valve Sizing'!$G$6/AJ775)</f>
        <v>202.57673626013968</v>
      </c>
      <c r="AK777" s="44"/>
      <c r="AL777" s="72"/>
      <c r="AM777" s="85">
        <f>(AM770/(N_1*AM$27))*SQRT('Valve Sizing'!$G$6/AM775)</f>
        <v>353.46390504517325</v>
      </c>
      <c r="AN777" s="44"/>
      <c r="AO777" s="72"/>
      <c r="AP777" s="85">
        <f>(AP770/(N_1*AP$27))*SQRT('Valve Sizing'!$G$6/AP775)</f>
        <v>752.23890231275777</v>
      </c>
      <c r="AQ777" s="44"/>
      <c r="AR777" s="72"/>
      <c r="AS777" s="85" t="e">
        <f>(AS770/(N_1*AS$27))*SQRT('Valve Sizing'!$G$6/AS775)</f>
        <v>#NUM!</v>
      </c>
      <c r="AT777" s="44"/>
      <c r="AU777" s="72"/>
    </row>
    <row r="778" spans="15:47" x14ac:dyDescent="0.25">
      <c r="O778" s="1" t="s">
        <v>246</v>
      </c>
      <c r="P778" s="18"/>
      <c r="Q778" s="65"/>
      <c r="R778" s="53">
        <f>IF(R774&lt;R775,R776,R777)</f>
        <v>0.53093279316820563</v>
      </c>
      <c r="S778" s="49"/>
      <c r="T778" s="72"/>
      <c r="U778" s="64">
        <f>IF(U774&lt;U775,U776,U777)</f>
        <v>9.7166947343874313</v>
      </c>
      <c r="V778" s="44"/>
      <c r="W778" s="72"/>
      <c r="X778" s="64">
        <f>IF(X774&lt;X775,X776,X777)</f>
        <v>23.591757422006676</v>
      </c>
      <c r="Y778" s="44"/>
      <c r="Z778" s="72"/>
      <c r="AA778" s="64">
        <f>IF(AA774&lt;AA775,AA776,AA777)</f>
        <v>46.710810918709214</v>
      </c>
      <c r="AB778" s="44"/>
      <c r="AC778" s="72"/>
      <c r="AD778" s="64">
        <f>IF(AD774&lt;AD775,AD776,AD777)</f>
        <v>84.279149121110223</v>
      </c>
      <c r="AE778" s="44"/>
      <c r="AF778" s="72"/>
      <c r="AG778" s="64">
        <f>IF(AG774&lt;AG775,AG776,AG777)</f>
        <v>157.38114100383206</v>
      </c>
      <c r="AH778" s="44"/>
      <c r="AI778" s="72"/>
      <c r="AJ778" s="64">
        <f>IF(AJ774&lt;AJ775,AJ776,AJ777)</f>
        <v>410.40583469157082</v>
      </c>
      <c r="AK778" s="44"/>
      <c r="AL778" s="72"/>
      <c r="AM778" s="64" t="e">
        <f>IF(AM774&lt;AM775,AM776,AM777)</f>
        <v>#NUM!</v>
      </c>
      <c r="AN778" s="44"/>
      <c r="AO778" s="72"/>
      <c r="AP778" s="64" t="e">
        <f>IF(AP774&lt;AP775,AP776,AP777)</f>
        <v>#NUM!</v>
      </c>
      <c r="AQ778" s="44"/>
      <c r="AR778" s="72"/>
      <c r="AS778" s="64" t="e">
        <f>IF(AS774&lt;AS775,AS776,AS777)</f>
        <v>#NUM!</v>
      </c>
      <c r="AT778" s="44"/>
      <c r="AU778" s="72"/>
    </row>
    <row r="779" spans="15:47" ht="13" x14ac:dyDescent="0.3">
      <c r="O779" s="7" t="s">
        <v>264</v>
      </c>
      <c r="Q779" s="61"/>
      <c r="R779" s="53"/>
      <c r="S779" s="69">
        <f>IFERROR(ABS(C_h-R778),Q_max*10)</f>
        <v>4.4690672068317943</v>
      </c>
      <c r="T779" s="76">
        <f>R770</f>
        <v>3.0150984333690962</v>
      </c>
      <c r="U779" s="61"/>
      <c r="V779" s="69">
        <f>IFERROR(ABS(U$23-U778),Q_max*10)</f>
        <v>2.2833052656125687</v>
      </c>
      <c r="W779" s="75">
        <f>U770</f>
        <v>55.036771202572631</v>
      </c>
      <c r="X779" s="61"/>
      <c r="Y779" s="69">
        <f>IFERROR(ABS(X$23-X778),Q_max*10)</f>
        <v>0.59175742200667614</v>
      </c>
      <c r="Z779" s="75">
        <f>X770</f>
        <v>132.1094365981491</v>
      </c>
      <c r="AA779" s="61"/>
      <c r="AB779" s="69">
        <f>IFERROR(ABS(AA$23-AA778),Q_max*10)</f>
        <v>7.710810918709214</v>
      </c>
      <c r="AC779" s="75">
        <f>AA770</f>
        <v>252.24533101209997</v>
      </c>
      <c r="AD779" s="61"/>
      <c r="AE779" s="69">
        <f>IFERROR(ABS(AD$23-AD778),Q_max*10)</f>
        <v>23.279149121110223</v>
      </c>
      <c r="AF779" s="75">
        <f>AD770</f>
        <v>414.85069829404335</v>
      </c>
      <c r="AG779" s="61"/>
      <c r="AH779" s="69">
        <f>IFERROR(ABS(AG$23-AG778),Q_max*10)</f>
        <v>69.381141003832056</v>
      </c>
      <c r="AI779" s="75">
        <f>AG770</f>
        <v>617.65615954375039</v>
      </c>
      <c r="AJ779" s="61"/>
      <c r="AK779" s="69">
        <f>IFERROR(ABS(AJ$23-AJ778),Q_max*10)</f>
        <v>289.40583469157082</v>
      </c>
      <c r="AL779" s="75">
        <f>AJ770</f>
        <v>824.26453929676438</v>
      </c>
      <c r="AM779" s="61"/>
      <c r="AN779" s="69">
        <f>IFERROR(ABS(AM$23-AM778),Q_max*10)</f>
        <v>5500</v>
      </c>
      <c r="AO779" s="75">
        <f>AM770</f>
        <v>1005.7593811322117</v>
      </c>
      <c r="AP779" s="61"/>
      <c r="AQ779" s="69">
        <f>IFERROR(ABS(AP$23-AP778),Q_max*10)</f>
        <v>5500</v>
      </c>
      <c r="AR779" s="75">
        <f>AP770</f>
        <v>1167.6554180666403</v>
      </c>
      <c r="AS779" s="61"/>
      <c r="AT779" s="69">
        <f>IFERROR(ABS(AS$23-AS778),Q_max*10)</f>
        <v>5500</v>
      </c>
      <c r="AU779" s="75">
        <f>AS770</f>
        <v>1328.900785163167</v>
      </c>
    </row>
    <row r="780" spans="15:47" ht="14.5" x14ac:dyDescent="0.35">
      <c r="O780" s="6"/>
      <c r="P780" s="6"/>
      <c r="Q780" s="60"/>
      <c r="R780" s="67"/>
      <c r="S780" s="56"/>
      <c r="T780" s="72"/>
      <c r="V780" s="11"/>
      <c r="W780" s="38"/>
      <c r="Y780" s="11"/>
      <c r="Z780" s="38"/>
      <c r="AB780" s="11"/>
      <c r="AC780" s="38"/>
      <c r="AE780" s="11"/>
      <c r="AF780" s="38"/>
      <c r="AH780" s="11"/>
      <c r="AI780" s="38"/>
      <c r="AK780" s="11"/>
      <c r="AL780" s="38"/>
      <c r="AN780" s="11"/>
      <c r="AO780" s="38"/>
      <c r="AQ780" s="11"/>
      <c r="AR780" s="38"/>
      <c r="AT780" s="11"/>
      <c r="AU780" s="38"/>
    </row>
    <row r="781" spans="15:47" ht="14" x14ac:dyDescent="0.3">
      <c r="O781" s="8" t="s">
        <v>235</v>
      </c>
      <c r="P781" s="6"/>
      <c r="Q781" s="60"/>
      <c r="R781" s="53">
        <f>R770*1.02</f>
        <v>3.075400402036478</v>
      </c>
      <c r="S781" s="58" t="s">
        <v>238</v>
      </c>
      <c r="T781" s="73" t="s">
        <v>241</v>
      </c>
      <c r="U781" s="84">
        <f>U770*1.01</f>
        <v>55.587138914598356</v>
      </c>
      <c r="V781" s="58" t="s">
        <v>238</v>
      </c>
      <c r="W781" s="73" t="s">
        <v>241</v>
      </c>
      <c r="X781" s="84">
        <f>X770*1.01</f>
        <v>133.43053096413058</v>
      </c>
      <c r="Y781" s="58" t="s">
        <v>238</v>
      </c>
      <c r="Z781" s="73" t="s">
        <v>241</v>
      </c>
      <c r="AA781" s="84">
        <f>AA770*1.01</f>
        <v>254.76778432222096</v>
      </c>
      <c r="AB781" s="58" t="s">
        <v>238</v>
      </c>
      <c r="AC781" s="73" t="s">
        <v>241</v>
      </c>
      <c r="AD781" s="84">
        <f>AD770*1.01</f>
        <v>418.99920527698379</v>
      </c>
      <c r="AE781" s="58" t="s">
        <v>238</v>
      </c>
      <c r="AF781" s="73" t="s">
        <v>241</v>
      </c>
      <c r="AG781" s="84">
        <f>AG770*1.01</f>
        <v>623.83272113918792</v>
      </c>
      <c r="AH781" s="58" t="s">
        <v>238</v>
      </c>
      <c r="AI781" s="73" t="s">
        <v>241</v>
      </c>
      <c r="AJ781" s="84">
        <f>AJ770*1.01</f>
        <v>832.50718468973207</v>
      </c>
      <c r="AK781" s="58" t="s">
        <v>238</v>
      </c>
      <c r="AL781" s="73" t="s">
        <v>241</v>
      </c>
      <c r="AM781" s="84">
        <f>AM770*1.01</f>
        <v>1015.8169749435339</v>
      </c>
      <c r="AN781" s="58" t="s">
        <v>238</v>
      </c>
      <c r="AO781" s="73" t="s">
        <v>241</v>
      </c>
      <c r="AP781" s="84">
        <f>AP770*1.01</f>
        <v>1179.3319722473068</v>
      </c>
      <c r="AQ781" s="58" t="s">
        <v>238</v>
      </c>
      <c r="AR781" s="73" t="s">
        <v>241</v>
      </c>
      <c r="AS781" s="84">
        <f>AS770*1.01</f>
        <v>1342.1897930147986</v>
      </c>
      <c r="AT781" s="58" t="s">
        <v>238</v>
      </c>
      <c r="AU781" s="73" t="s">
        <v>241</v>
      </c>
    </row>
    <row r="782" spans="15:47" ht="13" x14ac:dyDescent="0.25">
      <c r="O782" s="6"/>
      <c r="P782" s="6"/>
      <c r="Q782" s="60"/>
      <c r="R782" s="70"/>
      <c r="S782" s="63" t="s">
        <v>250</v>
      </c>
      <c r="T782" s="71" t="s">
        <v>242</v>
      </c>
      <c r="U782" s="61"/>
      <c r="V782" s="63" t="s">
        <v>250</v>
      </c>
      <c r="W782" s="71" t="s">
        <v>242</v>
      </c>
      <c r="X782" s="61"/>
      <c r="Y782" s="63" t="s">
        <v>250</v>
      </c>
      <c r="Z782" s="71" t="s">
        <v>242</v>
      </c>
      <c r="AA782" s="61"/>
      <c r="AB782" s="63" t="s">
        <v>250</v>
      </c>
      <c r="AC782" s="71" t="s">
        <v>242</v>
      </c>
      <c r="AD782" s="61"/>
      <c r="AE782" s="63" t="s">
        <v>250</v>
      </c>
      <c r="AF782" s="71" t="s">
        <v>242</v>
      </c>
      <c r="AG782" s="61"/>
      <c r="AH782" s="63" t="s">
        <v>250</v>
      </c>
      <c r="AI782" s="71" t="s">
        <v>242</v>
      </c>
      <c r="AJ782" s="61"/>
      <c r="AK782" s="63" t="s">
        <v>250</v>
      </c>
      <c r="AL782" s="71" t="s">
        <v>242</v>
      </c>
      <c r="AM782" s="61"/>
      <c r="AN782" s="63" t="s">
        <v>250</v>
      </c>
      <c r="AO782" s="71" t="s">
        <v>242</v>
      </c>
      <c r="AP782" s="61"/>
      <c r="AQ782" s="63" t="s">
        <v>250</v>
      </c>
      <c r="AR782" s="71" t="s">
        <v>242</v>
      </c>
      <c r="AS782" s="61"/>
      <c r="AT782" s="63" t="s">
        <v>250</v>
      </c>
      <c r="AU782" s="71" t="s">
        <v>242</v>
      </c>
    </row>
    <row r="783" spans="15:47" ht="13" x14ac:dyDescent="0.3">
      <c r="O783" s="6" t="s">
        <v>231</v>
      </c>
      <c r="P783" s="6"/>
      <c r="Q783" s="60"/>
      <c r="R783" s="85">
        <f>P_1_minQ-(R781^2*R_up)+dpup_minQ</f>
        <v>56.915823772791867</v>
      </c>
      <c r="S783" s="56"/>
      <c r="T783" s="72"/>
      <c r="U783" s="53">
        <f>P_1_minQ-(U781^2*R_up)+dpup_minQ</f>
        <v>56.81178892223199</v>
      </c>
      <c r="V783" s="44"/>
      <c r="W783" s="72"/>
      <c r="X783" s="53">
        <f>P_1_minQ-(X781^2*R_up)+dpup_minQ</f>
        <v>56.314869753685585</v>
      </c>
      <c r="Y783" s="44"/>
      <c r="Z783" s="72"/>
      <c r="AA783" s="53">
        <f>P_1_minQ-(AA781^2*R_up)+dpup_minQ</f>
        <v>54.724092403632092</v>
      </c>
      <c r="AB783" s="44"/>
      <c r="AC783" s="72"/>
      <c r="AD783" s="53">
        <f>P_1_minQ-(AD781^2*R_up)+dpup_minQ</f>
        <v>50.987053899941102</v>
      </c>
      <c r="AE783" s="44"/>
      <c r="AF783" s="72"/>
      <c r="AG783" s="53">
        <f>P_1_minQ-(AG781^2*R_up)+dpup_minQ</f>
        <v>43.773040730701659</v>
      </c>
      <c r="AH783" s="44"/>
      <c r="AI783" s="72"/>
      <c r="AJ783" s="53">
        <f>P_1_minQ-(AJ781^2*R_up)+dpup_minQ</f>
        <v>33.509584175615551</v>
      </c>
      <c r="AK783" s="44"/>
      <c r="AL783" s="72"/>
      <c r="AM783" s="53">
        <f>P_1_minQ-(AM781^2*R_up)+dpup_minQ</f>
        <v>22.066966343011412</v>
      </c>
      <c r="AN783" s="44"/>
      <c r="AO783" s="72"/>
      <c r="AP783" s="53">
        <f>P_1_minQ-(AP781^2*R_up)+dpup_minQ</f>
        <v>9.9447179748489596</v>
      </c>
      <c r="AQ783" s="44"/>
      <c r="AR783" s="72"/>
      <c r="AS783" s="53">
        <f>P_1_minQ-(AS781^2*R_up)+dpup_minQ</f>
        <v>-3.9238919443805544</v>
      </c>
      <c r="AT783" s="44"/>
      <c r="AU783" s="72"/>
    </row>
    <row r="784" spans="15:47" ht="13" x14ac:dyDescent="0.3">
      <c r="O784" s="6" t="s">
        <v>233</v>
      </c>
      <c r="P784" s="6"/>
      <c r="Q784" s="60"/>
      <c r="R784" s="85">
        <f>P_2_minQ+(R781^2*R_dn)-dpdn_minQ</f>
        <v>24.656835245441627</v>
      </c>
      <c r="S784" s="66"/>
      <c r="T784" s="74"/>
      <c r="U784" s="53">
        <f>P_2_minQ+(U781^2*R_dn)-dpdn_minQ</f>
        <v>24.677642215553604</v>
      </c>
      <c r="V784" s="45"/>
      <c r="W784" s="74"/>
      <c r="X784" s="53">
        <f>P_2_minQ+(X781^2*R_dn)-dpdn_minQ</f>
        <v>24.777026049262883</v>
      </c>
      <c r="Y784" s="45"/>
      <c r="Z784" s="74"/>
      <c r="AA784" s="53">
        <f>P_2_minQ+(AA781^2*R_dn)-dpdn_minQ</f>
        <v>25.095181519273581</v>
      </c>
      <c r="AB784" s="45"/>
      <c r="AC784" s="74"/>
      <c r="AD784" s="53">
        <f>P_2_minQ+(AD781^2*R_dn)-dpdn_minQ</f>
        <v>25.842589220011781</v>
      </c>
      <c r="AE784" s="45"/>
      <c r="AF784" s="74"/>
      <c r="AG784" s="53">
        <f>P_2_minQ+(AG781^2*R_dn)-dpdn_minQ</f>
        <v>27.285391853859668</v>
      </c>
      <c r="AH784" s="45"/>
      <c r="AI784" s="74"/>
      <c r="AJ784" s="53">
        <f>P_2_minQ+(AJ781^2*R_dn)-dpdn_minQ</f>
        <v>29.338083164876892</v>
      </c>
      <c r="AK784" s="45"/>
      <c r="AL784" s="74"/>
      <c r="AM784" s="53">
        <f>P_2_minQ+(AM781^2*R_dn)-dpdn_minQ</f>
        <v>31.626606731397718</v>
      </c>
      <c r="AN784" s="45"/>
      <c r="AO784" s="74"/>
      <c r="AP784" s="53">
        <f>P_2_minQ+(AP781^2*R_dn)-dpdn_minQ</f>
        <v>34.051056405030209</v>
      </c>
      <c r="AQ784" s="45"/>
      <c r="AR784" s="74"/>
      <c r="AS784" s="53">
        <f>P_2_minQ+(AS781^2*R_dn)-dpdn_minQ</f>
        <v>36.824778388876112</v>
      </c>
      <c r="AT784" s="45"/>
      <c r="AU784" s="74"/>
    </row>
    <row r="785" spans="15:47" x14ac:dyDescent="0.25">
      <c r="O785" s="6" t="s">
        <v>243</v>
      </c>
      <c r="Q785" s="60"/>
      <c r="R785" s="53">
        <f>R783-R784</f>
        <v>32.25898852735024</v>
      </c>
      <c r="S785" s="56"/>
      <c r="T785" s="72"/>
      <c r="U785" s="64">
        <f>U783-U784</f>
        <v>32.134146706678386</v>
      </c>
      <c r="V785" s="44"/>
      <c r="W785" s="72"/>
      <c r="X785" s="64">
        <f>X783-X784</f>
        <v>31.537843704422702</v>
      </c>
      <c r="Y785" s="44"/>
      <c r="Z785" s="72"/>
      <c r="AA785" s="64">
        <f>AA783-AA784</f>
        <v>29.628910884358511</v>
      </c>
      <c r="AB785" s="44"/>
      <c r="AC785" s="72"/>
      <c r="AD785" s="64">
        <f>AD783-AD784</f>
        <v>25.144464679929321</v>
      </c>
      <c r="AE785" s="44"/>
      <c r="AF785" s="72"/>
      <c r="AG785" s="64">
        <f>AG783-AG784</f>
        <v>16.487648876841991</v>
      </c>
      <c r="AH785" s="44"/>
      <c r="AI785" s="72"/>
      <c r="AJ785" s="64">
        <f>AJ783-AJ784</f>
        <v>4.171501010738659</v>
      </c>
      <c r="AK785" s="44"/>
      <c r="AL785" s="72"/>
      <c r="AM785" s="64">
        <f>AM783-AM784</f>
        <v>-9.5596403883863061</v>
      </c>
      <c r="AN785" s="44"/>
      <c r="AO785" s="72"/>
      <c r="AP785" s="64">
        <f>AP783-AP784</f>
        <v>-24.10633843018125</v>
      </c>
      <c r="AQ785" s="44"/>
      <c r="AR785" s="72"/>
      <c r="AS785" s="64">
        <f>AS783-AS784</f>
        <v>-40.748670333256669</v>
      </c>
      <c r="AT785" s="44"/>
      <c r="AU785" s="72"/>
    </row>
    <row r="786" spans="15:47" ht="13" x14ac:dyDescent="0.3">
      <c r="O786" s="6" t="s">
        <v>75</v>
      </c>
      <c r="P786" s="6">
        <v>3</v>
      </c>
      <c r="Q786" s="65"/>
      <c r="R786" s="85">
        <f>(F_LP_h/F_P_h)^2*(R783-('Valve Sizing'!$V$4*'Valve Sizing'!$G$7))</f>
        <v>46.764898743472926</v>
      </c>
      <c r="S786" s="58"/>
      <c r="T786" s="73"/>
      <c r="U786" s="53">
        <f>(U$29/U$27)^2*(U783-('Valve Sizing'!$V$4*'Valve Sizing'!$G$7))</f>
        <v>46.666029726871891</v>
      </c>
      <c r="V786" s="41"/>
      <c r="W786" s="73"/>
      <c r="X786" s="53">
        <f>(X$29/X$27)^2*(X783-('Valve Sizing'!$V$4*'Valve Sizing'!$G$7))</f>
        <v>45.211303385837439</v>
      </c>
      <c r="Y786" s="41"/>
      <c r="Z786" s="73"/>
      <c r="AA786" s="53">
        <f>(AA$29/AA$27)^2*(AA783-('Valve Sizing'!$V$4*'Valve Sizing'!$G$7))</f>
        <v>41.950551206802913</v>
      </c>
      <c r="AB786" s="41"/>
      <c r="AC786" s="73"/>
      <c r="AD786" s="53">
        <f>(AD$29/AD$27)^2*(AD783-('Valve Sizing'!$V$4*'Valve Sizing'!$G$7))</f>
        <v>36.45385715234076</v>
      </c>
      <c r="AE786" s="41"/>
      <c r="AF786" s="73"/>
      <c r="AG786" s="53">
        <f>(AG$29/AG$27)^2*(AG783-('Valve Sizing'!$V$4*'Valve Sizing'!$G$7))</f>
        <v>27.908345627634557</v>
      </c>
      <c r="AH786" s="41"/>
      <c r="AI786" s="73"/>
      <c r="AJ786" s="53">
        <f>(AJ$29/AJ$27)^2*(AJ783-('Valve Sizing'!$V$4*'Valve Sizing'!$G$7))</f>
        <v>19.126234717574711</v>
      </c>
      <c r="AK786" s="41"/>
      <c r="AL786" s="73"/>
      <c r="AM786" s="53">
        <f>(AM$29/AM$27)^2*(AM783-('Valve Sizing'!$V$4*'Valve Sizing'!$G$7))</f>
        <v>10.347873476085994</v>
      </c>
      <c r="AN786" s="41"/>
      <c r="AO786" s="73"/>
      <c r="AP786" s="53">
        <f>(AP$29/AP$27)^2*(AP783-('Valve Sizing'!$V$4*'Valve Sizing'!$G$7))</f>
        <v>3.7507939416323346</v>
      </c>
      <c r="AQ786" s="41"/>
      <c r="AR786" s="73"/>
      <c r="AS786" s="53">
        <f>(AS$29/AS$27)^2*(AS783-('Valve Sizing'!$V$4*'Valve Sizing'!$G$7))</f>
        <v>-1.6414594729909162</v>
      </c>
      <c r="AT786" s="41"/>
      <c r="AU786" s="73"/>
    </row>
    <row r="787" spans="15:47" ht="13" x14ac:dyDescent="0.25">
      <c r="O787" s="1" t="s">
        <v>69</v>
      </c>
      <c r="P787" s="17">
        <v>7</v>
      </c>
      <c r="Q787" s="65"/>
      <c r="R787" s="53">
        <f>(R781/(N_1*F_P_h))*SQRT('Valve Sizing'!$G$6/R785)</f>
        <v>0.54155157396714593</v>
      </c>
      <c r="S787" s="58"/>
      <c r="T787" s="73"/>
      <c r="U787" s="64">
        <f>(U781/(N_1*U$27))*SQRT('Valve Sizing'!$G$6/U785)</f>
        <v>9.8142384545979944</v>
      </c>
      <c r="V787" s="41"/>
      <c r="W787" s="73"/>
      <c r="X787" s="64">
        <f>(X781/(N_1*X$27))*SQRT('Valve Sizing'!$G$6/X785)</f>
        <v>23.833045033707013</v>
      </c>
      <c r="Y787" s="41"/>
      <c r="Z787" s="73"/>
      <c r="AA787" s="64">
        <f>(AA781/(N_1*AA$27))*SQRT('Valve Sizing'!$G$6/AA785)</f>
        <v>47.219165656894674</v>
      </c>
      <c r="AB787" s="41"/>
      <c r="AC787" s="73"/>
      <c r="AD787" s="64">
        <f>(AD781/(N_1*AD$27))*SQRT('Valve Sizing'!$G$6/AD785)</f>
        <v>85.358907458255445</v>
      </c>
      <c r="AE787" s="41"/>
      <c r="AF787" s="73"/>
      <c r="AG787" s="64">
        <f>(AG781/(N_1*AG$27))*SQRT('Valve Sizing'!$G$6/AG785)</f>
        <v>160.44597995917741</v>
      </c>
      <c r="AH787" s="41"/>
      <c r="AI787" s="73"/>
      <c r="AJ787" s="64">
        <f>(AJ781/(N_1*AJ$27))*SQRT('Valve Sizing'!$G$6/AJ785)</f>
        <v>441.15073982272054</v>
      </c>
      <c r="AK787" s="41"/>
      <c r="AL787" s="73"/>
      <c r="AM787" s="64" t="e">
        <f>(AM781/(N_1*AM$27))*SQRT('Valve Sizing'!$G$6/AM785)</f>
        <v>#NUM!</v>
      </c>
      <c r="AN787" s="41"/>
      <c r="AO787" s="73"/>
      <c r="AP787" s="64" t="e">
        <f>(AP781/(N_1*AP$27))*SQRT('Valve Sizing'!$G$6/AP785)</f>
        <v>#NUM!</v>
      </c>
      <c r="AQ787" s="41"/>
      <c r="AR787" s="73"/>
      <c r="AS787" s="64" t="e">
        <f>(AS781/(N_1*AS$27))*SQRT('Valve Sizing'!$G$6/AS785)</f>
        <v>#NUM!</v>
      </c>
      <c r="AT787" s="41"/>
      <c r="AU787" s="73"/>
    </row>
    <row r="788" spans="15:47" ht="13" x14ac:dyDescent="0.3">
      <c r="O788" s="1" t="s">
        <v>72</v>
      </c>
      <c r="P788" s="17">
        <v>7</v>
      </c>
      <c r="Q788" s="65"/>
      <c r="R788" s="53">
        <f>(R781/(N_1*F_P_h))*SQRT('Valve Sizing'!$G$6/R786)</f>
        <v>0.44978523647900875</v>
      </c>
      <c r="S788" s="56"/>
      <c r="T788" s="72"/>
      <c r="U788" s="85">
        <f>(U781/(N_1*U$27))*SQRT('Valve Sizing'!$G$6/U786)</f>
        <v>8.1440337563377785</v>
      </c>
      <c r="V788" s="44"/>
      <c r="W788" s="72"/>
      <c r="X788" s="85">
        <f>(X781/(N_1*X$27))*SQRT('Valve Sizing'!$G$6/X786)</f>
        <v>19.90545083086046</v>
      </c>
      <c r="Y788" s="44"/>
      <c r="Z788" s="72"/>
      <c r="AA788" s="85">
        <f>(AA781/(N_1*AA$27))*SQRT('Valve Sizing'!$G$6/AA786)</f>
        <v>39.683257681123401</v>
      </c>
      <c r="AB788" s="44"/>
      <c r="AC788" s="72"/>
      <c r="AD788" s="85">
        <f>(AD781/(N_1*AD$27))*SQRT('Valve Sizing'!$G$6/AD786)</f>
        <v>70.892175026901185</v>
      </c>
      <c r="AE788" s="44"/>
      <c r="AF788" s="72"/>
      <c r="AG788" s="85">
        <f>(AG781/(N_1*AG$27))*SQRT('Valve Sizing'!$G$6/AG786)</f>
        <v>123.32217020549038</v>
      </c>
      <c r="AH788" s="44"/>
      <c r="AI788" s="72"/>
      <c r="AJ788" s="85">
        <f>(AJ781/(N_1*AJ$27))*SQRT('Valve Sizing'!$G$6/AJ786)</f>
        <v>206.02430031249651</v>
      </c>
      <c r="AK788" s="44"/>
      <c r="AL788" s="72"/>
      <c r="AM788" s="85">
        <f>(AM781/(N_1*AM$27))*SQRT('Valve Sizing'!$G$6/AM786)</f>
        <v>362.62171003339358</v>
      </c>
      <c r="AN788" s="44"/>
      <c r="AO788" s="72"/>
      <c r="AP788" s="85">
        <f>(AP781/(N_1*AP$27))*SQRT('Valve Sizing'!$G$6/AP786)</f>
        <v>795.89325880301078</v>
      </c>
      <c r="AQ788" s="44"/>
      <c r="AR788" s="72"/>
      <c r="AS788" s="85" t="e">
        <f>(AS781/(N_1*AS$27))*SQRT('Valve Sizing'!$G$6/AS786)</f>
        <v>#NUM!</v>
      </c>
      <c r="AT788" s="44"/>
      <c r="AU788" s="72"/>
    </row>
    <row r="789" spans="15:47" x14ac:dyDescent="0.25">
      <c r="O789" s="1" t="s">
        <v>246</v>
      </c>
      <c r="P789" s="18"/>
      <c r="Q789" s="65"/>
      <c r="R789" s="53">
        <f>IF(R785&lt;R786,R787,R788)</f>
        <v>0.54155157396714593</v>
      </c>
      <c r="S789" s="49"/>
      <c r="T789" s="72"/>
      <c r="U789" s="64">
        <f>IF(U785&lt;U786,U787,U788)</f>
        <v>9.8142384545979944</v>
      </c>
      <c r="V789" s="44"/>
      <c r="W789" s="72"/>
      <c r="X789" s="64">
        <f>IF(X785&lt;X786,X787,X788)</f>
        <v>23.833045033707013</v>
      </c>
      <c r="Y789" s="44"/>
      <c r="Z789" s="72"/>
      <c r="AA789" s="64">
        <f>IF(AA785&lt;AA786,AA787,AA788)</f>
        <v>47.219165656894674</v>
      </c>
      <c r="AB789" s="44"/>
      <c r="AC789" s="72"/>
      <c r="AD789" s="64">
        <f>IF(AD785&lt;AD786,AD787,AD788)</f>
        <v>85.358907458255445</v>
      </c>
      <c r="AE789" s="44"/>
      <c r="AF789" s="72"/>
      <c r="AG789" s="64">
        <f>IF(AG785&lt;AG786,AG787,AG788)</f>
        <v>160.44597995917741</v>
      </c>
      <c r="AH789" s="44"/>
      <c r="AI789" s="72"/>
      <c r="AJ789" s="64">
        <f>IF(AJ785&lt;AJ786,AJ787,AJ788)</f>
        <v>441.15073982272054</v>
      </c>
      <c r="AK789" s="44"/>
      <c r="AL789" s="72"/>
      <c r="AM789" s="64" t="e">
        <f>IF(AM785&lt;AM786,AM787,AM788)</f>
        <v>#NUM!</v>
      </c>
      <c r="AN789" s="44"/>
      <c r="AO789" s="72"/>
      <c r="AP789" s="64" t="e">
        <f>IF(AP785&lt;AP786,AP787,AP788)</f>
        <v>#NUM!</v>
      </c>
      <c r="AQ789" s="44"/>
      <c r="AR789" s="72"/>
      <c r="AS789" s="64" t="e">
        <f>IF(AS785&lt;AS786,AS787,AS788)</f>
        <v>#NUM!</v>
      </c>
      <c r="AT789" s="44"/>
      <c r="AU789" s="72"/>
    </row>
    <row r="790" spans="15:47" ht="13" x14ac:dyDescent="0.3">
      <c r="O790" s="7" t="s">
        <v>264</v>
      </c>
      <c r="Q790" s="61"/>
      <c r="R790" s="53"/>
      <c r="S790" s="69">
        <f>IFERROR(ABS(C_h-R789),Q_max*10)</f>
        <v>4.4584484260328541</v>
      </c>
      <c r="T790" s="76">
        <f>R781</f>
        <v>3.075400402036478</v>
      </c>
      <c r="U790" s="61"/>
      <c r="V790" s="69">
        <f>IFERROR(ABS(U$23-U789),Q_max*10)</f>
        <v>2.1857615454020056</v>
      </c>
      <c r="W790" s="75">
        <f>U781</f>
        <v>55.587138914598356</v>
      </c>
      <c r="X790" s="61"/>
      <c r="Y790" s="69">
        <f>IFERROR(ABS(X$23-X789),Q_max*10)</f>
        <v>0.83304503370701255</v>
      </c>
      <c r="Z790" s="75">
        <f>X781</f>
        <v>133.43053096413058</v>
      </c>
      <c r="AA790" s="61"/>
      <c r="AB790" s="69">
        <f>IFERROR(ABS(AA$23-AA789),Q_max*10)</f>
        <v>8.219165656894674</v>
      </c>
      <c r="AC790" s="75">
        <f>AA781</f>
        <v>254.76778432222096</v>
      </c>
      <c r="AD790" s="61"/>
      <c r="AE790" s="69">
        <f>IFERROR(ABS(AD$23-AD789),Q_max*10)</f>
        <v>24.358907458255445</v>
      </c>
      <c r="AF790" s="75">
        <f>AD781</f>
        <v>418.99920527698379</v>
      </c>
      <c r="AG790" s="61"/>
      <c r="AH790" s="69">
        <f>IFERROR(ABS(AG$23-AG789),Q_max*10)</f>
        <v>72.445979959177407</v>
      </c>
      <c r="AI790" s="75">
        <f>AG781</f>
        <v>623.83272113918792</v>
      </c>
      <c r="AJ790" s="61"/>
      <c r="AK790" s="69">
        <f>IFERROR(ABS(AJ$23-AJ789),Q_max*10)</f>
        <v>320.15073982272054</v>
      </c>
      <c r="AL790" s="75">
        <f>AJ781</f>
        <v>832.50718468973207</v>
      </c>
      <c r="AM790" s="61"/>
      <c r="AN790" s="69">
        <f>IFERROR(ABS(AM$23-AM789),Q_max*10)</f>
        <v>5500</v>
      </c>
      <c r="AO790" s="75">
        <f>AM781</f>
        <v>1015.8169749435339</v>
      </c>
      <c r="AP790" s="61"/>
      <c r="AQ790" s="69">
        <f>IFERROR(ABS(AP$23-AP789),Q_max*10)</f>
        <v>5500</v>
      </c>
      <c r="AR790" s="75">
        <f>AP781</f>
        <v>1179.3319722473068</v>
      </c>
      <c r="AS790" s="61"/>
      <c r="AT790" s="69">
        <f>IFERROR(ABS(AS$23-AS789),Q_max*10)</f>
        <v>5500</v>
      </c>
      <c r="AU790" s="75">
        <f>AS781</f>
        <v>1342.1897930147986</v>
      </c>
    </row>
    <row r="791" spans="15:47" ht="14.5" x14ac:dyDescent="0.35">
      <c r="O791" s="6"/>
      <c r="P791" s="6"/>
      <c r="Q791" s="60"/>
      <c r="R791" s="67"/>
      <c r="S791" s="58"/>
      <c r="T791" s="73"/>
      <c r="V791" s="11"/>
      <c r="W791" s="38"/>
      <c r="Y791" s="11"/>
      <c r="Z791" s="38"/>
      <c r="AB791" s="11"/>
      <c r="AC791" s="38"/>
      <c r="AE791" s="11"/>
      <c r="AF791" s="38"/>
      <c r="AH791" s="11"/>
      <c r="AI791" s="38"/>
      <c r="AK791" s="11"/>
      <c r="AL791" s="38"/>
      <c r="AN791" s="11"/>
      <c r="AO791" s="38"/>
      <c r="AQ791" s="11"/>
      <c r="AR791" s="38"/>
      <c r="AT791" s="11"/>
      <c r="AU791" s="38"/>
    </row>
    <row r="792" spans="15:47" ht="14" x14ac:dyDescent="0.3">
      <c r="O792" s="8" t="s">
        <v>235</v>
      </c>
      <c r="P792" s="6"/>
      <c r="Q792" s="60"/>
      <c r="R792" s="53">
        <f>R781*1.02</f>
        <v>3.1369084100772078</v>
      </c>
      <c r="S792" s="58" t="s">
        <v>238</v>
      </c>
      <c r="T792" s="73" t="s">
        <v>241</v>
      </c>
      <c r="U792" s="84">
        <f>U781*1.01</f>
        <v>56.14301030374434</v>
      </c>
      <c r="V792" s="58" t="s">
        <v>238</v>
      </c>
      <c r="W792" s="73" t="s">
        <v>241</v>
      </c>
      <c r="X792" s="84">
        <f>X781*1.01</f>
        <v>134.76483627377189</v>
      </c>
      <c r="Y792" s="58" t="s">
        <v>238</v>
      </c>
      <c r="Z792" s="73" t="s">
        <v>241</v>
      </c>
      <c r="AA792" s="84">
        <f>AA781*1.01</f>
        <v>257.31546216544319</v>
      </c>
      <c r="AB792" s="58" t="s">
        <v>238</v>
      </c>
      <c r="AC792" s="73" t="s">
        <v>241</v>
      </c>
      <c r="AD792" s="84">
        <f>AD781*1.01</f>
        <v>423.18919732975365</v>
      </c>
      <c r="AE792" s="58" t="s">
        <v>238</v>
      </c>
      <c r="AF792" s="73" t="s">
        <v>241</v>
      </c>
      <c r="AG792" s="84">
        <f>AG781*1.01</f>
        <v>630.07104835057976</v>
      </c>
      <c r="AH792" s="58" t="s">
        <v>238</v>
      </c>
      <c r="AI792" s="73" t="s">
        <v>241</v>
      </c>
      <c r="AJ792" s="84">
        <f>AJ781*1.01</f>
        <v>840.83225653662942</v>
      </c>
      <c r="AK792" s="58" t="s">
        <v>238</v>
      </c>
      <c r="AL792" s="73" t="s">
        <v>241</v>
      </c>
      <c r="AM792" s="84">
        <f>AM781*1.01</f>
        <v>1025.9751446929693</v>
      </c>
      <c r="AN792" s="58" t="s">
        <v>238</v>
      </c>
      <c r="AO792" s="73" t="s">
        <v>241</v>
      </c>
      <c r="AP792" s="84">
        <f>AP781*1.01</f>
        <v>1191.1252919697799</v>
      </c>
      <c r="AQ792" s="58" t="s">
        <v>238</v>
      </c>
      <c r="AR792" s="73" t="s">
        <v>241</v>
      </c>
      <c r="AS792" s="84">
        <f>AS781*1.01</f>
        <v>1355.6116909449465</v>
      </c>
      <c r="AT792" s="58" t="s">
        <v>238</v>
      </c>
      <c r="AU792" s="73" t="s">
        <v>241</v>
      </c>
    </row>
    <row r="793" spans="15:47" ht="13" x14ac:dyDescent="0.25">
      <c r="O793" s="6"/>
      <c r="P793" s="6"/>
      <c r="Q793" s="60"/>
      <c r="R793" s="70"/>
      <c r="S793" s="63" t="s">
        <v>250</v>
      </c>
      <c r="T793" s="71" t="s">
        <v>242</v>
      </c>
      <c r="U793" s="61"/>
      <c r="V793" s="63" t="s">
        <v>250</v>
      </c>
      <c r="W793" s="71" t="s">
        <v>242</v>
      </c>
      <c r="X793" s="61"/>
      <c r="Y793" s="63" t="s">
        <v>250</v>
      </c>
      <c r="Z793" s="71" t="s">
        <v>242</v>
      </c>
      <c r="AA793" s="61"/>
      <c r="AB793" s="63" t="s">
        <v>250</v>
      </c>
      <c r="AC793" s="71" t="s">
        <v>242</v>
      </c>
      <c r="AD793" s="61"/>
      <c r="AE793" s="63" t="s">
        <v>250</v>
      </c>
      <c r="AF793" s="71" t="s">
        <v>242</v>
      </c>
      <c r="AG793" s="61"/>
      <c r="AH793" s="63" t="s">
        <v>250</v>
      </c>
      <c r="AI793" s="71" t="s">
        <v>242</v>
      </c>
      <c r="AJ793" s="61"/>
      <c r="AK793" s="63" t="s">
        <v>250</v>
      </c>
      <c r="AL793" s="71" t="s">
        <v>242</v>
      </c>
      <c r="AM793" s="61"/>
      <c r="AN793" s="63" t="s">
        <v>250</v>
      </c>
      <c r="AO793" s="71" t="s">
        <v>242</v>
      </c>
      <c r="AP793" s="61"/>
      <c r="AQ793" s="63" t="s">
        <v>250</v>
      </c>
      <c r="AR793" s="71" t="s">
        <v>242</v>
      </c>
      <c r="AS793" s="61"/>
      <c r="AT793" s="63" t="s">
        <v>250</v>
      </c>
      <c r="AU793" s="71" t="s">
        <v>242</v>
      </c>
    </row>
    <row r="794" spans="15:47" ht="13" x14ac:dyDescent="0.3">
      <c r="O794" s="6" t="s">
        <v>231</v>
      </c>
      <c r="P794" s="6"/>
      <c r="Q794" s="60"/>
      <c r="R794" s="85">
        <f>P_1_minQ-(R792^2*R_up)+dpup_minQ</f>
        <v>56.915810868140049</v>
      </c>
      <c r="S794" s="56"/>
      <c r="T794" s="72"/>
      <c r="U794" s="53">
        <f>P_1_minQ-(U792^2*R_up)+dpup_minQ</f>
        <v>56.809691401352033</v>
      </c>
      <c r="V794" s="44"/>
      <c r="W794" s="72"/>
      <c r="X794" s="53">
        <f>P_1_minQ-(X792^2*R_up)+dpup_minQ</f>
        <v>56.302784157517848</v>
      </c>
      <c r="Y794" s="44"/>
      <c r="Z794" s="72"/>
      <c r="AA794" s="53">
        <f>P_1_minQ-(AA792^2*R_up)+dpup_minQ</f>
        <v>54.680032182728283</v>
      </c>
      <c r="AB794" s="44"/>
      <c r="AC794" s="72"/>
      <c r="AD794" s="53">
        <f>P_1_minQ-(AD792^2*R_up)+dpup_minQ</f>
        <v>50.867879205113098</v>
      </c>
      <c r="AE794" s="44"/>
      <c r="AF794" s="72"/>
      <c r="AG794" s="53">
        <f>P_1_minQ-(AG792^2*R_up)+dpup_minQ</f>
        <v>43.508864371171946</v>
      </c>
      <c r="AH794" s="44"/>
      <c r="AI794" s="72"/>
      <c r="AJ794" s="53">
        <f>P_1_minQ-(AJ792^2*R_up)+dpup_minQ</f>
        <v>33.039112339328597</v>
      </c>
      <c r="AK794" s="44"/>
      <c r="AL794" s="72"/>
      <c r="AM794" s="53">
        <f>P_1_minQ-(AM792^2*R_up)+dpup_minQ</f>
        <v>21.366497888289114</v>
      </c>
      <c r="AN794" s="44"/>
      <c r="AO794" s="72"/>
      <c r="AP794" s="53">
        <f>P_1_minQ-(AP792^2*R_up)+dpup_minQ</f>
        <v>9.0005923279266007</v>
      </c>
      <c r="AQ794" s="44"/>
      <c r="AR794" s="72"/>
      <c r="AS794" s="53">
        <f>P_1_minQ-(AS792^2*R_up)+dpup_minQ</f>
        <v>-5.1467766506794108</v>
      </c>
      <c r="AT794" s="44"/>
      <c r="AU794" s="72"/>
    </row>
    <row r="795" spans="15:47" ht="13" x14ac:dyDescent="0.3">
      <c r="O795" s="6" t="s">
        <v>233</v>
      </c>
      <c r="P795" s="6"/>
      <c r="Q795" s="60"/>
      <c r="R795" s="85">
        <f>P_2_minQ+(R792^2*R_dn)-dpdn_minQ</f>
        <v>24.656837826371991</v>
      </c>
      <c r="S795" s="66"/>
      <c r="T795" s="74"/>
      <c r="U795" s="53">
        <f>P_2_minQ+(U792^2*R_dn)-dpdn_minQ</f>
        <v>24.678061719729595</v>
      </c>
      <c r="V795" s="45"/>
      <c r="W795" s="74"/>
      <c r="X795" s="53">
        <f>P_2_minQ+(X792^2*R_dn)-dpdn_minQ</f>
        <v>24.779443168496432</v>
      </c>
      <c r="Y795" s="45"/>
      <c r="Z795" s="74"/>
      <c r="AA795" s="53">
        <f>P_2_minQ+(AA792^2*R_dn)-dpdn_minQ</f>
        <v>25.103993563454345</v>
      </c>
      <c r="AB795" s="45"/>
      <c r="AC795" s="74"/>
      <c r="AD795" s="53">
        <f>P_2_minQ+(AD792^2*R_dn)-dpdn_minQ</f>
        <v>25.866424158977381</v>
      </c>
      <c r="AE795" s="45"/>
      <c r="AF795" s="74"/>
      <c r="AG795" s="53">
        <f>P_2_minQ+(AG792^2*R_dn)-dpdn_minQ</f>
        <v>27.338227125765613</v>
      </c>
      <c r="AH795" s="45"/>
      <c r="AI795" s="74"/>
      <c r="AJ795" s="53">
        <f>P_2_minQ+(AJ792^2*R_dn)-dpdn_minQ</f>
        <v>29.432177532134279</v>
      </c>
      <c r="AK795" s="45"/>
      <c r="AL795" s="74"/>
      <c r="AM795" s="53">
        <f>P_2_minQ+(AM792^2*R_dn)-dpdn_minQ</f>
        <v>31.766700422342179</v>
      </c>
      <c r="AN795" s="45"/>
      <c r="AO795" s="74"/>
      <c r="AP795" s="53">
        <f>P_2_minQ+(AP792^2*R_dn)-dpdn_minQ</f>
        <v>34.239881534414685</v>
      </c>
      <c r="AQ795" s="45"/>
      <c r="AR795" s="74"/>
      <c r="AS795" s="53">
        <f>P_2_minQ+(AS792^2*R_dn)-dpdn_minQ</f>
        <v>37.069355330135885</v>
      </c>
      <c r="AT795" s="45"/>
      <c r="AU795" s="74"/>
    </row>
    <row r="796" spans="15:47" x14ac:dyDescent="0.25">
      <c r="O796" s="6" t="s">
        <v>243</v>
      </c>
      <c r="Q796" s="60"/>
      <c r="R796" s="53">
        <f>R794-R795</f>
        <v>32.258973041768058</v>
      </c>
      <c r="S796" s="56"/>
      <c r="T796" s="72"/>
      <c r="U796" s="64">
        <f>U794-U795</f>
        <v>32.131629681622442</v>
      </c>
      <c r="V796" s="44"/>
      <c r="W796" s="72"/>
      <c r="X796" s="64">
        <f>X794-X795</f>
        <v>31.523340989021417</v>
      </c>
      <c r="Y796" s="44"/>
      <c r="Z796" s="72"/>
      <c r="AA796" s="64">
        <f>AA794-AA795</f>
        <v>29.576038619273938</v>
      </c>
      <c r="AB796" s="44"/>
      <c r="AC796" s="72"/>
      <c r="AD796" s="64">
        <f>AD794-AD795</f>
        <v>25.001455046135717</v>
      </c>
      <c r="AE796" s="44"/>
      <c r="AF796" s="72"/>
      <c r="AG796" s="64">
        <f>AG794-AG795</f>
        <v>16.170637245406333</v>
      </c>
      <c r="AH796" s="44"/>
      <c r="AI796" s="72"/>
      <c r="AJ796" s="64">
        <f>AJ794-AJ795</f>
        <v>3.6069348071943175</v>
      </c>
      <c r="AK796" s="44"/>
      <c r="AL796" s="72"/>
      <c r="AM796" s="64">
        <f>AM794-AM795</f>
        <v>-10.400202534053065</v>
      </c>
      <c r="AN796" s="44"/>
      <c r="AO796" s="72"/>
      <c r="AP796" s="64">
        <f>AP794-AP795</f>
        <v>-25.239289206488085</v>
      </c>
      <c r="AQ796" s="44"/>
      <c r="AR796" s="72"/>
      <c r="AS796" s="64">
        <f>AS794-AS795</f>
        <v>-42.216131980815298</v>
      </c>
      <c r="AT796" s="44"/>
      <c r="AU796" s="72"/>
    </row>
    <row r="797" spans="15:47" ht="13" x14ac:dyDescent="0.3">
      <c r="O797" s="6" t="s">
        <v>75</v>
      </c>
      <c r="P797" s="6">
        <v>3</v>
      </c>
      <c r="Q797" s="65"/>
      <c r="R797" s="85">
        <f>(F_LP_h/F_P_h)^2*(R794-('Valve Sizing'!$V$4*'Valve Sizing'!$G$7))</f>
        <v>46.76488805774386</v>
      </c>
      <c r="S797" s="58"/>
      <c r="T797" s="73"/>
      <c r="U797" s="53">
        <f>(U$29/U$27)^2*(U794-('Valve Sizing'!$V$4*'Valve Sizing'!$G$7))</f>
        <v>46.664293342880114</v>
      </c>
      <c r="V797" s="41"/>
      <c r="W797" s="73"/>
      <c r="X797" s="53">
        <f>(X$29/X$27)^2*(X794-('Valve Sizing'!$V$4*'Valve Sizing'!$G$7))</f>
        <v>45.201524282614514</v>
      </c>
      <c r="Y797" s="41"/>
      <c r="Z797" s="73"/>
      <c r="AA797" s="53">
        <f>(AA$29/AA$27)^2*(AA794-('Valve Sizing'!$V$4*'Valve Sizing'!$G$7))</f>
        <v>41.916501590516241</v>
      </c>
      <c r="AB797" s="41"/>
      <c r="AC797" s="73"/>
      <c r="AD797" s="53">
        <f>(AD$29/AD$27)^2*(AD794-('Valve Sizing'!$V$4*'Valve Sizing'!$G$7))</f>
        <v>36.367909863176799</v>
      </c>
      <c r="AE797" s="41"/>
      <c r="AF797" s="73"/>
      <c r="AG797" s="53">
        <f>(AG$29/AG$27)^2*(AG794-('Valve Sizing'!$V$4*'Valve Sizing'!$G$7))</f>
        <v>27.738204441233872</v>
      </c>
      <c r="AH797" s="41"/>
      <c r="AI797" s="73"/>
      <c r="AJ797" s="53">
        <f>(AJ$29/AJ$27)^2*(AJ794-('Valve Sizing'!$V$4*'Valve Sizing'!$G$7))</f>
        <v>18.8541305866909</v>
      </c>
      <c r="AK797" s="41"/>
      <c r="AL797" s="73"/>
      <c r="AM797" s="53">
        <f>(AM$29/AM$27)^2*(AM794-('Valve Sizing'!$V$4*'Valve Sizing'!$G$7))</f>
        <v>10.012718829035</v>
      </c>
      <c r="AN797" s="41"/>
      <c r="AO797" s="73"/>
      <c r="AP797" s="53">
        <f>(AP$29/AP$27)^2*(AP794-('Valve Sizing'!$V$4*'Valve Sizing'!$G$7))</f>
        <v>3.3782166329596675</v>
      </c>
      <c r="AQ797" s="41"/>
      <c r="AR797" s="73"/>
      <c r="AS797" s="53">
        <f>(AS$29/AS$27)^2*(AS794-('Valve Sizing'!$V$4*'Valve Sizing'!$G$7))</f>
        <v>-2.1014362975155838</v>
      </c>
      <c r="AT797" s="41"/>
      <c r="AU797" s="73"/>
    </row>
    <row r="798" spans="15:47" ht="13" x14ac:dyDescent="0.25">
      <c r="O798" s="1" t="s">
        <v>69</v>
      </c>
      <c r="P798" s="17">
        <v>7</v>
      </c>
      <c r="Q798" s="65"/>
      <c r="R798" s="53">
        <f>(R792/(N_1*F_P_h))*SQRT('Valve Sizing'!$G$6/R796)</f>
        <v>0.55238273802921545</v>
      </c>
      <c r="S798" s="58"/>
      <c r="T798" s="73"/>
      <c r="U798" s="64">
        <f>(U792/(N_1*U$27))*SQRT('Valve Sizing'!$G$6/U796)</f>
        <v>9.9127690737681551</v>
      </c>
      <c r="V798" s="41"/>
      <c r="W798" s="73"/>
      <c r="X798" s="64">
        <f>(X792/(N_1*X$27))*SQRT('Valve Sizing'!$G$6/X796)</f>
        <v>24.076912019103997</v>
      </c>
      <c r="Y798" s="41"/>
      <c r="Z798" s="73"/>
      <c r="AA798" s="64">
        <f>(AA792/(N_1*AA$27))*SQRT('Valve Sizing'!$G$6/AA796)</f>
        <v>47.733966538424674</v>
      </c>
      <c r="AB798" s="41"/>
      <c r="AC798" s="73"/>
      <c r="AD798" s="64">
        <f>(AD792/(N_1*AD$27))*SQRT('Valve Sizing'!$G$6/AD796)</f>
        <v>86.458714939677847</v>
      </c>
      <c r="AE798" s="41"/>
      <c r="AF798" s="73"/>
      <c r="AG798" s="64">
        <f>(AG792/(N_1*AG$27))*SQRT('Valve Sizing'!$G$6/AG796)</f>
        <v>163.63116091685927</v>
      </c>
      <c r="AH798" s="41"/>
      <c r="AI798" s="73"/>
      <c r="AJ798" s="64">
        <f>(AJ792/(N_1*AJ$27))*SQRT('Valve Sizing'!$G$6/AJ796)</f>
        <v>479.16536164944426</v>
      </c>
      <c r="AK798" s="41"/>
      <c r="AL798" s="73"/>
      <c r="AM798" s="64" t="e">
        <f>(AM792/(N_1*AM$27))*SQRT('Valve Sizing'!$G$6/AM796)</f>
        <v>#NUM!</v>
      </c>
      <c r="AN798" s="41"/>
      <c r="AO798" s="73"/>
      <c r="AP798" s="64" t="e">
        <f>(AP792/(N_1*AP$27))*SQRT('Valve Sizing'!$G$6/AP796)</f>
        <v>#NUM!</v>
      </c>
      <c r="AQ798" s="41"/>
      <c r="AR798" s="73"/>
      <c r="AS798" s="64" t="e">
        <f>(AS792/(N_1*AS$27))*SQRT('Valve Sizing'!$G$6/AS796)</f>
        <v>#NUM!</v>
      </c>
      <c r="AT798" s="41"/>
      <c r="AU798" s="73"/>
    </row>
    <row r="799" spans="15:47" ht="13" x14ac:dyDescent="0.3">
      <c r="O799" s="1" t="s">
        <v>72</v>
      </c>
      <c r="P799" s="17">
        <v>7</v>
      </c>
      <c r="Q799" s="65"/>
      <c r="R799" s="53">
        <f>(R792/(N_1*F_P_h))*SQRT('Valve Sizing'!$G$6/R797)</f>
        <v>0.45878099362407382</v>
      </c>
      <c r="S799" s="56"/>
      <c r="T799" s="72"/>
      <c r="U799" s="85">
        <f>(U792/(N_1*U$27))*SQRT('Valve Sizing'!$G$6/U797)</f>
        <v>8.2256271279198518</v>
      </c>
      <c r="V799" s="44"/>
      <c r="W799" s="72"/>
      <c r="X799" s="85">
        <f>(X792/(N_1*X$27))*SQRT('Valve Sizing'!$G$6/X797)</f>
        <v>20.106679971592143</v>
      </c>
      <c r="Y799" s="44"/>
      <c r="Z799" s="72"/>
      <c r="AA799" s="85">
        <f>(AA792/(N_1*AA$27))*SQRT('Valve Sizing'!$G$6/AA797)</f>
        <v>40.096365884586092</v>
      </c>
      <c r="AB799" s="44"/>
      <c r="AC799" s="72"/>
      <c r="AD799" s="85">
        <f>(AD792/(N_1*AD$27))*SQRT('Valve Sizing'!$G$6/AD797)</f>
        <v>71.685653308385611</v>
      </c>
      <c r="AE799" s="44"/>
      <c r="AF799" s="72"/>
      <c r="AG799" s="85">
        <f>(AG792/(N_1*AG$27))*SQRT('Valve Sizing'!$G$6/AG797)</f>
        <v>124.93680816852716</v>
      </c>
      <c r="AH799" s="44"/>
      <c r="AI799" s="72"/>
      <c r="AJ799" s="85">
        <f>(AJ792/(N_1*AJ$27))*SQRT('Valve Sizing'!$G$6/AJ797)</f>
        <v>209.58070979736209</v>
      </c>
      <c r="AK799" s="44"/>
      <c r="AL799" s="72"/>
      <c r="AM799" s="85">
        <f>(AM792/(N_1*AM$27))*SQRT('Valve Sizing'!$G$6/AM797)</f>
        <v>372.3271619661806</v>
      </c>
      <c r="AN799" s="44"/>
      <c r="AO799" s="72"/>
      <c r="AP799" s="85">
        <f>(AP792/(N_1*AP$27))*SQRT('Valve Sizing'!$G$6/AP797)</f>
        <v>847.02076048656158</v>
      </c>
      <c r="AQ799" s="44"/>
      <c r="AR799" s="72"/>
      <c r="AS799" s="85" t="e">
        <f>(AS792/(N_1*AS$27))*SQRT('Valve Sizing'!$G$6/AS797)</f>
        <v>#NUM!</v>
      </c>
      <c r="AT799" s="44"/>
      <c r="AU799" s="72"/>
    </row>
    <row r="800" spans="15:47" x14ac:dyDescent="0.25">
      <c r="O800" s="1" t="s">
        <v>246</v>
      </c>
      <c r="P800" s="18"/>
      <c r="Q800" s="65"/>
      <c r="R800" s="53">
        <f>IF(R796&lt;R797,R798,R799)</f>
        <v>0.55238273802921545</v>
      </c>
      <c r="S800" s="49"/>
      <c r="T800" s="72"/>
      <c r="U800" s="64">
        <f>IF(U796&lt;U797,U798,U799)</f>
        <v>9.9127690737681551</v>
      </c>
      <c r="V800" s="44"/>
      <c r="W800" s="72"/>
      <c r="X800" s="64">
        <f>IF(X796&lt;X797,X798,X799)</f>
        <v>24.076912019103997</v>
      </c>
      <c r="Y800" s="44"/>
      <c r="Z800" s="72"/>
      <c r="AA800" s="64">
        <f>IF(AA796&lt;AA797,AA798,AA799)</f>
        <v>47.733966538424674</v>
      </c>
      <c r="AB800" s="44"/>
      <c r="AC800" s="72"/>
      <c r="AD800" s="64">
        <f>IF(AD796&lt;AD797,AD798,AD799)</f>
        <v>86.458714939677847</v>
      </c>
      <c r="AE800" s="44"/>
      <c r="AF800" s="72"/>
      <c r="AG800" s="64">
        <f>IF(AG796&lt;AG797,AG798,AG799)</f>
        <v>163.63116091685927</v>
      </c>
      <c r="AH800" s="44"/>
      <c r="AI800" s="72"/>
      <c r="AJ800" s="64">
        <f>IF(AJ796&lt;AJ797,AJ798,AJ799)</f>
        <v>479.16536164944426</v>
      </c>
      <c r="AK800" s="44"/>
      <c r="AL800" s="72"/>
      <c r="AM800" s="64" t="e">
        <f>IF(AM796&lt;AM797,AM798,AM799)</f>
        <v>#NUM!</v>
      </c>
      <c r="AN800" s="44"/>
      <c r="AO800" s="72"/>
      <c r="AP800" s="64" t="e">
        <f>IF(AP796&lt;AP797,AP798,AP799)</f>
        <v>#NUM!</v>
      </c>
      <c r="AQ800" s="44"/>
      <c r="AR800" s="72"/>
      <c r="AS800" s="64" t="e">
        <f>IF(AS796&lt;AS797,AS798,AS799)</f>
        <v>#NUM!</v>
      </c>
      <c r="AT800" s="44"/>
      <c r="AU800" s="72"/>
    </row>
    <row r="801" spans="15:47" ht="13" x14ac:dyDescent="0.3">
      <c r="O801" s="7" t="s">
        <v>264</v>
      </c>
      <c r="Q801" s="61"/>
      <c r="R801" s="53"/>
      <c r="S801" s="69">
        <f>IFERROR(ABS(C_h-R800),Q_max*10)</f>
        <v>4.4476172619707848</v>
      </c>
      <c r="T801" s="76">
        <f>R792</f>
        <v>3.1369084100772078</v>
      </c>
      <c r="U801" s="61"/>
      <c r="V801" s="69">
        <f>IFERROR(ABS(U$23-U800),Q_max*10)</f>
        <v>2.0872309262318449</v>
      </c>
      <c r="W801" s="75">
        <f>U792</f>
        <v>56.14301030374434</v>
      </c>
      <c r="X801" s="61"/>
      <c r="Y801" s="69">
        <f>IFERROR(ABS(X$23-X800),Q_max*10)</f>
        <v>1.0769120191039967</v>
      </c>
      <c r="Z801" s="75">
        <f>X792</f>
        <v>134.76483627377189</v>
      </c>
      <c r="AA801" s="61"/>
      <c r="AB801" s="69">
        <f>IFERROR(ABS(AA$23-AA800),Q_max*10)</f>
        <v>8.7339665384246743</v>
      </c>
      <c r="AC801" s="75">
        <f>AA792</f>
        <v>257.31546216544319</v>
      </c>
      <c r="AD801" s="61"/>
      <c r="AE801" s="69">
        <f>IFERROR(ABS(AD$23-AD800),Q_max*10)</f>
        <v>25.458714939677847</v>
      </c>
      <c r="AF801" s="75">
        <f>AD792</f>
        <v>423.18919732975365</v>
      </c>
      <c r="AG801" s="61"/>
      <c r="AH801" s="69">
        <f>IFERROR(ABS(AG$23-AG800),Q_max*10)</f>
        <v>75.631160916859272</v>
      </c>
      <c r="AI801" s="75">
        <f>AG792</f>
        <v>630.07104835057976</v>
      </c>
      <c r="AJ801" s="61"/>
      <c r="AK801" s="69">
        <f>IFERROR(ABS(AJ$23-AJ800),Q_max*10)</f>
        <v>358.16536164944426</v>
      </c>
      <c r="AL801" s="75">
        <f>AJ792</f>
        <v>840.83225653662942</v>
      </c>
      <c r="AM801" s="61"/>
      <c r="AN801" s="69">
        <f>IFERROR(ABS(AM$23-AM800),Q_max*10)</f>
        <v>5500</v>
      </c>
      <c r="AO801" s="75">
        <f>AM792</f>
        <v>1025.9751446929693</v>
      </c>
      <c r="AP801" s="61"/>
      <c r="AQ801" s="69">
        <f>IFERROR(ABS(AP$23-AP800),Q_max*10)</f>
        <v>5500</v>
      </c>
      <c r="AR801" s="75">
        <f>AP792</f>
        <v>1191.1252919697799</v>
      </c>
      <c r="AS801" s="61"/>
      <c r="AT801" s="69">
        <f>IFERROR(ABS(AS$23-AS800),Q_max*10)</f>
        <v>5500</v>
      </c>
      <c r="AU801" s="75">
        <f>AS792</f>
        <v>1355.6116909449465</v>
      </c>
    </row>
    <row r="802" spans="15:47" ht="14.5" x14ac:dyDescent="0.35">
      <c r="O802" s="8"/>
      <c r="P802" s="6"/>
      <c r="Q802" s="60"/>
      <c r="R802" s="67"/>
      <c r="S802" s="56"/>
      <c r="T802" s="72"/>
      <c r="V802" s="11"/>
      <c r="W802" s="38"/>
      <c r="Y802" s="11"/>
      <c r="Z802" s="38"/>
      <c r="AB802" s="11"/>
      <c r="AC802" s="38"/>
      <c r="AE802" s="11"/>
      <c r="AF802" s="38"/>
      <c r="AH802" s="11"/>
      <c r="AI802" s="38"/>
      <c r="AK802" s="11"/>
      <c r="AL802" s="38"/>
      <c r="AN802" s="11"/>
      <c r="AO802" s="38"/>
      <c r="AQ802" s="11"/>
      <c r="AR802" s="38"/>
      <c r="AT802" s="11"/>
      <c r="AU802" s="38"/>
    </row>
    <row r="803" spans="15:47" ht="14" x14ac:dyDescent="0.3">
      <c r="O803" s="8" t="s">
        <v>235</v>
      </c>
      <c r="P803" s="6"/>
      <c r="Q803" s="60"/>
      <c r="R803" s="53">
        <f>R792*1.02</f>
        <v>3.199646578278752</v>
      </c>
      <c r="S803" s="58" t="s">
        <v>238</v>
      </c>
      <c r="T803" s="73" t="s">
        <v>241</v>
      </c>
      <c r="U803" s="84">
        <f>U792*1.01</f>
        <v>56.704440406781785</v>
      </c>
      <c r="V803" s="58" t="s">
        <v>238</v>
      </c>
      <c r="W803" s="73" t="s">
        <v>241</v>
      </c>
      <c r="X803" s="84">
        <f>X792*1.01</f>
        <v>136.11248463650961</v>
      </c>
      <c r="Y803" s="58" t="s">
        <v>238</v>
      </c>
      <c r="Z803" s="73" t="s">
        <v>241</v>
      </c>
      <c r="AA803" s="84">
        <f>AA792*1.01</f>
        <v>259.88861678709765</v>
      </c>
      <c r="AB803" s="58" t="s">
        <v>238</v>
      </c>
      <c r="AC803" s="73" t="s">
        <v>241</v>
      </c>
      <c r="AD803" s="84">
        <f>AD792*1.01</f>
        <v>427.42108930305119</v>
      </c>
      <c r="AE803" s="58" t="s">
        <v>238</v>
      </c>
      <c r="AF803" s="73" t="s">
        <v>241</v>
      </c>
      <c r="AG803" s="84">
        <f>AG792*1.01</f>
        <v>636.37175883408554</v>
      </c>
      <c r="AH803" s="58" t="s">
        <v>238</v>
      </c>
      <c r="AI803" s="73" t="s">
        <v>241</v>
      </c>
      <c r="AJ803" s="84">
        <f>AJ792*1.01</f>
        <v>849.24057910199576</v>
      </c>
      <c r="AK803" s="58" t="s">
        <v>238</v>
      </c>
      <c r="AL803" s="73" t="s">
        <v>241</v>
      </c>
      <c r="AM803" s="84">
        <f>AM792*1.01</f>
        <v>1036.2348961398989</v>
      </c>
      <c r="AN803" s="58" t="s">
        <v>238</v>
      </c>
      <c r="AO803" s="73" t="s">
        <v>241</v>
      </c>
      <c r="AP803" s="84">
        <f>AP792*1.01</f>
        <v>1203.0365448894777</v>
      </c>
      <c r="AQ803" s="58" t="s">
        <v>238</v>
      </c>
      <c r="AR803" s="73" t="s">
        <v>241</v>
      </c>
      <c r="AS803" s="84">
        <f>AS792*1.01</f>
        <v>1369.167807854396</v>
      </c>
      <c r="AT803" s="58" t="s">
        <v>238</v>
      </c>
      <c r="AU803" s="73" t="s">
        <v>241</v>
      </c>
    </row>
    <row r="804" spans="15:47" ht="13" x14ac:dyDescent="0.25">
      <c r="O804" s="6"/>
      <c r="P804" s="6"/>
      <c r="Q804" s="60"/>
      <c r="R804" s="70"/>
      <c r="S804" s="63" t="s">
        <v>250</v>
      </c>
      <c r="T804" s="71" t="s">
        <v>242</v>
      </c>
      <c r="U804" s="61"/>
      <c r="V804" s="63" t="s">
        <v>250</v>
      </c>
      <c r="W804" s="71" t="s">
        <v>242</v>
      </c>
      <c r="X804" s="61"/>
      <c r="Y804" s="63" t="s">
        <v>250</v>
      </c>
      <c r="Z804" s="71" t="s">
        <v>242</v>
      </c>
      <c r="AA804" s="61"/>
      <c r="AB804" s="63" t="s">
        <v>250</v>
      </c>
      <c r="AC804" s="71" t="s">
        <v>242</v>
      </c>
      <c r="AD804" s="61"/>
      <c r="AE804" s="63" t="s">
        <v>250</v>
      </c>
      <c r="AF804" s="71" t="s">
        <v>242</v>
      </c>
      <c r="AG804" s="61"/>
      <c r="AH804" s="63" t="s">
        <v>250</v>
      </c>
      <c r="AI804" s="71" t="s">
        <v>242</v>
      </c>
      <c r="AJ804" s="61"/>
      <c r="AK804" s="63" t="s">
        <v>250</v>
      </c>
      <c r="AL804" s="71" t="s">
        <v>242</v>
      </c>
      <c r="AM804" s="61"/>
      <c r="AN804" s="63" t="s">
        <v>250</v>
      </c>
      <c r="AO804" s="71" t="s">
        <v>242</v>
      </c>
      <c r="AP804" s="61"/>
      <c r="AQ804" s="63" t="s">
        <v>250</v>
      </c>
      <c r="AR804" s="71" t="s">
        <v>242</v>
      </c>
      <c r="AS804" s="61"/>
      <c r="AT804" s="63" t="s">
        <v>250</v>
      </c>
      <c r="AU804" s="71" t="s">
        <v>242</v>
      </c>
    </row>
    <row r="805" spans="15:47" ht="13" x14ac:dyDescent="0.3">
      <c r="O805" s="6" t="s">
        <v>231</v>
      </c>
      <c r="P805" s="6"/>
      <c r="Q805" s="60"/>
      <c r="R805" s="85">
        <f>P_1_minQ-(R803^2*R_up)+dpup_minQ</f>
        <v>56.915797442140295</v>
      </c>
      <c r="S805" s="56"/>
      <c r="T805" s="72"/>
      <c r="U805" s="53">
        <f>P_1_minQ-(U803^2*R_up)+dpup_minQ</f>
        <v>56.807551720302392</v>
      </c>
      <c r="V805" s="44"/>
      <c r="W805" s="72"/>
      <c r="X805" s="53">
        <f>P_1_minQ-(X803^2*R_up)+dpup_minQ</f>
        <v>56.290455640867137</v>
      </c>
      <c r="Y805" s="44"/>
      <c r="Z805" s="72"/>
      <c r="AA805" s="53">
        <f>P_1_minQ-(AA803^2*R_up)+dpup_minQ</f>
        <v>54.635086351384302</v>
      </c>
      <c r="AB805" s="44"/>
      <c r="AC805" s="72"/>
      <c r="AD805" s="53">
        <f>P_1_minQ-(AD803^2*R_up)+dpup_minQ</f>
        <v>50.746309098919049</v>
      </c>
      <c r="AE805" s="44"/>
      <c r="AF805" s="72"/>
      <c r="AG805" s="53">
        <f>P_1_minQ-(AG803^2*R_up)+dpup_minQ</f>
        <v>43.239378066815682</v>
      </c>
      <c r="AH805" s="44"/>
      <c r="AI805" s="72"/>
      <c r="AJ805" s="53">
        <f>P_1_minQ-(AJ803^2*R_up)+dpup_minQ</f>
        <v>32.559184019132282</v>
      </c>
      <c r="AK805" s="44"/>
      <c r="AL805" s="72"/>
      <c r="AM805" s="53">
        <f>P_1_minQ-(AM803^2*R_up)+dpup_minQ</f>
        <v>20.65195001762692</v>
      </c>
      <c r="AN805" s="44"/>
      <c r="AO805" s="72"/>
      <c r="AP805" s="53">
        <f>P_1_minQ-(AP803^2*R_up)+dpup_minQ</f>
        <v>8.0374897555011096</v>
      </c>
      <c r="AQ805" s="44"/>
      <c r="AR805" s="72"/>
      <c r="AS805" s="53">
        <f>P_1_minQ-(AS803^2*R_up)+dpup_minQ</f>
        <v>-6.3942413395748803</v>
      </c>
      <c r="AT805" s="44"/>
      <c r="AU805" s="72"/>
    </row>
    <row r="806" spans="15:47" ht="13" x14ac:dyDescent="0.3">
      <c r="O806" s="6" t="s">
        <v>233</v>
      </c>
      <c r="P806" s="6"/>
      <c r="Q806" s="60"/>
      <c r="R806" s="85">
        <f>P_2_minQ+(R803^2*R_dn)-dpdn_minQ</f>
        <v>24.656840511571943</v>
      </c>
      <c r="S806" s="66"/>
      <c r="T806" s="74"/>
      <c r="U806" s="53">
        <f>P_2_minQ+(U803^2*R_dn)-dpdn_minQ</f>
        <v>24.678489655939522</v>
      </c>
      <c r="V806" s="45"/>
      <c r="W806" s="74"/>
      <c r="X806" s="53">
        <f>P_2_minQ+(X803^2*R_dn)-dpdn_minQ</f>
        <v>24.781908871826573</v>
      </c>
      <c r="Y806" s="45"/>
      <c r="Z806" s="74"/>
      <c r="AA806" s="53">
        <f>P_2_minQ+(AA803^2*R_dn)-dpdn_minQ</f>
        <v>25.112982729723143</v>
      </c>
      <c r="AB806" s="45"/>
      <c r="AC806" s="74"/>
      <c r="AD806" s="53">
        <f>P_2_minQ+(AD803^2*R_dn)-dpdn_minQ</f>
        <v>25.890738180216189</v>
      </c>
      <c r="AE806" s="45"/>
      <c r="AF806" s="74"/>
      <c r="AG806" s="53">
        <f>P_2_minQ+(AG803^2*R_dn)-dpdn_minQ</f>
        <v>27.392124386636866</v>
      </c>
      <c r="AH806" s="45"/>
      <c r="AI806" s="74"/>
      <c r="AJ806" s="53">
        <f>P_2_minQ+(AJ803^2*R_dn)-dpdn_minQ</f>
        <v>29.528163196173544</v>
      </c>
      <c r="AK806" s="45"/>
      <c r="AL806" s="74"/>
      <c r="AM806" s="53">
        <f>P_2_minQ+(AM803^2*R_dn)-dpdn_minQ</f>
        <v>31.909609996474618</v>
      </c>
      <c r="AN806" s="45"/>
      <c r="AO806" s="74"/>
      <c r="AP806" s="53">
        <f>P_2_minQ+(AP803^2*R_dn)-dpdn_minQ</f>
        <v>34.432502048899785</v>
      </c>
      <c r="AQ806" s="45"/>
      <c r="AR806" s="74"/>
      <c r="AS806" s="53">
        <f>P_2_minQ+(AS803^2*R_dn)-dpdn_minQ</f>
        <v>37.31884826791498</v>
      </c>
      <c r="AT806" s="45"/>
      <c r="AU806" s="74"/>
    </row>
    <row r="807" spans="15:47" x14ac:dyDescent="0.25">
      <c r="O807" s="6" t="s">
        <v>243</v>
      </c>
      <c r="Q807" s="60"/>
      <c r="R807" s="53">
        <f>R805-R806</f>
        <v>32.258956930568353</v>
      </c>
      <c r="S807" s="56"/>
      <c r="T807" s="72"/>
      <c r="U807" s="64">
        <f>U805-U806</f>
        <v>32.12906206436287</v>
      </c>
      <c r="V807" s="44"/>
      <c r="W807" s="72"/>
      <c r="X807" s="64">
        <f>X805-X806</f>
        <v>31.508546769040564</v>
      </c>
      <c r="Y807" s="44"/>
      <c r="Z807" s="72"/>
      <c r="AA807" s="64">
        <f>AA805-AA806</f>
        <v>29.522103621661159</v>
      </c>
      <c r="AB807" s="44"/>
      <c r="AC807" s="72"/>
      <c r="AD807" s="64">
        <f>AD805-AD806</f>
        <v>24.85557091870286</v>
      </c>
      <c r="AE807" s="44"/>
      <c r="AF807" s="72"/>
      <c r="AG807" s="64">
        <f>AG805-AG806</f>
        <v>15.847253680178817</v>
      </c>
      <c r="AH807" s="44"/>
      <c r="AI807" s="72"/>
      <c r="AJ807" s="64">
        <f>AJ805-AJ806</f>
        <v>3.0310208229587374</v>
      </c>
      <c r="AK807" s="44"/>
      <c r="AL807" s="72"/>
      <c r="AM807" s="64">
        <f>AM805-AM806</f>
        <v>-11.257659978847698</v>
      </c>
      <c r="AN807" s="44"/>
      <c r="AO807" s="72"/>
      <c r="AP807" s="64">
        <f>AP805-AP806</f>
        <v>-26.395012293398675</v>
      </c>
      <c r="AQ807" s="44"/>
      <c r="AR807" s="72"/>
      <c r="AS807" s="64">
        <f>AS805-AS806</f>
        <v>-43.713089607489863</v>
      </c>
      <c r="AT807" s="44"/>
      <c r="AU807" s="72"/>
    </row>
    <row r="808" spans="15:47" ht="13" x14ac:dyDescent="0.3">
      <c r="O808" s="6" t="s">
        <v>75</v>
      </c>
      <c r="P808" s="6">
        <v>3</v>
      </c>
      <c r="Q808" s="65"/>
      <c r="R808" s="85">
        <f>(F_LP_h/F_P_h)^2*(R805-('Valve Sizing'!$V$4*'Valve Sizing'!$G$7))</f>
        <v>46.764876940311332</v>
      </c>
      <c r="S808" s="58"/>
      <c r="T808" s="73"/>
      <c r="U808" s="53">
        <f>(U$29/U$27)^2*(U805-('Valve Sizing'!$V$4*'Valve Sizing'!$G$7))</f>
        <v>46.662522057570108</v>
      </c>
      <c r="V808" s="41"/>
      <c r="W808" s="73"/>
      <c r="X808" s="53">
        <f>(X$29/X$27)^2*(X805-('Valve Sizing'!$V$4*'Valve Sizing'!$G$7))</f>
        <v>45.1915486194168</v>
      </c>
      <c r="Y808" s="41"/>
      <c r="Z808" s="73"/>
      <c r="AA808" s="53">
        <f>(AA$29/AA$27)^2*(AA805-('Valve Sizing'!$V$4*'Valve Sizing'!$G$7))</f>
        <v>41.881767576942195</v>
      </c>
      <c r="AB808" s="41"/>
      <c r="AC808" s="73"/>
      <c r="AD808" s="53">
        <f>(AD$29/AD$27)^2*(AD805-('Valve Sizing'!$V$4*'Valve Sizing'!$G$7))</f>
        <v>36.280235033500638</v>
      </c>
      <c r="AE808" s="41"/>
      <c r="AF808" s="73"/>
      <c r="AG808" s="53">
        <f>(AG$29/AG$27)^2*(AG805-('Valve Sizing'!$V$4*'Valve Sizing'!$G$7))</f>
        <v>27.564643416986534</v>
      </c>
      <c r="AH808" s="41"/>
      <c r="AI808" s="73"/>
      <c r="AJ808" s="53">
        <f>(AJ$29/AJ$27)^2*(AJ805-('Valve Sizing'!$V$4*'Valve Sizing'!$G$7))</f>
        <v>18.576557162776332</v>
      </c>
      <c r="AK808" s="41"/>
      <c r="AL808" s="73"/>
      <c r="AM808" s="53">
        <f>(AM$29/AM$27)^2*(AM805-('Valve Sizing'!$V$4*'Valve Sizing'!$G$7))</f>
        <v>9.6708275735782934</v>
      </c>
      <c r="AN808" s="41"/>
      <c r="AO808" s="73"/>
      <c r="AP808" s="53">
        <f>(AP$29/AP$27)^2*(AP805-('Valve Sizing'!$V$4*'Valve Sizing'!$G$7))</f>
        <v>2.9981505203826821</v>
      </c>
      <c r="AQ808" s="41"/>
      <c r="AR808" s="73"/>
      <c r="AS808" s="53">
        <f>(AS$29/AS$27)^2*(AS805-('Valve Sizing'!$V$4*'Valve Sizing'!$G$7))</f>
        <v>-2.5706586562132001</v>
      </c>
      <c r="AT808" s="41"/>
      <c r="AU808" s="73"/>
    </row>
    <row r="809" spans="15:47" ht="13" x14ac:dyDescent="0.25">
      <c r="O809" s="1" t="s">
        <v>69</v>
      </c>
      <c r="P809" s="17">
        <v>7</v>
      </c>
      <c r="Q809" s="65"/>
      <c r="R809" s="53">
        <f>(R803/(N_1*F_P_h))*SQRT('Valve Sizing'!$G$6/R807)</f>
        <v>0.56343053348775329</v>
      </c>
      <c r="S809" s="58"/>
      <c r="T809" s="73"/>
      <c r="U809" s="64">
        <f>(U803/(N_1*U$27))*SQRT('Valve Sizing'!$G$6/U807)</f>
        <v>10.012296810503289</v>
      </c>
      <c r="V809" s="41"/>
      <c r="W809" s="73"/>
      <c r="X809" s="64">
        <f>(X803/(N_1*X$27))*SQRT('Valve Sizing'!$G$6/X807)</f>
        <v>24.323389414371203</v>
      </c>
      <c r="Y809" s="41"/>
      <c r="Z809" s="73"/>
      <c r="AA809" s="64">
        <f>(AA803/(N_1*AA$27))*SQRT('Valve Sizing'!$G$6/AA807)</f>
        <v>48.255325596313881</v>
      </c>
      <c r="AB809" s="41"/>
      <c r="AC809" s="73"/>
      <c r="AD809" s="64">
        <f>(AD803/(N_1*AD$27))*SQRT('Valve Sizing'!$G$6/AD807)</f>
        <v>87.579189313241542</v>
      </c>
      <c r="AE809" s="41"/>
      <c r="AF809" s="73"/>
      <c r="AG809" s="64">
        <f>(AG803/(N_1*AG$27))*SQRT('Valve Sizing'!$G$6/AG807)</f>
        <v>166.94520420486768</v>
      </c>
      <c r="AH809" s="41"/>
      <c r="AI809" s="73"/>
      <c r="AJ809" s="64">
        <f>(AJ803/(N_1*AJ$27))*SQRT('Valve Sizing'!$G$6/AJ807)</f>
        <v>527.93624125139752</v>
      </c>
      <c r="AK809" s="41"/>
      <c r="AL809" s="73"/>
      <c r="AM809" s="64" t="e">
        <f>(AM803/(N_1*AM$27))*SQRT('Valve Sizing'!$G$6/AM807)</f>
        <v>#NUM!</v>
      </c>
      <c r="AN809" s="41"/>
      <c r="AO809" s="73"/>
      <c r="AP809" s="64" t="e">
        <f>(AP803/(N_1*AP$27))*SQRT('Valve Sizing'!$G$6/AP807)</f>
        <v>#NUM!</v>
      </c>
      <c r="AQ809" s="41"/>
      <c r="AR809" s="73"/>
      <c r="AS809" s="64" t="e">
        <f>(AS803/(N_1*AS$27))*SQRT('Valve Sizing'!$G$6/AS807)</f>
        <v>#NUM!</v>
      </c>
      <c r="AT809" s="41"/>
      <c r="AU809" s="73"/>
    </row>
    <row r="810" spans="15:47" ht="13" x14ac:dyDescent="0.3">
      <c r="O810" s="1" t="s">
        <v>72</v>
      </c>
      <c r="P810" s="17">
        <v>7</v>
      </c>
      <c r="Q810" s="65"/>
      <c r="R810" s="53">
        <f>(R803/(N_1*F_P_h))*SQRT('Valve Sizing'!$G$6/R808)</f>
        <v>0.46795666912030659</v>
      </c>
      <c r="S810" s="56"/>
      <c r="T810" s="72"/>
      <c r="U810" s="85">
        <f>(U803/(N_1*U$27))*SQRT('Valve Sizing'!$G$6/U808)</f>
        <v>8.3080410791906871</v>
      </c>
      <c r="V810" s="44"/>
      <c r="W810" s="72"/>
      <c r="X810" s="85">
        <f>(X803/(N_1*X$27))*SQRT('Valve Sizing'!$G$6/X808)</f>
        <v>20.309988031785636</v>
      </c>
      <c r="Y810" s="44"/>
      <c r="Z810" s="72"/>
      <c r="AA810" s="85">
        <f>(AA803/(N_1*AA$27))*SQRT('Valve Sizing'!$G$6/AA808)</f>
        <v>40.514118988499121</v>
      </c>
      <c r="AB810" s="44"/>
      <c r="AC810" s="72"/>
      <c r="AD810" s="85">
        <f>(AD803/(N_1*AD$27))*SQRT('Valve Sizing'!$G$6/AD808)</f>
        <v>72.489941018095337</v>
      </c>
      <c r="AE810" s="44"/>
      <c r="AF810" s="72"/>
      <c r="AG810" s="85">
        <f>(AG803/(N_1*AG$27))*SQRT('Valve Sizing'!$G$6/AG808)</f>
        <v>126.58281905839137</v>
      </c>
      <c r="AH810" s="44"/>
      <c r="AI810" s="72"/>
      <c r="AJ810" s="85">
        <f>(AJ803/(N_1*AJ$27))*SQRT('Valve Sizing'!$G$6/AJ808)</f>
        <v>213.25210260500529</v>
      </c>
      <c r="AK810" s="44"/>
      <c r="AL810" s="72"/>
      <c r="AM810" s="85">
        <f>(AM803/(N_1*AM$27))*SQRT('Valve Sizing'!$G$6/AM808)</f>
        <v>382.63992618642607</v>
      </c>
      <c r="AN810" s="44"/>
      <c r="AO810" s="72"/>
      <c r="AP810" s="85">
        <f>(AP803/(N_1*AP$27))*SQRT('Valve Sizing'!$G$6/AP808)</f>
        <v>908.09745902788438</v>
      </c>
      <c r="AQ810" s="44"/>
      <c r="AR810" s="72"/>
      <c r="AS810" s="85" t="e">
        <f>(AS803/(N_1*AS$27))*SQRT('Valve Sizing'!$G$6/AS808)</f>
        <v>#NUM!</v>
      </c>
      <c r="AT810" s="44"/>
      <c r="AU810" s="72"/>
    </row>
    <row r="811" spans="15:47" x14ac:dyDescent="0.25">
      <c r="O811" s="1" t="s">
        <v>246</v>
      </c>
      <c r="P811" s="18"/>
      <c r="Q811" s="65"/>
      <c r="R811" s="53">
        <f>IF(R807&lt;R808,R809,R810)</f>
        <v>0.56343053348775329</v>
      </c>
      <c r="S811" s="49"/>
      <c r="T811" s="72"/>
      <c r="U811" s="64">
        <f>IF(U807&lt;U808,U809,U810)</f>
        <v>10.012296810503289</v>
      </c>
      <c r="V811" s="44"/>
      <c r="W811" s="72"/>
      <c r="X811" s="64">
        <f>IF(X807&lt;X808,X809,X810)</f>
        <v>24.323389414371203</v>
      </c>
      <c r="Y811" s="44"/>
      <c r="Z811" s="72"/>
      <c r="AA811" s="64">
        <f>IF(AA807&lt;AA808,AA809,AA810)</f>
        <v>48.255325596313881</v>
      </c>
      <c r="AB811" s="44"/>
      <c r="AC811" s="72"/>
      <c r="AD811" s="64">
        <f>IF(AD807&lt;AD808,AD809,AD810)</f>
        <v>87.579189313241542</v>
      </c>
      <c r="AE811" s="44"/>
      <c r="AF811" s="72"/>
      <c r="AG811" s="64">
        <f>IF(AG807&lt;AG808,AG809,AG810)</f>
        <v>166.94520420486768</v>
      </c>
      <c r="AH811" s="44"/>
      <c r="AI811" s="72"/>
      <c r="AJ811" s="64">
        <f>IF(AJ807&lt;AJ808,AJ809,AJ810)</f>
        <v>527.93624125139752</v>
      </c>
      <c r="AK811" s="44"/>
      <c r="AL811" s="72"/>
      <c r="AM811" s="64" t="e">
        <f>IF(AM807&lt;AM808,AM809,AM810)</f>
        <v>#NUM!</v>
      </c>
      <c r="AN811" s="44"/>
      <c r="AO811" s="72"/>
      <c r="AP811" s="64" t="e">
        <f>IF(AP807&lt;AP808,AP809,AP810)</f>
        <v>#NUM!</v>
      </c>
      <c r="AQ811" s="44"/>
      <c r="AR811" s="72"/>
      <c r="AS811" s="64" t="e">
        <f>IF(AS807&lt;AS808,AS809,AS810)</f>
        <v>#NUM!</v>
      </c>
      <c r="AT811" s="44"/>
      <c r="AU811" s="72"/>
    </row>
    <row r="812" spans="15:47" ht="13" x14ac:dyDescent="0.3">
      <c r="O812" s="7" t="s">
        <v>264</v>
      </c>
      <c r="Q812" s="61"/>
      <c r="R812" s="53"/>
      <c r="S812" s="69">
        <f>IFERROR(ABS(C_h-R811),Q_max*10)</f>
        <v>4.436569466512247</v>
      </c>
      <c r="T812" s="76">
        <f>R803</f>
        <v>3.199646578278752</v>
      </c>
      <c r="U812" s="61"/>
      <c r="V812" s="69">
        <f>IFERROR(ABS(U$23-U811),Q_max*10)</f>
        <v>1.9877031894967114</v>
      </c>
      <c r="W812" s="75">
        <f>U803</f>
        <v>56.704440406781785</v>
      </c>
      <c r="X812" s="61"/>
      <c r="Y812" s="69">
        <f>IFERROR(ABS(X$23-X811),Q_max*10)</f>
        <v>1.3233894143712028</v>
      </c>
      <c r="Z812" s="75">
        <f>X803</f>
        <v>136.11248463650961</v>
      </c>
      <c r="AA812" s="61"/>
      <c r="AB812" s="69">
        <f>IFERROR(ABS(AA$23-AA811),Q_max*10)</f>
        <v>9.255325596313881</v>
      </c>
      <c r="AC812" s="75">
        <f>AA803</f>
        <v>259.88861678709765</v>
      </c>
      <c r="AD812" s="61"/>
      <c r="AE812" s="69">
        <f>IFERROR(ABS(AD$23-AD811),Q_max*10)</f>
        <v>26.579189313241542</v>
      </c>
      <c r="AF812" s="75">
        <f>AD803</f>
        <v>427.42108930305119</v>
      </c>
      <c r="AG812" s="61"/>
      <c r="AH812" s="69">
        <f>IFERROR(ABS(AG$23-AG811),Q_max*10)</f>
        <v>78.945204204867679</v>
      </c>
      <c r="AI812" s="75">
        <f>AG803</f>
        <v>636.37175883408554</v>
      </c>
      <c r="AJ812" s="61"/>
      <c r="AK812" s="69">
        <f>IFERROR(ABS(AJ$23-AJ811),Q_max*10)</f>
        <v>406.93624125139752</v>
      </c>
      <c r="AL812" s="75">
        <f>AJ803</f>
        <v>849.24057910199576</v>
      </c>
      <c r="AM812" s="61"/>
      <c r="AN812" s="69">
        <f>IFERROR(ABS(AM$23-AM811),Q_max*10)</f>
        <v>5500</v>
      </c>
      <c r="AO812" s="75">
        <f>AM803</f>
        <v>1036.2348961398989</v>
      </c>
      <c r="AP812" s="61"/>
      <c r="AQ812" s="69">
        <f>IFERROR(ABS(AP$23-AP811),Q_max*10)</f>
        <v>5500</v>
      </c>
      <c r="AR812" s="75">
        <f>AP803</f>
        <v>1203.0365448894777</v>
      </c>
      <c r="AS812" s="61"/>
      <c r="AT812" s="69">
        <f>IFERROR(ABS(AS$23-AS811),Q_max*10)</f>
        <v>5500</v>
      </c>
      <c r="AU812" s="75">
        <f>AS803</f>
        <v>1369.167807854396</v>
      </c>
    </row>
    <row r="813" spans="15:47" ht="14.5" x14ac:dyDescent="0.35">
      <c r="O813" s="19"/>
      <c r="P813" s="13"/>
      <c r="Q813" s="9"/>
      <c r="R813" s="67"/>
      <c r="S813" s="56"/>
      <c r="T813" s="72"/>
      <c r="V813" s="11"/>
      <c r="W813" s="38"/>
      <c r="Y813" s="11"/>
      <c r="Z813" s="38"/>
      <c r="AB813" s="11"/>
      <c r="AC813" s="38"/>
      <c r="AE813" s="11"/>
      <c r="AF813" s="38"/>
      <c r="AH813" s="11"/>
      <c r="AI813" s="38"/>
      <c r="AK813" s="11"/>
      <c r="AL813" s="38"/>
      <c r="AN813" s="11"/>
      <c r="AO813" s="38"/>
      <c r="AQ813" s="11"/>
      <c r="AR813" s="38"/>
      <c r="AT813" s="11"/>
      <c r="AU813" s="38"/>
    </row>
    <row r="814" spans="15:47" ht="14" x14ac:dyDescent="0.3">
      <c r="O814" s="8" t="s">
        <v>235</v>
      </c>
      <c r="P814" s="6"/>
      <c r="Q814" s="60"/>
      <c r="R814" s="53">
        <f>R803*1.02</f>
        <v>3.2636395098443272</v>
      </c>
      <c r="S814" s="58" t="s">
        <v>238</v>
      </c>
      <c r="T814" s="73" t="s">
        <v>241</v>
      </c>
      <c r="U814" s="84">
        <f>U803*1.01</f>
        <v>57.2714848108496</v>
      </c>
      <c r="V814" s="58" t="s">
        <v>238</v>
      </c>
      <c r="W814" s="73" t="s">
        <v>241</v>
      </c>
      <c r="X814" s="84">
        <f>X803*1.01</f>
        <v>137.47360948287471</v>
      </c>
      <c r="Y814" s="58" t="s">
        <v>238</v>
      </c>
      <c r="Z814" s="73" t="s">
        <v>241</v>
      </c>
      <c r="AA814" s="84">
        <f>AA803*1.01</f>
        <v>262.48750295496865</v>
      </c>
      <c r="AB814" s="58" t="s">
        <v>238</v>
      </c>
      <c r="AC814" s="73" t="s">
        <v>241</v>
      </c>
      <c r="AD814" s="84">
        <f>AD803*1.01</f>
        <v>431.69530019608169</v>
      </c>
      <c r="AE814" s="58" t="s">
        <v>238</v>
      </c>
      <c r="AF814" s="73" t="s">
        <v>241</v>
      </c>
      <c r="AG814" s="84">
        <f>AG803*1.01</f>
        <v>642.73547642242636</v>
      </c>
      <c r="AH814" s="58" t="s">
        <v>238</v>
      </c>
      <c r="AI814" s="73" t="s">
        <v>241</v>
      </c>
      <c r="AJ814" s="84">
        <f>AJ803*1.01</f>
        <v>857.73298489301578</v>
      </c>
      <c r="AK814" s="58" t="s">
        <v>238</v>
      </c>
      <c r="AL814" s="73" t="s">
        <v>241</v>
      </c>
      <c r="AM814" s="84">
        <f>AM803*1.01</f>
        <v>1046.5972451012979</v>
      </c>
      <c r="AN814" s="58" t="s">
        <v>238</v>
      </c>
      <c r="AO814" s="73" t="s">
        <v>241</v>
      </c>
      <c r="AP814" s="84">
        <f>AP803*1.01</f>
        <v>1215.0669103383725</v>
      </c>
      <c r="AQ814" s="58" t="s">
        <v>238</v>
      </c>
      <c r="AR814" s="73" t="s">
        <v>241</v>
      </c>
      <c r="AS814" s="84">
        <f>AS803*1.01</f>
        <v>1382.8594859329398</v>
      </c>
      <c r="AT814" s="58" t="s">
        <v>238</v>
      </c>
      <c r="AU814" s="73" t="s">
        <v>241</v>
      </c>
    </row>
    <row r="815" spans="15:47" ht="13" x14ac:dyDescent="0.25">
      <c r="O815" s="6"/>
      <c r="P815" s="6"/>
      <c r="Q815" s="60"/>
      <c r="R815" s="70"/>
      <c r="S815" s="63" t="s">
        <v>250</v>
      </c>
      <c r="T815" s="71" t="s">
        <v>242</v>
      </c>
      <c r="U815" s="61"/>
      <c r="V815" s="63" t="s">
        <v>250</v>
      </c>
      <c r="W815" s="71" t="s">
        <v>242</v>
      </c>
      <c r="X815" s="61"/>
      <c r="Y815" s="63" t="s">
        <v>250</v>
      </c>
      <c r="Z815" s="71" t="s">
        <v>242</v>
      </c>
      <c r="AA815" s="61"/>
      <c r="AB815" s="63" t="s">
        <v>250</v>
      </c>
      <c r="AC815" s="71" t="s">
        <v>242</v>
      </c>
      <c r="AD815" s="61"/>
      <c r="AE815" s="63" t="s">
        <v>250</v>
      </c>
      <c r="AF815" s="71" t="s">
        <v>242</v>
      </c>
      <c r="AG815" s="61"/>
      <c r="AH815" s="63" t="s">
        <v>250</v>
      </c>
      <c r="AI815" s="71" t="s">
        <v>242</v>
      </c>
      <c r="AJ815" s="61"/>
      <c r="AK815" s="63" t="s">
        <v>250</v>
      </c>
      <c r="AL815" s="71" t="s">
        <v>242</v>
      </c>
      <c r="AM815" s="61"/>
      <c r="AN815" s="63" t="s">
        <v>250</v>
      </c>
      <c r="AO815" s="71" t="s">
        <v>242</v>
      </c>
      <c r="AP815" s="61"/>
      <c r="AQ815" s="63" t="s">
        <v>250</v>
      </c>
      <c r="AR815" s="71" t="s">
        <v>242</v>
      </c>
      <c r="AS815" s="61"/>
      <c r="AT815" s="63" t="s">
        <v>250</v>
      </c>
      <c r="AU815" s="71" t="s">
        <v>242</v>
      </c>
    </row>
    <row r="816" spans="15:47" ht="13" x14ac:dyDescent="0.3">
      <c r="O816" s="6" t="s">
        <v>231</v>
      </c>
      <c r="P816" s="6"/>
      <c r="Q816" s="60"/>
      <c r="R816" s="85">
        <f>P_1_minQ-(R814^2*R_up)+dpup_minQ</f>
        <v>56.915783473730151</v>
      </c>
      <c r="S816" s="56"/>
      <c r="T816" s="72"/>
      <c r="U816" s="53">
        <f>P_1_minQ-(U814^2*R_up)+dpup_minQ</f>
        <v>56.805369031663645</v>
      </c>
      <c r="V816" s="44"/>
      <c r="W816" s="72"/>
      <c r="X816" s="53">
        <f>P_1_minQ-(X814^2*R_up)+dpup_minQ</f>
        <v>56.277879321031747</v>
      </c>
      <c r="Y816" s="44"/>
      <c r="Z816" s="72"/>
      <c r="AA816" s="53">
        <f>P_1_minQ-(AA814^2*R_up)+dpup_minQ</f>
        <v>54.589237108830304</v>
      </c>
      <c r="AB816" s="44"/>
      <c r="AC816" s="72"/>
      <c r="AD816" s="53">
        <f>P_1_minQ-(AD814^2*R_up)+dpup_minQ</f>
        <v>50.622295433590509</v>
      </c>
      <c r="AE816" s="44"/>
      <c r="AF816" s="72"/>
      <c r="AG816" s="53">
        <f>P_1_minQ-(AG814^2*R_up)+dpup_minQ</f>
        <v>42.964475087741867</v>
      </c>
      <c r="AH816" s="44"/>
      <c r="AI816" s="72"/>
      <c r="AJ816" s="53">
        <f>P_1_minQ-(AJ814^2*R_up)+dpup_minQ</f>
        <v>32.06960913970002</v>
      </c>
      <c r="AK816" s="44"/>
      <c r="AL816" s="72"/>
      <c r="AM816" s="53">
        <f>P_1_minQ-(AM814^2*R_up)+dpup_minQ</f>
        <v>19.923039734764405</v>
      </c>
      <c r="AN816" s="44"/>
      <c r="AO816" s="72"/>
      <c r="AP816" s="53">
        <f>P_1_minQ-(AP814^2*R_up)+dpup_minQ</f>
        <v>7.0550288213698478</v>
      </c>
      <c r="AQ816" s="44"/>
      <c r="AR816" s="72"/>
      <c r="AS816" s="53">
        <f>P_1_minQ-(AS814^2*R_up)+dpup_minQ</f>
        <v>-7.6667800687171495</v>
      </c>
      <c r="AT816" s="44"/>
      <c r="AU816" s="72"/>
    </row>
    <row r="817" spans="15:47" ht="13" x14ac:dyDescent="0.3">
      <c r="O817" s="6" t="s">
        <v>233</v>
      </c>
      <c r="P817" s="6"/>
      <c r="Q817" s="60"/>
      <c r="R817" s="85">
        <f>P_2_minQ+(R814^2*R_dn)-dpdn_minQ</f>
        <v>24.656843305253972</v>
      </c>
      <c r="S817" s="66"/>
      <c r="T817" s="74"/>
      <c r="U817" s="53">
        <f>P_2_minQ+(U814^2*R_dn)-dpdn_minQ</f>
        <v>24.678926193667273</v>
      </c>
      <c r="V817" s="45"/>
      <c r="W817" s="74"/>
      <c r="X817" s="53">
        <f>P_2_minQ+(X814^2*R_dn)-dpdn_minQ</f>
        <v>24.784424135793653</v>
      </c>
      <c r="Y817" s="45"/>
      <c r="Z817" s="74"/>
      <c r="AA817" s="53">
        <f>P_2_minQ+(AA814^2*R_dn)-dpdn_minQ</f>
        <v>25.122152578233941</v>
      </c>
      <c r="AB817" s="45"/>
      <c r="AC817" s="74"/>
      <c r="AD817" s="53">
        <f>P_2_minQ+(AD814^2*R_dn)-dpdn_minQ</f>
        <v>25.915540913281898</v>
      </c>
      <c r="AE817" s="45"/>
      <c r="AF817" s="74"/>
      <c r="AG817" s="53">
        <f>P_2_minQ+(AG814^2*R_dn)-dpdn_minQ</f>
        <v>27.447104982451627</v>
      </c>
      <c r="AH817" s="45"/>
      <c r="AI817" s="74"/>
      <c r="AJ817" s="53">
        <f>P_2_minQ+(AJ814^2*R_dn)-dpdn_minQ</f>
        <v>29.626078172059998</v>
      </c>
      <c r="AK817" s="45"/>
      <c r="AL817" s="74"/>
      <c r="AM817" s="53">
        <f>P_2_minQ+(AM814^2*R_dn)-dpdn_minQ</f>
        <v>32.055392053047122</v>
      </c>
      <c r="AN817" s="45"/>
      <c r="AO817" s="74"/>
      <c r="AP817" s="53">
        <f>P_2_minQ+(AP814^2*R_dn)-dpdn_minQ</f>
        <v>34.628994235726033</v>
      </c>
      <c r="AQ817" s="45"/>
      <c r="AR817" s="74"/>
      <c r="AS817" s="53">
        <f>P_2_minQ+(AS814^2*R_dn)-dpdn_minQ</f>
        <v>37.573356013743435</v>
      </c>
      <c r="AT817" s="45"/>
      <c r="AU817" s="74"/>
    </row>
    <row r="818" spans="15:47" x14ac:dyDescent="0.25">
      <c r="O818" s="6" t="s">
        <v>243</v>
      </c>
      <c r="Q818" s="60"/>
      <c r="R818" s="53">
        <f>R816-R817</f>
        <v>32.25894016847618</v>
      </c>
      <c r="S818" s="56"/>
      <c r="T818" s="72"/>
      <c r="U818" s="64">
        <f>U816-U817</f>
        <v>32.126442837996372</v>
      </c>
      <c r="V818" s="44"/>
      <c r="W818" s="72"/>
      <c r="X818" s="64">
        <f>X816-X817</f>
        <v>31.493455185238094</v>
      </c>
      <c r="Y818" s="44"/>
      <c r="Z818" s="72"/>
      <c r="AA818" s="64">
        <f>AA816-AA817</f>
        <v>29.467084530596363</v>
      </c>
      <c r="AB818" s="44"/>
      <c r="AC818" s="72"/>
      <c r="AD818" s="64">
        <f>AD816-AD817</f>
        <v>24.706754520308611</v>
      </c>
      <c r="AE818" s="44"/>
      <c r="AF818" s="72"/>
      <c r="AG818" s="64">
        <f>AG816-AG817</f>
        <v>15.51737010529024</v>
      </c>
      <c r="AH818" s="44"/>
      <c r="AI818" s="72"/>
      <c r="AJ818" s="64">
        <f>AJ816-AJ817</f>
        <v>2.4435309676400223</v>
      </c>
      <c r="AK818" s="44"/>
      <c r="AL818" s="72"/>
      <c r="AM818" s="64">
        <f>AM816-AM817</f>
        <v>-12.132352318282717</v>
      </c>
      <c r="AN818" s="44"/>
      <c r="AO818" s="72"/>
      <c r="AP818" s="64">
        <f>AP816-AP817</f>
        <v>-27.573965414356184</v>
      </c>
      <c r="AQ818" s="44"/>
      <c r="AR818" s="72"/>
      <c r="AS818" s="64">
        <f>AS816-AS817</f>
        <v>-45.240136082460587</v>
      </c>
      <c r="AT818" s="44"/>
      <c r="AU818" s="72"/>
    </row>
    <row r="819" spans="15:47" ht="13" x14ac:dyDescent="0.3">
      <c r="O819" s="6" t="s">
        <v>75</v>
      </c>
      <c r="P819" s="6">
        <v>3</v>
      </c>
      <c r="Q819" s="65"/>
      <c r="R819" s="85">
        <f>(F_LP_h/F_P_h)^2*(R816-('Valve Sizing'!$V$4*'Valve Sizing'!$G$7))</f>
        <v>46.76486537373453</v>
      </c>
      <c r="S819" s="58"/>
      <c r="T819" s="73"/>
      <c r="U819" s="53">
        <f>(U$29/U$27)^2*(U816-('Valve Sizing'!$V$4*'Valve Sizing'!$G$7))</f>
        <v>46.660715169425366</v>
      </c>
      <c r="V819" s="41"/>
      <c r="W819" s="73"/>
      <c r="X819" s="53">
        <f>(X$29/X$27)^2*(X816-('Valve Sizing'!$V$4*'Valve Sizing'!$G$7))</f>
        <v>45.181372445388817</v>
      </c>
      <c r="Y819" s="41"/>
      <c r="Z819" s="73"/>
      <c r="AA819" s="53">
        <f>(AA$29/AA$27)^2*(AA816-('Valve Sizing'!$V$4*'Valve Sizing'!$G$7))</f>
        <v>41.846335409695307</v>
      </c>
      <c r="AB819" s="41"/>
      <c r="AC819" s="73"/>
      <c r="AD819" s="53">
        <f>(AD$29/AD$27)^2*(AD816-('Valve Sizing'!$V$4*'Valve Sizing'!$G$7))</f>
        <v>36.190797939747995</v>
      </c>
      <c r="AE819" s="41"/>
      <c r="AF819" s="73"/>
      <c r="AG819" s="53">
        <f>(AG$29/AG$27)^2*(AG816-('Valve Sizing'!$V$4*'Valve Sizing'!$G$7))</f>
        <v>27.387593816151828</v>
      </c>
      <c r="AH819" s="41"/>
      <c r="AI819" s="73"/>
      <c r="AJ819" s="53">
        <f>(AJ$29/AJ$27)^2*(AJ816-('Valve Sizing'!$V$4*'Valve Sizing'!$G$7))</f>
        <v>18.293404513041079</v>
      </c>
      <c r="AK819" s="41"/>
      <c r="AL819" s="73"/>
      <c r="AM819" s="53">
        <f>(AM$29/AM$27)^2*(AM816-('Valve Sizing'!$V$4*'Valve Sizing'!$G$7))</f>
        <v>9.3220643038869007</v>
      </c>
      <c r="AN819" s="41"/>
      <c r="AO819" s="73"/>
      <c r="AP819" s="53">
        <f>(AP$29/AP$27)^2*(AP816-('Valve Sizing'!$V$4*'Valve Sizing'!$G$7))</f>
        <v>2.610445078942893</v>
      </c>
      <c r="AQ819" s="41"/>
      <c r="AR819" s="73"/>
      <c r="AS819" s="53">
        <f>(AS$29/AS$27)^2*(AS816-('Valve Sizing'!$V$4*'Valve Sizing'!$G$7))</f>
        <v>-3.0493123843206384</v>
      </c>
      <c r="AT819" s="41"/>
      <c r="AU819" s="73"/>
    </row>
    <row r="820" spans="15:47" ht="13" x14ac:dyDescent="0.25">
      <c r="O820" s="1" t="s">
        <v>69</v>
      </c>
      <c r="P820" s="17">
        <v>7</v>
      </c>
      <c r="Q820" s="65"/>
      <c r="R820" s="53">
        <f>(R814/(N_1*F_P_h))*SQRT('Valve Sizing'!$G$6/R818)</f>
        <v>0.57469929346741633</v>
      </c>
      <c r="S820" s="58"/>
      <c r="T820" s="73"/>
      <c r="U820" s="64">
        <f>(U814/(N_1*U$27))*SQRT('Valve Sizing'!$G$6/U818)</f>
        <v>10.112831996307179</v>
      </c>
      <c r="V820" s="41"/>
      <c r="W820" s="73"/>
      <c r="X820" s="64">
        <f>(X814/(N_1*X$27))*SQRT('Valve Sizing'!$G$6/X818)</f>
        <v>24.572508735301795</v>
      </c>
      <c r="Y820" s="41"/>
      <c r="Z820" s="73"/>
      <c r="AA820" s="64">
        <f>(AA814/(N_1*AA$27))*SQRT('Valve Sizing'!$G$6/AA818)</f>
        <v>48.783357787777078</v>
      </c>
      <c r="AB820" s="41"/>
      <c r="AC820" s="73"/>
      <c r="AD820" s="64">
        <f>(AD814/(N_1*AD$27))*SQRT('Valve Sizing'!$G$6/AD818)</f>
        <v>88.720977073075971</v>
      </c>
      <c r="AE820" s="41"/>
      <c r="AF820" s="73"/>
      <c r="AG820" s="64">
        <f>(AG814/(N_1*AG$27))*SQRT('Valve Sizing'!$G$6/AG818)</f>
        <v>170.39751903665754</v>
      </c>
      <c r="AH820" s="41"/>
      <c r="AI820" s="73"/>
      <c r="AJ820" s="64">
        <f>(AJ814/(N_1*AJ$27))*SQRT('Valve Sizing'!$G$6/AJ818)</f>
        <v>593.86589657009222</v>
      </c>
      <c r="AK820" s="41"/>
      <c r="AL820" s="73"/>
      <c r="AM820" s="64" t="e">
        <f>(AM814/(N_1*AM$27))*SQRT('Valve Sizing'!$G$6/AM818)</f>
        <v>#NUM!</v>
      </c>
      <c r="AN820" s="41"/>
      <c r="AO820" s="73"/>
      <c r="AP820" s="64" t="e">
        <f>(AP814/(N_1*AP$27))*SQRT('Valve Sizing'!$G$6/AP818)</f>
        <v>#NUM!</v>
      </c>
      <c r="AQ820" s="41"/>
      <c r="AR820" s="73"/>
      <c r="AS820" s="64" t="e">
        <f>(AS814/(N_1*AS$27))*SQRT('Valve Sizing'!$G$6/AS818)</f>
        <v>#NUM!</v>
      </c>
      <c r="AT820" s="41"/>
      <c r="AU820" s="73"/>
    </row>
    <row r="821" spans="15:47" ht="13" x14ac:dyDescent="0.3">
      <c r="O821" s="1" t="s">
        <v>72</v>
      </c>
      <c r="P821" s="17">
        <v>7</v>
      </c>
      <c r="Q821" s="65"/>
      <c r="R821" s="53">
        <f>(R814/(N_1*F_P_h))*SQRT('Valve Sizing'!$G$6/R819)</f>
        <v>0.477315861531104</v>
      </c>
      <c r="S821" s="56"/>
      <c r="T821" s="72"/>
      <c r="U821" s="85">
        <f>(U814/(N_1*U$27))*SQRT('Valve Sizing'!$G$6/U819)</f>
        <v>8.391283957179116</v>
      </c>
      <c r="V821" s="44"/>
      <c r="W821" s="72"/>
      <c r="X821" s="85">
        <f>(X814/(N_1*X$27))*SQRT('Valve Sizing'!$G$6/X819)</f>
        <v>20.515397857426162</v>
      </c>
      <c r="Y821" s="44"/>
      <c r="Z821" s="72"/>
      <c r="AA821" s="85">
        <f>(AA814/(N_1*AA$27))*SQRT('Valve Sizing'!$G$6/AA819)</f>
        <v>40.936580109504064</v>
      </c>
      <c r="AB821" s="44"/>
      <c r="AC821" s="72"/>
      <c r="AD821" s="85">
        <f>(AD814/(N_1*AD$27))*SQRT('Valve Sizing'!$G$6/AD819)</f>
        <v>73.305251283696819</v>
      </c>
      <c r="AE821" s="44"/>
      <c r="AF821" s="72"/>
      <c r="AG821" s="85">
        <f>(AG814/(N_1*AG$27))*SQRT('Valve Sizing'!$G$6/AG819)</f>
        <v>128.26122616127071</v>
      </c>
      <c r="AH821" s="44"/>
      <c r="AI821" s="72"/>
      <c r="AJ821" s="85">
        <f>(AJ814/(N_1*AJ$27))*SQRT('Valve Sizing'!$G$6/AJ819)</f>
        <v>217.04512759915616</v>
      </c>
      <c r="AK821" s="44"/>
      <c r="AL821" s="72"/>
      <c r="AM821" s="85">
        <f>(AM814/(N_1*AM$27))*SQRT('Valve Sizing'!$G$6/AM819)</f>
        <v>393.62931162319182</v>
      </c>
      <c r="AN821" s="44"/>
      <c r="AO821" s="72"/>
      <c r="AP821" s="85">
        <f>(AP814/(N_1*AP$27))*SQRT('Valve Sizing'!$G$6/AP819)</f>
        <v>982.93153878472492</v>
      </c>
      <c r="AQ821" s="44"/>
      <c r="AR821" s="72"/>
      <c r="AS821" s="85" t="e">
        <f>(AS814/(N_1*AS$27))*SQRT('Valve Sizing'!$G$6/AS819)</f>
        <v>#NUM!</v>
      </c>
      <c r="AT821" s="44"/>
      <c r="AU821" s="72"/>
    </row>
    <row r="822" spans="15:47" x14ac:dyDescent="0.25">
      <c r="O822" s="1" t="s">
        <v>246</v>
      </c>
      <c r="P822" s="18"/>
      <c r="Q822" s="65"/>
      <c r="R822" s="53">
        <f>IF(R818&lt;R819,R820,R821)</f>
        <v>0.57469929346741633</v>
      </c>
      <c r="S822" s="49"/>
      <c r="T822" s="72"/>
      <c r="U822" s="64">
        <f>IF(U818&lt;U819,U820,U821)</f>
        <v>10.112831996307179</v>
      </c>
      <c r="V822" s="44"/>
      <c r="W822" s="72"/>
      <c r="X822" s="64">
        <f>IF(X818&lt;X819,X820,X821)</f>
        <v>24.572508735301795</v>
      </c>
      <c r="Y822" s="44"/>
      <c r="Z822" s="72"/>
      <c r="AA822" s="64">
        <f>IF(AA818&lt;AA819,AA820,AA821)</f>
        <v>48.783357787777078</v>
      </c>
      <c r="AB822" s="44"/>
      <c r="AC822" s="72"/>
      <c r="AD822" s="64">
        <f>IF(AD818&lt;AD819,AD820,AD821)</f>
        <v>88.720977073075971</v>
      </c>
      <c r="AE822" s="44"/>
      <c r="AF822" s="72"/>
      <c r="AG822" s="64">
        <f>IF(AG818&lt;AG819,AG820,AG821)</f>
        <v>170.39751903665754</v>
      </c>
      <c r="AH822" s="44"/>
      <c r="AI822" s="72"/>
      <c r="AJ822" s="64">
        <f>IF(AJ818&lt;AJ819,AJ820,AJ821)</f>
        <v>593.86589657009222</v>
      </c>
      <c r="AK822" s="44"/>
      <c r="AL822" s="72"/>
      <c r="AM822" s="64" t="e">
        <f>IF(AM818&lt;AM819,AM820,AM821)</f>
        <v>#NUM!</v>
      </c>
      <c r="AN822" s="44"/>
      <c r="AO822" s="72"/>
      <c r="AP822" s="64" t="e">
        <f>IF(AP818&lt;AP819,AP820,AP821)</f>
        <v>#NUM!</v>
      </c>
      <c r="AQ822" s="44"/>
      <c r="AR822" s="72"/>
      <c r="AS822" s="64" t="e">
        <f>IF(AS818&lt;AS819,AS820,AS821)</f>
        <v>#NUM!</v>
      </c>
      <c r="AT822" s="44"/>
      <c r="AU822" s="72"/>
    </row>
    <row r="823" spans="15:47" ht="13" x14ac:dyDescent="0.3">
      <c r="O823" s="7" t="s">
        <v>264</v>
      </c>
      <c r="Q823" s="61"/>
      <c r="R823" s="53"/>
      <c r="S823" s="69">
        <f>IFERROR(ABS(C_h-R822),Q_max*10)</f>
        <v>4.4253007065325836</v>
      </c>
      <c r="T823" s="76">
        <f>R814</f>
        <v>3.2636395098443272</v>
      </c>
      <c r="U823" s="61"/>
      <c r="V823" s="69">
        <f>IFERROR(ABS(U$23-U822),Q_max*10)</f>
        <v>1.8871680036928211</v>
      </c>
      <c r="W823" s="75">
        <f>U814</f>
        <v>57.2714848108496</v>
      </c>
      <c r="X823" s="61"/>
      <c r="Y823" s="69">
        <f>IFERROR(ABS(X$23-X822),Q_max*10)</f>
        <v>1.5725087353017955</v>
      </c>
      <c r="Z823" s="75">
        <f>X814</f>
        <v>137.47360948287471</v>
      </c>
      <c r="AA823" s="61"/>
      <c r="AB823" s="69">
        <f>IFERROR(ABS(AA$23-AA822),Q_max*10)</f>
        <v>9.7833577877770779</v>
      </c>
      <c r="AC823" s="75">
        <f>AA814</f>
        <v>262.48750295496865</v>
      </c>
      <c r="AD823" s="61"/>
      <c r="AE823" s="69">
        <f>IFERROR(ABS(AD$23-AD822),Q_max*10)</f>
        <v>27.720977073075971</v>
      </c>
      <c r="AF823" s="75">
        <f>AD814</f>
        <v>431.69530019608169</v>
      </c>
      <c r="AG823" s="61"/>
      <c r="AH823" s="69">
        <f>IFERROR(ABS(AG$23-AG822),Q_max*10)</f>
        <v>82.397519036657542</v>
      </c>
      <c r="AI823" s="75">
        <f>AG814</f>
        <v>642.73547642242636</v>
      </c>
      <c r="AJ823" s="61"/>
      <c r="AK823" s="69">
        <f>IFERROR(ABS(AJ$23-AJ822),Q_max*10)</f>
        <v>472.86589657009222</v>
      </c>
      <c r="AL823" s="75">
        <f>AJ814</f>
        <v>857.73298489301578</v>
      </c>
      <c r="AM823" s="61"/>
      <c r="AN823" s="69">
        <f>IFERROR(ABS(AM$23-AM822),Q_max*10)</f>
        <v>5500</v>
      </c>
      <c r="AO823" s="75">
        <f>AM814</f>
        <v>1046.5972451012979</v>
      </c>
      <c r="AP823" s="61"/>
      <c r="AQ823" s="69">
        <f>IFERROR(ABS(AP$23-AP822),Q_max*10)</f>
        <v>5500</v>
      </c>
      <c r="AR823" s="75">
        <f>AP814</f>
        <v>1215.0669103383725</v>
      </c>
      <c r="AS823" s="61"/>
      <c r="AT823" s="69">
        <f>IFERROR(ABS(AS$23-AS822),Q_max*10)</f>
        <v>5500</v>
      </c>
      <c r="AU823" s="75">
        <f>AS814</f>
        <v>1382.8594859329398</v>
      </c>
    </row>
    <row r="824" spans="15:47" ht="14.5" x14ac:dyDescent="0.35">
      <c r="O824" s="6"/>
      <c r="P824" s="6"/>
      <c r="Q824" s="60"/>
      <c r="R824" s="67"/>
      <c r="S824" s="56"/>
      <c r="T824" s="72"/>
      <c r="V824" s="11"/>
      <c r="W824" s="38"/>
      <c r="Y824" s="11"/>
      <c r="Z824" s="38"/>
      <c r="AB824" s="11"/>
      <c r="AC824" s="38"/>
      <c r="AE824" s="11"/>
      <c r="AF824" s="38"/>
      <c r="AH824" s="11"/>
      <c r="AI824" s="38"/>
      <c r="AK824" s="11"/>
      <c r="AL824" s="38"/>
      <c r="AN824" s="11"/>
      <c r="AO824" s="38"/>
      <c r="AQ824" s="11"/>
      <c r="AR824" s="38"/>
      <c r="AT824" s="11"/>
      <c r="AU824" s="38"/>
    </row>
    <row r="825" spans="15:47" ht="14" x14ac:dyDescent="0.3">
      <c r="O825" s="8" t="s">
        <v>235</v>
      </c>
      <c r="P825" s="6"/>
      <c r="Q825" s="60"/>
      <c r="R825" s="53">
        <f>R814*1.02</f>
        <v>3.328912300041214</v>
      </c>
      <c r="S825" s="58" t="s">
        <v>238</v>
      </c>
      <c r="T825" s="73" t="s">
        <v>241</v>
      </c>
      <c r="U825" s="84">
        <f>U814*1.01</f>
        <v>57.844199658958097</v>
      </c>
      <c r="V825" s="58" t="s">
        <v>238</v>
      </c>
      <c r="W825" s="73" t="s">
        <v>241</v>
      </c>
      <c r="X825" s="84">
        <f>X814*1.01</f>
        <v>138.84834557770347</v>
      </c>
      <c r="Y825" s="58" t="s">
        <v>238</v>
      </c>
      <c r="Z825" s="73" t="s">
        <v>241</v>
      </c>
      <c r="AA825" s="84">
        <f>AA814*1.01</f>
        <v>265.11237798451833</v>
      </c>
      <c r="AB825" s="58" t="s">
        <v>238</v>
      </c>
      <c r="AC825" s="73" t="s">
        <v>241</v>
      </c>
      <c r="AD825" s="84">
        <f>AD814*1.01</f>
        <v>436.01225319804252</v>
      </c>
      <c r="AE825" s="58" t="s">
        <v>238</v>
      </c>
      <c r="AF825" s="73" t="s">
        <v>241</v>
      </c>
      <c r="AG825" s="84">
        <f>AG814*1.01</f>
        <v>649.16283118665058</v>
      </c>
      <c r="AH825" s="58" t="s">
        <v>238</v>
      </c>
      <c r="AI825" s="73" t="s">
        <v>241</v>
      </c>
      <c r="AJ825" s="84">
        <f>AJ814*1.01</f>
        <v>866.31031474194594</v>
      </c>
      <c r="AK825" s="58" t="s">
        <v>238</v>
      </c>
      <c r="AL825" s="73" t="s">
        <v>241</v>
      </c>
      <c r="AM825" s="84">
        <f>AM814*1.01</f>
        <v>1057.0632175523108</v>
      </c>
      <c r="AN825" s="58" t="s">
        <v>238</v>
      </c>
      <c r="AO825" s="73" t="s">
        <v>241</v>
      </c>
      <c r="AP825" s="84">
        <f>AP814*1.01</f>
        <v>1227.2175794417562</v>
      </c>
      <c r="AQ825" s="58" t="s">
        <v>238</v>
      </c>
      <c r="AR825" s="73" t="s">
        <v>241</v>
      </c>
      <c r="AS825" s="84">
        <f>AS814*1.01</f>
        <v>1396.6880807922691</v>
      </c>
      <c r="AT825" s="58" t="s">
        <v>238</v>
      </c>
      <c r="AU825" s="73" t="s">
        <v>241</v>
      </c>
    </row>
    <row r="826" spans="15:47" ht="13" x14ac:dyDescent="0.25">
      <c r="O826" s="6"/>
      <c r="P826" s="6"/>
      <c r="Q826" s="60"/>
      <c r="R826" s="70"/>
      <c r="S826" s="63" t="s">
        <v>250</v>
      </c>
      <c r="T826" s="71" t="s">
        <v>242</v>
      </c>
      <c r="U826" s="61"/>
      <c r="V826" s="63" t="s">
        <v>250</v>
      </c>
      <c r="W826" s="71" t="s">
        <v>242</v>
      </c>
      <c r="X826" s="61"/>
      <c r="Y826" s="63" t="s">
        <v>250</v>
      </c>
      <c r="Z826" s="71" t="s">
        <v>242</v>
      </c>
      <c r="AA826" s="61"/>
      <c r="AB826" s="63" t="s">
        <v>250</v>
      </c>
      <c r="AC826" s="71" t="s">
        <v>242</v>
      </c>
      <c r="AD826" s="61"/>
      <c r="AE826" s="63" t="s">
        <v>250</v>
      </c>
      <c r="AF826" s="71" t="s">
        <v>242</v>
      </c>
      <c r="AG826" s="61"/>
      <c r="AH826" s="63" t="s">
        <v>250</v>
      </c>
      <c r="AI826" s="71" t="s">
        <v>242</v>
      </c>
      <c r="AJ826" s="61"/>
      <c r="AK826" s="63" t="s">
        <v>250</v>
      </c>
      <c r="AL826" s="71" t="s">
        <v>242</v>
      </c>
      <c r="AM826" s="61"/>
      <c r="AN826" s="63" t="s">
        <v>250</v>
      </c>
      <c r="AO826" s="71" t="s">
        <v>242</v>
      </c>
      <c r="AP826" s="61"/>
      <c r="AQ826" s="63" t="s">
        <v>250</v>
      </c>
      <c r="AR826" s="71" t="s">
        <v>242</v>
      </c>
      <c r="AS826" s="61"/>
      <c r="AT826" s="63" t="s">
        <v>250</v>
      </c>
      <c r="AU826" s="71" t="s">
        <v>242</v>
      </c>
    </row>
    <row r="827" spans="15:47" ht="13" x14ac:dyDescent="0.3">
      <c r="O827" s="6" t="s">
        <v>231</v>
      </c>
      <c r="P827" s="6"/>
      <c r="Q827" s="60"/>
      <c r="R827" s="85">
        <f>P_1_minQ-(R825^2*R_up)+dpup_minQ</f>
        <v>56.915768940996237</v>
      </c>
      <c r="S827" s="56"/>
      <c r="T827" s="72"/>
      <c r="U827" s="53">
        <f>P_1_minQ-(U825^2*R_up)+dpup_minQ</f>
        <v>56.803142470983268</v>
      </c>
      <c r="V827" s="44"/>
      <c r="W827" s="72"/>
      <c r="X827" s="53">
        <f>P_1_minQ-(X825^2*R_up)+dpup_minQ</f>
        <v>56.265050217167669</v>
      </c>
      <c r="Y827" s="44"/>
      <c r="Z827" s="72"/>
      <c r="AA827" s="53">
        <f>P_1_minQ-(AA825^2*R_up)+dpup_minQ</f>
        <v>54.542466296500976</v>
      </c>
      <c r="AB827" s="44"/>
      <c r="AC827" s="72"/>
      <c r="AD827" s="53">
        <f>P_1_minQ-(AD825^2*R_up)+dpup_minQ</f>
        <v>50.495789093588854</v>
      </c>
      <c r="AE827" s="44"/>
      <c r="AF827" s="72"/>
      <c r="AG827" s="53">
        <f>P_1_minQ-(AG825^2*R_up)+dpup_minQ</f>
        <v>42.684046558788658</v>
      </c>
      <c r="AH827" s="44"/>
      <c r="AI827" s="72"/>
      <c r="AJ827" s="53">
        <f>P_1_minQ-(AJ825^2*R_up)+dpup_minQ</f>
        <v>31.570193805191174</v>
      </c>
      <c r="AK827" s="44"/>
      <c r="AL827" s="72"/>
      <c r="AM827" s="53">
        <f>P_1_minQ-(AM825^2*R_up)+dpup_minQ</f>
        <v>19.17947835521635</v>
      </c>
      <c r="AN827" s="44"/>
      <c r="AO827" s="72"/>
      <c r="AP827" s="53">
        <f>P_1_minQ-(AP825^2*R_up)+dpup_minQ</f>
        <v>6.0528204224625695</v>
      </c>
      <c r="AQ827" s="44"/>
      <c r="AR827" s="72"/>
      <c r="AS827" s="53">
        <f>P_1_minQ-(AS825^2*R_up)+dpup_minQ</f>
        <v>-8.9648968263151723</v>
      </c>
      <c r="AT827" s="44"/>
      <c r="AU827" s="72"/>
    </row>
    <row r="828" spans="15:47" ht="13" x14ac:dyDescent="0.3">
      <c r="O828" s="6" t="s">
        <v>233</v>
      </c>
      <c r="P828" s="6"/>
      <c r="Q828" s="60"/>
      <c r="R828" s="85">
        <f>P_2_minQ+(R825^2*R_dn)-dpdn_minQ</f>
        <v>24.656846211800755</v>
      </c>
      <c r="S828" s="66"/>
      <c r="T828" s="74"/>
      <c r="U828" s="53">
        <f>P_2_minQ+(U825^2*R_dn)-dpdn_minQ</f>
        <v>24.679371505803349</v>
      </c>
      <c r="V828" s="45"/>
      <c r="W828" s="74"/>
      <c r="X828" s="53">
        <f>P_2_minQ+(X825^2*R_dn)-dpdn_minQ</f>
        <v>24.786989956566469</v>
      </c>
      <c r="Y828" s="45"/>
      <c r="Z828" s="74"/>
      <c r="AA828" s="53">
        <f>P_2_minQ+(AA825^2*R_dn)-dpdn_minQ</f>
        <v>25.131506740699805</v>
      </c>
      <c r="AB828" s="45"/>
      <c r="AC828" s="74"/>
      <c r="AD828" s="53">
        <f>P_2_minQ+(AD825^2*R_dn)-dpdn_minQ</f>
        <v>25.940842181282228</v>
      </c>
      <c r="AE828" s="45"/>
      <c r="AF828" s="74"/>
      <c r="AG828" s="53">
        <f>P_2_minQ+(AG825^2*R_dn)-dpdn_minQ</f>
        <v>27.50319068824227</v>
      </c>
      <c r="AH828" s="45"/>
      <c r="AI828" s="74"/>
      <c r="AJ828" s="53">
        <f>P_2_minQ+(AJ825^2*R_dn)-dpdn_minQ</f>
        <v>29.725961238961766</v>
      </c>
      <c r="AK828" s="45"/>
      <c r="AL828" s="74"/>
      <c r="AM828" s="53">
        <f>P_2_minQ+(AM825^2*R_dn)-dpdn_minQ</f>
        <v>32.204104328956731</v>
      </c>
      <c r="AN828" s="45"/>
      <c r="AO828" s="74"/>
      <c r="AP828" s="53">
        <f>P_2_minQ+(AP825^2*R_dn)-dpdn_minQ</f>
        <v>34.829435915507489</v>
      </c>
      <c r="AQ828" s="45"/>
      <c r="AR828" s="74"/>
      <c r="AS828" s="53">
        <f>P_2_minQ+(AS825^2*R_dn)-dpdn_minQ</f>
        <v>37.832979365263043</v>
      </c>
      <c r="AT828" s="45"/>
      <c r="AU828" s="74"/>
    </row>
    <row r="829" spans="15:47" x14ac:dyDescent="0.25">
      <c r="O829" s="6" t="s">
        <v>243</v>
      </c>
      <c r="Q829" s="60"/>
      <c r="R829" s="53">
        <f>R827-R828</f>
        <v>32.258922729195483</v>
      </c>
      <c r="S829" s="56"/>
      <c r="T829" s="72"/>
      <c r="U829" s="64">
        <f>U827-U828</f>
        <v>32.123770965179915</v>
      </c>
      <c r="V829" s="44"/>
      <c r="W829" s="72"/>
      <c r="X829" s="64">
        <f>X827-X828</f>
        <v>31.4780602606012</v>
      </c>
      <c r="Y829" s="44"/>
      <c r="Z829" s="72"/>
      <c r="AA829" s="64">
        <f>AA827-AA828</f>
        <v>29.41095955580117</v>
      </c>
      <c r="AB829" s="44"/>
      <c r="AC829" s="72"/>
      <c r="AD829" s="64">
        <f>AD827-AD828</f>
        <v>24.554946912306626</v>
      </c>
      <c r="AE829" s="44"/>
      <c r="AF829" s="72"/>
      <c r="AG829" s="64">
        <f>AG827-AG828</f>
        <v>15.180855870546388</v>
      </c>
      <c r="AH829" s="44"/>
      <c r="AI829" s="72"/>
      <c r="AJ829" s="64">
        <f>AJ827-AJ828</f>
        <v>1.8442325662294081</v>
      </c>
      <c r="AK829" s="44"/>
      <c r="AL829" s="72"/>
      <c r="AM829" s="64">
        <f>AM827-AM828</f>
        <v>-13.024625973740381</v>
      </c>
      <c r="AN829" s="44"/>
      <c r="AO829" s="72"/>
      <c r="AP829" s="64">
        <f>AP827-AP828</f>
        <v>-28.776615493044918</v>
      </c>
      <c r="AQ829" s="44"/>
      <c r="AR829" s="72"/>
      <c r="AS829" s="64">
        <f>AS827-AS828</f>
        <v>-46.797876191578212</v>
      </c>
      <c r="AT829" s="44"/>
      <c r="AU829" s="72"/>
    </row>
    <row r="830" spans="15:47" ht="13" x14ac:dyDescent="0.3">
      <c r="O830" s="6" t="s">
        <v>75</v>
      </c>
      <c r="P830" s="6">
        <v>3</v>
      </c>
      <c r="Q830" s="65"/>
      <c r="R830" s="85">
        <f>(F_LP_h/F_P_h)^2*(R827-('Valve Sizing'!$V$4*'Valve Sizing'!$G$7))</f>
        <v>46.764853339868033</v>
      </c>
      <c r="S830" s="58"/>
      <c r="T830" s="73"/>
      <c r="U830" s="53">
        <f>(U$29/U$27)^2*(U827-('Valve Sizing'!$V$4*'Valve Sizing'!$G$7))</f>
        <v>46.658871962828918</v>
      </c>
      <c r="V830" s="41"/>
      <c r="W830" s="73"/>
      <c r="X830" s="53">
        <f>(X$29/X$27)^2*(X827-('Valve Sizing'!$V$4*'Valve Sizing'!$G$7))</f>
        <v>45.17099173026287</v>
      </c>
      <c r="Y830" s="41"/>
      <c r="Z830" s="73"/>
      <c r="AA830" s="53">
        <f>(AA$29/AA$27)^2*(AA827-('Valve Sizing'!$V$4*'Valve Sizing'!$G$7))</f>
        <v>41.810191055886762</v>
      </c>
      <c r="AB830" s="41"/>
      <c r="AC830" s="73"/>
      <c r="AD830" s="53">
        <f>(AD$29/AD$27)^2*(AD827-('Valve Sizing'!$V$4*'Valve Sizing'!$G$7))</f>
        <v>36.099563160410909</v>
      </c>
      <c r="AE830" s="41"/>
      <c r="AF830" s="73"/>
      <c r="AG830" s="53">
        <f>(AG$29/AG$27)^2*(AG827-('Valve Sizing'!$V$4*'Valve Sizing'!$G$7))</f>
        <v>27.206985518340339</v>
      </c>
      <c r="AH830" s="41"/>
      <c r="AI830" s="73"/>
      <c r="AJ830" s="53">
        <f>(AJ$29/AJ$27)^2*(AJ827-('Valve Sizing'!$V$4*'Valve Sizing'!$G$7))</f>
        <v>18.004560495046146</v>
      </c>
      <c r="AK830" s="41"/>
      <c r="AL830" s="73"/>
      <c r="AM830" s="53">
        <f>(AM$29/AM$27)^2*(AM827-('Valve Sizing'!$V$4*'Valve Sizing'!$G$7))</f>
        <v>8.96629089247471</v>
      </c>
      <c r="AN830" s="41"/>
      <c r="AO830" s="73"/>
      <c r="AP830" s="53">
        <f>(AP$29/AP$27)^2*(AP827-('Valve Sizing'!$V$4*'Valve Sizing'!$G$7))</f>
        <v>2.2149467581301723</v>
      </c>
      <c r="AQ830" s="41"/>
      <c r="AR830" s="73"/>
      <c r="AS830" s="53">
        <f>(AS$29/AS$27)^2*(AS827-('Valve Sizing'!$V$4*'Valve Sizing'!$G$7))</f>
        <v>-3.5375870523630337</v>
      </c>
      <c r="AT830" s="41"/>
      <c r="AU830" s="73"/>
    </row>
    <row r="831" spans="15:47" ht="13" x14ac:dyDescent="0.25">
      <c r="O831" s="1" t="s">
        <v>69</v>
      </c>
      <c r="P831" s="17">
        <v>7</v>
      </c>
      <c r="Q831" s="65"/>
      <c r="R831" s="53">
        <f>(R825/(N_1*F_P_h))*SQRT('Valve Sizing'!$G$6/R829)</f>
        <v>0.5861934377857595</v>
      </c>
      <c r="S831" s="58"/>
      <c r="T831" s="73"/>
      <c r="U831" s="64">
        <f>(U825/(N_1*U$27))*SQRT('Valve Sizing'!$G$6/U829)</f>
        <v>10.214385077041729</v>
      </c>
      <c r="V831" s="41"/>
      <c r="W831" s="73"/>
      <c r="X831" s="64">
        <f>(X825/(N_1*X$27))*SQRT('Valve Sizing'!$G$6/X829)</f>
        <v>24.824301987789436</v>
      </c>
      <c r="Y831" s="41"/>
      <c r="Z831" s="73"/>
      <c r="AA831" s="64">
        <f>(AA825/(N_1*AA$27))*SQRT('Valve Sizing'!$G$6/AA829)</f>
        <v>49.318181100007948</v>
      </c>
      <c r="AB831" s="41"/>
      <c r="AC831" s="73"/>
      <c r="AD831" s="64">
        <f>(AD825/(N_1*AD$27))*SQRT('Valve Sizing'!$G$6/AD829)</f>
        <v>89.884755233546329</v>
      </c>
      <c r="AE831" s="41"/>
      <c r="AF831" s="73"/>
      <c r="AG831" s="64">
        <f>(AG825/(N_1*AG$27))*SQRT('Valve Sizing'!$G$6/AG829)</f>
        <v>173.99852702214383</v>
      </c>
      <c r="AH831" s="41"/>
      <c r="AI831" s="73"/>
      <c r="AJ831" s="64">
        <f>(AJ825/(N_1*AJ$27))*SQRT('Valve Sizing'!$G$6/AJ829)</f>
        <v>690.41598869064467</v>
      </c>
      <c r="AK831" s="41"/>
      <c r="AL831" s="73"/>
      <c r="AM831" s="64" t="e">
        <f>(AM825/(N_1*AM$27))*SQRT('Valve Sizing'!$G$6/AM829)</f>
        <v>#NUM!</v>
      </c>
      <c r="AN831" s="41"/>
      <c r="AO831" s="73"/>
      <c r="AP831" s="64" t="e">
        <f>(AP825/(N_1*AP$27))*SQRT('Valve Sizing'!$G$6/AP829)</f>
        <v>#NUM!</v>
      </c>
      <c r="AQ831" s="41"/>
      <c r="AR831" s="73"/>
      <c r="AS831" s="64" t="e">
        <f>(AS825/(N_1*AS$27))*SQRT('Valve Sizing'!$G$6/AS829)</f>
        <v>#NUM!</v>
      </c>
      <c r="AT831" s="41"/>
      <c r="AU831" s="73"/>
    </row>
    <row r="832" spans="15:47" ht="13" x14ac:dyDescent="0.3">
      <c r="O832" s="1" t="s">
        <v>72</v>
      </c>
      <c r="P832" s="17">
        <v>7</v>
      </c>
      <c r="Q832" s="65"/>
      <c r="R832" s="53">
        <f>(R825/(N_1*F_P_h))*SQRT('Valve Sizing'!$G$6/R830)</f>
        <v>0.48686224140315093</v>
      </c>
      <c r="S832" s="56"/>
      <c r="T832" s="72"/>
      <c r="U832" s="85">
        <f>(U825/(N_1*U$27))*SQRT('Valve Sizing'!$G$6/U830)</f>
        <v>8.475364196686975</v>
      </c>
      <c r="V832" s="44"/>
      <c r="W832" s="72"/>
      <c r="X832" s="85">
        <f>(X825/(N_1*X$27))*SQRT('Valve Sizing'!$G$6/X830)</f>
        <v>20.722932587245669</v>
      </c>
      <c r="Y832" s="44"/>
      <c r="Z832" s="72"/>
      <c r="AA832" s="85">
        <f>(AA825/(N_1*AA$27))*SQRT('Valve Sizing'!$G$6/AA830)</f>
        <v>41.363813559876085</v>
      </c>
      <c r="AB832" s="44"/>
      <c r="AC832" s="72"/>
      <c r="AD832" s="85">
        <f>(AD825/(N_1*AD$27))*SQRT('Valve Sizing'!$G$6/AD830)</f>
        <v>74.131803623011422</v>
      </c>
      <c r="AE832" s="44"/>
      <c r="AF832" s="72"/>
      <c r="AG832" s="85">
        <f>(AG825/(N_1*AG$27))*SQRT('Valve Sizing'!$G$6/AG830)</f>
        <v>129.9731030299194</v>
      </c>
      <c r="AH832" s="44"/>
      <c r="AI832" s="72"/>
      <c r="AJ832" s="85">
        <f>(AJ825/(N_1*AJ$27))*SQRT('Valve Sizing'!$G$6/AJ830)</f>
        <v>220.96700099822365</v>
      </c>
      <c r="AK832" s="44"/>
      <c r="AL832" s="72"/>
      <c r="AM832" s="85">
        <f>(AM825/(N_1*AM$27))*SQRT('Valve Sizing'!$G$6/AM830)</f>
        <v>405.37637934810829</v>
      </c>
      <c r="AN832" s="44"/>
      <c r="AO832" s="72"/>
      <c r="AP832" s="85">
        <f>(AP825/(N_1*AP$27))*SQRT('Valve Sizing'!$G$6/AP830)</f>
        <v>1077.7555765133104</v>
      </c>
      <c r="AQ832" s="44"/>
      <c r="AR832" s="72"/>
      <c r="AS832" s="85" t="e">
        <f>(AS825/(N_1*AS$27))*SQRT('Valve Sizing'!$G$6/AS830)</f>
        <v>#NUM!</v>
      </c>
      <c r="AT832" s="44"/>
      <c r="AU832" s="72"/>
    </row>
    <row r="833" spans="15:47" x14ac:dyDescent="0.25">
      <c r="O833" s="1" t="s">
        <v>246</v>
      </c>
      <c r="P833" s="18"/>
      <c r="Q833" s="65"/>
      <c r="R833" s="53">
        <f>IF(R829&lt;R830,R831,R832)</f>
        <v>0.5861934377857595</v>
      </c>
      <c r="S833" s="49"/>
      <c r="T833" s="72"/>
      <c r="U833" s="64">
        <f>IF(U829&lt;U830,U831,U832)</f>
        <v>10.214385077041729</v>
      </c>
      <c r="V833" s="44"/>
      <c r="W833" s="72"/>
      <c r="X833" s="64">
        <f>IF(X829&lt;X830,X831,X832)</f>
        <v>24.824301987789436</v>
      </c>
      <c r="Y833" s="44"/>
      <c r="Z833" s="72"/>
      <c r="AA833" s="64">
        <f>IF(AA829&lt;AA830,AA831,AA832)</f>
        <v>49.318181100007948</v>
      </c>
      <c r="AB833" s="44"/>
      <c r="AC833" s="72"/>
      <c r="AD833" s="64">
        <f>IF(AD829&lt;AD830,AD831,AD832)</f>
        <v>89.884755233546329</v>
      </c>
      <c r="AE833" s="44"/>
      <c r="AF833" s="72"/>
      <c r="AG833" s="64">
        <f>IF(AG829&lt;AG830,AG831,AG832)</f>
        <v>173.99852702214383</v>
      </c>
      <c r="AH833" s="44"/>
      <c r="AI833" s="72"/>
      <c r="AJ833" s="64">
        <f>IF(AJ829&lt;AJ830,AJ831,AJ832)</f>
        <v>690.41598869064467</v>
      </c>
      <c r="AK833" s="44"/>
      <c r="AL833" s="72"/>
      <c r="AM833" s="64" t="e">
        <f>IF(AM829&lt;AM830,AM831,AM832)</f>
        <v>#NUM!</v>
      </c>
      <c r="AN833" s="44"/>
      <c r="AO833" s="72"/>
      <c r="AP833" s="64" t="e">
        <f>IF(AP829&lt;AP830,AP831,AP832)</f>
        <v>#NUM!</v>
      </c>
      <c r="AQ833" s="44"/>
      <c r="AR833" s="72"/>
      <c r="AS833" s="64" t="e">
        <f>IF(AS829&lt;AS830,AS831,AS832)</f>
        <v>#NUM!</v>
      </c>
      <c r="AT833" s="44"/>
      <c r="AU833" s="72"/>
    </row>
    <row r="834" spans="15:47" ht="13" x14ac:dyDescent="0.3">
      <c r="O834" s="7" t="s">
        <v>264</v>
      </c>
      <c r="Q834" s="61"/>
      <c r="R834" s="53"/>
      <c r="S834" s="69">
        <f>IFERROR(ABS(C_h-R833),Q_max*10)</f>
        <v>4.4138065622142406</v>
      </c>
      <c r="T834" s="76">
        <f>R825</f>
        <v>3.328912300041214</v>
      </c>
      <c r="U834" s="61"/>
      <c r="V834" s="69">
        <f>IFERROR(ABS(U$23-U833),Q_max*10)</f>
        <v>1.7856149229582705</v>
      </c>
      <c r="W834" s="75">
        <f>U825</f>
        <v>57.844199658958097</v>
      </c>
      <c r="X834" s="61"/>
      <c r="Y834" s="69">
        <f>IFERROR(ABS(X$23-X833),Q_max*10)</f>
        <v>1.8243019877894362</v>
      </c>
      <c r="Z834" s="75">
        <f>X825</f>
        <v>138.84834557770347</v>
      </c>
      <c r="AA834" s="61"/>
      <c r="AB834" s="69">
        <f>IFERROR(ABS(AA$23-AA833),Q_max*10)</f>
        <v>10.318181100007948</v>
      </c>
      <c r="AC834" s="75">
        <f>AA825</f>
        <v>265.11237798451833</v>
      </c>
      <c r="AD834" s="61"/>
      <c r="AE834" s="69">
        <f>IFERROR(ABS(AD$23-AD833),Q_max*10)</f>
        <v>28.884755233546329</v>
      </c>
      <c r="AF834" s="75">
        <f>AD825</f>
        <v>436.01225319804252</v>
      </c>
      <c r="AG834" s="61"/>
      <c r="AH834" s="69">
        <f>IFERROR(ABS(AG$23-AG833),Q_max*10)</f>
        <v>85.998527022143833</v>
      </c>
      <c r="AI834" s="75">
        <f>AG825</f>
        <v>649.16283118665058</v>
      </c>
      <c r="AJ834" s="61"/>
      <c r="AK834" s="69">
        <f>IFERROR(ABS(AJ$23-AJ833),Q_max*10)</f>
        <v>569.41598869064467</v>
      </c>
      <c r="AL834" s="75">
        <f>AJ825</f>
        <v>866.31031474194594</v>
      </c>
      <c r="AM834" s="61"/>
      <c r="AN834" s="69">
        <f>IFERROR(ABS(AM$23-AM833),Q_max*10)</f>
        <v>5500</v>
      </c>
      <c r="AO834" s="75">
        <f>AM825</f>
        <v>1057.0632175523108</v>
      </c>
      <c r="AP834" s="61"/>
      <c r="AQ834" s="69">
        <f>IFERROR(ABS(AP$23-AP833),Q_max*10)</f>
        <v>5500</v>
      </c>
      <c r="AR834" s="75">
        <f>AP825</f>
        <v>1227.2175794417562</v>
      </c>
      <c r="AS834" s="61"/>
      <c r="AT834" s="69">
        <f>IFERROR(ABS(AS$23-AS833),Q_max*10)</f>
        <v>5500</v>
      </c>
      <c r="AU834" s="75">
        <f>AS825</f>
        <v>1396.6880807922691</v>
      </c>
    </row>
    <row r="835" spans="15:47" ht="14.5" x14ac:dyDescent="0.35">
      <c r="O835" s="8"/>
      <c r="P835" s="6"/>
      <c r="Q835" s="60"/>
      <c r="R835" s="67"/>
      <c r="S835" s="58"/>
      <c r="T835" s="73"/>
      <c r="V835" s="11"/>
      <c r="W835" s="38"/>
      <c r="Y835" s="11"/>
      <c r="Z835" s="38"/>
      <c r="AB835" s="11"/>
      <c r="AC835" s="38"/>
      <c r="AE835" s="11"/>
      <c r="AF835" s="38"/>
      <c r="AH835" s="11"/>
      <c r="AI835" s="38"/>
      <c r="AK835" s="11"/>
      <c r="AL835" s="38"/>
      <c r="AN835" s="11"/>
      <c r="AO835" s="38"/>
      <c r="AQ835" s="11"/>
      <c r="AR835" s="38"/>
      <c r="AT835" s="11"/>
      <c r="AU835" s="38"/>
    </row>
    <row r="836" spans="15:47" ht="14" x14ac:dyDescent="0.3">
      <c r="O836" s="8" t="s">
        <v>235</v>
      </c>
      <c r="P836" s="6"/>
      <c r="Q836" s="60"/>
      <c r="R836" s="53">
        <f>R825*1.02</f>
        <v>3.3954905460420384</v>
      </c>
      <c r="S836" s="58" t="s">
        <v>238</v>
      </c>
      <c r="T836" s="73" t="s">
        <v>241</v>
      </c>
      <c r="U836" s="84">
        <f>U825*1.01</f>
        <v>58.422641655547679</v>
      </c>
      <c r="V836" s="58" t="s">
        <v>238</v>
      </c>
      <c r="W836" s="73" t="s">
        <v>241</v>
      </c>
      <c r="X836" s="84">
        <f>X825*1.01</f>
        <v>140.23682903348052</v>
      </c>
      <c r="Y836" s="58" t="s">
        <v>238</v>
      </c>
      <c r="Z836" s="73" t="s">
        <v>241</v>
      </c>
      <c r="AA836" s="84">
        <f>AA825*1.01</f>
        <v>267.76350176436353</v>
      </c>
      <c r="AB836" s="58" t="s">
        <v>238</v>
      </c>
      <c r="AC836" s="73" t="s">
        <v>241</v>
      </c>
      <c r="AD836" s="84">
        <f>AD825*1.01</f>
        <v>440.37237573002295</v>
      </c>
      <c r="AE836" s="58" t="s">
        <v>238</v>
      </c>
      <c r="AF836" s="73" t="s">
        <v>241</v>
      </c>
      <c r="AG836" s="84">
        <f>AG825*1.01</f>
        <v>655.6544594985171</v>
      </c>
      <c r="AH836" s="58" t="s">
        <v>238</v>
      </c>
      <c r="AI836" s="73" t="s">
        <v>241</v>
      </c>
      <c r="AJ836" s="84">
        <f>AJ825*1.01</f>
        <v>874.97341788936546</v>
      </c>
      <c r="AK836" s="58" t="s">
        <v>238</v>
      </c>
      <c r="AL836" s="73" t="s">
        <v>241</v>
      </c>
      <c r="AM836" s="84">
        <f>AM825*1.01</f>
        <v>1067.6338497278339</v>
      </c>
      <c r="AN836" s="58" t="s">
        <v>238</v>
      </c>
      <c r="AO836" s="73" t="s">
        <v>241</v>
      </c>
      <c r="AP836" s="84">
        <f>AP825*1.01</f>
        <v>1239.4897552361738</v>
      </c>
      <c r="AQ836" s="58" t="s">
        <v>238</v>
      </c>
      <c r="AR836" s="73" t="s">
        <v>241</v>
      </c>
      <c r="AS836" s="84">
        <f>AS825*1.01</f>
        <v>1410.6549616001919</v>
      </c>
      <c r="AT836" s="58" t="s">
        <v>238</v>
      </c>
      <c r="AU836" s="73" t="s">
        <v>241</v>
      </c>
    </row>
    <row r="837" spans="15:47" ht="13" x14ac:dyDescent="0.25">
      <c r="O837" s="6"/>
      <c r="P837" s="6"/>
      <c r="Q837" s="60"/>
      <c r="R837" s="70"/>
      <c r="S837" s="63" t="s">
        <v>250</v>
      </c>
      <c r="T837" s="71" t="s">
        <v>242</v>
      </c>
      <c r="U837" s="61"/>
      <c r="V837" s="63" t="s">
        <v>250</v>
      </c>
      <c r="W837" s="71" t="s">
        <v>242</v>
      </c>
      <c r="X837" s="61"/>
      <c r="Y837" s="63" t="s">
        <v>250</v>
      </c>
      <c r="Z837" s="71" t="s">
        <v>242</v>
      </c>
      <c r="AA837" s="61"/>
      <c r="AB837" s="63" t="s">
        <v>250</v>
      </c>
      <c r="AC837" s="71" t="s">
        <v>242</v>
      </c>
      <c r="AD837" s="61"/>
      <c r="AE837" s="63" t="s">
        <v>250</v>
      </c>
      <c r="AF837" s="71" t="s">
        <v>242</v>
      </c>
      <c r="AG837" s="61"/>
      <c r="AH837" s="63" t="s">
        <v>250</v>
      </c>
      <c r="AI837" s="71" t="s">
        <v>242</v>
      </c>
      <c r="AJ837" s="61"/>
      <c r="AK837" s="63" t="s">
        <v>250</v>
      </c>
      <c r="AL837" s="71" t="s">
        <v>242</v>
      </c>
      <c r="AM837" s="61"/>
      <c r="AN837" s="63" t="s">
        <v>250</v>
      </c>
      <c r="AO837" s="71" t="s">
        <v>242</v>
      </c>
      <c r="AP837" s="61"/>
      <c r="AQ837" s="63" t="s">
        <v>250</v>
      </c>
      <c r="AR837" s="71" t="s">
        <v>242</v>
      </c>
      <c r="AS837" s="61"/>
      <c r="AT837" s="63" t="s">
        <v>250</v>
      </c>
      <c r="AU837" s="71" t="s">
        <v>242</v>
      </c>
    </row>
    <row r="838" spans="15:47" ht="13" x14ac:dyDescent="0.3">
      <c r="O838" s="6" t="s">
        <v>231</v>
      </c>
      <c r="P838" s="6"/>
      <c r="Q838" s="60"/>
      <c r="R838" s="85">
        <f>P_1_minQ-(R836^2*R_up)+dpup_minQ</f>
        <v>56.915753821139873</v>
      </c>
      <c r="S838" s="56"/>
      <c r="T838" s="72"/>
      <c r="U838" s="53">
        <f>P_1_minQ-(U836^2*R_up)+dpup_minQ</f>
        <v>56.800871156433217</v>
      </c>
      <c r="V838" s="44"/>
      <c r="W838" s="72"/>
      <c r="X838" s="53">
        <f>P_1_minQ-(X836^2*R_up)+dpup_minQ</f>
        <v>56.251963248315917</v>
      </c>
      <c r="Y838" s="44"/>
      <c r="Z838" s="72"/>
      <c r="AA838" s="53">
        <f>P_1_minQ-(AA836^2*R_up)+dpup_minQ</f>
        <v>54.494755390843828</v>
      </c>
      <c r="AB838" s="44"/>
      <c r="AC838" s="72"/>
      <c r="AD838" s="53">
        <f>P_1_minQ-(AD836^2*R_up)+dpup_minQ</f>
        <v>50.366739976153177</v>
      </c>
      <c r="AE838" s="44"/>
      <c r="AF838" s="72"/>
      <c r="AG838" s="53">
        <f>P_1_minQ-(AG836^2*R_up)+dpup_minQ</f>
        <v>42.397981416403489</v>
      </c>
      <c r="AH838" s="44"/>
      <c r="AI838" s="72"/>
      <c r="AJ838" s="53">
        <f>P_1_minQ-(AJ836^2*R_up)+dpup_minQ</f>
        <v>31.060740222458691</v>
      </c>
      <c r="AK838" s="44"/>
      <c r="AL838" s="72"/>
      <c r="AM838" s="53">
        <f>P_1_minQ-(AM836^2*R_up)+dpup_minQ</f>
        <v>18.420971391939386</v>
      </c>
      <c r="AN838" s="44"/>
      <c r="AO838" s="72"/>
      <c r="AP838" s="53">
        <f>P_1_minQ-(AP836^2*R_up)+dpup_minQ</f>
        <v>5.0304676347372519</v>
      </c>
      <c r="AQ838" s="44"/>
      <c r="AR838" s="72"/>
      <c r="AS838" s="53">
        <f>P_1_minQ-(AS836^2*R_up)+dpup_minQ</f>
        <v>-10.289105730740932</v>
      </c>
      <c r="AT838" s="44"/>
      <c r="AU838" s="72"/>
    </row>
    <row r="839" spans="15:47" ht="13" x14ac:dyDescent="0.3">
      <c r="O839" s="6" t="s">
        <v>233</v>
      </c>
      <c r="P839" s="6"/>
      <c r="Q839" s="60"/>
      <c r="R839" s="85">
        <f>P_2_minQ+(R836^2*R_dn)-dpdn_minQ</f>
        <v>24.656849235772025</v>
      </c>
      <c r="S839" s="66"/>
      <c r="T839" s="74"/>
      <c r="U839" s="53">
        <f>P_2_minQ+(U836^2*R_dn)-dpdn_minQ</f>
        <v>24.679825768713357</v>
      </c>
      <c r="V839" s="45"/>
      <c r="W839" s="74"/>
      <c r="X839" s="53">
        <f>P_2_minQ+(X836^2*R_dn)-dpdn_minQ</f>
        <v>24.789607350336819</v>
      </c>
      <c r="Y839" s="45"/>
      <c r="Z839" s="74"/>
      <c r="AA839" s="53">
        <f>P_2_minQ+(AA836^2*R_dn)-dpdn_minQ</f>
        <v>25.141048921831235</v>
      </c>
      <c r="AB839" s="45"/>
      <c r="AC839" s="74"/>
      <c r="AD839" s="53">
        <f>P_2_minQ+(AD836^2*R_dn)-dpdn_minQ</f>
        <v>25.966652004769365</v>
      </c>
      <c r="AE839" s="45"/>
      <c r="AF839" s="74"/>
      <c r="AG839" s="53">
        <f>P_2_minQ+(AG836^2*R_dn)-dpdn_minQ</f>
        <v>27.560403716719303</v>
      </c>
      <c r="AH839" s="45"/>
      <c r="AI839" s="74"/>
      <c r="AJ839" s="53">
        <f>P_2_minQ+(AJ836^2*R_dn)-dpdn_minQ</f>
        <v>29.827851955508262</v>
      </c>
      <c r="AK839" s="45"/>
      <c r="AL839" s="74"/>
      <c r="AM839" s="53">
        <f>P_2_minQ+(AM836^2*R_dn)-dpdn_minQ</f>
        <v>32.355805721612128</v>
      </c>
      <c r="AN839" s="45"/>
      <c r="AO839" s="74"/>
      <c r="AP839" s="53">
        <f>P_2_minQ+(AP836^2*R_dn)-dpdn_minQ</f>
        <v>35.033906473052554</v>
      </c>
      <c r="AQ839" s="45"/>
      <c r="AR839" s="74"/>
      <c r="AS839" s="53">
        <f>P_2_minQ+(AS836^2*R_dn)-dpdn_minQ</f>
        <v>38.097821146148192</v>
      </c>
      <c r="AT839" s="45"/>
      <c r="AU839" s="74"/>
    </row>
    <row r="840" spans="15:47" x14ac:dyDescent="0.25">
      <c r="O840" s="6" t="s">
        <v>243</v>
      </c>
      <c r="Q840" s="60"/>
      <c r="R840" s="53">
        <f>R838-R839</f>
        <v>32.258904585367844</v>
      </c>
      <c r="S840" s="56"/>
      <c r="T840" s="72"/>
      <c r="U840" s="64">
        <f>U838-U839</f>
        <v>32.12104538771986</v>
      </c>
      <c r="V840" s="44"/>
      <c r="W840" s="72"/>
      <c r="X840" s="64">
        <f>X838-X839</f>
        <v>31.462355897979098</v>
      </c>
      <c r="Y840" s="44"/>
      <c r="Z840" s="72"/>
      <c r="AA840" s="64">
        <f>AA838-AA839</f>
        <v>29.353706469012593</v>
      </c>
      <c r="AB840" s="44"/>
      <c r="AC840" s="72"/>
      <c r="AD840" s="64">
        <f>AD838-AD839</f>
        <v>24.400087971383812</v>
      </c>
      <c r="AE840" s="44"/>
      <c r="AF840" s="72"/>
      <c r="AG840" s="64">
        <f>AG838-AG839</f>
        <v>14.837577699684186</v>
      </c>
      <c r="AH840" s="44"/>
      <c r="AI840" s="72"/>
      <c r="AJ840" s="64">
        <f>AJ838-AJ839</f>
        <v>1.2328882669504289</v>
      </c>
      <c r="AK840" s="44"/>
      <c r="AL840" s="72"/>
      <c r="AM840" s="64">
        <f>AM838-AM839</f>
        <v>-13.934834329672743</v>
      </c>
      <c r="AN840" s="44"/>
      <c r="AO840" s="72"/>
      <c r="AP840" s="64">
        <f>AP838-AP839</f>
        <v>-30.003438838315301</v>
      </c>
      <c r="AQ840" s="44"/>
      <c r="AR840" s="72"/>
      <c r="AS840" s="64">
        <f>AS838-AS839</f>
        <v>-48.38692687688912</v>
      </c>
      <c r="AT840" s="44"/>
      <c r="AU840" s="72"/>
    </row>
    <row r="841" spans="15:47" ht="13" x14ac:dyDescent="0.3">
      <c r="O841" s="6" t="s">
        <v>75</v>
      </c>
      <c r="P841" s="6">
        <v>3</v>
      </c>
      <c r="Q841" s="65"/>
      <c r="R841" s="85">
        <f>(F_LP_h/F_P_h)^2*(R838-('Valve Sizing'!$V$4*'Valve Sizing'!$G$7))</f>
        <v>46.764840819833317</v>
      </c>
      <c r="S841" s="58"/>
      <c r="T841" s="73"/>
      <c r="U841" s="53">
        <f>(U$29/U$27)^2*(U838-('Valve Sizing'!$V$4*'Valve Sizing'!$G$7))</f>
        <v>46.656991707779888</v>
      </c>
      <c r="V841" s="41"/>
      <c r="W841" s="73"/>
      <c r="X841" s="53">
        <f>(X$29/X$27)^2*(X838-('Valve Sizing'!$V$4*'Valve Sizing'!$G$7))</f>
        <v>45.160402362762888</v>
      </c>
      <c r="Y841" s="41"/>
      <c r="Z841" s="73"/>
      <c r="AA841" s="53">
        <f>(AA$29/AA$27)^2*(AA838-('Valve Sizing'!$V$4*'Valve Sizing'!$G$7))</f>
        <v>41.773320200566673</v>
      </c>
      <c r="AB841" s="41"/>
      <c r="AC841" s="73"/>
      <c r="AD841" s="53">
        <f>(AD$29/AD$27)^2*(AD838-('Valve Sizing'!$V$4*'Valve Sizing'!$G$7))</f>
        <v>36.006494562009166</v>
      </c>
      <c r="AE841" s="41"/>
      <c r="AF841" s="73"/>
      <c r="AG841" s="53">
        <f>(AG$29/AG$27)^2*(AG838-('Valve Sizing'!$V$4*'Valve Sizing'!$G$7))</f>
        <v>27.022746993742839</v>
      </c>
      <c r="AH841" s="41"/>
      <c r="AI841" s="73"/>
      <c r="AJ841" s="53">
        <f>(AJ$29/AJ$27)^2*(AJ838-('Valve Sizing'!$V$4*'Valve Sizing'!$G$7))</f>
        <v>17.709910712289513</v>
      </c>
      <c r="AK841" s="41"/>
      <c r="AL841" s="73"/>
      <c r="AM841" s="53">
        <f>(AM$29/AM$27)^2*(AM838-('Valve Sizing'!$V$4*'Valve Sizing'!$G$7))</f>
        <v>8.6033664354931361</v>
      </c>
      <c r="AN841" s="41"/>
      <c r="AO841" s="73"/>
      <c r="AP841" s="53">
        <f>(AP$29/AP$27)^2*(AP838-('Valve Sizing'!$V$4*'Valve Sizing'!$G$7))</f>
        <v>1.811498921069115</v>
      </c>
      <c r="AQ841" s="41"/>
      <c r="AR841" s="73"/>
      <c r="AS841" s="53">
        <f>(AS$29/AS$27)^2*(AS838-('Valve Sizing'!$V$4*'Valve Sizing'!$G$7))</f>
        <v>-4.0356760412330877</v>
      </c>
      <c r="AT841" s="41"/>
      <c r="AU841" s="73"/>
    </row>
    <row r="842" spans="15:47" ht="13" x14ac:dyDescent="0.25">
      <c r="O842" s="1" t="s">
        <v>69</v>
      </c>
      <c r="P842" s="17">
        <v>7</v>
      </c>
      <c r="Q842" s="65"/>
      <c r="R842" s="53">
        <f>(R836/(N_1*F_P_h))*SQRT('Valve Sizing'!$G$6/R840)</f>
        <v>0.59791747468895462</v>
      </c>
      <c r="S842" s="58"/>
      <c r="T842" s="73"/>
      <c r="U842" s="64">
        <f>(U836/(N_1*U$27))*SQRT('Valve Sizing'!$G$6/U840)</f>
        <v>10.316966614411548</v>
      </c>
      <c r="V842" s="41"/>
      <c r="W842" s="73"/>
      <c r="X842" s="64">
        <f>(X836/(N_1*X$27))*SQRT('Valve Sizing'!$G$6/X840)</f>
        <v>25.078801678616433</v>
      </c>
      <c r="Y842" s="41"/>
      <c r="Z842" s="73"/>
      <c r="AA842" s="64">
        <f>(AA836/(N_1*AA$27))*SQRT('Valve Sizing'!$G$6/AA840)</f>
        <v>49.859916660734221</v>
      </c>
      <c r="AB842" s="41"/>
      <c r="AC842" s="73"/>
      <c r="AD842" s="64">
        <f>(AD836/(N_1*AD$27))*SQRT('Valve Sizing'!$G$6/AD840)</f>
        <v>91.071233239271137</v>
      </c>
      <c r="AE842" s="41"/>
      <c r="AF842" s="73"/>
      <c r="AG842" s="64">
        <f>(AG836/(N_1*AG$27))*SQRT('Valve Sizing'!$G$6/AG840)</f>
        <v>177.75980737102412</v>
      </c>
      <c r="AH842" s="41"/>
      <c r="AI842" s="73"/>
      <c r="AJ842" s="64">
        <f>(AJ836/(N_1*AJ$27))*SQRT('Valve Sizing'!$G$6/AJ840)</f>
        <v>852.86088678151611</v>
      </c>
      <c r="AK842" s="41"/>
      <c r="AL842" s="73"/>
      <c r="AM842" s="64" t="e">
        <f>(AM836/(N_1*AM$27))*SQRT('Valve Sizing'!$G$6/AM840)</f>
        <v>#NUM!</v>
      </c>
      <c r="AN842" s="41"/>
      <c r="AO842" s="73"/>
      <c r="AP842" s="64" t="e">
        <f>(AP836/(N_1*AP$27))*SQRT('Valve Sizing'!$G$6/AP840)</f>
        <v>#NUM!</v>
      </c>
      <c r="AQ842" s="41"/>
      <c r="AR842" s="73"/>
      <c r="AS842" s="64" t="e">
        <f>(AS836/(N_1*AS$27))*SQRT('Valve Sizing'!$G$6/AS840)</f>
        <v>#NUM!</v>
      </c>
      <c r="AT842" s="41"/>
      <c r="AU842" s="73"/>
    </row>
    <row r="843" spans="15:47" ht="13" x14ac:dyDescent="0.3">
      <c r="O843" s="1" t="s">
        <v>72</v>
      </c>
      <c r="P843" s="17">
        <v>7</v>
      </c>
      <c r="Q843" s="65"/>
      <c r="R843" s="53">
        <f>(R836/(N_1*F_P_h))*SQRT('Valve Sizing'!$G$6/R841)</f>
        <v>0.49659955270682127</v>
      </c>
      <c r="S843" s="56"/>
      <c r="T843" s="72"/>
      <c r="U843" s="85">
        <f>(U836/(N_1*U$27))*SQRT('Valve Sizing'!$G$6/U841)</f>
        <v>8.560290321298389</v>
      </c>
      <c r="V843" s="44"/>
      <c r="W843" s="72"/>
      <c r="X843" s="85">
        <f>(X836/(N_1*X$27))*SQRT('Valve Sizing'!$G$6/X841)</f>
        <v>20.932615657700737</v>
      </c>
      <c r="Y843" s="44"/>
      <c r="Z843" s="72"/>
      <c r="AA843" s="85">
        <f>(AA836/(N_1*AA$27))*SQRT('Valve Sizing'!$G$6/AA841)</f>
        <v>41.795884879873725</v>
      </c>
      <c r="AB843" s="44"/>
      <c r="AC843" s="72"/>
      <c r="AD843" s="85">
        <f>(AD836/(N_1*AD$27))*SQRT('Valve Sizing'!$G$6/AD841)</f>
        <v>74.969824205468072</v>
      </c>
      <c r="AE843" s="44"/>
      <c r="AF843" s="72"/>
      <c r="AG843" s="85">
        <f>(AG836/(N_1*AG$27))*SQRT('Valve Sizing'!$G$6/AG841)</f>
        <v>131.71957675392838</v>
      </c>
      <c r="AH843" s="44"/>
      <c r="AI843" s="72"/>
      <c r="AJ843" s="85">
        <f>(AJ836/(N_1*AJ$27))*SQRT('Valve Sizing'!$G$6/AJ841)</f>
        <v>225.02557057098673</v>
      </c>
      <c r="AK843" s="44"/>
      <c r="AL843" s="72"/>
      <c r="AM843" s="85">
        <f>(AM836/(N_1*AM$27))*SQRT('Valve Sizing'!$G$6/AM841)</f>
        <v>417.97664442215842</v>
      </c>
      <c r="AN843" s="44"/>
      <c r="AO843" s="72"/>
      <c r="AP843" s="85">
        <f>(AP836/(N_1*AP$27))*SQRT('Valve Sizing'!$G$6/AP841)</f>
        <v>1203.6611915880915</v>
      </c>
      <c r="AQ843" s="44"/>
      <c r="AR843" s="72"/>
      <c r="AS843" s="85" t="e">
        <f>(AS836/(N_1*AS$27))*SQRT('Valve Sizing'!$G$6/AS841)</f>
        <v>#NUM!</v>
      </c>
      <c r="AT843" s="44"/>
      <c r="AU843" s="72"/>
    </row>
    <row r="844" spans="15:47" x14ac:dyDescent="0.25">
      <c r="O844" s="1" t="s">
        <v>246</v>
      </c>
      <c r="P844" s="18"/>
      <c r="Q844" s="65"/>
      <c r="R844" s="53">
        <f>IF(R840&lt;R841,R842,R843)</f>
        <v>0.59791747468895462</v>
      </c>
      <c r="S844" s="49"/>
      <c r="T844" s="72"/>
      <c r="U844" s="64">
        <f>IF(U840&lt;U841,U842,U843)</f>
        <v>10.316966614411548</v>
      </c>
      <c r="V844" s="44"/>
      <c r="W844" s="72"/>
      <c r="X844" s="64">
        <f>IF(X840&lt;X841,X842,X843)</f>
        <v>25.078801678616433</v>
      </c>
      <c r="Y844" s="44"/>
      <c r="Z844" s="72"/>
      <c r="AA844" s="64">
        <f>IF(AA840&lt;AA841,AA842,AA843)</f>
        <v>49.859916660734221</v>
      </c>
      <c r="AB844" s="44"/>
      <c r="AC844" s="72"/>
      <c r="AD844" s="64">
        <f>IF(AD840&lt;AD841,AD842,AD843)</f>
        <v>91.071233239271137</v>
      </c>
      <c r="AE844" s="44"/>
      <c r="AF844" s="72"/>
      <c r="AG844" s="64">
        <f>IF(AG840&lt;AG841,AG842,AG843)</f>
        <v>177.75980737102412</v>
      </c>
      <c r="AH844" s="44"/>
      <c r="AI844" s="72"/>
      <c r="AJ844" s="64">
        <f>IF(AJ840&lt;AJ841,AJ842,AJ843)</f>
        <v>852.86088678151611</v>
      </c>
      <c r="AK844" s="44"/>
      <c r="AL844" s="72"/>
      <c r="AM844" s="64" t="e">
        <f>IF(AM840&lt;AM841,AM842,AM843)</f>
        <v>#NUM!</v>
      </c>
      <c r="AN844" s="44"/>
      <c r="AO844" s="72"/>
      <c r="AP844" s="64" t="e">
        <f>IF(AP840&lt;AP841,AP842,AP843)</f>
        <v>#NUM!</v>
      </c>
      <c r="AQ844" s="44"/>
      <c r="AR844" s="72"/>
      <c r="AS844" s="64" t="e">
        <f>IF(AS840&lt;AS841,AS842,AS843)</f>
        <v>#NUM!</v>
      </c>
      <c r="AT844" s="44"/>
      <c r="AU844" s="72"/>
    </row>
    <row r="845" spans="15:47" ht="13" x14ac:dyDescent="0.3">
      <c r="O845" s="7" t="s">
        <v>264</v>
      </c>
      <c r="Q845" s="61"/>
      <c r="R845" s="53"/>
      <c r="S845" s="69">
        <f>IFERROR(ABS(C_h-R844),Q_max*10)</f>
        <v>4.4020825253110454</v>
      </c>
      <c r="T845" s="76">
        <f>R836</f>
        <v>3.3954905460420384</v>
      </c>
      <c r="U845" s="61"/>
      <c r="V845" s="69">
        <f>IFERROR(ABS(U$23-U844),Q_max*10)</f>
        <v>1.6830333855884518</v>
      </c>
      <c r="W845" s="75">
        <f>U836</f>
        <v>58.422641655547679</v>
      </c>
      <c r="X845" s="61"/>
      <c r="Y845" s="69">
        <f>IFERROR(ABS(X$23-X844),Q_max*10)</f>
        <v>2.0788016786164327</v>
      </c>
      <c r="Z845" s="75">
        <f>X836</f>
        <v>140.23682903348052</v>
      </c>
      <c r="AA845" s="61"/>
      <c r="AB845" s="69">
        <f>IFERROR(ABS(AA$23-AA844),Q_max*10)</f>
        <v>10.859916660734221</v>
      </c>
      <c r="AC845" s="75">
        <f>AA836</f>
        <v>267.76350176436353</v>
      </c>
      <c r="AD845" s="61"/>
      <c r="AE845" s="69">
        <f>IFERROR(ABS(AD$23-AD844),Q_max*10)</f>
        <v>30.071233239271137</v>
      </c>
      <c r="AF845" s="75">
        <f>AD836</f>
        <v>440.37237573002295</v>
      </c>
      <c r="AG845" s="61"/>
      <c r="AH845" s="69">
        <f>IFERROR(ABS(AG$23-AG844),Q_max*10)</f>
        <v>89.759807371024124</v>
      </c>
      <c r="AI845" s="75">
        <f>AG836</f>
        <v>655.6544594985171</v>
      </c>
      <c r="AJ845" s="61"/>
      <c r="AK845" s="69">
        <f>IFERROR(ABS(AJ$23-AJ844),Q_max*10)</f>
        <v>731.86088678151611</v>
      </c>
      <c r="AL845" s="75">
        <f>AJ836</f>
        <v>874.97341788936546</v>
      </c>
      <c r="AM845" s="61"/>
      <c r="AN845" s="69">
        <f>IFERROR(ABS(AM$23-AM844),Q_max*10)</f>
        <v>5500</v>
      </c>
      <c r="AO845" s="75">
        <f>AM836</f>
        <v>1067.6338497278339</v>
      </c>
      <c r="AP845" s="61"/>
      <c r="AQ845" s="69">
        <f>IFERROR(ABS(AP$23-AP844),Q_max*10)</f>
        <v>5500</v>
      </c>
      <c r="AR845" s="75">
        <f>AP836</f>
        <v>1239.4897552361738</v>
      </c>
      <c r="AS845" s="61"/>
      <c r="AT845" s="69">
        <f>IFERROR(ABS(AS$23-AS844),Q_max*10)</f>
        <v>5500</v>
      </c>
      <c r="AU845" s="75">
        <f>AS836</f>
        <v>1410.6549616001919</v>
      </c>
    </row>
    <row r="846" spans="15:47" ht="14.5" x14ac:dyDescent="0.35">
      <c r="O846" s="6"/>
      <c r="P846" s="6"/>
      <c r="Q846" s="60"/>
      <c r="R846" s="67"/>
      <c r="S846" s="56"/>
      <c r="T846" s="72"/>
      <c r="V846" s="11"/>
      <c r="W846" s="38"/>
      <c r="Y846" s="11"/>
      <c r="Z846" s="38"/>
      <c r="AB846" s="11"/>
      <c r="AC846" s="38"/>
      <c r="AE846" s="11"/>
      <c r="AF846" s="38"/>
      <c r="AH846" s="11"/>
      <c r="AI846" s="38"/>
      <c r="AK846" s="11"/>
      <c r="AL846" s="38"/>
      <c r="AN846" s="11"/>
      <c r="AO846" s="38"/>
      <c r="AQ846" s="11"/>
      <c r="AR846" s="38"/>
      <c r="AT846" s="11"/>
      <c r="AU846" s="38"/>
    </row>
    <row r="847" spans="15:47" ht="14" x14ac:dyDescent="0.3">
      <c r="O847" s="8" t="s">
        <v>235</v>
      </c>
      <c r="P847" s="6"/>
      <c r="Q847" s="60"/>
      <c r="R847" s="53">
        <f>R836*1.02</f>
        <v>3.4634003569628793</v>
      </c>
      <c r="S847" s="58" t="s">
        <v>238</v>
      </c>
      <c r="T847" s="73" t="s">
        <v>241</v>
      </c>
      <c r="U847" s="84">
        <f>U836*1.01</f>
        <v>59.006868072103153</v>
      </c>
      <c r="V847" s="58" t="s">
        <v>238</v>
      </c>
      <c r="W847" s="73" t="s">
        <v>241</v>
      </c>
      <c r="X847" s="84">
        <f>X836*1.01</f>
        <v>141.63919732381532</v>
      </c>
      <c r="Y847" s="58" t="s">
        <v>238</v>
      </c>
      <c r="Z847" s="73" t="s">
        <v>241</v>
      </c>
      <c r="AA847" s="84">
        <f>AA836*1.01</f>
        <v>270.44113678200716</v>
      </c>
      <c r="AB847" s="58" t="s">
        <v>238</v>
      </c>
      <c r="AC847" s="73" t="s">
        <v>241</v>
      </c>
      <c r="AD847" s="84">
        <f>AD836*1.01</f>
        <v>444.77609948732317</v>
      </c>
      <c r="AE847" s="58" t="s">
        <v>238</v>
      </c>
      <c r="AF847" s="73" t="s">
        <v>241</v>
      </c>
      <c r="AG847" s="84">
        <f>AG836*1.01</f>
        <v>662.21100409350231</v>
      </c>
      <c r="AH847" s="58" t="s">
        <v>238</v>
      </c>
      <c r="AI847" s="73" t="s">
        <v>241</v>
      </c>
      <c r="AJ847" s="84">
        <f>AJ836*1.01</f>
        <v>883.72315206825908</v>
      </c>
      <c r="AK847" s="58" t="s">
        <v>238</v>
      </c>
      <c r="AL847" s="73" t="s">
        <v>241</v>
      </c>
      <c r="AM847" s="84">
        <f>AM836*1.01</f>
        <v>1078.3101882251121</v>
      </c>
      <c r="AN847" s="58" t="s">
        <v>238</v>
      </c>
      <c r="AO847" s="73" t="s">
        <v>241</v>
      </c>
      <c r="AP847" s="84">
        <f>AP836*1.01</f>
        <v>1251.8846527885355</v>
      </c>
      <c r="AQ847" s="58" t="s">
        <v>238</v>
      </c>
      <c r="AR847" s="73" t="s">
        <v>241</v>
      </c>
      <c r="AS847" s="84">
        <f>AS836*1.01</f>
        <v>1424.7615112161939</v>
      </c>
      <c r="AT847" s="58" t="s">
        <v>238</v>
      </c>
      <c r="AU847" s="73" t="s">
        <v>241</v>
      </c>
    </row>
    <row r="848" spans="15:47" ht="13" x14ac:dyDescent="0.25">
      <c r="O848" s="6"/>
      <c r="P848" s="6"/>
      <c r="Q848" s="60"/>
      <c r="R848" s="70"/>
      <c r="S848" s="63" t="s">
        <v>250</v>
      </c>
      <c r="T848" s="71" t="s">
        <v>242</v>
      </c>
      <c r="U848" s="61"/>
      <c r="V848" s="63" t="s">
        <v>250</v>
      </c>
      <c r="W848" s="71" t="s">
        <v>242</v>
      </c>
      <c r="X848" s="61"/>
      <c r="Y848" s="63" t="s">
        <v>250</v>
      </c>
      <c r="Z848" s="71" t="s">
        <v>242</v>
      </c>
      <c r="AA848" s="61"/>
      <c r="AB848" s="63" t="s">
        <v>250</v>
      </c>
      <c r="AC848" s="71" t="s">
        <v>242</v>
      </c>
      <c r="AD848" s="61"/>
      <c r="AE848" s="63" t="s">
        <v>250</v>
      </c>
      <c r="AF848" s="71" t="s">
        <v>242</v>
      </c>
      <c r="AG848" s="61"/>
      <c r="AH848" s="63" t="s">
        <v>250</v>
      </c>
      <c r="AI848" s="71" t="s">
        <v>242</v>
      </c>
      <c r="AJ848" s="61"/>
      <c r="AK848" s="63" t="s">
        <v>250</v>
      </c>
      <c r="AL848" s="71" t="s">
        <v>242</v>
      </c>
      <c r="AM848" s="61"/>
      <c r="AN848" s="63" t="s">
        <v>250</v>
      </c>
      <c r="AO848" s="71" t="s">
        <v>242</v>
      </c>
      <c r="AP848" s="61"/>
      <c r="AQ848" s="63" t="s">
        <v>250</v>
      </c>
      <c r="AR848" s="71" t="s">
        <v>242</v>
      </c>
      <c r="AS848" s="61"/>
      <c r="AT848" s="63" t="s">
        <v>250</v>
      </c>
      <c r="AU848" s="71" t="s">
        <v>242</v>
      </c>
    </row>
    <row r="849" spans="15:47" ht="13" x14ac:dyDescent="0.3">
      <c r="O849" s="6" t="s">
        <v>231</v>
      </c>
      <c r="P849" s="6"/>
      <c r="Q849" s="60"/>
      <c r="R849" s="85">
        <f>P_1_minQ-(R847^2*R_up)+dpup_minQ</f>
        <v>56.915738090441316</v>
      </c>
      <c r="S849" s="56"/>
      <c r="T849" s="72"/>
      <c r="U849" s="53">
        <f>P_1_minQ-(U847^2*R_up)+dpup_minQ</f>
        <v>56.798554188460706</v>
      </c>
      <c r="V849" s="44"/>
      <c r="W849" s="72"/>
      <c r="X849" s="53">
        <f>P_1_minQ-(X847^2*R_up)+dpup_minQ</f>
        <v>56.238613231390254</v>
      </c>
      <c r="Y849" s="44"/>
      <c r="Z849" s="72"/>
      <c r="AA849" s="53">
        <f>P_1_minQ-(AA847^2*R_up)+dpup_minQ</f>
        <v>54.44608549598297</v>
      </c>
      <c r="AB849" s="44"/>
      <c r="AC849" s="72"/>
      <c r="AD849" s="53">
        <f>P_1_minQ-(AD847^2*R_up)+dpup_minQ</f>
        <v>50.235096971457033</v>
      </c>
      <c r="AE849" s="44"/>
      <c r="AF849" s="72"/>
      <c r="AG849" s="53">
        <f>P_1_minQ-(AG847^2*R_up)+dpup_minQ</f>
        <v>42.106166364656382</v>
      </c>
      <c r="AH849" s="44"/>
      <c r="AI849" s="72"/>
      <c r="AJ849" s="53">
        <f>P_1_minQ-(AJ847^2*R_up)+dpup_minQ</f>
        <v>30.541046622713296</v>
      </c>
      <c r="AK849" s="44"/>
      <c r="AL849" s="72"/>
      <c r="AM849" s="53">
        <f>P_1_minQ-(AM847^2*R_up)+dpup_minQ</f>
        <v>17.647218438700545</v>
      </c>
      <c r="AN849" s="44"/>
      <c r="AO849" s="72"/>
      <c r="AP849" s="53">
        <f>P_1_minQ-(AP847^2*R_up)+dpup_minQ</f>
        <v>3.9875655559786507</v>
      </c>
      <c r="AQ849" s="44"/>
      <c r="AR849" s="72"/>
      <c r="AS849" s="53">
        <f>P_1_minQ-(AS847^2*R_up)+dpup_minQ</f>
        <v>-11.639931234145639</v>
      </c>
      <c r="AT849" s="44"/>
      <c r="AU849" s="72"/>
    </row>
    <row r="850" spans="15:47" ht="13" x14ac:dyDescent="0.3">
      <c r="O850" s="6" t="s">
        <v>233</v>
      </c>
      <c r="P850" s="6"/>
      <c r="Q850" s="60"/>
      <c r="R850" s="85">
        <f>P_2_minQ+(R847^2*R_dn)-dpdn_minQ</f>
        <v>24.656852381911737</v>
      </c>
      <c r="S850" s="66"/>
      <c r="T850" s="74"/>
      <c r="U850" s="53">
        <f>P_2_minQ+(U847^2*R_dn)-dpdn_minQ</f>
        <v>24.680289162307862</v>
      </c>
      <c r="V850" s="45"/>
      <c r="W850" s="74"/>
      <c r="X850" s="53">
        <f>P_2_minQ+(X847^2*R_dn)-dpdn_minQ</f>
        <v>24.79227735372195</v>
      </c>
      <c r="Y850" s="45"/>
      <c r="Z850" s="74"/>
      <c r="AA850" s="53">
        <f>P_2_minQ+(AA847^2*R_dn)-dpdn_minQ</f>
        <v>25.150782900803407</v>
      </c>
      <c r="AB850" s="45"/>
      <c r="AC850" s="74"/>
      <c r="AD850" s="53">
        <f>P_2_minQ+(AD847^2*R_dn)-dpdn_minQ</f>
        <v>25.992980605708595</v>
      </c>
      <c r="AE850" s="45"/>
      <c r="AF850" s="74"/>
      <c r="AG850" s="53">
        <f>P_2_minQ+(AG847^2*R_dn)-dpdn_minQ</f>
        <v>27.618766727068724</v>
      </c>
      <c r="AH850" s="45"/>
      <c r="AI850" s="74"/>
      <c r="AJ850" s="53">
        <f>P_2_minQ+(AJ847^2*R_dn)-dpdn_minQ</f>
        <v>29.931790675457343</v>
      </c>
      <c r="AK850" s="45"/>
      <c r="AL850" s="74"/>
      <c r="AM850" s="53">
        <f>P_2_minQ+(AM847^2*R_dn)-dpdn_minQ</f>
        <v>32.510556312259894</v>
      </c>
      <c r="AN850" s="45"/>
      <c r="AO850" s="74"/>
      <c r="AP850" s="53">
        <f>P_2_minQ+(AP847^2*R_dn)-dpdn_minQ</f>
        <v>35.242486888804272</v>
      </c>
      <c r="AQ850" s="45"/>
      <c r="AR850" s="74"/>
      <c r="AS850" s="53">
        <f>P_2_minQ+(AS847^2*R_dn)-dpdn_minQ</f>
        <v>38.367986246829133</v>
      </c>
      <c r="AT850" s="45"/>
      <c r="AU850" s="74"/>
    </row>
    <row r="851" spans="15:47" x14ac:dyDescent="0.25">
      <c r="O851" s="6" t="s">
        <v>243</v>
      </c>
      <c r="Q851" s="60"/>
      <c r="R851" s="53">
        <f>R849-R850</f>
        <v>32.258885708529576</v>
      </c>
      <c r="S851" s="56"/>
      <c r="T851" s="72"/>
      <c r="U851" s="64">
        <f>U849-U850</f>
        <v>32.118265026152841</v>
      </c>
      <c r="V851" s="44"/>
      <c r="W851" s="72"/>
      <c r="X851" s="64">
        <f>X849-X850</f>
        <v>31.446335877668304</v>
      </c>
      <c r="Y851" s="44"/>
      <c r="Z851" s="72"/>
      <c r="AA851" s="64">
        <f>AA849-AA850</f>
        <v>29.295302595179564</v>
      </c>
      <c r="AB851" s="44"/>
      <c r="AC851" s="72"/>
      <c r="AD851" s="64">
        <f>AD849-AD850</f>
        <v>24.242116365748437</v>
      </c>
      <c r="AE851" s="44"/>
      <c r="AF851" s="72"/>
      <c r="AG851" s="64">
        <f>AG849-AG850</f>
        <v>14.487399637587657</v>
      </c>
      <c r="AH851" s="44"/>
      <c r="AI851" s="72"/>
      <c r="AJ851" s="64">
        <f>AJ849-AJ850</f>
        <v>0.60925594725595289</v>
      </c>
      <c r="AK851" s="44"/>
      <c r="AL851" s="72"/>
      <c r="AM851" s="64">
        <f>AM849-AM850</f>
        <v>-14.863337873559349</v>
      </c>
      <c r="AN851" s="44"/>
      <c r="AO851" s="72"/>
      <c r="AP851" s="64">
        <f>AP849-AP850</f>
        <v>-31.254921332825621</v>
      </c>
      <c r="AQ851" s="44"/>
      <c r="AR851" s="72"/>
      <c r="AS851" s="64">
        <f>AS849-AS850</f>
        <v>-50.007917480974768</v>
      </c>
      <c r="AT851" s="44"/>
      <c r="AU851" s="72"/>
    </row>
    <row r="852" spans="15:47" ht="13" x14ac:dyDescent="0.3">
      <c r="O852" s="6" t="s">
        <v>75</v>
      </c>
      <c r="P852" s="6">
        <v>3</v>
      </c>
      <c r="Q852" s="65"/>
      <c r="R852" s="85">
        <f>(F_LP_h/F_P_h)^2*(R849-('Valve Sizing'!$V$4*'Valve Sizing'!$G$7))</f>
        <v>46.764827793989213</v>
      </c>
      <c r="S852" s="58"/>
      <c r="T852" s="73"/>
      <c r="U852" s="53">
        <f>(U$29/U$27)^2*(U849-('Valve Sizing'!$V$4*'Valve Sizing'!$G$7))</f>
        <v>46.655073659604362</v>
      </c>
      <c r="V852" s="41"/>
      <c r="W852" s="73"/>
      <c r="X852" s="53">
        <f>(X$29/X$27)^2*(X849-('Valve Sizing'!$V$4*'Valve Sizing'!$G$7))</f>
        <v>45.14960014897617</v>
      </c>
      <c r="Y852" s="41"/>
      <c r="Z852" s="73"/>
      <c r="AA852" s="53">
        <f>(AA$29/AA$27)^2*(AA849-('Valve Sizing'!$V$4*'Valve Sizing'!$G$7))</f>
        <v>41.735708241054638</v>
      </c>
      <c r="AB852" s="41"/>
      <c r="AC852" s="73"/>
      <c r="AD852" s="53">
        <f>(AD$29/AD$27)^2*(AD849-('Valve Sizing'!$V$4*'Valve Sizing'!$G$7))</f>
        <v>35.911555284779539</v>
      </c>
      <c r="AE852" s="41"/>
      <c r="AF852" s="73"/>
      <c r="AG852" s="53">
        <f>(AG$29/AG$27)^2*(AG849-('Valve Sizing'!$V$4*'Valve Sizing'!$G$7))</f>
        <v>26.834805274800932</v>
      </c>
      <c r="AH852" s="41"/>
      <c r="AI852" s="73"/>
      <c r="AJ852" s="53">
        <f>(AJ$29/AJ$27)^2*(AJ849-('Valve Sizing'!$V$4*'Valve Sizing'!$G$7))</f>
        <v>17.409338468899477</v>
      </c>
      <c r="AK852" s="41"/>
      <c r="AL852" s="73"/>
      <c r="AM852" s="53">
        <f>(AM$29/AM$27)^2*(AM849-('Valve Sizing'!$V$4*'Valve Sizing'!$G$7))</f>
        <v>8.2331471969262289</v>
      </c>
      <c r="AN852" s="41"/>
      <c r="AO852" s="73"/>
      <c r="AP852" s="53">
        <f>(AP$29/AP$27)^2*(AP849-('Valve Sizing'!$V$4*'Valve Sizing'!$G$7))</f>
        <v>1.3999417824831286</v>
      </c>
      <c r="AQ852" s="41"/>
      <c r="AR852" s="73"/>
      <c r="AS852" s="53">
        <f>(AS$29/AS$27)^2*(AS849-('Valve Sizing'!$V$4*'Valve Sizing'!$G$7))</f>
        <v>-4.5437766187794253</v>
      </c>
      <c r="AT852" s="41"/>
      <c r="AU852" s="73"/>
    </row>
    <row r="853" spans="15:47" ht="13" x14ac:dyDescent="0.25">
      <c r="O853" s="1" t="s">
        <v>69</v>
      </c>
      <c r="P853" s="17">
        <v>7</v>
      </c>
      <c r="Q853" s="65"/>
      <c r="R853" s="53">
        <f>(R847/(N_1*F_P_h))*SQRT('Valve Sizing'!$G$6/R851)</f>
        <v>0.60987600262233821</v>
      </c>
      <c r="S853" s="58"/>
      <c r="T853" s="73"/>
      <c r="U853" s="64">
        <f>(U847/(N_1*U$27))*SQRT('Valve Sizing'!$G$6/U851)</f>
        <v>10.420587287474099</v>
      </c>
      <c r="V853" s="41"/>
      <c r="W853" s="73"/>
      <c r="X853" s="64">
        <f>(X847/(N_1*X$27))*SQRT('Valve Sizing'!$G$6/X851)</f>
        <v>25.336040826560069</v>
      </c>
      <c r="Y853" s="41"/>
      <c r="Z853" s="73"/>
      <c r="AA853" s="64">
        <f>(AA847/(N_1*AA$27))*SQRT('Valve Sizing'!$G$6/AA851)</f>
        <v>50.408688853805558</v>
      </c>
      <c r="AB853" s="41"/>
      <c r="AC853" s="73"/>
      <c r="AD853" s="64">
        <f>(AD847/(N_1*AD$27))*SQRT('Valve Sizing'!$G$6/AD851)</f>
        <v>92.28115502371638</v>
      </c>
      <c r="AE853" s="41"/>
      <c r="AF853" s="73"/>
      <c r="AG853" s="64">
        <f>(AG847/(N_1*AG$27))*SQRT('Valve Sizing'!$G$6/AG851)</f>
        <v>181.69426844554616</v>
      </c>
      <c r="AH853" s="41"/>
      <c r="AI853" s="73"/>
      <c r="AJ853" s="64">
        <f>(AJ847/(N_1*AJ$27))*SQRT('Valve Sizing'!$G$6/AJ851)</f>
        <v>1225.3539145721318</v>
      </c>
      <c r="AK853" s="41"/>
      <c r="AL853" s="73"/>
      <c r="AM853" s="64" t="e">
        <f>(AM847/(N_1*AM$27))*SQRT('Valve Sizing'!$G$6/AM851)</f>
        <v>#NUM!</v>
      </c>
      <c r="AN853" s="41"/>
      <c r="AO853" s="73"/>
      <c r="AP853" s="64" t="e">
        <f>(AP847/(N_1*AP$27))*SQRT('Valve Sizing'!$G$6/AP851)</f>
        <v>#NUM!</v>
      </c>
      <c r="AQ853" s="41"/>
      <c r="AR853" s="73"/>
      <c r="AS853" s="64" t="e">
        <f>(AS847/(N_1*AS$27))*SQRT('Valve Sizing'!$G$6/AS851)</f>
        <v>#NUM!</v>
      </c>
      <c r="AT853" s="41"/>
      <c r="AU853" s="73"/>
    </row>
    <row r="854" spans="15:47" ht="13" x14ac:dyDescent="0.3">
      <c r="O854" s="1" t="s">
        <v>72</v>
      </c>
      <c r="P854" s="17">
        <v>7</v>
      </c>
      <c r="Q854" s="65"/>
      <c r="R854" s="53">
        <f>(R847/(N_1*F_P_h))*SQRT('Valve Sizing'!$G$6/R852)</f>
        <v>0.50653161430543292</v>
      </c>
      <c r="S854" s="56"/>
      <c r="T854" s="72"/>
      <c r="U854" s="85">
        <f>(U847/(N_1*U$27))*SQRT('Valve Sizing'!$G$6/U852)</f>
        <v>8.6460709444032133</v>
      </c>
      <c r="V854" s="44"/>
      <c r="W854" s="72"/>
      <c r="X854" s="85">
        <f>(X847/(N_1*X$27))*SQRT('Valve Sizing'!$G$6/X852)</f>
        <v>21.144470808067741</v>
      </c>
      <c r="Y854" s="44"/>
      <c r="Z854" s="72"/>
      <c r="AA854" s="85">
        <f>(AA847/(N_1*AA$27))*SQRT('Valve Sizing'!$G$6/AA852)</f>
        <v>42.232860871217909</v>
      </c>
      <c r="AB854" s="44"/>
      <c r="AC854" s="72"/>
      <c r="AD854" s="85">
        <f>(AD847/(N_1*AD$27))*SQRT('Valve Sizing'!$G$6/AD852)</f>
        <v>75.819546126843321</v>
      </c>
      <c r="AE854" s="44"/>
      <c r="AF854" s="72"/>
      <c r="AG854" s="85">
        <f>(AG847/(N_1*AG$27))*SQRT('Valve Sizing'!$G$6/AG852)</f>
        <v>133.50183149459588</v>
      </c>
      <c r="AH854" s="44"/>
      <c r="AI854" s="72"/>
      <c r="AJ854" s="85">
        <f>(AJ847/(N_1*AJ$27))*SQRT('Valve Sizing'!$G$6/AJ852)</f>
        <v>229.22938896186466</v>
      </c>
      <c r="AK854" s="44"/>
      <c r="AL854" s="72"/>
      <c r="AM854" s="85">
        <f>(AM847/(N_1*AM$27))*SQRT('Valve Sizing'!$G$6/AM852)</f>
        <v>431.54357917255504</v>
      </c>
      <c r="AN854" s="44"/>
      <c r="AO854" s="72"/>
      <c r="AP854" s="85">
        <f>(AP847/(N_1*AP$27))*SQRT('Valve Sizing'!$G$6/AP852)</f>
        <v>1382.8965210190663</v>
      </c>
      <c r="AQ854" s="44"/>
      <c r="AR854" s="72"/>
      <c r="AS854" s="85" t="e">
        <f>(AS847/(N_1*AS$27))*SQRT('Valve Sizing'!$G$6/AS852)</f>
        <v>#NUM!</v>
      </c>
      <c r="AT854" s="44"/>
      <c r="AU854" s="72"/>
    </row>
    <row r="855" spans="15:47" x14ac:dyDescent="0.25">
      <c r="O855" s="1" t="s">
        <v>246</v>
      </c>
      <c r="P855" s="18"/>
      <c r="Q855" s="65"/>
      <c r="R855" s="53">
        <f>IF(R851&lt;R852,R853,R854)</f>
        <v>0.60987600262233821</v>
      </c>
      <c r="S855" s="49"/>
      <c r="T855" s="72"/>
      <c r="U855" s="64">
        <f>IF(U851&lt;U852,U853,U854)</f>
        <v>10.420587287474099</v>
      </c>
      <c r="V855" s="44"/>
      <c r="W855" s="72"/>
      <c r="X855" s="64">
        <f>IF(X851&lt;X852,X853,X854)</f>
        <v>25.336040826560069</v>
      </c>
      <c r="Y855" s="44"/>
      <c r="Z855" s="72"/>
      <c r="AA855" s="64">
        <f>IF(AA851&lt;AA852,AA853,AA854)</f>
        <v>50.408688853805558</v>
      </c>
      <c r="AB855" s="44"/>
      <c r="AC855" s="72"/>
      <c r="AD855" s="64">
        <f>IF(AD851&lt;AD852,AD853,AD854)</f>
        <v>92.28115502371638</v>
      </c>
      <c r="AE855" s="44"/>
      <c r="AF855" s="72"/>
      <c r="AG855" s="64">
        <f>IF(AG851&lt;AG852,AG853,AG854)</f>
        <v>181.69426844554616</v>
      </c>
      <c r="AH855" s="44"/>
      <c r="AI855" s="72"/>
      <c r="AJ855" s="64">
        <f>IF(AJ851&lt;AJ852,AJ853,AJ854)</f>
        <v>1225.3539145721318</v>
      </c>
      <c r="AK855" s="44"/>
      <c r="AL855" s="72"/>
      <c r="AM855" s="64" t="e">
        <f>IF(AM851&lt;AM852,AM853,AM854)</f>
        <v>#NUM!</v>
      </c>
      <c r="AN855" s="44"/>
      <c r="AO855" s="72"/>
      <c r="AP855" s="64" t="e">
        <f>IF(AP851&lt;AP852,AP853,AP854)</f>
        <v>#NUM!</v>
      </c>
      <c r="AQ855" s="44"/>
      <c r="AR855" s="72"/>
      <c r="AS855" s="64" t="e">
        <f>IF(AS851&lt;AS852,AS853,AS854)</f>
        <v>#NUM!</v>
      </c>
      <c r="AT855" s="44"/>
      <c r="AU855" s="72"/>
    </row>
    <row r="856" spans="15:47" ht="13" x14ac:dyDescent="0.3">
      <c r="O856" s="7" t="s">
        <v>264</v>
      </c>
      <c r="Q856" s="61"/>
      <c r="R856" s="53"/>
      <c r="S856" s="69">
        <f>IFERROR(ABS(C_h-R855),Q_max*10)</f>
        <v>4.3901239973776622</v>
      </c>
      <c r="T856" s="76">
        <f>R847</f>
        <v>3.4634003569628793</v>
      </c>
      <c r="U856" s="61"/>
      <c r="V856" s="69">
        <f>IFERROR(ABS(U$23-U855),Q_max*10)</f>
        <v>1.579412712525901</v>
      </c>
      <c r="W856" s="75">
        <f>U847</f>
        <v>59.006868072103153</v>
      </c>
      <c r="X856" s="61"/>
      <c r="Y856" s="69">
        <f>IFERROR(ABS(X$23-X855),Q_max*10)</f>
        <v>2.336040826560069</v>
      </c>
      <c r="Z856" s="75">
        <f>X847</f>
        <v>141.63919732381532</v>
      </c>
      <c r="AA856" s="61"/>
      <c r="AB856" s="69">
        <f>IFERROR(ABS(AA$23-AA855),Q_max*10)</f>
        <v>11.408688853805558</v>
      </c>
      <c r="AC856" s="75">
        <f>AA847</f>
        <v>270.44113678200716</v>
      </c>
      <c r="AD856" s="61"/>
      <c r="AE856" s="69">
        <f>IFERROR(ABS(AD$23-AD855),Q_max*10)</f>
        <v>31.28115502371638</v>
      </c>
      <c r="AF856" s="75">
        <f>AD847</f>
        <v>444.77609948732317</v>
      </c>
      <c r="AG856" s="61"/>
      <c r="AH856" s="69">
        <f>IFERROR(ABS(AG$23-AG855),Q_max*10)</f>
        <v>93.694268445546157</v>
      </c>
      <c r="AI856" s="75">
        <f>AG847</f>
        <v>662.21100409350231</v>
      </c>
      <c r="AJ856" s="61"/>
      <c r="AK856" s="69">
        <f>IFERROR(ABS(AJ$23-AJ855),Q_max*10)</f>
        <v>1104.3539145721318</v>
      </c>
      <c r="AL856" s="75">
        <f>AJ847</f>
        <v>883.72315206825908</v>
      </c>
      <c r="AM856" s="61"/>
      <c r="AN856" s="69">
        <f>IFERROR(ABS(AM$23-AM855),Q_max*10)</f>
        <v>5500</v>
      </c>
      <c r="AO856" s="75">
        <f>AM847</f>
        <v>1078.3101882251121</v>
      </c>
      <c r="AP856" s="61"/>
      <c r="AQ856" s="69">
        <f>IFERROR(ABS(AP$23-AP855),Q_max*10)</f>
        <v>5500</v>
      </c>
      <c r="AR856" s="75">
        <f>AP847</f>
        <v>1251.8846527885355</v>
      </c>
      <c r="AS856" s="61"/>
      <c r="AT856" s="69">
        <f>IFERROR(ABS(AS$23-AS855),Q_max*10)</f>
        <v>5500</v>
      </c>
      <c r="AU856" s="75">
        <f>AS847</f>
        <v>1424.7615112161939</v>
      </c>
    </row>
    <row r="857" spans="15:47" ht="14.5" x14ac:dyDescent="0.35">
      <c r="O857" s="8"/>
      <c r="P857" s="6"/>
      <c r="Q857" s="60"/>
      <c r="R857" s="67"/>
      <c r="S857" s="66"/>
      <c r="T857" s="74"/>
      <c r="V857" s="11"/>
      <c r="W857" s="38"/>
      <c r="Y857" s="11"/>
      <c r="Z857" s="38"/>
      <c r="AB857" s="11"/>
      <c r="AC857" s="38"/>
      <c r="AE857" s="11"/>
      <c r="AF857" s="38"/>
      <c r="AH857" s="11"/>
      <c r="AI857" s="38"/>
      <c r="AK857" s="11"/>
      <c r="AL857" s="38"/>
      <c r="AN857" s="11"/>
      <c r="AO857" s="38"/>
      <c r="AQ857" s="11"/>
      <c r="AR857" s="38"/>
      <c r="AT857" s="11"/>
      <c r="AU857" s="38"/>
    </row>
    <row r="858" spans="15:47" ht="14" x14ac:dyDescent="0.3">
      <c r="O858" s="8" t="s">
        <v>235</v>
      </c>
      <c r="P858" s="6"/>
      <c r="Q858" s="60"/>
      <c r="R858" s="53">
        <f>R847*1.02</f>
        <v>3.532668364102137</v>
      </c>
      <c r="S858" s="58" t="s">
        <v>238</v>
      </c>
      <c r="T858" s="73" t="s">
        <v>241</v>
      </c>
      <c r="U858" s="84">
        <f>U847*1.01</f>
        <v>59.596936752824185</v>
      </c>
      <c r="V858" s="58" t="s">
        <v>238</v>
      </c>
      <c r="W858" s="73" t="s">
        <v>241</v>
      </c>
      <c r="X858" s="84">
        <f>X847*1.01</f>
        <v>143.05558929705347</v>
      </c>
      <c r="Y858" s="58" t="s">
        <v>238</v>
      </c>
      <c r="Z858" s="73" t="s">
        <v>241</v>
      </c>
      <c r="AA858" s="84">
        <f>AA847*1.01</f>
        <v>273.14554814982722</v>
      </c>
      <c r="AB858" s="58" t="s">
        <v>238</v>
      </c>
      <c r="AC858" s="73" t="s">
        <v>241</v>
      </c>
      <c r="AD858" s="84">
        <f>AD847*1.01</f>
        <v>449.22386048219641</v>
      </c>
      <c r="AE858" s="58" t="s">
        <v>238</v>
      </c>
      <c r="AF858" s="73" t="s">
        <v>241</v>
      </c>
      <c r="AG858" s="84">
        <f>AG847*1.01</f>
        <v>668.83311413443732</v>
      </c>
      <c r="AH858" s="58" t="s">
        <v>238</v>
      </c>
      <c r="AI858" s="73" t="s">
        <v>241</v>
      </c>
      <c r="AJ858" s="84">
        <f>AJ847*1.01</f>
        <v>892.5603835889417</v>
      </c>
      <c r="AK858" s="58" t="s">
        <v>238</v>
      </c>
      <c r="AL858" s="73" t="s">
        <v>241</v>
      </c>
      <c r="AM858" s="84">
        <f>AM847*1.01</f>
        <v>1089.0932901073634</v>
      </c>
      <c r="AN858" s="58" t="s">
        <v>238</v>
      </c>
      <c r="AO858" s="73" t="s">
        <v>241</v>
      </c>
      <c r="AP858" s="84">
        <f>AP847*1.01</f>
        <v>1264.4034993164209</v>
      </c>
      <c r="AQ858" s="58" t="s">
        <v>238</v>
      </c>
      <c r="AR858" s="73" t="s">
        <v>241</v>
      </c>
      <c r="AS858" s="84">
        <f>AS847*1.01</f>
        <v>1439.0091263283557</v>
      </c>
      <c r="AT858" s="58" t="s">
        <v>238</v>
      </c>
      <c r="AU858" s="73" t="s">
        <v>241</v>
      </c>
    </row>
    <row r="859" spans="15:47" ht="13" x14ac:dyDescent="0.25">
      <c r="O859" s="6"/>
      <c r="P859" s="6"/>
      <c r="Q859" s="60"/>
      <c r="R859" s="70"/>
      <c r="S859" s="63" t="s">
        <v>250</v>
      </c>
      <c r="T859" s="71" t="s">
        <v>242</v>
      </c>
      <c r="U859" s="61"/>
      <c r="V859" s="63" t="s">
        <v>250</v>
      </c>
      <c r="W859" s="71" t="s">
        <v>242</v>
      </c>
      <c r="X859" s="61"/>
      <c r="Y859" s="63" t="s">
        <v>250</v>
      </c>
      <c r="Z859" s="71" t="s">
        <v>242</v>
      </c>
      <c r="AA859" s="61"/>
      <c r="AB859" s="63" t="s">
        <v>250</v>
      </c>
      <c r="AC859" s="71" t="s">
        <v>242</v>
      </c>
      <c r="AD859" s="61"/>
      <c r="AE859" s="63" t="s">
        <v>250</v>
      </c>
      <c r="AF859" s="71" t="s">
        <v>242</v>
      </c>
      <c r="AG859" s="61"/>
      <c r="AH859" s="63" t="s">
        <v>250</v>
      </c>
      <c r="AI859" s="71" t="s">
        <v>242</v>
      </c>
      <c r="AJ859" s="61"/>
      <c r="AK859" s="63" t="s">
        <v>250</v>
      </c>
      <c r="AL859" s="71" t="s">
        <v>242</v>
      </c>
      <c r="AM859" s="61"/>
      <c r="AN859" s="63" t="s">
        <v>250</v>
      </c>
      <c r="AO859" s="71" t="s">
        <v>242</v>
      </c>
      <c r="AP859" s="61"/>
      <c r="AQ859" s="63" t="s">
        <v>250</v>
      </c>
      <c r="AR859" s="71" t="s">
        <v>242</v>
      </c>
      <c r="AS859" s="61"/>
      <c r="AT859" s="63" t="s">
        <v>250</v>
      </c>
      <c r="AU859" s="71" t="s">
        <v>242</v>
      </c>
    </row>
    <row r="860" spans="15:47" ht="13" x14ac:dyDescent="0.3">
      <c r="O860" s="6" t="s">
        <v>231</v>
      </c>
      <c r="P860" s="6"/>
      <c r="Q860" s="60"/>
      <c r="R860" s="85">
        <f>P_1_minQ-(R858^2*R_up)+dpup_minQ</f>
        <v>56.915721724222536</v>
      </c>
      <c r="S860" s="56"/>
      <c r="T860" s="72"/>
      <c r="U860" s="53">
        <f>P_1_minQ-(U858^2*R_up)+dpup_minQ</f>
        <v>56.796190649431942</v>
      </c>
      <c r="V860" s="44"/>
      <c r="W860" s="72"/>
      <c r="X860" s="53">
        <f>P_1_minQ-(X858^2*R_up)+dpup_minQ</f>
        <v>56.224994879124374</v>
      </c>
      <c r="Y860" s="44"/>
      <c r="Z860" s="72"/>
      <c r="AA860" s="53">
        <f>P_1_minQ-(AA858^2*R_up)+dpup_minQ</f>
        <v>54.396437336235408</v>
      </c>
      <c r="AB860" s="44"/>
      <c r="AC860" s="72"/>
      <c r="AD860" s="53">
        <f>P_1_minQ-(AD858^2*R_up)+dpup_minQ</f>
        <v>50.100807942366501</v>
      </c>
      <c r="AE860" s="44"/>
      <c r="AF860" s="72"/>
      <c r="AG860" s="53">
        <f>P_1_minQ-(AG858^2*R_up)+dpup_minQ</f>
        <v>41.808485830369158</v>
      </c>
      <c r="AH860" s="44"/>
      <c r="AI860" s="72"/>
      <c r="AJ860" s="53">
        <f>P_1_minQ-(AJ858^2*R_up)+dpup_minQ</f>
        <v>30.010907181613014</v>
      </c>
      <c r="AK860" s="44"/>
      <c r="AL860" s="72"/>
      <c r="AM860" s="53">
        <f>P_1_minQ-(AM858^2*R_up)+dpup_minQ</f>
        <v>16.857913051101601</v>
      </c>
      <c r="AN860" s="44"/>
      <c r="AO860" s="72"/>
      <c r="AP860" s="53">
        <f>P_1_minQ-(AP858^2*R_up)+dpup_minQ</f>
        <v>2.9237011454369961</v>
      </c>
      <c r="AQ860" s="44"/>
      <c r="AR860" s="72"/>
      <c r="AS860" s="53">
        <f>P_1_minQ-(AS858^2*R_up)+dpup_minQ</f>
        <v>-13.017908330168783</v>
      </c>
      <c r="AT860" s="44"/>
      <c r="AU860" s="72"/>
    </row>
    <row r="861" spans="15:47" ht="13" x14ac:dyDescent="0.3">
      <c r="O861" s="6" t="s">
        <v>233</v>
      </c>
      <c r="P861" s="6"/>
      <c r="Q861" s="60"/>
      <c r="R861" s="85">
        <f>P_2_minQ+(R858^2*R_dn)-dpdn_minQ</f>
        <v>24.656855655155493</v>
      </c>
      <c r="S861" s="66"/>
      <c r="T861" s="74"/>
      <c r="U861" s="53">
        <f>P_2_minQ+(U858^2*R_dn)-dpdn_minQ</f>
        <v>24.680761870113614</v>
      </c>
      <c r="V861" s="45"/>
      <c r="W861" s="74"/>
      <c r="X861" s="53">
        <f>P_2_minQ+(X858^2*R_dn)-dpdn_minQ</f>
        <v>24.795001024175125</v>
      </c>
      <c r="Y861" s="45"/>
      <c r="Z861" s="74"/>
      <c r="AA861" s="53">
        <f>P_2_minQ+(AA858^2*R_dn)-dpdn_minQ</f>
        <v>25.160712532752921</v>
      </c>
      <c r="AB861" s="45"/>
      <c r="AC861" s="74"/>
      <c r="AD861" s="53">
        <f>P_2_minQ+(AD858^2*R_dn)-dpdn_minQ</f>
        <v>26.019838411526703</v>
      </c>
      <c r="AE861" s="45"/>
      <c r="AF861" s="74"/>
      <c r="AG861" s="53">
        <f>P_2_minQ+(AG858^2*R_dn)-dpdn_minQ</f>
        <v>27.678302833926171</v>
      </c>
      <c r="AH861" s="45"/>
      <c r="AI861" s="74"/>
      <c r="AJ861" s="53">
        <f>P_2_minQ+(AJ858^2*R_dn)-dpdn_minQ</f>
        <v>30.037818563677398</v>
      </c>
      <c r="AK861" s="45"/>
      <c r="AL861" s="74"/>
      <c r="AM861" s="53">
        <f>P_2_minQ+(AM858^2*R_dn)-dpdn_minQ</f>
        <v>32.668417389779684</v>
      </c>
      <c r="AN861" s="45"/>
      <c r="AO861" s="74"/>
      <c r="AP861" s="53">
        <f>P_2_minQ+(AP858^2*R_dn)-dpdn_minQ</f>
        <v>35.455259770912605</v>
      </c>
      <c r="AQ861" s="45"/>
      <c r="AR861" s="74"/>
      <c r="AS861" s="53">
        <f>P_2_minQ+(AS858^2*R_dn)-dpdn_minQ</f>
        <v>38.643581666033761</v>
      </c>
      <c r="AT861" s="45"/>
      <c r="AU861" s="74"/>
    </row>
    <row r="862" spans="15:47" x14ac:dyDescent="0.25">
      <c r="O862" s="6" t="s">
        <v>243</v>
      </c>
      <c r="Q862" s="60"/>
      <c r="R862" s="53">
        <f>R860-R861</f>
        <v>32.258866069067039</v>
      </c>
      <c r="S862" s="56"/>
      <c r="T862" s="72"/>
      <c r="U862" s="64">
        <f>U860-U861</f>
        <v>32.115428779318329</v>
      </c>
      <c r="V862" s="44"/>
      <c r="W862" s="72"/>
      <c r="X862" s="64">
        <f>X860-X861</f>
        <v>31.429993854949249</v>
      </c>
      <c r="Y862" s="44"/>
      <c r="Z862" s="72"/>
      <c r="AA862" s="64">
        <f>AA860-AA861</f>
        <v>29.235724803482487</v>
      </c>
      <c r="AB862" s="44"/>
      <c r="AC862" s="72"/>
      <c r="AD862" s="64">
        <f>AD860-AD861</f>
        <v>24.080969530839798</v>
      </c>
      <c r="AE862" s="44"/>
      <c r="AF862" s="72"/>
      <c r="AG862" s="64">
        <f>AG860-AG861</f>
        <v>14.130182996442986</v>
      </c>
      <c r="AH862" s="44"/>
      <c r="AI862" s="72"/>
      <c r="AJ862" s="64">
        <f>AJ860-AJ861</f>
        <v>-2.6911382064383815E-2</v>
      </c>
      <c r="AK862" s="44"/>
      <c r="AL862" s="72"/>
      <c r="AM862" s="64">
        <f>AM860-AM861</f>
        <v>-15.810504338678083</v>
      </c>
      <c r="AN862" s="44"/>
      <c r="AO862" s="72"/>
      <c r="AP862" s="64">
        <f>AP860-AP861</f>
        <v>-32.531558625475611</v>
      </c>
      <c r="AQ862" s="44"/>
      <c r="AR862" s="72"/>
      <c r="AS862" s="64">
        <f>AS860-AS861</f>
        <v>-51.661489996202548</v>
      </c>
      <c r="AT862" s="44"/>
      <c r="AU862" s="72"/>
    </row>
    <row r="863" spans="15:47" ht="13" x14ac:dyDescent="0.3">
      <c r="O863" s="6" t="s">
        <v>75</v>
      </c>
      <c r="P863" s="6">
        <v>3</v>
      </c>
      <c r="Q863" s="65"/>
      <c r="R863" s="85">
        <f>(F_LP_h/F_P_h)^2*(R860-('Valve Sizing'!$V$4*'Valve Sizing'!$G$7))</f>
        <v>46.764814241901</v>
      </c>
      <c r="S863" s="58"/>
      <c r="T863" s="73"/>
      <c r="U863" s="53">
        <f>(U$29/U$27)^2*(U860-('Valve Sizing'!$V$4*'Valve Sizing'!$G$7))</f>
        <v>46.653117058660506</v>
      </c>
      <c r="V863" s="41"/>
      <c r="W863" s="73"/>
      <c r="X863" s="53">
        <f>(X$29/X$27)^2*(X860-('Valve Sizing'!$V$4*'Valve Sizing'!$G$7))</f>
        <v>45.138580810692318</v>
      </c>
      <c r="Y863" s="41"/>
      <c r="Z863" s="73"/>
      <c r="AA863" s="53">
        <f>(AA$29/AA$27)^2*(AA860-('Valve Sizing'!$V$4*'Valve Sizing'!$G$7))</f>
        <v>41.697340281156414</v>
      </c>
      <c r="AB863" s="41"/>
      <c r="AC863" s="73"/>
      <c r="AD863" s="53">
        <f>(AD$29/AD$27)^2*(AD860-('Valve Sizing'!$V$4*'Valve Sizing'!$G$7))</f>
        <v>35.814707728077593</v>
      </c>
      <c r="AE863" s="41"/>
      <c r="AF863" s="73"/>
      <c r="AG863" s="53">
        <f>(AG$29/AG$27)^2*(AG860-('Valve Sizing'!$V$4*'Valve Sizing'!$G$7))</f>
        <v>26.643085927308292</v>
      </c>
      <c r="AH863" s="41"/>
      <c r="AI863" s="73"/>
      <c r="AJ863" s="53">
        <f>(AJ$29/AJ$27)^2*(AJ860-('Valve Sizing'!$V$4*'Valve Sizing'!$G$7))</f>
        <v>17.1027247234173</v>
      </c>
      <c r="AK863" s="41"/>
      <c r="AL863" s="73"/>
      <c r="AM863" s="53">
        <f>(AM$29/AM$27)^2*(AM860-('Valve Sizing'!$V$4*'Valve Sizing'!$G$7))</f>
        <v>7.8554865516641268</v>
      </c>
      <c r="AN863" s="41"/>
      <c r="AO863" s="73"/>
      <c r="AP863" s="53">
        <f>(AP$29/AP$27)^2*(AP860-('Valve Sizing'!$V$4*'Valve Sizing'!$G$7))</f>
        <v>0.98011234541156156</v>
      </c>
      <c r="AQ863" s="41"/>
      <c r="AR863" s="73"/>
      <c r="AS863" s="53">
        <f>(AS$29/AS$27)^2*(AS860-('Valve Sizing'!$V$4*'Valve Sizing'!$G$7))</f>
        <v>-5.0620900179344464</v>
      </c>
      <c r="AT863" s="41"/>
      <c r="AU863" s="73"/>
    </row>
    <row r="864" spans="15:47" ht="13" x14ac:dyDescent="0.25">
      <c r="O864" s="1" t="s">
        <v>69</v>
      </c>
      <c r="P864" s="17">
        <v>7</v>
      </c>
      <c r="Q864" s="65"/>
      <c r="R864" s="53">
        <f>(R858/(N_1*F_P_h))*SQRT('Valve Sizing'!$G$6/R862)</f>
        <v>0.62207371203649031</v>
      </c>
      <c r="S864" s="58"/>
      <c r="T864" s="73"/>
      <c r="U864" s="64">
        <f>(U858/(N_1*U$27))*SQRT('Valve Sizing'!$G$6/U862)</f>
        <v>10.525257894175915</v>
      </c>
      <c r="V864" s="41"/>
      <c r="W864" s="73"/>
      <c r="X864" s="64">
        <f>(X858/(N_1*X$27))*SQRT('Valve Sizing'!$G$6/X862)</f>
        <v>25.596052973828613</v>
      </c>
      <c r="Y864" s="41"/>
      <c r="Z864" s="73"/>
      <c r="AA864" s="64">
        <f>(AA858/(N_1*AA$27))*SQRT('Valve Sizing'!$G$6/AA862)</f>
        <v>50.964625440086941</v>
      </c>
      <c r="AB864" s="41"/>
      <c r="AC864" s="73"/>
      <c r="AD864" s="64">
        <f>(AD858/(N_1*AD$27))*SQRT('Valve Sizing'!$G$6/AD862)</f>
        <v>93.515301230246649</v>
      </c>
      <c r="AE864" s="41"/>
      <c r="AF864" s="73"/>
      <c r="AG864" s="64">
        <f>(AG858/(N_1*AG$27))*SQRT('Valve Sizing'!$G$6/AG862)</f>
        <v>185.81635151387405</v>
      </c>
      <c r="AH864" s="41"/>
      <c r="AI864" s="73"/>
      <c r="AJ864" s="64" t="e">
        <f>(AJ858/(N_1*AJ$27))*SQRT('Valve Sizing'!$G$6/AJ862)</f>
        <v>#NUM!</v>
      </c>
      <c r="AK864" s="41"/>
      <c r="AL864" s="73"/>
      <c r="AM864" s="64" t="e">
        <f>(AM858/(N_1*AM$27))*SQRT('Valve Sizing'!$G$6/AM862)</f>
        <v>#NUM!</v>
      </c>
      <c r="AN864" s="41"/>
      <c r="AO864" s="73"/>
      <c r="AP864" s="64" t="e">
        <f>(AP858/(N_1*AP$27))*SQRT('Valve Sizing'!$G$6/AP862)</f>
        <v>#NUM!</v>
      </c>
      <c r="AQ864" s="41"/>
      <c r="AR864" s="73"/>
      <c r="AS864" s="64" t="e">
        <f>(AS858/(N_1*AS$27))*SQRT('Valve Sizing'!$G$6/AS862)</f>
        <v>#NUM!</v>
      </c>
      <c r="AT864" s="41"/>
      <c r="AU864" s="73"/>
    </row>
    <row r="865" spans="15:47" ht="13" x14ac:dyDescent="0.3">
      <c r="O865" s="1" t="s">
        <v>72</v>
      </c>
      <c r="P865" s="17">
        <v>7</v>
      </c>
      <c r="Q865" s="65"/>
      <c r="R865" s="53">
        <f>(R858/(N_1*F_P_h))*SQRT('Valve Sizing'!$G$6/R863)</f>
        <v>0.51666232145393487</v>
      </c>
      <c r="S865" s="56"/>
      <c r="T865" s="72"/>
      <c r="U865" s="85">
        <f>(U858/(N_1*U$27))*SQRT('Valve Sizing'!$G$6/U863)</f>
        <v>8.7327147702348782</v>
      </c>
      <c r="V865" s="44"/>
      <c r="W865" s="72"/>
      <c r="X865" s="85">
        <f>(X858/(N_1*X$27))*SQRT('Valve Sizing'!$G$6/X863)</f>
        <v>21.358522085658894</v>
      </c>
      <c r="Y865" s="44"/>
      <c r="Z865" s="72"/>
      <c r="AA865" s="85">
        <f>(AA858/(N_1*AA$27))*SQRT('Valve Sizing'!$G$6/AA863)</f>
        <v>42.674809631747095</v>
      </c>
      <c r="AB865" s="44"/>
      <c r="AC865" s="72"/>
      <c r="AD865" s="85">
        <f>(AD858/(N_1*AD$27))*SQRT('Valve Sizing'!$G$6/AD863)</f>
        <v>76.681209698092857</v>
      </c>
      <c r="AE865" s="44"/>
      <c r="AF865" s="72"/>
      <c r="AG865" s="85">
        <f>(AG858/(N_1*AG$27))*SQRT('Valve Sizing'!$G$6/AG863)</f>
        <v>135.32111231012772</v>
      </c>
      <c r="AH865" s="44"/>
      <c r="AI865" s="72"/>
      <c r="AJ865" s="85">
        <f>(AJ858/(N_1*AJ$27))*SQRT('Valve Sizing'!$G$6/AJ863)</f>
        <v>233.58779772328006</v>
      </c>
      <c r="AK865" s="44"/>
      <c r="AL865" s="72"/>
      <c r="AM865" s="85">
        <f>(AM858/(N_1*AM$27))*SQRT('Valve Sizing'!$G$6/AM863)</f>
        <v>446.21321516261401</v>
      </c>
      <c r="AN865" s="44"/>
      <c r="AO865" s="72"/>
      <c r="AP865" s="85">
        <f>(AP858/(N_1*AP$27))*SQRT('Valve Sizing'!$G$6/AP863)</f>
        <v>1669.275871293685</v>
      </c>
      <c r="AQ865" s="44"/>
      <c r="AR865" s="72"/>
      <c r="AS865" s="85" t="e">
        <f>(AS858/(N_1*AS$27))*SQRT('Valve Sizing'!$G$6/AS863)</f>
        <v>#NUM!</v>
      </c>
      <c r="AT865" s="44"/>
      <c r="AU865" s="72"/>
    </row>
    <row r="866" spans="15:47" x14ac:dyDescent="0.25">
      <c r="O866" s="1" t="s">
        <v>246</v>
      </c>
      <c r="P866" s="18"/>
      <c r="Q866" s="65"/>
      <c r="R866" s="53">
        <f>IF(R862&lt;R863,R864,R865)</f>
        <v>0.62207371203649031</v>
      </c>
      <c r="S866" s="49"/>
      <c r="T866" s="72"/>
      <c r="U866" s="64">
        <f>IF(U862&lt;U863,U864,U865)</f>
        <v>10.525257894175915</v>
      </c>
      <c r="V866" s="44"/>
      <c r="W866" s="72"/>
      <c r="X866" s="64">
        <f>IF(X862&lt;X863,X864,X865)</f>
        <v>25.596052973828613</v>
      </c>
      <c r="Y866" s="44"/>
      <c r="Z866" s="72"/>
      <c r="AA866" s="64">
        <f>IF(AA862&lt;AA863,AA864,AA865)</f>
        <v>50.964625440086941</v>
      </c>
      <c r="AB866" s="44"/>
      <c r="AC866" s="72"/>
      <c r="AD866" s="64">
        <f>IF(AD862&lt;AD863,AD864,AD865)</f>
        <v>93.515301230246649</v>
      </c>
      <c r="AE866" s="44"/>
      <c r="AF866" s="72"/>
      <c r="AG866" s="64">
        <f>IF(AG862&lt;AG863,AG864,AG865)</f>
        <v>185.81635151387405</v>
      </c>
      <c r="AH866" s="44"/>
      <c r="AI866" s="72"/>
      <c r="AJ866" s="64" t="e">
        <f>IF(AJ862&lt;AJ863,AJ864,AJ865)</f>
        <v>#NUM!</v>
      </c>
      <c r="AK866" s="44"/>
      <c r="AL866" s="72"/>
      <c r="AM866" s="64" t="e">
        <f>IF(AM862&lt;AM863,AM864,AM865)</f>
        <v>#NUM!</v>
      </c>
      <c r="AN866" s="44"/>
      <c r="AO866" s="72"/>
      <c r="AP866" s="64" t="e">
        <f>IF(AP862&lt;AP863,AP864,AP865)</f>
        <v>#NUM!</v>
      </c>
      <c r="AQ866" s="44"/>
      <c r="AR866" s="72"/>
      <c r="AS866" s="64" t="e">
        <f>IF(AS862&lt;AS863,AS864,AS865)</f>
        <v>#NUM!</v>
      </c>
      <c r="AT866" s="44"/>
      <c r="AU866" s="72"/>
    </row>
    <row r="867" spans="15:47" ht="13" x14ac:dyDescent="0.3">
      <c r="O867" s="7" t="s">
        <v>264</v>
      </c>
      <c r="Q867" s="61"/>
      <c r="R867" s="53"/>
      <c r="S867" s="69">
        <f>IFERROR(ABS(C_h-R866),Q_max*10)</f>
        <v>4.3779262879635095</v>
      </c>
      <c r="T867" s="76">
        <f>R858</f>
        <v>3.532668364102137</v>
      </c>
      <c r="U867" s="61"/>
      <c r="V867" s="69">
        <f>IFERROR(ABS(U$23-U866),Q_max*10)</f>
        <v>1.4747421058240846</v>
      </c>
      <c r="W867" s="75">
        <f>U858</f>
        <v>59.596936752824185</v>
      </c>
      <c r="X867" s="61"/>
      <c r="Y867" s="69">
        <f>IFERROR(ABS(X$23-X866),Q_max*10)</f>
        <v>2.5960529738286127</v>
      </c>
      <c r="Z867" s="75">
        <f>X858</f>
        <v>143.05558929705347</v>
      </c>
      <c r="AA867" s="61"/>
      <c r="AB867" s="69">
        <f>IFERROR(ABS(AA$23-AA866),Q_max*10)</f>
        <v>11.964625440086941</v>
      </c>
      <c r="AC867" s="75">
        <f>AA858</f>
        <v>273.14554814982722</v>
      </c>
      <c r="AD867" s="61"/>
      <c r="AE867" s="69">
        <f>IFERROR(ABS(AD$23-AD866),Q_max*10)</f>
        <v>32.515301230246649</v>
      </c>
      <c r="AF867" s="75">
        <f>AD858</f>
        <v>449.22386048219641</v>
      </c>
      <c r="AG867" s="61"/>
      <c r="AH867" s="69">
        <f>IFERROR(ABS(AG$23-AG866),Q_max*10)</f>
        <v>97.816351513874054</v>
      </c>
      <c r="AI867" s="75">
        <f>AG858</f>
        <v>668.83311413443732</v>
      </c>
      <c r="AJ867" s="61"/>
      <c r="AK867" s="69">
        <f>IFERROR(ABS(AJ$23-AJ866),Q_max*10)</f>
        <v>5500</v>
      </c>
      <c r="AL867" s="75">
        <f>AJ858</f>
        <v>892.5603835889417</v>
      </c>
      <c r="AM867" s="61"/>
      <c r="AN867" s="69">
        <f>IFERROR(ABS(AM$23-AM866),Q_max*10)</f>
        <v>5500</v>
      </c>
      <c r="AO867" s="75">
        <f>AM858</f>
        <v>1089.0932901073634</v>
      </c>
      <c r="AP867" s="61"/>
      <c r="AQ867" s="69">
        <f>IFERROR(ABS(AP$23-AP866),Q_max*10)</f>
        <v>5500</v>
      </c>
      <c r="AR867" s="75">
        <f>AP858</f>
        <v>1264.4034993164209</v>
      </c>
      <c r="AS867" s="61"/>
      <c r="AT867" s="69">
        <f>IFERROR(ABS(AS$23-AS866),Q_max*10)</f>
        <v>5500</v>
      </c>
      <c r="AU867" s="75">
        <f>AS858</f>
        <v>1439.0091263283557</v>
      </c>
    </row>
    <row r="868" spans="15:47" ht="14.5" x14ac:dyDescent="0.35">
      <c r="O868" s="6"/>
      <c r="P868" s="6"/>
      <c r="Q868" s="60"/>
      <c r="R868" s="67"/>
      <c r="S868" s="56"/>
      <c r="T868" s="72"/>
      <c r="V868" s="11"/>
      <c r="W868" s="38"/>
      <c r="Y868" s="11"/>
      <c r="Z868" s="38"/>
      <c r="AB868" s="11"/>
      <c r="AC868" s="38"/>
      <c r="AE868" s="11"/>
      <c r="AF868" s="38"/>
      <c r="AH868" s="11"/>
      <c r="AI868" s="38"/>
      <c r="AK868" s="11"/>
      <c r="AL868" s="38"/>
      <c r="AN868" s="11"/>
      <c r="AO868" s="38"/>
      <c r="AQ868" s="11"/>
      <c r="AR868" s="38"/>
      <c r="AT868" s="11"/>
      <c r="AU868" s="38"/>
    </row>
    <row r="869" spans="15:47" ht="14" x14ac:dyDescent="0.3">
      <c r="O869" s="8" t="s">
        <v>235</v>
      </c>
      <c r="P869" s="6"/>
      <c r="Q869" s="60"/>
      <c r="R869" s="53">
        <f>R858*1.02</f>
        <v>3.6033217313841797</v>
      </c>
      <c r="S869" s="58" t="s">
        <v>238</v>
      </c>
      <c r="T869" s="73" t="s">
        <v>241</v>
      </c>
      <c r="U869" s="84">
        <f>U858*1.01</f>
        <v>60.192906120352426</v>
      </c>
      <c r="V869" s="58" t="s">
        <v>238</v>
      </c>
      <c r="W869" s="73" t="s">
        <v>241</v>
      </c>
      <c r="X869" s="84">
        <f>X858*1.01</f>
        <v>144.48614519002402</v>
      </c>
      <c r="Y869" s="58" t="s">
        <v>238</v>
      </c>
      <c r="Z869" s="73" t="s">
        <v>241</v>
      </c>
      <c r="AA869" s="84">
        <f>AA858*1.01</f>
        <v>275.87700363132552</v>
      </c>
      <c r="AB869" s="58" t="s">
        <v>238</v>
      </c>
      <c r="AC869" s="73" t="s">
        <v>241</v>
      </c>
      <c r="AD869" s="84">
        <f>AD858*1.01</f>
        <v>453.71609908701839</v>
      </c>
      <c r="AE869" s="58" t="s">
        <v>238</v>
      </c>
      <c r="AF869" s="73" t="s">
        <v>241</v>
      </c>
      <c r="AG869" s="84">
        <f>AG858*1.01</f>
        <v>675.52144527578173</v>
      </c>
      <c r="AH869" s="58" t="s">
        <v>238</v>
      </c>
      <c r="AI869" s="73" t="s">
        <v>241</v>
      </c>
      <c r="AJ869" s="84">
        <f>AJ858*1.01</f>
        <v>901.48598742483114</v>
      </c>
      <c r="AK869" s="58" t="s">
        <v>238</v>
      </c>
      <c r="AL869" s="73" t="s">
        <v>241</v>
      </c>
      <c r="AM869" s="84">
        <f>AM858*1.01</f>
        <v>1099.9842230084371</v>
      </c>
      <c r="AN869" s="58" t="s">
        <v>238</v>
      </c>
      <c r="AO869" s="73" t="s">
        <v>241</v>
      </c>
      <c r="AP869" s="84">
        <f>AP858*1.01</f>
        <v>1277.0475343095852</v>
      </c>
      <c r="AQ869" s="58" t="s">
        <v>238</v>
      </c>
      <c r="AR869" s="73" t="s">
        <v>241</v>
      </c>
      <c r="AS869" s="84">
        <f>AS858*1.01</f>
        <v>1453.3992175916392</v>
      </c>
      <c r="AT869" s="58" t="s">
        <v>238</v>
      </c>
      <c r="AU869" s="73" t="s">
        <v>241</v>
      </c>
    </row>
    <row r="870" spans="15:47" ht="13" x14ac:dyDescent="0.25">
      <c r="O870" s="6"/>
      <c r="P870" s="6"/>
      <c r="Q870" s="60"/>
      <c r="R870" s="70"/>
      <c r="S870" s="63" t="s">
        <v>250</v>
      </c>
      <c r="T870" s="71" t="s">
        <v>242</v>
      </c>
      <c r="U870" s="61"/>
      <c r="V870" s="63" t="s">
        <v>250</v>
      </c>
      <c r="W870" s="71" t="s">
        <v>242</v>
      </c>
      <c r="X870" s="61"/>
      <c r="Y870" s="63" t="s">
        <v>250</v>
      </c>
      <c r="Z870" s="71" t="s">
        <v>242</v>
      </c>
      <c r="AA870" s="61"/>
      <c r="AB870" s="63" t="s">
        <v>250</v>
      </c>
      <c r="AC870" s="71" t="s">
        <v>242</v>
      </c>
      <c r="AD870" s="61"/>
      <c r="AE870" s="63" t="s">
        <v>250</v>
      </c>
      <c r="AF870" s="71" t="s">
        <v>242</v>
      </c>
      <c r="AG870" s="61"/>
      <c r="AH870" s="63" t="s">
        <v>250</v>
      </c>
      <c r="AI870" s="71" t="s">
        <v>242</v>
      </c>
      <c r="AJ870" s="61"/>
      <c r="AK870" s="63" t="s">
        <v>250</v>
      </c>
      <c r="AL870" s="71" t="s">
        <v>242</v>
      </c>
      <c r="AM870" s="61"/>
      <c r="AN870" s="63" t="s">
        <v>250</v>
      </c>
      <c r="AO870" s="71" t="s">
        <v>242</v>
      </c>
      <c r="AP870" s="61"/>
      <c r="AQ870" s="63" t="s">
        <v>250</v>
      </c>
      <c r="AR870" s="71" t="s">
        <v>242</v>
      </c>
      <c r="AS870" s="61"/>
      <c r="AT870" s="63" t="s">
        <v>250</v>
      </c>
      <c r="AU870" s="71" t="s">
        <v>242</v>
      </c>
    </row>
    <row r="871" spans="15:47" ht="13" x14ac:dyDescent="0.3">
      <c r="O871" s="6" t="s">
        <v>231</v>
      </c>
      <c r="P871" s="6"/>
      <c r="Q871" s="60"/>
      <c r="R871" s="85">
        <f>P_1_minQ-(R869^2*R_up)+dpup_minQ</f>
        <v>56.915704696808518</v>
      </c>
      <c r="S871" s="56"/>
      <c r="T871" s="72"/>
      <c r="U871" s="53">
        <f>P_1_minQ-(U869^2*R_up)+dpup_minQ</f>
        <v>56.79377960326871</v>
      </c>
      <c r="V871" s="44"/>
      <c r="W871" s="72"/>
      <c r="X871" s="53">
        <f>P_1_minQ-(X869^2*R_up)+dpup_minQ</f>
        <v>56.211102797977958</v>
      </c>
      <c r="Y871" s="44"/>
      <c r="Z871" s="72"/>
      <c r="AA871" s="53">
        <f>P_1_minQ-(AA869^2*R_up)+dpup_minQ</f>
        <v>54.345791248476921</v>
      </c>
      <c r="AB871" s="44"/>
      <c r="AC871" s="72"/>
      <c r="AD871" s="53">
        <f>P_1_minQ-(AD869^2*R_up)+dpup_minQ</f>
        <v>49.963819703791252</v>
      </c>
      <c r="AE871" s="44"/>
      <c r="AF871" s="72"/>
      <c r="AG871" s="53">
        <f>P_1_minQ-(AG869^2*R_up)+dpup_minQ</f>
        <v>41.504821917342753</v>
      </c>
      <c r="AH871" s="44"/>
      <c r="AI871" s="72"/>
      <c r="AJ871" s="53">
        <f>P_1_minQ-(AJ869^2*R_up)+dpup_minQ</f>
        <v>29.470111937746612</v>
      </c>
      <c r="AK871" s="44"/>
      <c r="AL871" s="72"/>
      <c r="AM871" s="53">
        <f>P_1_minQ-(AM869^2*R_up)+dpup_minQ</f>
        <v>16.052742625211916</v>
      </c>
      <c r="AN871" s="44"/>
      <c r="AO871" s="72"/>
      <c r="AP871" s="53">
        <f>P_1_minQ-(AP869^2*R_up)+dpup_minQ</f>
        <v>1.838453060243455</v>
      </c>
      <c r="AQ871" s="44"/>
      <c r="AR871" s="72"/>
      <c r="AS871" s="53">
        <f>P_1_minQ-(AS869^2*R_up)+dpup_minQ</f>
        <v>-14.42358276582198</v>
      </c>
      <c r="AT871" s="44"/>
      <c r="AU871" s="72"/>
    </row>
    <row r="872" spans="15:47" ht="13" x14ac:dyDescent="0.3">
      <c r="O872" s="6" t="s">
        <v>233</v>
      </c>
      <c r="P872" s="6"/>
      <c r="Q872" s="60"/>
      <c r="R872" s="85">
        <f>P_2_minQ+(R869^2*R_dn)-dpdn_minQ</f>
        <v>24.656859060638297</v>
      </c>
      <c r="S872" s="66"/>
      <c r="T872" s="74"/>
      <c r="U872" s="53">
        <f>P_2_minQ+(U869^2*R_dn)-dpdn_minQ</f>
        <v>24.681244079346261</v>
      </c>
      <c r="V872" s="45"/>
      <c r="W872" s="74"/>
      <c r="X872" s="53">
        <f>P_2_minQ+(X869^2*R_dn)-dpdn_minQ</f>
        <v>24.797779440404408</v>
      </c>
      <c r="Y872" s="45"/>
      <c r="Z872" s="74"/>
      <c r="AA872" s="53">
        <f>P_2_minQ+(AA869^2*R_dn)-dpdn_minQ</f>
        <v>25.170841750304618</v>
      </c>
      <c r="AB872" s="45"/>
      <c r="AC872" s="74"/>
      <c r="AD872" s="53">
        <f>P_2_minQ+(AD869^2*R_dn)-dpdn_minQ</f>
        <v>26.047236059241751</v>
      </c>
      <c r="AE872" s="45"/>
      <c r="AF872" s="74"/>
      <c r="AG872" s="53">
        <f>P_2_minQ+(AG869^2*R_dn)-dpdn_minQ</f>
        <v>27.739035616531449</v>
      </c>
      <c r="AH872" s="45"/>
      <c r="AI872" s="74"/>
      <c r="AJ872" s="53">
        <f>P_2_minQ+(AJ869^2*R_dn)-dpdn_minQ</f>
        <v>30.145977612450679</v>
      </c>
      <c r="AK872" s="45"/>
      <c r="AL872" s="74"/>
      <c r="AM872" s="53">
        <f>P_2_minQ+(AM869^2*R_dn)-dpdn_minQ</f>
        <v>32.829451474957622</v>
      </c>
      <c r="AN872" s="45"/>
      <c r="AO872" s="74"/>
      <c r="AP872" s="53">
        <f>P_2_minQ+(AP869^2*R_dn)-dpdn_minQ</f>
        <v>35.672309387951316</v>
      </c>
      <c r="AQ872" s="45"/>
      <c r="AR872" s="74"/>
      <c r="AS872" s="53">
        <f>P_2_minQ+(AS869^2*R_dn)-dpdn_minQ</f>
        <v>38.924716553164401</v>
      </c>
      <c r="AT872" s="45"/>
      <c r="AU872" s="74"/>
    </row>
    <row r="873" spans="15:47" x14ac:dyDescent="0.25">
      <c r="O873" s="6" t="s">
        <v>243</v>
      </c>
      <c r="Q873" s="60"/>
      <c r="R873" s="53">
        <f>R871-R872</f>
        <v>32.258845636170221</v>
      </c>
      <c r="S873" s="56"/>
      <c r="T873" s="72"/>
      <c r="U873" s="64">
        <f>U871-U872</f>
        <v>32.112535523922446</v>
      </c>
      <c r="V873" s="44"/>
      <c r="W873" s="72"/>
      <c r="X873" s="64">
        <f>X871-X872</f>
        <v>31.41332335757355</v>
      </c>
      <c r="Y873" s="44"/>
      <c r="Z873" s="72"/>
      <c r="AA873" s="64">
        <f>AA871-AA872</f>
        <v>29.174949498172303</v>
      </c>
      <c r="AB873" s="44"/>
      <c r="AC873" s="72"/>
      <c r="AD873" s="64">
        <f>AD871-AD872</f>
        <v>23.916583644549501</v>
      </c>
      <c r="AE873" s="44"/>
      <c r="AF873" s="72"/>
      <c r="AG873" s="64">
        <f>AG871-AG872</f>
        <v>13.765786300811303</v>
      </c>
      <c r="AH873" s="44"/>
      <c r="AI873" s="72"/>
      <c r="AJ873" s="64">
        <f>AJ871-AJ872</f>
        <v>-0.67586567470406678</v>
      </c>
      <c r="AK873" s="44"/>
      <c r="AL873" s="72"/>
      <c r="AM873" s="64">
        <f>AM871-AM872</f>
        <v>-16.776708849745706</v>
      </c>
      <c r="AN873" s="44"/>
      <c r="AO873" s="72"/>
      <c r="AP873" s="64">
        <f>AP871-AP872</f>
        <v>-33.833856327707863</v>
      </c>
      <c r="AQ873" s="44"/>
      <c r="AR873" s="72"/>
      <c r="AS873" s="64">
        <f>AS871-AS872</f>
        <v>-53.348299318986378</v>
      </c>
      <c r="AT873" s="44"/>
      <c r="AU873" s="72"/>
    </row>
    <row r="874" spans="15:47" ht="13" x14ac:dyDescent="0.3">
      <c r="O874" s="6" t="s">
        <v>75</v>
      </c>
      <c r="P874" s="6">
        <v>3</v>
      </c>
      <c r="Q874" s="65"/>
      <c r="R874" s="85">
        <f>(F_LP_h/F_P_h)^2*(R871-('Valve Sizing'!$V$4*'Valve Sizing'!$G$7))</f>
        <v>46.764800142308424</v>
      </c>
      <c r="S874" s="58"/>
      <c r="T874" s="73"/>
      <c r="U874" s="53">
        <f>(U$29/U$27)^2*(U871-('Valve Sizing'!$V$4*'Valve Sizing'!$G$7))</f>
        <v>46.651121130037687</v>
      </c>
      <c r="V874" s="41"/>
      <c r="W874" s="73"/>
      <c r="X874" s="53">
        <f>(X$29/X$27)^2*(X871-('Valve Sizing'!$V$4*'Valve Sizing'!$G$7))</f>
        <v>45.127339983708978</v>
      </c>
      <c r="Y874" s="41"/>
      <c r="Z874" s="73"/>
      <c r="AA874" s="53">
        <f>(AA$29/AA$27)^2*(AA871-('Valve Sizing'!$V$4*'Valve Sizing'!$G$7))</f>
        <v>41.658201125264242</v>
      </c>
      <c r="AB874" s="41"/>
      <c r="AC874" s="73"/>
      <c r="AD874" s="53">
        <f>(AD$29/AD$27)^2*(AD871-('Valve Sizing'!$V$4*'Valve Sizing'!$G$7))</f>
        <v>35.715913535485946</v>
      </c>
      <c r="AE874" s="41"/>
      <c r="AF874" s="73"/>
      <c r="AG874" s="53">
        <f>(AG$29/AG$27)^2*(AG871-('Valve Sizing'!$V$4*'Valve Sizing'!$G$7))</f>
        <v>26.447513020931044</v>
      </c>
      <c r="AH874" s="41"/>
      <c r="AI874" s="73"/>
      <c r="AJ874" s="53">
        <f>(AJ$29/AJ$27)^2*(AJ871-('Valve Sizing'!$V$4*'Valve Sizing'!$G$7))</f>
        <v>16.789948041650927</v>
      </c>
      <c r="AK874" s="41"/>
      <c r="AL874" s="73"/>
      <c r="AM874" s="53">
        <f>(AM$29/AM$27)^2*(AM871-('Valve Sizing'!$V$4*'Valve Sizing'!$G$7))</f>
        <v>7.470234927432255</v>
      </c>
      <c r="AN874" s="41"/>
      <c r="AO874" s="73"/>
      <c r="AP874" s="53">
        <f>(AP$29/AP$27)^2*(AP871-('Valve Sizing'!$V$4*'Valve Sizing'!$G$7))</f>
        <v>0.55184433665485633</v>
      </c>
      <c r="AQ874" s="41"/>
      <c r="AR874" s="73"/>
      <c r="AS874" s="53">
        <f>(AS$29/AS$27)^2*(AS871-('Valve Sizing'!$V$4*'Valve Sizing'!$G$7))</f>
        <v>-5.5908215164124782</v>
      </c>
      <c r="AT874" s="41"/>
      <c r="AU874" s="73"/>
    </row>
    <row r="875" spans="15:47" ht="13" x14ac:dyDescent="0.25">
      <c r="O875" s="1" t="s">
        <v>69</v>
      </c>
      <c r="P875" s="17">
        <v>7</v>
      </c>
      <c r="Q875" s="65"/>
      <c r="R875" s="53">
        <f>(R869/(N_1*F_P_h))*SQRT('Valve Sizing'!$G$6/R873)</f>
        <v>0.63451538722956402</v>
      </c>
      <c r="S875" s="58"/>
      <c r="T875" s="73"/>
      <c r="U875" s="64">
        <f>(U869/(N_1*U$27))*SQRT('Valve Sizing'!$G$6/U873)</f>
        <v>10.630989352915554</v>
      </c>
      <c r="V875" s="41"/>
      <c r="W875" s="73"/>
      <c r="X875" s="64">
        <f>(X869/(N_1*X$27))*SQRT('Valve Sizing'!$G$6/X873)</f>
        <v>25.85887219783849</v>
      </c>
      <c r="Y875" s="41"/>
      <c r="Z875" s="73"/>
      <c r="AA875" s="64">
        <f>(AA869/(N_1*AA$27))*SQRT('Valve Sizing'!$G$6/AA873)</f>
        <v>51.527857683946856</v>
      </c>
      <c r="AB875" s="41"/>
      <c r="AC875" s="73"/>
      <c r="AD875" s="64">
        <f>(AD869/(N_1*AD$27))*SQRT('Valve Sizing'!$G$6/AD873)</f>
        <v>94.774491611035643</v>
      </c>
      <c r="AE875" s="41"/>
      <c r="AF875" s="73"/>
      <c r="AG875" s="64">
        <f>(AG869/(N_1*AG$27))*SQRT('Valve Sizing'!$G$6/AG873)</f>
        <v>190.14227410868705</v>
      </c>
      <c r="AH875" s="41"/>
      <c r="AI875" s="73"/>
      <c r="AJ875" s="64" t="e">
        <f>(AJ869/(N_1*AJ$27))*SQRT('Valve Sizing'!$G$6/AJ873)</f>
        <v>#NUM!</v>
      </c>
      <c r="AK875" s="41"/>
      <c r="AL875" s="73"/>
      <c r="AM875" s="64" t="e">
        <f>(AM869/(N_1*AM$27))*SQRT('Valve Sizing'!$G$6/AM873)</f>
        <v>#NUM!</v>
      </c>
      <c r="AN875" s="41"/>
      <c r="AO875" s="73"/>
      <c r="AP875" s="64" t="e">
        <f>(AP869/(N_1*AP$27))*SQRT('Valve Sizing'!$G$6/AP873)</f>
        <v>#NUM!</v>
      </c>
      <c r="AQ875" s="41"/>
      <c r="AR875" s="73"/>
      <c r="AS875" s="64" t="e">
        <f>(AS869/(N_1*AS$27))*SQRT('Valve Sizing'!$G$6/AS873)</f>
        <v>#NUM!</v>
      </c>
      <c r="AT875" s="41"/>
      <c r="AU875" s="73"/>
    </row>
    <row r="876" spans="15:47" ht="13" x14ac:dyDescent="0.3">
      <c r="O876" s="1" t="s">
        <v>72</v>
      </c>
      <c r="P876" s="17">
        <v>7</v>
      </c>
      <c r="Q876" s="65"/>
      <c r="R876" s="53">
        <f>(R869/(N_1*F_P_h))*SQRT('Valve Sizing'!$G$6/R874)</f>
        <v>0.5269956473276195</v>
      </c>
      <c r="S876" s="56"/>
      <c r="T876" s="72"/>
      <c r="U876" s="85">
        <f>(U869/(N_1*U$27))*SQRT('Valve Sizing'!$G$6/U874)</f>
        <v>8.8202305949229132</v>
      </c>
      <c r="V876" s="44"/>
      <c r="W876" s="72"/>
      <c r="X876" s="85">
        <f>(X869/(N_1*X$27))*SQRT('Valve Sizing'!$G$6/X874)</f>
        <v>21.574793851162639</v>
      </c>
      <c r="Y876" s="44"/>
      <c r="Z876" s="72"/>
      <c r="AA876" s="85">
        <f>(AA869/(N_1*AA$27))*SQRT('Valve Sizing'!$G$6/AA874)</f>
        <v>43.121800591297628</v>
      </c>
      <c r="AB876" s="44"/>
      <c r="AC876" s="72"/>
      <c r="AD876" s="85">
        <f>(AD869/(N_1*AD$27))*SQRT('Valve Sizing'!$G$6/AD874)</f>
        <v>77.555062749137107</v>
      </c>
      <c r="AE876" s="44"/>
      <c r="AF876" s="72"/>
      <c r="AG876" s="85">
        <f>(AG869/(N_1*AG$27))*SQRT('Valve Sizing'!$G$6/AG874)</f>
        <v>137.17872929983082</v>
      </c>
      <c r="AH876" s="44"/>
      <c r="AI876" s="72"/>
      <c r="AJ876" s="85">
        <f>(AJ869/(N_1*AJ$27))*SQRT('Valve Sizing'!$G$6/AJ874)</f>
        <v>238.11102395603703</v>
      </c>
      <c r="AK876" s="44"/>
      <c r="AL876" s="72"/>
      <c r="AM876" s="85">
        <f>(AM869/(N_1*AM$27))*SQRT('Valve Sizing'!$G$6/AM874)</f>
        <v>462.15027613354562</v>
      </c>
      <c r="AN876" s="44"/>
      <c r="AO876" s="72"/>
      <c r="AP876" s="85">
        <f>(AP869/(N_1*AP$27))*SQRT('Valve Sizing'!$G$6/AP874)</f>
        <v>2246.8760989518737</v>
      </c>
      <c r="AQ876" s="44"/>
      <c r="AR876" s="72"/>
      <c r="AS876" s="85" t="e">
        <f>(AS869/(N_1*AS$27))*SQRT('Valve Sizing'!$G$6/AS874)</f>
        <v>#NUM!</v>
      </c>
      <c r="AT876" s="44"/>
      <c r="AU876" s="72"/>
    </row>
    <row r="877" spans="15:47" x14ac:dyDescent="0.25">
      <c r="O877" s="1" t="s">
        <v>246</v>
      </c>
      <c r="P877" s="18"/>
      <c r="Q877" s="65"/>
      <c r="R877" s="53">
        <f>IF(R873&lt;R874,R875,R876)</f>
        <v>0.63451538722956402</v>
      </c>
      <c r="S877" s="49"/>
      <c r="T877" s="72"/>
      <c r="U877" s="64">
        <f>IF(U873&lt;U874,U875,U876)</f>
        <v>10.630989352915554</v>
      </c>
      <c r="V877" s="44"/>
      <c r="W877" s="72"/>
      <c r="X877" s="64">
        <f>IF(X873&lt;X874,X875,X876)</f>
        <v>25.85887219783849</v>
      </c>
      <c r="Y877" s="44"/>
      <c r="Z877" s="72"/>
      <c r="AA877" s="64">
        <f>IF(AA873&lt;AA874,AA875,AA876)</f>
        <v>51.527857683946856</v>
      </c>
      <c r="AB877" s="44"/>
      <c r="AC877" s="72"/>
      <c r="AD877" s="64">
        <f>IF(AD873&lt;AD874,AD875,AD876)</f>
        <v>94.774491611035643</v>
      </c>
      <c r="AE877" s="44"/>
      <c r="AF877" s="72"/>
      <c r="AG877" s="64">
        <f>IF(AG873&lt;AG874,AG875,AG876)</f>
        <v>190.14227410868705</v>
      </c>
      <c r="AH877" s="44"/>
      <c r="AI877" s="72"/>
      <c r="AJ877" s="64" t="e">
        <f>IF(AJ873&lt;AJ874,AJ875,AJ876)</f>
        <v>#NUM!</v>
      </c>
      <c r="AK877" s="44"/>
      <c r="AL877" s="72"/>
      <c r="AM877" s="64" t="e">
        <f>IF(AM873&lt;AM874,AM875,AM876)</f>
        <v>#NUM!</v>
      </c>
      <c r="AN877" s="44"/>
      <c r="AO877" s="72"/>
      <c r="AP877" s="64" t="e">
        <f>IF(AP873&lt;AP874,AP875,AP876)</f>
        <v>#NUM!</v>
      </c>
      <c r="AQ877" s="44"/>
      <c r="AR877" s="72"/>
      <c r="AS877" s="64" t="e">
        <f>IF(AS873&lt;AS874,AS875,AS876)</f>
        <v>#NUM!</v>
      </c>
      <c r="AT877" s="44"/>
      <c r="AU877" s="72"/>
    </row>
    <row r="878" spans="15:47" ht="13" x14ac:dyDescent="0.3">
      <c r="O878" s="7" t="s">
        <v>264</v>
      </c>
      <c r="Q878" s="61"/>
      <c r="R878" s="53"/>
      <c r="S878" s="69">
        <f>IFERROR(ABS(C_h-R877),Q_max*10)</f>
        <v>4.3654846127704356</v>
      </c>
      <c r="T878" s="76">
        <f>R869</f>
        <v>3.6033217313841797</v>
      </c>
      <c r="U878" s="61"/>
      <c r="V878" s="69">
        <f>IFERROR(ABS(U$23-U877),Q_max*10)</f>
        <v>1.3690106470844459</v>
      </c>
      <c r="W878" s="75">
        <f>U869</f>
        <v>60.192906120352426</v>
      </c>
      <c r="X878" s="61"/>
      <c r="Y878" s="69">
        <f>IFERROR(ABS(X$23-X877),Q_max*10)</f>
        <v>2.8588721978384903</v>
      </c>
      <c r="Z878" s="75">
        <f>X869</f>
        <v>144.48614519002402</v>
      </c>
      <c r="AA878" s="61"/>
      <c r="AB878" s="69">
        <f>IFERROR(ABS(AA$23-AA877),Q_max*10)</f>
        <v>12.527857683946856</v>
      </c>
      <c r="AC878" s="75">
        <f>AA869</f>
        <v>275.87700363132552</v>
      </c>
      <c r="AD878" s="61"/>
      <c r="AE878" s="69">
        <f>IFERROR(ABS(AD$23-AD877),Q_max*10)</f>
        <v>33.774491611035643</v>
      </c>
      <c r="AF878" s="75">
        <f>AD869</f>
        <v>453.71609908701839</v>
      </c>
      <c r="AG878" s="61"/>
      <c r="AH878" s="69">
        <f>IFERROR(ABS(AG$23-AG877),Q_max*10)</f>
        <v>102.14227410868705</v>
      </c>
      <c r="AI878" s="75">
        <f>AG869</f>
        <v>675.52144527578173</v>
      </c>
      <c r="AJ878" s="61"/>
      <c r="AK878" s="69">
        <f>IFERROR(ABS(AJ$23-AJ877),Q_max*10)</f>
        <v>5500</v>
      </c>
      <c r="AL878" s="75">
        <f>AJ869</f>
        <v>901.48598742483114</v>
      </c>
      <c r="AM878" s="61"/>
      <c r="AN878" s="69">
        <f>IFERROR(ABS(AM$23-AM877),Q_max*10)</f>
        <v>5500</v>
      </c>
      <c r="AO878" s="75">
        <f>AM869</f>
        <v>1099.9842230084371</v>
      </c>
      <c r="AP878" s="61"/>
      <c r="AQ878" s="69">
        <f>IFERROR(ABS(AP$23-AP877),Q_max*10)</f>
        <v>5500</v>
      </c>
      <c r="AR878" s="75">
        <f>AP869</f>
        <v>1277.0475343095852</v>
      </c>
      <c r="AS878" s="61"/>
      <c r="AT878" s="69">
        <f>IFERROR(ABS(AS$23-AS877),Q_max*10)</f>
        <v>5500</v>
      </c>
      <c r="AU878" s="75">
        <f>AS869</f>
        <v>1453.3992175916392</v>
      </c>
    </row>
    <row r="879" spans="15:47" ht="14.5" x14ac:dyDescent="0.35">
      <c r="O879" s="8"/>
      <c r="P879" s="6"/>
      <c r="Q879" s="60"/>
      <c r="R879" s="67"/>
      <c r="S879" s="58"/>
      <c r="T879" s="73"/>
      <c r="V879" s="11"/>
      <c r="W879" s="38"/>
      <c r="Y879" s="11"/>
      <c r="Z879" s="38"/>
      <c r="AB879" s="11"/>
      <c r="AC879" s="38"/>
      <c r="AE879" s="11"/>
      <c r="AF879" s="38"/>
      <c r="AH879" s="11"/>
      <c r="AI879" s="38"/>
      <c r="AK879" s="11"/>
      <c r="AL879" s="38"/>
      <c r="AN879" s="11"/>
      <c r="AO879" s="38"/>
      <c r="AQ879" s="11"/>
      <c r="AR879" s="38"/>
      <c r="AT879" s="11"/>
      <c r="AU879" s="38"/>
    </row>
    <row r="880" spans="15:47" ht="14" x14ac:dyDescent="0.3">
      <c r="O880" s="8" t="s">
        <v>235</v>
      </c>
      <c r="P880" s="6"/>
      <c r="Q880" s="60"/>
      <c r="R880" s="53">
        <f>R869*1.02</f>
        <v>3.6753881660118632</v>
      </c>
      <c r="S880" s="58" t="s">
        <v>238</v>
      </c>
      <c r="T880" s="73" t="s">
        <v>241</v>
      </c>
      <c r="U880" s="84">
        <f>U869*1.01</f>
        <v>60.794835181555953</v>
      </c>
      <c r="V880" s="58" t="s">
        <v>238</v>
      </c>
      <c r="W880" s="73" t="s">
        <v>241</v>
      </c>
      <c r="X880" s="84">
        <f>X869*1.01</f>
        <v>145.93100664192426</v>
      </c>
      <c r="Y880" s="58" t="s">
        <v>238</v>
      </c>
      <c r="Z880" s="73" t="s">
        <v>241</v>
      </c>
      <c r="AA880" s="84">
        <f>AA869*1.01</f>
        <v>278.63577366763877</v>
      </c>
      <c r="AB880" s="58" t="s">
        <v>238</v>
      </c>
      <c r="AC880" s="73" t="s">
        <v>241</v>
      </c>
      <c r="AD880" s="84">
        <f>AD869*1.01</f>
        <v>458.25326007788857</v>
      </c>
      <c r="AE880" s="58" t="s">
        <v>238</v>
      </c>
      <c r="AF880" s="73" t="s">
        <v>241</v>
      </c>
      <c r="AG880" s="84">
        <f>AG869*1.01</f>
        <v>682.27665972853958</v>
      </c>
      <c r="AH880" s="58" t="s">
        <v>238</v>
      </c>
      <c r="AI880" s="73" t="s">
        <v>241</v>
      </c>
      <c r="AJ880" s="84">
        <f>AJ869*1.01</f>
        <v>910.50084729907951</v>
      </c>
      <c r="AK880" s="58" t="s">
        <v>238</v>
      </c>
      <c r="AL880" s="73" t="s">
        <v>241</v>
      </c>
      <c r="AM880" s="84">
        <f>AM869*1.01</f>
        <v>1110.9840652385215</v>
      </c>
      <c r="AN880" s="58" t="s">
        <v>238</v>
      </c>
      <c r="AO880" s="73" t="s">
        <v>241</v>
      </c>
      <c r="AP880" s="84">
        <f>AP869*1.01</f>
        <v>1289.818009652681</v>
      </c>
      <c r="AQ880" s="58" t="s">
        <v>238</v>
      </c>
      <c r="AR880" s="73" t="s">
        <v>241</v>
      </c>
      <c r="AS880" s="84">
        <f>AS869*1.01</f>
        <v>1467.9332097675556</v>
      </c>
      <c r="AT880" s="58" t="s">
        <v>238</v>
      </c>
      <c r="AU880" s="73" t="s">
        <v>241</v>
      </c>
    </row>
    <row r="881" spans="15:47" ht="13" x14ac:dyDescent="0.25">
      <c r="O881" s="6"/>
      <c r="P881" s="6"/>
      <c r="Q881" s="60"/>
      <c r="R881" s="70"/>
      <c r="S881" s="63" t="s">
        <v>250</v>
      </c>
      <c r="T881" s="71" t="s">
        <v>242</v>
      </c>
      <c r="U881" s="61"/>
      <c r="V881" s="63" t="s">
        <v>250</v>
      </c>
      <c r="W881" s="71" t="s">
        <v>242</v>
      </c>
      <c r="X881" s="61"/>
      <c r="Y881" s="63" t="s">
        <v>250</v>
      </c>
      <c r="Z881" s="71" t="s">
        <v>242</v>
      </c>
      <c r="AA881" s="61"/>
      <c r="AB881" s="63" t="s">
        <v>250</v>
      </c>
      <c r="AC881" s="71" t="s">
        <v>242</v>
      </c>
      <c r="AD881" s="61"/>
      <c r="AE881" s="63" t="s">
        <v>250</v>
      </c>
      <c r="AF881" s="71" t="s">
        <v>242</v>
      </c>
      <c r="AG881" s="61"/>
      <c r="AH881" s="63" t="s">
        <v>250</v>
      </c>
      <c r="AI881" s="71" t="s">
        <v>242</v>
      </c>
      <c r="AJ881" s="61"/>
      <c r="AK881" s="63" t="s">
        <v>250</v>
      </c>
      <c r="AL881" s="71" t="s">
        <v>242</v>
      </c>
      <c r="AM881" s="61"/>
      <c r="AN881" s="63" t="s">
        <v>250</v>
      </c>
      <c r="AO881" s="71" t="s">
        <v>242</v>
      </c>
      <c r="AP881" s="61"/>
      <c r="AQ881" s="63" t="s">
        <v>250</v>
      </c>
      <c r="AR881" s="71" t="s">
        <v>242</v>
      </c>
      <c r="AS881" s="61"/>
      <c r="AT881" s="63" t="s">
        <v>250</v>
      </c>
      <c r="AU881" s="71" t="s">
        <v>242</v>
      </c>
    </row>
    <row r="882" spans="15:47" ht="13" x14ac:dyDescent="0.3">
      <c r="O882" s="6" t="s">
        <v>231</v>
      </c>
      <c r="P882" s="6"/>
      <c r="Q882" s="60"/>
      <c r="R882" s="85">
        <f>P_1_minQ-(R880^2*R_up)+dpup_minQ</f>
        <v>56.915686981486971</v>
      </c>
      <c r="S882" s="56"/>
      <c r="T882" s="72"/>
      <c r="U882" s="53">
        <f>P_1_minQ-(U880^2*R_up)+dpup_minQ</f>
        <v>56.791320095077587</v>
      </c>
      <c r="V882" s="44"/>
      <c r="W882" s="72"/>
      <c r="X882" s="53">
        <f>P_1_minQ-(X880^2*R_up)+dpup_minQ</f>
        <v>56.196931486000494</v>
      </c>
      <c r="Y882" s="44"/>
      <c r="Z882" s="72"/>
      <c r="AA882" s="53">
        <f>P_1_minQ-(AA880^2*R_up)+dpup_minQ</f>
        <v>54.294127174354486</v>
      </c>
      <c r="AB882" s="44"/>
      <c r="AC882" s="72"/>
      <c r="AD882" s="53">
        <f>P_1_minQ-(AD880^2*R_up)+dpup_minQ</f>
        <v>49.824078001620634</v>
      </c>
      <c r="AE882" s="44"/>
      <c r="AF882" s="72"/>
      <c r="AG882" s="53">
        <f>P_1_minQ-(AG880^2*R_up)+dpup_minQ</f>
        <v>41.195054359664525</v>
      </c>
      <c r="AH882" s="44"/>
      <c r="AI882" s="72"/>
      <c r="AJ882" s="53">
        <f>P_1_minQ-(AJ880^2*R_up)+dpup_minQ</f>
        <v>28.918446709478498</v>
      </c>
      <c r="AK882" s="44"/>
      <c r="AL882" s="72"/>
      <c r="AM882" s="53">
        <f>P_1_minQ-(AM880^2*R_up)+dpup_minQ</f>
        <v>15.231388273761855</v>
      </c>
      <c r="AN882" s="44"/>
      <c r="AO882" s="72"/>
      <c r="AP882" s="53">
        <f>P_1_minQ-(AP880^2*R_up)+dpup_minQ</f>
        <v>0.73139148853754243</v>
      </c>
      <c r="AQ882" s="44"/>
      <c r="AR882" s="72"/>
      <c r="AS882" s="53">
        <f>P_1_minQ-(AS880^2*R_up)+dpup_minQ</f>
        <v>-15.857511257631831</v>
      </c>
      <c r="AT882" s="44"/>
      <c r="AU882" s="72"/>
    </row>
    <row r="883" spans="15:47" ht="13" x14ac:dyDescent="0.3">
      <c r="O883" s="6" t="s">
        <v>233</v>
      </c>
      <c r="P883" s="6"/>
      <c r="Q883" s="60"/>
      <c r="R883" s="85">
        <f>P_2_minQ+(R880^2*R_dn)-dpdn_minQ</f>
        <v>24.656862603702606</v>
      </c>
      <c r="S883" s="66"/>
      <c r="T883" s="74"/>
      <c r="U883" s="53">
        <f>P_2_minQ+(U880^2*R_dn)-dpdn_minQ</f>
        <v>24.681735980984485</v>
      </c>
      <c r="V883" s="45"/>
      <c r="W883" s="74"/>
      <c r="X883" s="53">
        <f>P_2_minQ+(X880^2*R_dn)-dpdn_minQ</f>
        <v>24.800613702799904</v>
      </c>
      <c r="Y883" s="45"/>
      <c r="Z883" s="74"/>
      <c r="AA883" s="53">
        <f>P_2_minQ+(AA880^2*R_dn)-dpdn_minQ</f>
        <v>25.181174565129105</v>
      </c>
      <c r="AB883" s="45"/>
      <c r="AC883" s="74"/>
      <c r="AD883" s="53">
        <f>P_2_minQ+(AD880^2*R_dn)-dpdn_minQ</f>
        <v>26.075184399675873</v>
      </c>
      <c r="AE883" s="45"/>
      <c r="AF883" s="74"/>
      <c r="AG883" s="53">
        <f>P_2_minQ+(AG880^2*R_dn)-dpdn_minQ</f>
        <v>27.800989128067098</v>
      </c>
      <c r="AH883" s="45"/>
      <c r="AI883" s="74"/>
      <c r="AJ883" s="53">
        <f>P_2_minQ+(AJ880^2*R_dn)-dpdn_minQ</f>
        <v>30.256310658104301</v>
      </c>
      <c r="AK883" s="45"/>
      <c r="AL883" s="74"/>
      <c r="AM883" s="53">
        <f>P_2_minQ+(AM880^2*R_dn)-dpdn_minQ</f>
        <v>32.993722345247633</v>
      </c>
      <c r="AN883" s="45"/>
      <c r="AO883" s="74"/>
      <c r="AP883" s="53">
        <f>P_2_minQ+(AP880^2*R_dn)-dpdn_minQ</f>
        <v>35.893721702292495</v>
      </c>
      <c r="AQ883" s="45"/>
      <c r="AR883" s="74"/>
      <c r="AS883" s="53">
        <f>P_2_minQ+(AS880^2*R_dn)-dpdn_minQ</f>
        <v>39.211502251526369</v>
      </c>
      <c r="AT883" s="45"/>
      <c r="AU883" s="74"/>
    </row>
    <row r="884" spans="15:47" x14ac:dyDescent="0.25">
      <c r="O884" s="6" t="s">
        <v>243</v>
      </c>
      <c r="Q884" s="60"/>
      <c r="R884" s="53">
        <f>R882-R883</f>
        <v>32.258824377784364</v>
      </c>
      <c r="S884" s="56"/>
      <c r="T884" s="72"/>
      <c r="U884" s="64">
        <f>U882-U883</f>
        <v>32.109584114093103</v>
      </c>
      <c r="V884" s="44"/>
      <c r="W884" s="72"/>
      <c r="X884" s="64">
        <f>X882-X883</f>
        <v>31.39631778320059</v>
      </c>
      <c r="Y884" s="44"/>
      <c r="Z884" s="72"/>
      <c r="AA884" s="64">
        <f>AA882-AA883</f>
        <v>29.112952609225381</v>
      </c>
      <c r="AB884" s="44"/>
      <c r="AC884" s="72"/>
      <c r="AD884" s="64">
        <f>AD882-AD883</f>
        <v>23.748893601944761</v>
      </c>
      <c r="AE884" s="44"/>
      <c r="AF884" s="72"/>
      <c r="AG884" s="64">
        <f>AG882-AG883</f>
        <v>13.394065231597427</v>
      </c>
      <c r="AH884" s="44"/>
      <c r="AI884" s="72"/>
      <c r="AJ884" s="64">
        <f>AJ882-AJ883</f>
        <v>-1.3378639486258024</v>
      </c>
      <c r="AK884" s="44"/>
      <c r="AL884" s="72"/>
      <c r="AM884" s="64">
        <f>AM882-AM883</f>
        <v>-17.762334071485778</v>
      </c>
      <c r="AN884" s="44"/>
      <c r="AO884" s="72"/>
      <c r="AP884" s="64">
        <f>AP882-AP883</f>
        <v>-35.162330213754956</v>
      </c>
      <c r="AQ884" s="44"/>
      <c r="AR884" s="72"/>
      <c r="AS884" s="64">
        <f>AS882-AS883</f>
        <v>-55.069013509158196</v>
      </c>
      <c r="AT884" s="44"/>
      <c r="AU884" s="72"/>
    </row>
    <row r="885" spans="15:47" ht="13" x14ac:dyDescent="0.3">
      <c r="O885" s="6" t="s">
        <v>75</v>
      </c>
      <c r="P885" s="6">
        <v>3</v>
      </c>
      <c r="Q885" s="65"/>
      <c r="R885" s="85">
        <f>(F_LP_h/F_P_h)^2*(R882-('Valve Sizing'!$V$4*'Valve Sizing'!$G$7))</f>
        <v>46.76478547309231</v>
      </c>
      <c r="S885" s="58"/>
      <c r="T885" s="73"/>
      <c r="U885" s="53">
        <f>(U$29/U$27)^2*(U882-('Valve Sizing'!$V$4*'Valve Sizing'!$G$7))</f>
        <v>46.649085083249545</v>
      </c>
      <c r="V885" s="41"/>
      <c r="W885" s="73"/>
      <c r="X885" s="53">
        <f>(X$29/X$27)^2*(X882-('Valve Sizing'!$V$4*'Valve Sizing'!$G$7))</f>
        <v>45.11587321610326</v>
      </c>
      <c r="Y885" s="41"/>
      <c r="Z885" s="73"/>
      <c r="AA885" s="53">
        <f>(AA$29/AA$27)^2*(AA882-('Valve Sizing'!$V$4*'Valve Sizing'!$G$7))</f>
        <v>41.618275272338629</v>
      </c>
      <c r="AB885" s="41"/>
      <c r="AC885" s="73"/>
      <c r="AD885" s="53">
        <f>(AD$29/AD$27)^2*(AD882-('Valve Sizing'!$V$4*'Valve Sizing'!$G$7))</f>
        <v>35.615133579623198</v>
      </c>
      <c r="AE885" s="41"/>
      <c r="AF885" s="73"/>
      <c r="AG885" s="53">
        <f>(AG$29/AG$27)^2*(AG882-('Valve Sizing'!$V$4*'Valve Sizing'!$G$7))</f>
        <v>26.248009099135619</v>
      </c>
      <c r="AH885" s="41"/>
      <c r="AI885" s="73"/>
      <c r="AJ885" s="53">
        <f>(AJ$29/AJ$27)^2*(AJ882-('Valve Sizing'!$V$4*'Valve Sizing'!$G$7))</f>
        <v>16.470884548581054</v>
      </c>
      <c r="AK885" s="41"/>
      <c r="AL885" s="73"/>
      <c r="AM885" s="53">
        <f>(AM$29/AM$27)^2*(AM882-('Valve Sizing'!$V$4*'Valve Sizing'!$G$7))</f>
        <v>7.0772397455533245</v>
      </c>
      <c r="AN885" s="41"/>
      <c r="AO885" s="73"/>
      <c r="AP885" s="53">
        <f>(AP$29/AP$27)^2*(AP882-('Valve Sizing'!$V$4*'Valve Sizing'!$G$7))</f>
        <v>0.1149681409221487</v>
      </c>
      <c r="AQ885" s="41"/>
      <c r="AR885" s="73"/>
      <c r="AS885" s="53">
        <f>(AS$29/AS$27)^2*(AS882-('Valve Sizing'!$V$4*'Valve Sizing'!$G$7))</f>
        <v>-6.1301805180099285</v>
      </c>
      <c r="AT885" s="41"/>
      <c r="AU885" s="73"/>
    </row>
    <row r="886" spans="15:47" ht="13" x14ac:dyDescent="0.25">
      <c r="O886" s="1" t="s">
        <v>69</v>
      </c>
      <c r="P886" s="17">
        <v>7</v>
      </c>
      <c r="Q886" s="65"/>
      <c r="R886" s="53">
        <f>(R880/(N_1*F_P_h))*SQRT('Valve Sizing'!$G$6/R884)</f>
        <v>0.64720590822659685</v>
      </c>
      <c r="S886" s="58"/>
      <c r="T886" s="73"/>
      <c r="U886" s="64">
        <f>(U880/(N_1*U$27))*SQRT('Valve Sizing'!$G$6/U884)</f>
        <v>10.737792704133897</v>
      </c>
      <c r="V886" s="41"/>
      <c r="W886" s="73"/>
      <c r="X886" s="64">
        <f>(X880/(N_1*X$27))*SQRT('Valve Sizing'!$G$6/X884)</f>
        <v>26.124533123345167</v>
      </c>
      <c r="Y886" s="41"/>
      <c r="Z886" s="73"/>
      <c r="AA886" s="64">
        <f>(AA880/(N_1*AA$27))*SQRT('Valve Sizing'!$G$6/AA884)</f>
        <v>52.09852048564855</v>
      </c>
      <c r="AB886" s="41"/>
      <c r="AC886" s="73"/>
      <c r="AD886" s="64">
        <f>(AD880/(N_1*AD$27))*SQRT('Valve Sizing'!$G$6/AD884)</f>
        <v>96.059587620950126</v>
      </c>
      <c r="AE886" s="41"/>
      <c r="AF886" s="73"/>
      <c r="AG886" s="64">
        <f>(AG880/(N_1*AG$27))*SQRT('Valve Sizing'!$G$6/AG884)</f>
        <v>194.69032243398462</v>
      </c>
      <c r="AH886" s="41"/>
      <c r="AI886" s="73"/>
      <c r="AJ886" s="64" t="e">
        <f>(AJ880/(N_1*AJ$27))*SQRT('Valve Sizing'!$G$6/AJ884)</f>
        <v>#NUM!</v>
      </c>
      <c r="AK886" s="41"/>
      <c r="AL886" s="73"/>
      <c r="AM886" s="64" t="e">
        <f>(AM880/(N_1*AM$27))*SQRT('Valve Sizing'!$G$6/AM884)</f>
        <v>#NUM!</v>
      </c>
      <c r="AN886" s="41"/>
      <c r="AO886" s="73"/>
      <c r="AP886" s="64" t="e">
        <f>(AP880/(N_1*AP$27))*SQRT('Valve Sizing'!$G$6/AP884)</f>
        <v>#NUM!</v>
      </c>
      <c r="AQ886" s="41"/>
      <c r="AR886" s="73"/>
      <c r="AS886" s="64" t="e">
        <f>(AS880/(N_1*AS$27))*SQRT('Valve Sizing'!$G$6/AS884)</f>
        <v>#NUM!</v>
      </c>
      <c r="AT886" s="41"/>
      <c r="AU886" s="73"/>
    </row>
    <row r="887" spans="15:47" ht="13" x14ac:dyDescent="0.3">
      <c r="O887" s="1" t="s">
        <v>72</v>
      </c>
      <c r="P887" s="17">
        <v>7</v>
      </c>
      <c r="Q887" s="65"/>
      <c r="R887" s="53">
        <f>(R880/(N_1*F_P_h))*SQRT('Valve Sizing'!$G$6/R885)</f>
        <v>0.53753564458146208</v>
      </c>
      <c r="S887" s="56"/>
      <c r="T887" s="72"/>
      <c r="U887" s="85">
        <f>(U880/(N_1*U$27))*SQRT('Valve Sizing'!$G$6/U885)</f>
        <v>8.9086273075604474</v>
      </c>
      <c r="V887" s="44"/>
      <c r="W887" s="72"/>
      <c r="X887" s="85">
        <f>(X880/(N_1*X$27))*SQRT('Valve Sizing'!$G$6/X885)</f>
        <v>21.793310784112304</v>
      </c>
      <c r="Y887" s="44"/>
      <c r="Z887" s="72"/>
      <c r="AA887" s="85">
        <f>(AA880/(N_1*AA$27))*SQRT('Valve Sizing'!$G$6/AA885)</f>
        <v>43.573904548860874</v>
      </c>
      <c r="AB887" s="44"/>
      <c r="AC887" s="72"/>
      <c r="AD887" s="85">
        <f>(AD880/(N_1*AD$27))*SQRT('Valve Sizing'!$G$6/AD885)</f>
        <v>78.441360948523851</v>
      </c>
      <c r="AE887" s="44"/>
      <c r="AF887" s="72"/>
      <c r="AG887" s="85">
        <f>(AG880/(N_1*AG$27))*SQRT('Valve Sizing'!$G$6/AG885)</f>
        <v>139.07606209928525</v>
      </c>
      <c r="AH887" s="44"/>
      <c r="AI887" s="72"/>
      <c r="AJ887" s="85">
        <f>(AJ880/(N_1*AJ$27))*SQRT('Valve Sizing'!$G$6/AJ885)</f>
        <v>242.81029185934429</v>
      </c>
      <c r="AK887" s="44"/>
      <c r="AL887" s="72"/>
      <c r="AM887" s="85">
        <f>(AM880/(N_1*AM$27))*SQRT('Valve Sizing'!$G$6/AM885)</f>
        <v>479.55648323371668</v>
      </c>
      <c r="AN887" s="44"/>
      <c r="AO887" s="72"/>
      <c r="AP887" s="85">
        <f>(AP880/(N_1*AP$27))*SQRT('Valve Sizing'!$G$6/AP885)</f>
        <v>4971.8731401446394</v>
      </c>
      <c r="AQ887" s="44"/>
      <c r="AR887" s="72"/>
      <c r="AS887" s="85" t="e">
        <f>(AS880/(N_1*AS$27))*SQRT('Valve Sizing'!$G$6/AS885)</f>
        <v>#NUM!</v>
      </c>
      <c r="AT887" s="44"/>
      <c r="AU887" s="72"/>
    </row>
    <row r="888" spans="15:47" x14ac:dyDescent="0.25">
      <c r="O888" s="1" t="s">
        <v>246</v>
      </c>
      <c r="P888" s="18"/>
      <c r="Q888" s="65"/>
      <c r="R888" s="53">
        <f>IF(R884&lt;R885,R886,R887)</f>
        <v>0.64720590822659685</v>
      </c>
      <c r="S888" s="49"/>
      <c r="T888" s="72"/>
      <c r="U888" s="64">
        <f>IF(U884&lt;U885,U886,U887)</f>
        <v>10.737792704133897</v>
      </c>
      <c r="V888" s="44"/>
      <c r="W888" s="72"/>
      <c r="X888" s="64">
        <f>IF(X884&lt;X885,X886,X887)</f>
        <v>26.124533123345167</v>
      </c>
      <c r="Y888" s="44"/>
      <c r="Z888" s="72"/>
      <c r="AA888" s="64">
        <f>IF(AA884&lt;AA885,AA886,AA887)</f>
        <v>52.09852048564855</v>
      </c>
      <c r="AB888" s="44"/>
      <c r="AC888" s="72"/>
      <c r="AD888" s="64">
        <f>IF(AD884&lt;AD885,AD886,AD887)</f>
        <v>96.059587620950126</v>
      </c>
      <c r="AE888" s="44"/>
      <c r="AF888" s="72"/>
      <c r="AG888" s="64">
        <f>IF(AG884&lt;AG885,AG886,AG887)</f>
        <v>194.69032243398462</v>
      </c>
      <c r="AH888" s="44"/>
      <c r="AI888" s="72"/>
      <c r="AJ888" s="64" t="e">
        <f>IF(AJ884&lt;AJ885,AJ886,AJ887)</f>
        <v>#NUM!</v>
      </c>
      <c r="AK888" s="44"/>
      <c r="AL888" s="72"/>
      <c r="AM888" s="64" t="e">
        <f>IF(AM884&lt;AM885,AM886,AM887)</f>
        <v>#NUM!</v>
      </c>
      <c r="AN888" s="44"/>
      <c r="AO888" s="72"/>
      <c r="AP888" s="64" t="e">
        <f>IF(AP884&lt;AP885,AP886,AP887)</f>
        <v>#NUM!</v>
      </c>
      <c r="AQ888" s="44"/>
      <c r="AR888" s="72"/>
      <c r="AS888" s="64" t="e">
        <f>IF(AS884&lt;AS885,AS886,AS887)</f>
        <v>#NUM!</v>
      </c>
      <c r="AT888" s="44"/>
      <c r="AU888" s="72"/>
    </row>
    <row r="889" spans="15:47" ht="13" x14ac:dyDescent="0.3">
      <c r="O889" s="7" t="s">
        <v>264</v>
      </c>
      <c r="Q889" s="61"/>
      <c r="R889" s="53"/>
      <c r="S889" s="69">
        <f>IFERROR(ABS(C_h-R888),Q_max*10)</f>
        <v>4.3527940917734034</v>
      </c>
      <c r="T889" s="76">
        <f>R880</f>
        <v>3.6753881660118632</v>
      </c>
      <c r="U889" s="61"/>
      <c r="V889" s="69">
        <f>IFERROR(ABS(U$23-U888),Q_max*10)</f>
        <v>1.2622072958661033</v>
      </c>
      <c r="W889" s="75">
        <f>U880</f>
        <v>60.794835181555953</v>
      </c>
      <c r="X889" s="61"/>
      <c r="Y889" s="69">
        <f>IFERROR(ABS(X$23-X888),Q_max*10)</f>
        <v>3.1245331233451665</v>
      </c>
      <c r="Z889" s="75">
        <f>X880</f>
        <v>145.93100664192426</v>
      </c>
      <c r="AA889" s="61"/>
      <c r="AB889" s="69">
        <f>IFERROR(ABS(AA$23-AA888),Q_max*10)</f>
        <v>13.09852048564855</v>
      </c>
      <c r="AC889" s="75">
        <f>AA880</f>
        <v>278.63577366763877</v>
      </c>
      <c r="AD889" s="61"/>
      <c r="AE889" s="69">
        <f>IFERROR(ABS(AD$23-AD888),Q_max*10)</f>
        <v>35.059587620950126</v>
      </c>
      <c r="AF889" s="75">
        <f>AD880</f>
        <v>458.25326007788857</v>
      </c>
      <c r="AG889" s="61"/>
      <c r="AH889" s="69">
        <f>IFERROR(ABS(AG$23-AG888),Q_max*10)</f>
        <v>106.69032243398462</v>
      </c>
      <c r="AI889" s="75">
        <f>AG880</f>
        <v>682.27665972853958</v>
      </c>
      <c r="AJ889" s="61"/>
      <c r="AK889" s="69">
        <f>IFERROR(ABS(AJ$23-AJ888),Q_max*10)</f>
        <v>5500</v>
      </c>
      <c r="AL889" s="75">
        <f>AJ880</f>
        <v>910.50084729907951</v>
      </c>
      <c r="AM889" s="61"/>
      <c r="AN889" s="69">
        <f>IFERROR(ABS(AM$23-AM888),Q_max*10)</f>
        <v>5500</v>
      </c>
      <c r="AO889" s="75">
        <f>AM880</f>
        <v>1110.9840652385215</v>
      </c>
      <c r="AP889" s="61"/>
      <c r="AQ889" s="69">
        <f>IFERROR(ABS(AP$23-AP888),Q_max*10)</f>
        <v>5500</v>
      </c>
      <c r="AR889" s="75">
        <f>AP880</f>
        <v>1289.818009652681</v>
      </c>
      <c r="AS889" s="61"/>
      <c r="AT889" s="69">
        <f>IFERROR(ABS(AS$23-AS888),Q_max*10)</f>
        <v>5500</v>
      </c>
      <c r="AU889" s="75">
        <f>AS880</f>
        <v>1467.9332097675556</v>
      </c>
    </row>
    <row r="890" spans="15:47" ht="14.5" x14ac:dyDescent="0.35">
      <c r="O890" s="6"/>
      <c r="P890" s="6"/>
      <c r="Q890" s="60"/>
      <c r="R890" s="67"/>
      <c r="S890" s="56"/>
      <c r="T890" s="72"/>
      <c r="V890" s="11"/>
      <c r="W890" s="38"/>
      <c r="Y890" s="11"/>
      <c r="Z890" s="38"/>
      <c r="AB890" s="11"/>
      <c r="AC890" s="38"/>
      <c r="AE890" s="11"/>
      <c r="AF890" s="38"/>
      <c r="AH890" s="11"/>
      <c r="AI890" s="38"/>
      <c r="AK890" s="11"/>
      <c r="AL890" s="38"/>
      <c r="AN890" s="11"/>
      <c r="AO890" s="38"/>
      <c r="AQ890" s="11"/>
      <c r="AR890" s="38"/>
      <c r="AT890" s="11"/>
      <c r="AU890" s="38"/>
    </row>
    <row r="891" spans="15:47" ht="14" x14ac:dyDescent="0.3">
      <c r="O891" s="8" t="s">
        <v>235</v>
      </c>
      <c r="P891" s="6"/>
      <c r="Q891" s="60"/>
      <c r="R891" s="53">
        <f>R880*1.02</f>
        <v>3.7488959293321007</v>
      </c>
      <c r="S891" s="58" t="s">
        <v>238</v>
      </c>
      <c r="T891" s="73" t="s">
        <v>241</v>
      </c>
      <c r="U891" s="84">
        <f>U880*1.01</f>
        <v>61.402783533371512</v>
      </c>
      <c r="V891" s="58" t="s">
        <v>238</v>
      </c>
      <c r="W891" s="73" t="s">
        <v>241</v>
      </c>
      <c r="X891" s="84">
        <f>X880*1.01</f>
        <v>147.39031670834351</v>
      </c>
      <c r="Y891" s="58" t="s">
        <v>238</v>
      </c>
      <c r="Z891" s="73" t="s">
        <v>241</v>
      </c>
      <c r="AA891" s="84">
        <f>AA880*1.01</f>
        <v>281.42213140431517</v>
      </c>
      <c r="AB891" s="58" t="s">
        <v>238</v>
      </c>
      <c r="AC891" s="73" t="s">
        <v>241</v>
      </c>
      <c r="AD891" s="84">
        <f>AD880*1.01</f>
        <v>462.83579267866747</v>
      </c>
      <c r="AE891" s="58" t="s">
        <v>238</v>
      </c>
      <c r="AF891" s="73" t="s">
        <v>241</v>
      </c>
      <c r="AG891" s="84">
        <f>AG880*1.01</f>
        <v>689.09942632582499</v>
      </c>
      <c r="AH891" s="58" t="s">
        <v>238</v>
      </c>
      <c r="AI891" s="73" t="s">
        <v>241</v>
      </c>
      <c r="AJ891" s="84">
        <f>AJ880*1.01</f>
        <v>919.6058557720703</v>
      </c>
      <c r="AK891" s="58" t="s">
        <v>238</v>
      </c>
      <c r="AL891" s="73" t="s">
        <v>241</v>
      </c>
      <c r="AM891" s="84">
        <f>AM880*1.01</f>
        <v>1122.0939058909066</v>
      </c>
      <c r="AN891" s="58" t="s">
        <v>238</v>
      </c>
      <c r="AO891" s="73" t="s">
        <v>241</v>
      </c>
      <c r="AP891" s="84">
        <f>AP880*1.01</f>
        <v>1302.7161897492078</v>
      </c>
      <c r="AQ891" s="58" t="s">
        <v>238</v>
      </c>
      <c r="AR891" s="73" t="s">
        <v>241</v>
      </c>
      <c r="AS891" s="84">
        <f>AS880*1.01</f>
        <v>1482.6125418652312</v>
      </c>
      <c r="AT891" s="58" t="s">
        <v>238</v>
      </c>
      <c r="AU891" s="73" t="s">
        <v>241</v>
      </c>
    </row>
    <row r="892" spans="15:47" ht="13" x14ac:dyDescent="0.25">
      <c r="O892" s="6"/>
      <c r="P892" s="6"/>
      <c r="Q892" s="60"/>
      <c r="R892" s="70"/>
      <c r="S892" s="63" t="s">
        <v>250</v>
      </c>
      <c r="T892" s="71" t="s">
        <v>242</v>
      </c>
      <c r="U892" s="61"/>
      <c r="V892" s="63" t="s">
        <v>250</v>
      </c>
      <c r="W892" s="71" t="s">
        <v>242</v>
      </c>
      <c r="X892" s="61"/>
      <c r="Y892" s="63" t="s">
        <v>250</v>
      </c>
      <c r="Z892" s="71" t="s">
        <v>242</v>
      </c>
      <c r="AA892" s="61"/>
      <c r="AB892" s="63" t="s">
        <v>250</v>
      </c>
      <c r="AC892" s="71" t="s">
        <v>242</v>
      </c>
      <c r="AD892" s="61"/>
      <c r="AE892" s="63" t="s">
        <v>250</v>
      </c>
      <c r="AF892" s="71" t="s">
        <v>242</v>
      </c>
      <c r="AG892" s="61"/>
      <c r="AH892" s="63" t="s">
        <v>250</v>
      </c>
      <c r="AI892" s="71" t="s">
        <v>242</v>
      </c>
      <c r="AJ892" s="61"/>
      <c r="AK892" s="63" t="s">
        <v>250</v>
      </c>
      <c r="AL892" s="71" t="s">
        <v>242</v>
      </c>
      <c r="AM892" s="61"/>
      <c r="AN892" s="63" t="s">
        <v>250</v>
      </c>
      <c r="AO892" s="71" t="s">
        <v>242</v>
      </c>
      <c r="AP892" s="61"/>
      <c r="AQ892" s="63" t="s">
        <v>250</v>
      </c>
      <c r="AR892" s="71" t="s">
        <v>242</v>
      </c>
      <c r="AS892" s="61"/>
      <c r="AT892" s="63" t="s">
        <v>250</v>
      </c>
      <c r="AU892" s="71" t="s">
        <v>242</v>
      </c>
    </row>
    <row r="893" spans="15:47" ht="13" x14ac:dyDescent="0.3">
      <c r="O893" s="6" t="s">
        <v>231</v>
      </c>
      <c r="P893" s="6"/>
      <c r="Q893" s="60"/>
      <c r="R893" s="85">
        <f>P_1_minQ-(R891^2*R_up)+dpup_minQ</f>
        <v>56.915668550466428</v>
      </c>
      <c r="S893" s="56"/>
      <c r="T893" s="72"/>
      <c r="U893" s="53">
        <f>P_1_minQ-(U891^2*R_up)+dpup_minQ</f>
        <v>56.788811150771828</v>
      </c>
      <c r="V893" s="44"/>
      <c r="W893" s="72"/>
      <c r="X893" s="53">
        <f>P_1_minQ-(X891^2*R_up)+dpup_minQ</f>
        <v>56.182475330652288</v>
      </c>
      <c r="Y893" s="44"/>
      <c r="Z893" s="72"/>
      <c r="AA893" s="53">
        <f>P_1_minQ-(AA891^2*R_up)+dpup_minQ</f>
        <v>54.241424652342197</v>
      </c>
      <c r="AB893" s="44"/>
      <c r="AC893" s="72"/>
      <c r="AD893" s="53">
        <f>P_1_minQ-(AD891^2*R_up)+dpup_minQ</f>
        <v>49.681527491236388</v>
      </c>
      <c r="AE893" s="44"/>
      <c r="AF893" s="72"/>
      <c r="AG893" s="53">
        <f>P_1_minQ-(AG891^2*R_up)+dpup_minQ</f>
        <v>40.879060474076965</v>
      </c>
      <c r="AH893" s="44"/>
      <c r="AI893" s="72"/>
      <c r="AJ893" s="53">
        <f>P_1_minQ-(AJ891^2*R_up)+dpup_minQ</f>
        <v>28.355693010122199</v>
      </c>
      <c r="AK893" s="44"/>
      <c r="AL893" s="72"/>
      <c r="AM893" s="53">
        <f>P_1_minQ-(AM891^2*R_up)+dpup_minQ</f>
        <v>14.393524699847664</v>
      </c>
      <c r="AN893" s="44"/>
      <c r="AO893" s="72"/>
      <c r="AP893" s="53">
        <f>P_1_minQ-(AP891^2*R_up)+dpup_minQ</f>
        <v>-0.39792202075967686</v>
      </c>
      <c r="AQ893" s="44"/>
      <c r="AR893" s="72"/>
      <c r="AS893" s="53">
        <f>P_1_minQ-(AS891^2*R_up)+dpup_minQ</f>
        <v>-17.320261712127053</v>
      </c>
      <c r="AT893" s="44"/>
      <c r="AU893" s="72"/>
    </row>
    <row r="894" spans="15:47" ht="13" x14ac:dyDescent="0.3">
      <c r="O894" s="6" t="s">
        <v>233</v>
      </c>
      <c r="P894" s="6"/>
      <c r="Q894" s="60"/>
      <c r="R894" s="85">
        <f>P_2_minQ+(R891^2*R_dn)-dpdn_minQ</f>
        <v>24.656866289906716</v>
      </c>
      <c r="S894" s="66"/>
      <c r="T894" s="74"/>
      <c r="U894" s="53">
        <f>P_2_minQ+(U891^2*R_dn)-dpdn_minQ</f>
        <v>24.682237769845635</v>
      </c>
      <c r="V894" s="45"/>
      <c r="W894" s="74"/>
      <c r="X894" s="53">
        <f>P_2_minQ+(X891^2*R_dn)-dpdn_minQ</f>
        <v>24.803504933869544</v>
      </c>
      <c r="Y894" s="45"/>
      <c r="Z894" s="74"/>
      <c r="AA894" s="53">
        <f>P_2_minQ+(AA891^2*R_dn)-dpdn_minQ</f>
        <v>25.191715069531561</v>
      </c>
      <c r="AB894" s="45"/>
      <c r="AC894" s="74"/>
      <c r="AD894" s="53">
        <f>P_2_minQ+(AD891^2*R_dn)-dpdn_minQ</f>
        <v>26.103694501752724</v>
      </c>
      <c r="AE894" s="45"/>
      <c r="AF894" s="74"/>
      <c r="AG894" s="53">
        <f>P_2_minQ+(AG891^2*R_dn)-dpdn_minQ</f>
        <v>27.864187905184608</v>
      </c>
      <c r="AH894" s="45"/>
      <c r="AI894" s="74"/>
      <c r="AJ894" s="53">
        <f>P_2_minQ+(AJ891^2*R_dn)-dpdn_minQ</f>
        <v>30.368861397975561</v>
      </c>
      <c r="AK894" s="45"/>
      <c r="AL894" s="74"/>
      <c r="AM894" s="53">
        <f>P_2_minQ+(AM891^2*R_dn)-dpdn_minQ</f>
        <v>33.161295060030469</v>
      </c>
      <c r="AN894" s="45"/>
      <c r="AO894" s="74"/>
      <c r="AP894" s="53">
        <f>P_2_minQ+(AP891^2*R_dn)-dpdn_minQ</f>
        <v>36.119584404151936</v>
      </c>
      <c r="AQ894" s="45"/>
      <c r="AR894" s="74"/>
      <c r="AS894" s="53">
        <f>P_2_minQ+(AS891^2*R_dn)-dpdn_minQ</f>
        <v>39.50405234242541</v>
      </c>
      <c r="AT894" s="45"/>
      <c r="AU894" s="74"/>
    </row>
    <row r="895" spans="15:47" x14ac:dyDescent="0.25">
      <c r="O895" s="6" t="s">
        <v>243</v>
      </c>
      <c r="Q895" s="60"/>
      <c r="R895" s="53">
        <f>R893-R894</f>
        <v>32.258802260559712</v>
      </c>
      <c r="S895" s="56"/>
      <c r="T895" s="72"/>
      <c r="U895" s="64">
        <f>U893-U894</f>
        <v>32.106573380926193</v>
      </c>
      <c r="V895" s="44"/>
      <c r="W895" s="72"/>
      <c r="X895" s="64">
        <f>X893-X894</f>
        <v>31.378970396782744</v>
      </c>
      <c r="Y895" s="44"/>
      <c r="Z895" s="72"/>
      <c r="AA895" s="64">
        <f>AA893-AA894</f>
        <v>29.049709582810635</v>
      </c>
      <c r="AB895" s="44"/>
      <c r="AC895" s="72"/>
      <c r="AD895" s="64">
        <f>AD893-AD894</f>
        <v>23.577832989483664</v>
      </c>
      <c r="AE895" s="44"/>
      <c r="AF895" s="72"/>
      <c r="AG895" s="64">
        <f>AG893-AG894</f>
        <v>13.014872568892358</v>
      </c>
      <c r="AH895" s="44"/>
      <c r="AI895" s="72"/>
      <c r="AJ895" s="64">
        <f>AJ893-AJ894</f>
        <v>-2.0131683878533622</v>
      </c>
      <c r="AK895" s="44"/>
      <c r="AL895" s="72"/>
      <c r="AM895" s="64">
        <f>AM893-AM894</f>
        <v>-18.767770360182805</v>
      </c>
      <c r="AN895" s="44"/>
      <c r="AO895" s="72"/>
      <c r="AP895" s="64">
        <f>AP893-AP894</f>
        <v>-36.517506424911616</v>
      </c>
      <c r="AQ895" s="44"/>
      <c r="AR895" s="72"/>
      <c r="AS895" s="64">
        <f>AS893-AS894</f>
        <v>-56.82431405455246</v>
      </c>
      <c r="AT895" s="44"/>
      <c r="AU895" s="72"/>
    </row>
    <row r="896" spans="15:47" ht="13" x14ac:dyDescent="0.3">
      <c r="O896" s="6" t="s">
        <v>75</v>
      </c>
      <c r="P896" s="6">
        <v>3</v>
      </c>
      <c r="Q896" s="65"/>
      <c r="R896" s="85">
        <f>(F_LP_h/F_P_h)^2*(R893-('Valve Sizing'!$V$4*'Valve Sizing'!$G$7))</f>
        <v>46.764770211239856</v>
      </c>
      <c r="S896" s="58"/>
      <c r="T896" s="73"/>
      <c r="U896" s="53">
        <f>(U$29/U$27)^2*(U893-('Valve Sizing'!$V$4*'Valve Sizing'!$G$7))</f>
        <v>46.647008111920961</v>
      </c>
      <c r="V896" s="41"/>
      <c r="W896" s="73"/>
      <c r="X896" s="53">
        <f>(X$29/X$27)^2*(X893-('Valve Sizing'!$V$4*'Valve Sizing'!$G$7))</f>
        <v>45.104175966468681</v>
      </c>
      <c r="Y896" s="41"/>
      <c r="Z896" s="73"/>
      <c r="AA896" s="53">
        <f>(AA$29/AA$27)^2*(AA893-('Valve Sizing'!$V$4*'Valve Sizing'!$G$7))</f>
        <v>41.577546909769218</v>
      </c>
      <c r="AB896" s="41"/>
      <c r="AC896" s="73"/>
      <c r="AD896" s="53">
        <f>(AD$29/AD$27)^2*(AD893-('Valve Sizing'!$V$4*'Valve Sizing'!$G$7))</f>
        <v>35.512327946647616</v>
      </c>
      <c r="AE896" s="41"/>
      <c r="AF896" s="73"/>
      <c r="AG896" s="53">
        <f>(AG$29/AG$27)^2*(AG893-('Valve Sizing'!$V$4*'Valve Sizing'!$G$7))</f>
        <v>26.044495148512109</v>
      </c>
      <c r="AH896" s="41"/>
      <c r="AI896" s="73"/>
      <c r="AJ896" s="53">
        <f>(AJ$29/AJ$27)^2*(AJ893-('Valve Sizing'!$V$4*'Valve Sizing'!$G$7))</f>
        <v>16.145407879300475</v>
      </c>
      <c r="AK896" s="41"/>
      <c r="AL896" s="73"/>
      <c r="AM896" s="53">
        <f>(AM$29/AM$27)^2*(AM893-('Valve Sizing'!$V$4*'Valve Sizing'!$G$7))</f>
        <v>6.6763453605186358</v>
      </c>
      <c r="AN896" s="41"/>
      <c r="AO896" s="73"/>
      <c r="AP896" s="53">
        <f>(AP$29/AP$27)^2*(AP893-('Valve Sizing'!$V$4*'Valve Sizing'!$G$7))</f>
        <v>-0.3306892663447934</v>
      </c>
      <c r="AQ896" s="41"/>
      <c r="AR896" s="73"/>
      <c r="AS896" s="53">
        <f>(AS$29/AS$27)^2*(AS893-('Valve Sizing'!$V$4*'Valve Sizing'!$G$7))</f>
        <v>-6.6803806355394837</v>
      </c>
      <c r="AT896" s="41"/>
      <c r="AU896" s="73"/>
    </row>
    <row r="897" spans="15:47" ht="13" x14ac:dyDescent="0.25">
      <c r="O897" s="1" t="s">
        <v>69</v>
      </c>
      <c r="P897" s="17">
        <v>7</v>
      </c>
      <c r="Q897" s="65"/>
      <c r="R897" s="53">
        <f>(R891/(N_1*F_P_h))*SQRT('Valve Sizing'!$G$6/R895)</f>
        <v>0.66015025269655436</v>
      </c>
      <c r="S897" s="58"/>
      <c r="T897" s="73"/>
      <c r="U897" s="64">
        <f>(U891/(N_1*U$27))*SQRT('Valve Sizing'!$G$6/U895)</f>
        <v>10.845679111932441</v>
      </c>
      <c r="V897" s="41"/>
      <c r="W897" s="73"/>
      <c r="X897" s="64">
        <f>(X891/(N_1*X$27))*SQRT('Valve Sizing'!$G$6/X895)</f>
        <v>26.393070934940507</v>
      </c>
      <c r="Y897" s="41"/>
      <c r="Z897" s="73"/>
      <c r="AA897" s="64">
        <f>(AA891/(N_1*AA$27))*SQRT('Valve Sizing'!$G$6/AA895)</f>
        <v>52.676752519972226</v>
      </c>
      <c r="AB897" s="41"/>
      <c r="AC897" s="73"/>
      <c r="AD897" s="64">
        <f>(AD891/(N_1*AD$27))*SQRT('Valve Sizing'!$G$6/AD895)</f>
        <v>97.371495225452847</v>
      </c>
      <c r="AE897" s="41"/>
      <c r="AF897" s="73"/>
      <c r="AG897" s="64">
        <f>(AG891/(N_1*AG$27))*SQRT('Valve Sizing'!$G$6/AG895)</f>
        <v>199.4812049619332</v>
      </c>
      <c r="AH897" s="41"/>
      <c r="AI897" s="73"/>
      <c r="AJ897" s="64" t="e">
        <f>(AJ891/(N_1*AJ$27))*SQRT('Valve Sizing'!$G$6/AJ895)</f>
        <v>#NUM!</v>
      </c>
      <c r="AK897" s="41"/>
      <c r="AL897" s="73"/>
      <c r="AM897" s="64" t="e">
        <f>(AM891/(N_1*AM$27))*SQRT('Valve Sizing'!$G$6/AM895)</f>
        <v>#NUM!</v>
      </c>
      <c r="AN897" s="41"/>
      <c r="AO897" s="73"/>
      <c r="AP897" s="64" t="e">
        <f>(AP891/(N_1*AP$27))*SQRT('Valve Sizing'!$G$6/AP895)</f>
        <v>#NUM!</v>
      </c>
      <c r="AQ897" s="41"/>
      <c r="AR897" s="73"/>
      <c r="AS897" s="64" t="e">
        <f>(AS891/(N_1*AS$27))*SQRT('Valve Sizing'!$G$6/AS895)</f>
        <v>#NUM!</v>
      </c>
      <c r="AT897" s="41"/>
      <c r="AU897" s="73"/>
    </row>
    <row r="898" spans="15:47" ht="13" x14ac:dyDescent="0.3">
      <c r="O898" s="1" t="s">
        <v>72</v>
      </c>
      <c r="P898" s="17">
        <v>7</v>
      </c>
      <c r="Q898" s="65"/>
      <c r="R898" s="53">
        <f>(R891/(N_1*F_P_h))*SQRT('Valve Sizing'!$G$6/R896)</f>
        <v>0.54828644694070527</v>
      </c>
      <c r="S898" s="56"/>
      <c r="T898" s="72"/>
      <c r="U898" s="85">
        <f>(U891/(N_1*U$27))*SQRT('Valve Sizing'!$G$6/U896)</f>
        <v>8.9979138912869239</v>
      </c>
      <c r="V898" s="44"/>
      <c r="W898" s="72"/>
      <c r="X898" s="85">
        <f>(X891/(N_1*X$27))*SQRT('Valve Sizing'!$G$6/X896)</f>
        <v>22.014097888486813</v>
      </c>
      <c r="Y898" s="44"/>
      <c r="Z898" s="72"/>
      <c r="AA898" s="85">
        <f>(AA891/(N_1*AA$27))*SQRT('Valve Sizing'!$G$6/AA896)</f>
        <v>44.031193711070969</v>
      </c>
      <c r="AB898" s="44"/>
      <c r="AC898" s="72"/>
      <c r="AD898" s="85">
        <f>(AD891/(N_1*AD$27))*SQRT('Valve Sizing'!$G$6/AD896)</f>
        <v>79.340368139957818</v>
      </c>
      <c r="AE898" s="44"/>
      <c r="AF898" s="72"/>
      <c r="AG898" s="85">
        <f>(AG891/(N_1*AG$27))*SQRT('Valve Sizing'!$G$6/AG896)</f>
        <v>141.01456476224257</v>
      </c>
      <c r="AH898" s="44"/>
      <c r="AI898" s="72"/>
      <c r="AJ898" s="85">
        <f>(AJ891/(N_1*AJ$27))*SQRT('Valve Sizing'!$G$6/AJ896)</f>
        <v>247.69795199138875</v>
      </c>
      <c r="AK898" s="44"/>
      <c r="AL898" s="72"/>
      <c r="AM898" s="85">
        <f>(AM891/(N_1*AM$27))*SQRT('Valve Sizing'!$G$6/AM896)</f>
        <v>498.68200541231403</v>
      </c>
      <c r="AN898" s="44"/>
      <c r="AO898" s="72"/>
      <c r="AP898" s="85" t="e">
        <f>(AP891/(N_1*AP$27))*SQRT('Valve Sizing'!$G$6/AP896)</f>
        <v>#NUM!</v>
      </c>
      <c r="AQ898" s="44"/>
      <c r="AR898" s="72"/>
      <c r="AS898" s="85" t="e">
        <f>(AS891/(N_1*AS$27))*SQRT('Valve Sizing'!$G$6/AS896)</f>
        <v>#NUM!</v>
      </c>
      <c r="AT898" s="44"/>
      <c r="AU898" s="72"/>
    </row>
    <row r="899" spans="15:47" x14ac:dyDescent="0.25">
      <c r="O899" s="1" t="s">
        <v>246</v>
      </c>
      <c r="P899" s="18"/>
      <c r="Q899" s="65"/>
      <c r="R899" s="53">
        <f>IF(R895&lt;R896,R897,R898)</f>
        <v>0.66015025269655436</v>
      </c>
      <c r="S899" s="49"/>
      <c r="T899" s="72"/>
      <c r="U899" s="64">
        <f>IF(U895&lt;U896,U897,U898)</f>
        <v>10.845679111932441</v>
      </c>
      <c r="V899" s="44"/>
      <c r="W899" s="72"/>
      <c r="X899" s="64">
        <f>IF(X895&lt;X896,X897,X898)</f>
        <v>26.393070934940507</v>
      </c>
      <c r="Y899" s="44"/>
      <c r="Z899" s="72"/>
      <c r="AA899" s="64">
        <f>IF(AA895&lt;AA896,AA897,AA898)</f>
        <v>52.676752519972226</v>
      </c>
      <c r="AB899" s="44"/>
      <c r="AC899" s="72"/>
      <c r="AD899" s="64">
        <f>IF(AD895&lt;AD896,AD897,AD898)</f>
        <v>97.371495225452847</v>
      </c>
      <c r="AE899" s="44"/>
      <c r="AF899" s="72"/>
      <c r="AG899" s="64">
        <f>IF(AG895&lt;AG896,AG897,AG898)</f>
        <v>199.4812049619332</v>
      </c>
      <c r="AH899" s="44"/>
      <c r="AI899" s="72"/>
      <c r="AJ899" s="64" t="e">
        <f>IF(AJ895&lt;AJ896,AJ897,AJ898)</f>
        <v>#NUM!</v>
      </c>
      <c r="AK899" s="44"/>
      <c r="AL899" s="72"/>
      <c r="AM899" s="64" t="e">
        <f>IF(AM895&lt;AM896,AM897,AM898)</f>
        <v>#NUM!</v>
      </c>
      <c r="AN899" s="44"/>
      <c r="AO899" s="72"/>
      <c r="AP899" s="64" t="e">
        <f>IF(AP895&lt;AP896,AP897,AP898)</f>
        <v>#NUM!</v>
      </c>
      <c r="AQ899" s="44"/>
      <c r="AR899" s="72"/>
      <c r="AS899" s="64" t="e">
        <f>IF(AS895&lt;AS896,AS897,AS898)</f>
        <v>#NUM!</v>
      </c>
      <c r="AT899" s="44"/>
      <c r="AU899" s="72"/>
    </row>
    <row r="900" spans="15:47" ht="13" x14ac:dyDescent="0.3">
      <c r="O900" s="7" t="s">
        <v>264</v>
      </c>
      <c r="Q900" s="61"/>
      <c r="R900" s="53"/>
      <c r="S900" s="69">
        <f>IFERROR(ABS(C_h-R899),Q_max*10)</f>
        <v>4.3398497473034459</v>
      </c>
      <c r="T900" s="76">
        <f>R891</f>
        <v>3.7488959293321007</v>
      </c>
      <c r="U900" s="61"/>
      <c r="V900" s="69">
        <f>IFERROR(ABS(U$23-U899),Q_max*10)</f>
        <v>1.1543208880675593</v>
      </c>
      <c r="W900" s="75">
        <f>U891</f>
        <v>61.402783533371512</v>
      </c>
      <c r="X900" s="61"/>
      <c r="Y900" s="69">
        <f>IFERROR(ABS(X$23-X899),Q_max*10)</f>
        <v>3.393070934940507</v>
      </c>
      <c r="Z900" s="75">
        <f>X891</f>
        <v>147.39031670834351</v>
      </c>
      <c r="AA900" s="61"/>
      <c r="AB900" s="69">
        <f>IFERROR(ABS(AA$23-AA899),Q_max*10)</f>
        <v>13.676752519972226</v>
      </c>
      <c r="AC900" s="75">
        <f>AA891</f>
        <v>281.42213140431517</v>
      </c>
      <c r="AD900" s="61"/>
      <c r="AE900" s="69">
        <f>IFERROR(ABS(AD$23-AD899),Q_max*10)</f>
        <v>36.371495225452847</v>
      </c>
      <c r="AF900" s="75">
        <f>AD891</f>
        <v>462.83579267866747</v>
      </c>
      <c r="AG900" s="61"/>
      <c r="AH900" s="69">
        <f>IFERROR(ABS(AG$23-AG899),Q_max*10)</f>
        <v>111.4812049619332</v>
      </c>
      <c r="AI900" s="75">
        <f>AG891</f>
        <v>689.09942632582499</v>
      </c>
      <c r="AJ900" s="61"/>
      <c r="AK900" s="69">
        <f>IFERROR(ABS(AJ$23-AJ899),Q_max*10)</f>
        <v>5500</v>
      </c>
      <c r="AL900" s="75">
        <f>AJ891</f>
        <v>919.6058557720703</v>
      </c>
      <c r="AM900" s="61"/>
      <c r="AN900" s="69">
        <f>IFERROR(ABS(AM$23-AM899),Q_max*10)</f>
        <v>5500</v>
      </c>
      <c r="AO900" s="75">
        <f>AM891</f>
        <v>1122.0939058909066</v>
      </c>
      <c r="AP900" s="61"/>
      <c r="AQ900" s="69">
        <f>IFERROR(ABS(AP$23-AP899),Q_max*10)</f>
        <v>5500</v>
      </c>
      <c r="AR900" s="75">
        <f>AP891</f>
        <v>1302.7161897492078</v>
      </c>
      <c r="AS900" s="61"/>
      <c r="AT900" s="69">
        <f>IFERROR(ABS(AS$23-AS899),Q_max*10)</f>
        <v>5500</v>
      </c>
      <c r="AU900" s="75">
        <f>AS891</f>
        <v>1482.6125418652312</v>
      </c>
    </row>
    <row r="901" spans="15:47" ht="14.5" x14ac:dyDescent="0.35">
      <c r="O901" s="6"/>
      <c r="P901" s="6"/>
      <c r="Q901" s="60"/>
      <c r="R901" s="67"/>
      <c r="S901" s="56"/>
      <c r="T901" s="72"/>
      <c r="V901" s="11"/>
      <c r="W901" s="38"/>
      <c r="Y901" s="11"/>
      <c r="Z901" s="38"/>
      <c r="AB901" s="11"/>
      <c r="AC901" s="38"/>
      <c r="AE901" s="11"/>
      <c r="AF901" s="38"/>
      <c r="AH901" s="11"/>
      <c r="AI901" s="38"/>
      <c r="AK901" s="11"/>
      <c r="AL901" s="38"/>
      <c r="AN901" s="11"/>
      <c r="AO901" s="38"/>
      <c r="AQ901" s="11"/>
      <c r="AR901" s="38"/>
      <c r="AT901" s="11"/>
      <c r="AU901" s="38"/>
    </row>
    <row r="902" spans="15:47" ht="14" x14ac:dyDescent="0.3">
      <c r="O902" s="8" t="s">
        <v>235</v>
      </c>
      <c r="P902" s="6"/>
      <c r="Q902" s="60"/>
      <c r="R902" s="53">
        <f>R891*1.02</f>
        <v>3.8238738479187426</v>
      </c>
      <c r="S902" s="58" t="s">
        <v>238</v>
      </c>
      <c r="T902" s="73" t="s">
        <v>241</v>
      </c>
      <c r="U902" s="84">
        <f>U891*1.01</f>
        <v>62.016811368705227</v>
      </c>
      <c r="V902" s="58" t="s">
        <v>238</v>
      </c>
      <c r="W902" s="73" t="s">
        <v>241</v>
      </c>
      <c r="X902" s="84">
        <f>X891*1.01</f>
        <v>148.86421987542695</v>
      </c>
      <c r="Y902" s="58" t="s">
        <v>238</v>
      </c>
      <c r="Z902" s="73" t="s">
        <v>241</v>
      </c>
      <c r="AA902" s="84">
        <f>AA891*1.01</f>
        <v>284.23635271835832</v>
      </c>
      <c r="AB902" s="58" t="s">
        <v>238</v>
      </c>
      <c r="AC902" s="73" t="s">
        <v>241</v>
      </c>
      <c r="AD902" s="84">
        <f>AD891*1.01</f>
        <v>467.46415060545417</v>
      </c>
      <c r="AE902" s="58" t="s">
        <v>238</v>
      </c>
      <c r="AF902" s="73" t="s">
        <v>241</v>
      </c>
      <c r="AG902" s="84">
        <f>AG891*1.01</f>
        <v>695.99042058908321</v>
      </c>
      <c r="AH902" s="58" t="s">
        <v>238</v>
      </c>
      <c r="AI902" s="73" t="s">
        <v>241</v>
      </c>
      <c r="AJ902" s="84">
        <f>AJ891*1.01</f>
        <v>928.80191432979097</v>
      </c>
      <c r="AK902" s="58" t="s">
        <v>238</v>
      </c>
      <c r="AL902" s="73" t="s">
        <v>241</v>
      </c>
      <c r="AM902" s="84">
        <f>AM891*1.01</f>
        <v>1133.3148449498158</v>
      </c>
      <c r="AN902" s="58" t="s">
        <v>238</v>
      </c>
      <c r="AO902" s="73" t="s">
        <v>241</v>
      </c>
      <c r="AP902" s="84">
        <f>AP891*1.01</f>
        <v>1315.7433516466999</v>
      </c>
      <c r="AQ902" s="58" t="s">
        <v>238</v>
      </c>
      <c r="AR902" s="73" t="s">
        <v>241</v>
      </c>
      <c r="AS902" s="84">
        <f>AS891*1.01</f>
        <v>1497.4386672838834</v>
      </c>
      <c r="AT902" s="58" t="s">
        <v>238</v>
      </c>
      <c r="AU902" s="73" t="s">
        <v>241</v>
      </c>
    </row>
    <row r="903" spans="15:47" ht="13" x14ac:dyDescent="0.25">
      <c r="O903" s="6"/>
      <c r="P903" s="6"/>
      <c r="Q903" s="60"/>
      <c r="R903" s="70"/>
      <c r="S903" s="63" t="s">
        <v>250</v>
      </c>
      <c r="T903" s="71" t="s">
        <v>242</v>
      </c>
      <c r="U903" s="61"/>
      <c r="V903" s="63" t="s">
        <v>250</v>
      </c>
      <c r="W903" s="71" t="s">
        <v>242</v>
      </c>
      <c r="X903" s="61"/>
      <c r="Y903" s="63" t="s">
        <v>250</v>
      </c>
      <c r="Z903" s="71" t="s">
        <v>242</v>
      </c>
      <c r="AA903" s="61"/>
      <c r="AB903" s="63" t="s">
        <v>250</v>
      </c>
      <c r="AC903" s="71" t="s">
        <v>242</v>
      </c>
      <c r="AD903" s="61"/>
      <c r="AE903" s="63" t="s">
        <v>250</v>
      </c>
      <c r="AF903" s="71" t="s">
        <v>242</v>
      </c>
      <c r="AG903" s="61"/>
      <c r="AH903" s="63" t="s">
        <v>250</v>
      </c>
      <c r="AI903" s="71" t="s">
        <v>242</v>
      </c>
      <c r="AJ903" s="61"/>
      <c r="AK903" s="63" t="s">
        <v>250</v>
      </c>
      <c r="AL903" s="71" t="s">
        <v>242</v>
      </c>
      <c r="AM903" s="61"/>
      <c r="AN903" s="63" t="s">
        <v>250</v>
      </c>
      <c r="AO903" s="71" t="s">
        <v>242</v>
      </c>
      <c r="AP903" s="61"/>
      <c r="AQ903" s="63" t="s">
        <v>250</v>
      </c>
      <c r="AR903" s="71" t="s">
        <v>242</v>
      </c>
      <c r="AS903" s="61"/>
      <c r="AT903" s="63" t="s">
        <v>250</v>
      </c>
      <c r="AU903" s="71" t="s">
        <v>242</v>
      </c>
    </row>
    <row r="904" spans="15:47" ht="13" x14ac:dyDescent="0.3">
      <c r="O904" s="6" t="s">
        <v>231</v>
      </c>
      <c r="P904" s="6"/>
      <c r="Q904" s="60"/>
      <c r="R904" s="85">
        <f>P_1_minQ-(R902^2*R_up)+dpup_minQ</f>
        <v>56.915649374832668</v>
      </c>
      <c r="S904" s="56"/>
      <c r="T904" s="72"/>
      <c r="U904" s="53">
        <f>P_1_minQ-(U902^2*R_up)+dpup_minQ</f>
        <v>56.786251776685525</v>
      </c>
      <c r="V904" s="44"/>
      <c r="W904" s="72"/>
      <c r="X904" s="53">
        <f>P_1_minQ-(X902^2*R_up)+dpup_minQ</f>
        <v>56.167728606581576</v>
      </c>
      <c r="Y904" s="44"/>
      <c r="Z904" s="72"/>
      <c r="AA904" s="53">
        <f>P_1_minQ-(AA902^2*R_up)+dpup_minQ</f>
        <v>54.187662809637452</v>
      </c>
      <c r="AB904" s="44"/>
      <c r="AC904" s="72"/>
      <c r="AD904" s="53">
        <f>P_1_minQ-(AD902^2*R_up)+dpup_minQ</f>
        <v>49.536111715593421</v>
      </c>
      <c r="AE904" s="44"/>
      <c r="AF904" s="72"/>
      <c r="AG904" s="53">
        <f>P_1_minQ-(AG902^2*R_up)+dpup_minQ</f>
        <v>40.556715111389089</v>
      </c>
      <c r="AH904" s="44"/>
      <c r="AI904" s="72"/>
      <c r="AJ904" s="53">
        <f>P_1_minQ-(AJ902^2*R_up)+dpup_minQ</f>
        <v>27.781627961408837</v>
      </c>
      <c r="AK904" s="44"/>
      <c r="AL904" s="72"/>
      <c r="AM904" s="53">
        <f>P_1_minQ-(AM902^2*R_up)+dpup_minQ</f>
        <v>13.538820068097767</v>
      </c>
      <c r="AN904" s="44"/>
      <c r="AO904" s="72"/>
      <c r="AP904" s="53">
        <f>P_1_minQ-(AP902^2*R_up)+dpup_minQ</f>
        <v>-1.5499347315937628</v>
      </c>
      <c r="AQ904" s="44"/>
      <c r="AR904" s="72"/>
      <c r="AS904" s="53">
        <f>P_1_minQ-(AS902^2*R_up)+dpup_minQ</f>
        <v>-18.812413450757607</v>
      </c>
      <c r="AT904" s="44"/>
      <c r="AU904" s="72"/>
    </row>
    <row r="905" spans="15:47" ht="13" x14ac:dyDescent="0.3">
      <c r="O905" s="6" t="s">
        <v>233</v>
      </c>
      <c r="P905" s="6"/>
      <c r="Q905" s="60"/>
      <c r="R905" s="85">
        <f>P_2_minQ+(R902^2*R_dn)-dpdn_minQ</f>
        <v>24.656870125033468</v>
      </c>
      <c r="S905" s="66"/>
      <c r="T905" s="74"/>
      <c r="U905" s="53">
        <f>P_2_minQ+(U902^2*R_dn)-dpdn_minQ</f>
        <v>24.682749644662895</v>
      </c>
      <c r="V905" s="45"/>
      <c r="W905" s="74"/>
      <c r="X905" s="53">
        <f>P_2_minQ+(X902^2*R_dn)-dpdn_minQ</f>
        <v>24.806454278683685</v>
      </c>
      <c r="Y905" s="45"/>
      <c r="Z905" s="74"/>
      <c r="AA905" s="53">
        <f>P_2_minQ+(AA902^2*R_dn)-dpdn_minQ</f>
        <v>25.20246743807251</v>
      </c>
      <c r="AB905" s="45"/>
      <c r="AC905" s="74"/>
      <c r="AD905" s="53">
        <f>P_2_minQ+(AD902^2*R_dn)-dpdn_minQ</f>
        <v>26.132777656881316</v>
      </c>
      <c r="AE905" s="45"/>
      <c r="AF905" s="74"/>
      <c r="AG905" s="53">
        <f>P_2_minQ+(AG902^2*R_dn)-dpdn_minQ</f>
        <v>27.928656977722181</v>
      </c>
      <c r="AH905" s="45"/>
      <c r="AI905" s="74"/>
      <c r="AJ905" s="53">
        <f>P_2_minQ+(AJ902^2*R_dn)-dpdn_minQ</f>
        <v>30.483674407718233</v>
      </c>
      <c r="AK905" s="45"/>
      <c r="AL905" s="74"/>
      <c r="AM905" s="53">
        <f>P_2_minQ+(AM902^2*R_dn)-dpdn_minQ</f>
        <v>33.332235986380454</v>
      </c>
      <c r="AN905" s="45"/>
      <c r="AO905" s="74"/>
      <c r="AP905" s="53">
        <f>P_2_minQ+(AP902^2*R_dn)-dpdn_minQ</f>
        <v>36.349986946318758</v>
      </c>
      <c r="AQ905" s="45"/>
      <c r="AR905" s="74"/>
      <c r="AS905" s="53">
        <f>P_2_minQ+(AS902^2*R_dn)-dpdn_minQ</f>
        <v>39.802482690151528</v>
      </c>
      <c r="AT905" s="45"/>
      <c r="AU905" s="74"/>
    </row>
    <row r="906" spans="15:47" x14ac:dyDescent="0.25">
      <c r="O906" s="6" t="s">
        <v>243</v>
      </c>
      <c r="Q906" s="60"/>
      <c r="R906" s="53">
        <f>R904-R905</f>
        <v>32.258779249799204</v>
      </c>
      <c r="S906" s="56"/>
      <c r="T906" s="72"/>
      <c r="U906" s="64">
        <f>U904-U905</f>
        <v>32.103502132022626</v>
      </c>
      <c r="V906" s="44"/>
      <c r="W906" s="72"/>
      <c r="X906" s="64">
        <f>X904-X905</f>
        <v>31.361274327897892</v>
      </c>
      <c r="Y906" s="44"/>
      <c r="Z906" s="72"/>
      <c r="AA906" s="64">
        <f>AA904-AA905</f>
        <v>28.985195371564942</v>
      </c>
      <c r="AB906" s="44"/>
      <c r="AC906" s="72"/>
      <c r="AD906" s="64">
        <f>AD904-AD905</f>
        <v>23.403334058712105</v>
      </c>
      <c r="AE906" s="44"/>
      <c r="AF906" s="72"/>
      <c r="AG906" s="64">
        <f>AG904-AG905</f>
        <v>12.628058133666908</v>
      </c>
      <c r="AH906" s="44"/>
      <c r="AI906" s="72"/>
      <c r="AJ906" s="64">
        <f>AJ904-AJ905</f>
        <v>-2.7020464463093958</v>
      </c>
      <c r="AK906" s="44"/>
      <c r="AL906" s="72"/>
      <c r="AM906" s="64">
        <f>AM904-AM905</f>
        <v>-19.793415918282687</v>
      </c>
      <c r="AN906" s="44"/>
      <c r="AO906" s="72"/>
      <c r="AP906" s="64">
        <f>AP904-AP905</f>
        <v>-37.899921677912523</v>
      </c>
      <c r="AQ906" s="44"/>
      <c r="AR906" s="72"/>
      <c r="AS906" s="64">
        <f>AS904-AS905</f>
        <v>-58.614896140909138</v>
      </c>
      <c r="AT906" s="44"/>
      <c r="AU906" s="72"/>
    </row>
    <row r="907" spans="15:47" ht="13" x14ac:dyDescent="0.3">
      <c r="O907" s="6" t="s">
        <v>75</v>
      </c>
      <c r="P907" s="6">
        <v>3</v>
      </c>
      <c r="Q907" s="65"/>
      <c r="R907" s="85">
        <f>(F_LP_h/F_P_h)^2*(R904-('Valve Sizing'!$V$4*'Valve Sizing'!$G$7))</f>
        <v>46.764754332808572</v>
      </c>
      <c r="S907" s="58"/>
      <c r="T907" s="73"/>
      <c r="U907" s="53">
        <f>(U$29/U$27)^2*(U904-('Valve Sizing'!$V$4*'Valve Sizing'!$G$7))</f>
        <v>46.644889393468674</v>
      </c>
      <c r="V907" s="41"/>
      <c r="W907" s="73"/>
      <c r="X907" s="53">
        <f>(X$29/X$27)^2*(X904-('Valve Sizing'!$V$4*'Valve Sizing'!$G$7))</f>
        <v>45.092243602116433</v>
      </c>
      <c r="Y907" s="41"/>
      <c r="Z907" s="73"/>
      <c r="AA907" s="53">
        <f>(AA$29/AA$27)^2*(AA904-('Valve Sizing'!$V$4*'Valve Sizing'!$G$7))</f>
        <v>41.535999907112156</v>
      </c>
      <c r="AB907" s="41"/>
      <c r="AC907" s="73"/>
      <c r="AD907" s="53">
        <f>(AD$29/AD$27)^2*(AD904-('Valve Sizing'!$V$4*'Valve Sizing'!$G$7))</f>
        <v>35.407455920449223</v>
      </c>
      <c r="AE907" s="41"/>
      <c r="AF907" s="73"/>
      <c r="AG907" s="53">
        <f>(AG$29/AG$27)^2*(AG904-('Valve Sizing'!$V$4*'Valve Sizing'!$G$7))</f>
        <v>25.836890567481056</v>
      </c>
      <c r="AH907" s="41"/>
      <c r="AI907" s="73"/>
      <c r="AJ907" s="53">
        <f>(AJ$29/AJ$27)^2*(AJ904-('Valve Sizing'!$V$4*'Valve Sizing'!$G$7))</f>
        <v>15.813389128967358</v>
      </c>
      <c r="AK907" s="41"/>
      <c r="AL907" s="73"/>
      <c r="AM907" s="53">
        <f>(AM$29/AM$27)^2*(AM904-('Valve Sizing'!$V$4*'Valve Sizing'!$G$7))</f>
        <v>6.2673929983447358</v>
      </c>
      <c r="AN907" s="41"/>
      <c r="AO907" s="73"/>
      <c r="AP907" s="53">
        <f>(AP$29/AP$27)^2*(AP904-('Valve Sizing'!$V$4*'Valve Sizing'!$G$7))</f>
        <v>-0.78530438749779807</v>
      </c>
      <c r="AQ907" s="41"/>
      <c r="AR907" s="73"/>
      <c r="AS907" s="53">
        <f>(AS$29/AS$27)^2*(AS904-('Valve Sizing'!$V$4*'Valve Sizing'!$G$7))</f>
        <v>-7.2416397754313753</v>
      </c>
      <c r="AT907" s="41"/>
      <c r="AU907" s="73"/>
    </row>
    <row r="908" spans="15:47" ht="13" x14ac:dyDescent="0.25">
      <c r="O908" s="1" t="s">
        <v>69</v>
      </c>
      <c r="P908" s="17">
        <v>7</v>
      </c>
      <c r="Q908" s="65"/>
      <c r="R908" s="53">
        <f>(R902/(N_1*F_P_h))*SQRT('Valve Sizing'!$G$6/R906)</f>
        <v>0.67335349790786492</v>
      </c>
      <c r="S908" s="58"/>
      <c r="T908" s="73"/>
      <c r="U908" s="64">
        <f>(U902/(N_1*U$27))*SQRT('Valve Sizing'!$G$6/U906)</f>
        <v>10.954659865720275</v>
      </c>
      <c r="V908" s="41"/>
      <c r="W908" s="73"/>
      <c r="X908" s="64">
        <f>(X902/(N_1*X$27))*SQRT('Valve Sizing'!$G$6/X906)</f>
        <v>26.664521389929785</v>
      </c>
      <c r="Y908" s="41"/>
      <c r="Z908" s="73"/>
      <c r="AA908" s="64">
        <f>(AA902/(N_1*AA$27))*SQRT('Valve Sizing'!$G$6/AA906)</f>
        <v>53.262696381416895</v>
      </c>
      <c r="AB908" s="41"/>
      <c r="AC908" s="73"/>
      <c r="AD908" s="64">
        <f>(AD902/(N_1*AD$27))*SQRT('Valve Sizing'!$G$6/AD906)</f>
        <v>98.71116794375267</v>
      </c>
      <c r="AE908" s="41"/>
      <c r="AF908" s="73"/>
      <c r="AG908" s="64">
        <f>(AG902/(N_1*AG$27))*SQRT('Valve Sizing'!$G$6/AG906)</f>
        <v>204.53848296977102</v>
      </c>
      <c r="AH908" s="41"/>
      <c r="AI908" s="73"/>
      <c r="AJ908" s="64" t="e">
        <f>(AJ902/(N_1*AJ$27))*SQRT('Valve Sizing'!$G$6/AJ906)</f>
        <v>#NUM!</v>
      </c>
      <c r="AK908" s="41"/>
      <c r="AL908" s="73"/>
      <c r="AM908" s="64" t="e">
        <f>(AM902/(N_1*AM$27))*SQRT('Valve Sizing'!$G$6/AM906)</f>
        <v>#NUM!</v>
      </c>
      <c r="AN908" s="41"/>
      <c r="AO908" s="73"/>
      <c r="AP908" s="64" t="e">
        <f>(AP902/(N_1*AP$27))*SQRT('Valve Sizing'!$G$6/AP906)</f>
        <v>#NUM!</v>
      </c>
      <c r="AQ908" s="41"/>
      <c r="AR908" s="73"/>
      <c r="AS908" s="64" t="e">
        <f>(AS902/(N_1*AS$27))*SQRT('Valve Sizing'!$G$6/AS906)</f>
        <v>#NUM!</v>
      </c>
      <c r="AT908" s="41"/>
      <c r="AU908" s="73"/>
    </row>
    <row r="909" spans="15:47" ht="13" x14ac:dyDescent="0.3">
      <c r="O909" s="1" t="s">
        <v>72</v>
      </c>
      <c r="P909" s="17">
        <v>7</v>
      </c>
      <c r="Q909" s="65"/>
      <c r="R909" s="53">
        <f>(R902/(N_1*F_P_h))*SQRT('Valve Sizing'!$G$6/R907)</f>
        <v>0.5592522708233143</v>
      </c>
      <c r="S909" s="56"/>
      <c r="T909" s="72"/>
      <c r="U909" s="85">
        <f>(U902/(N_1*U$27))*SQRT('Valve Sizing'!$G$6/U907)</f>
        <v>9.0880994243864102</v>
      </c>
      <c r="V909" s="44"/>
      <c r="W909" s="72"/>
      <c r="X909" s="85">
        <f>(X902/(N_1*X$27))*SQRT('Valve Sizing'!$G$6/X907)</f>
        <v>22.237180498447479</v>
      </c>
      <c r="Y909" s="44"/>
      <c r="Z909" s="72"/>
      <c r="AA909" s="85">
        <f>(AA902/(N_1*AA$27))*SQRT('Valve Sizing'!$G$6/AA907)</f>
        <v>44.493741732079911</v>
      </c>
      <c r="AB909" s="44"/>
      <c r="AC909" s="72"/>
      <c r="AD909" s="85">
        <f>(AD902/(N_1*AD$27))*SQRT('Valve Sizing'!$G$6/AD907)</f>
        <v>80.252356696759207</v>
      </c>
      <c r="AE909" s="44"/>
      <c r="AF909" s="72"/>
      <c r="AG909" s="85">
        <f>(AG902/(N_1*AG$27))*SQRT('Valve Sizing'!$G$6/AG907)</f>
        <v>142.99577106927376</v>
      </c>
      <c r="AH909" s="44"/>
      <c r="AI909" s="72"/>
      <c r="AJ909" s="85">
        <f>(AJ902/(N_1*AJ$27))*SQRT('Valve Sizing'!$G$6/AJ907)</f>
        <v>252.78763166710453</v>
      </c>
      <c r="AK909" s="44"/>
      <c r="AL909" s="72"/>
      <c r="AM909" s="85">
        <f>(AM902/(N_1*AM$27))*SQRT('Valve Sizing'!$G$6/AM907)</f>
        <v>519.84156819251814</v>
      </c>
      <c r="AN909" s="44"/>
      <c r="AO909" s="72"/>
      <c r="AP909" s="85" t="e">
        <f>(AP902/(N_1*AP$27))*SQRT('Valve Sizing'!$G$6/AP907)</f>
        <v>#NUM!</v>
      </c>
      <c r="AQ909" s="44"/>
      <c r="AR909" s="72"/>
      <c r="AS909" s="85" t="e">
        <f>(AS902/(N_1*AS$27))*SQRT('Valve Sizing'!$G$6/AS907)</f>
        <v>#NUM!</v>
      </c>
      <c r="AT909" s="44"/>
      <c r="AU909" s="72"/>
    </row>
    <row r="910" spans="15:47" x14ac:dyDescent="0.25">
      <c r="O910" s="1" t="s">
        <v>246</v>
      </c>
      <c r="P910" s="18"/>
      <c r="Q910" s="65"/>
      <c r="R910" s="53">
        <f>IF(R906&lt;R907,R908,R909)</f>
        <v>0.67335349790786492</v>
      </c>
      <c r="S910" s="49"/>
      <c r="T910" s="72"/>
      <c r="U910" s="64">
        <f>IF(U906&lt;U907,U908,U909)</f>
        <v>10.954659865720275</v>
      </c>
      <c r="V910" s="44"/>
      <c r="W910" s="72"/>
      <c r="X910" s="64">
        <f>IF(X906&lt;X907,X908,X909)</f>
        <v>26.664521389929785</v>
      </c>
      <c r="Y910" s="44"/>
      <c r="Z910" s="72"/>
      <c r="AA910" s="64">
        <f>IF(AA906&lt;AA907,AA908,AA909)</f>
        <v>53.262696381416895</v>
      </c>
      <c r="AB910" s="44"/>
      <c r="AC910" s="72"/>
      <c r="AD910" s="64">
        <f>IF(AD906&lt;AD907,AD908,AD909)</f>
        <v>98.71116794375267</v>
      </c>
      <c r="AE910" s="44"/>
      <c r="AF910" s="72"/>
      <c r="AG910" s="64">
        <f>IF(AG906&lt;AG907,AG908,AG909)</f>
        <v>204.53848296977102</v>
      </c>
      <c r="AH910" s="44"/>
      <c r="AI910" s="72"/>
      <c r="AJ910" s="64" t="e">
        <f>IF(AJ906&lt;AJ907,AJ908,AJ909)</f>
        <v>#NUM!</v>
      </c>
      <c r="AK910" s="44"/>
      <c r="AL910" s="72"/>
      <c r="AM910" s="64" t="e">
        <f>IF(AM906&lt;AM907,AM908,AM909)</f>
        <v>#NUM!</v>
      </c>
      <c r="AN910" s="44"/>
      <c r="AO910" s="72"/>
      <c r="AP910" s="64" t="e">
        <f>IF(AP906&lt;AP907,AP908,AP909)</f>
        <v>#NUM!</v>
      </c>
      <c r="AQ910" s="44"/>
      <c r="AR910" s="72"/>
      <c r="AS910" s="64" t="e">
        <f>IF(AS906&lt;AS907,AS908,AS909)</f>
        <v>#NUM!</v>
      </c>
      <c r="AT910" s="44"/>
      <c r="AU910" s="72"/>
    </row>
    <row r="911" spans="15:47" ht="13" x14ac:dyDescent="0.3">
      <c r="O911" s="7" t="s">
        <v>264</v>
      </c>
      <c r="Q911" s="61"/>
      <c r="R911" s="53"/>
      <c r="S911" s="69">
        <f>IFERROR(ABS(C_h-R910),Q_max*10)</f>
        <v>4.3266465020921352</v>
      </c>
      <c r="T911" s="76">
        <f>R902</f>
        <v>3.8238738479187426</v>
      </c>
      <c r="U911" s="61"/>
      <c r="V911" s="69">
        <f>IFERROR(ABS(U$23-U910),Q_max*10)</f>
        <v>1.0453401342797246</v>
      </c>
      <c r="W911" s="75">
        <f>U902</f>
        <v>62.016811368705227</v>
      </c>
      <c r="X911" s="61"/>
      <c r="Y911" s="69">
        <f>IFERROR(ABS(X$23-X910),Q_max*10)</f>
        <v>3.664521389929785</v>
      </c>
      <c r="Z911" s="75">
        <f>X902</f>
        <v>148.86421987542695</v>
      </c>
      <c r="AA911" s="61"/>
      <c r="AB911" s="69">
        <f>IFERROR(ABS(AA$23-AA910),Q_max*10)</f>
        <v>14.262696381416895</v>
      </c>
      <c r="AC911" s="75">
        <f>AA902</f>
        <v>284.23635271835832</v>
      </c>
      <c r="AD911" s="61"/>
      <c r="AE911" s="69">
        <f>IFERROR(ABS(AD$23-AD910),Q_max*10)</f>
        <v>37.71116794375267</v>
      </c>
      <c r="AF911" s="75">
        <f>AD902</f>
        <v>467.46415060545417</v>
      </c>
      <c r="AG911" s="61"/>
      <c r="AH911" s="69">
        <f>IFERROR(ABS(AG$23-AG910),Q_max*10)</f>
        <v>116.53848296977102</v>
      </c>
      <c r="AI911" s="75">
        <f>AG902</f>
        <v>695.99042058908321</v>
      </c>
      <c r="AJ911" s="61"/>
      <c r="AK911" s="69">
        <f>IFERROR(ABS(AJ$23-AJ910),Q_max*10)</f>
        <v>5500</v>
      </c>
      <c r="AL911" s="75">
        <f>AJ902</f>
        <v>928.80191432979097</v>
      </c>
      <c r="AM911" s="61"/>
      <c r="AN911" s="69">
        <f>IFERROR(ABS(AM$23-AM910),Q_max*10)</f>
        <v>5500</v>
      </c>
      <c r="AO911" s="75">
        <f>AM902</f>
        <v>1133.3148449498158</v>
      </c>
      <c r="AP911" s="61"/>
      <c r="AQ911" s="69">
        <f>IFERROR(ABS(AP$23-AP910),Q_max*10)</f>
        <v>5500</v>
      </c>
      <c r="AR911" s="75">
        <f>AP902</f>
        <v>1315.7433516466999</v>
      </c>
      <c r="AS911" s="61"/>
      <c r="AT911" s="69">
        <f>IFERROR(ABS(AS$23-AS910),Q_max*10)</f>
        <v>5500</v>
      </c>
      <c r="AU911" s="75">
        <f>AS902</f>
        <v>1497.4386672838834</v>
      </c>
    </row>
    <row r="912" spans="15:47" ht="14.5" x14ac:dyDescent="0.35">
      <c r="O912" s="6"/>
      <c r="P912" s="6"/>
      <c r="Q912" s="60"/>
      <c r="R912" s="67"/>
      <c r="S912" s="56"/>
      <c r="T912" s="72"/>
      <c r="V912" s="11"/>
      <c r="W912" s="38"/>
      <c r="Y912" s="11"/>
      <c r="Z912" s="38"/>
      <c r="AB912" s="11"/>
      <c r="AC912" s="38"/>
      <c r="AE912" s="11"/>
      <c r="AF912" s="38"/>
      <c r="AH912" s="11"/>
      <c r="AI912" s="38"/>
      <c r="AK912" s="11"/>
      <c r="AL912" s="38"/>
      <c r="AN912" s="11"/>
      <c r="AO912" s="38"/>
      <c r="AQ912" s="11"/>
      <c r="AR912" s="38"/>
      <c r="AT912" s="11"/>
      <c r="AU912" s="38"/>
    </row>
    <row r="913" spans="15:47" ht="14" x14ac:dyDescent="0.3">
      <c r="O913" s="8" t="s">
        <v>235</v>
      </c>
      <c r="P913" s="6"/>
      <c r="Q913" s="60"/>
      <c r="R913" s="53">
        <f>R902*1.02</f>
        <v>3.9003513248771173</v>
      </c>
      <c r="S913" s="58" t="s">
        <v>238</v>
      </c>
      <c r="T913" s="73" t="s">
        <v>241</v>
      </c>
      <c r="U913" s="84">
        <f>U902*1.01</f>
        <v>62.636979482392277</v>
      </c>
      <c r="V913" s="58" t="s">
        <v>238</v>
      </c>
      <c r="W913" s="73" t="s">
        <v>241</v>
      </c>
      <c r="X913" s="84">
        <f>X902*1.01</f>
        <v>150.35286207418122</v>
      </c>
      <c r="Y913" s="58" t="s">
        <v>238</v>
      </c>
      <c r="Z913" s="73" t="s">
        <v>241</v>
      </c>
      <c r="AA913" s="84">
        <f>AA902*1.01</f>
        <v>287.0787162455419</v>
      </c>
      <c r="AB913" s="58" t="s">
        <v>238</v>
      </c>
      <c r="AC913" s="73" t="s">
        <v>241</v>
      </c>
      <c r="AD913" s="84">
        <f>AD902*1.01</f>
        <v>472.13879211150874</v>
      </c>
      <c r="AE913" s="58" t="s">
        <v>238</v>
      </c>
      <c r="AF913" s="73" t="s">
        <v>241</v>
      </c>
      <c r="AG913" s="84">
        <f>AG902*1.01</f>
        <v>702.95032479497411</v>
      </c>
      <c r="AH913" s="58" t="s">
        <v>238</v>
      </c>
      <c r="AI913" s="73" t="s">
        <v>241</v>
      </c>
      <c r="AJ913" s="84">
        <f>AJ902*1.01</f>
        <v>938.08993347308888</v>
      </c>
      <c r="AK913" s="58" t="s">
        <v>238</v>
      </c>
      <c r="AL913" s="73" t="s">
        <v>241</v>
      </c>
      <c r="AM913" s="84">
        <f>AM902*1.01</f>
        <v>1144.6479933993139</v>
      </c>
      <c r="AN913" s="58" t="s">
        <v>238</v>
      </c>
      <c r="AO913" s="73" t="s">
        <v>241</v>
      </c>
      <c r="AP913" s="84">
        <f>AP902*1.01</f>
        <v>1328.900785163167</v>
      </c>
      <c r="AQ913" s="58" t="s">
        <v>238</v>
      </c>
      <c r="AR913" s="73" t="s">
        <v>241</v>
      </c>
      <c r="AS913" s="84">
        <f>AS902*1.01</f>
        <v>1512.4130539567223</v>
      </c>
      <c r="AT913" s="58" t="s">
        <v>238</v>
      </c>
      <c r="AU913" s="73" t="s">
        <v>241</v>
      </c>
    </row>
    <row r="914" spans="15:47" ht="13" x14ac:dyDescent="0.25">
      <c r="O914" s="6"/>
      <c r="P914" s="6"/>
      <c r="Q914" s="60"/>
      <c r="R914" s="70"/>
      <c r="S914" s="63" t="s">
        <v>250</v>
      </c>
      <c r="T914" s="71" t="s">
        <v>242</v>
      </c>
      <c r="U914" s="61"/>
      <c r="V914" s="63" t="s">
        <v>250</v>
      </c>
      <c r="W914" s="71" t="s">
        <v>242</v>
      </c>
      <c r="X914" s="61"/>
      <c r="Y914" s="63" t="s">
        <v>250</v>
      </c>
      <c r="Z914" s="71" t="s">
        <v>242</v>
      </c>
      <c r="AA914" s="61"/>
      <c r="AB914" s="63" t="s">
        <v>250</v>
      </c>
      <c r="AC914" s="71" t="s">
        <v>242</v>
      </c>
      <c r="AD914" s="61"/>
      <c r="AE914" s="63" t="s">
        <v>250</v>
      </c>
      <c r="AF914" s="71" t="s">
        <v>242</v>
      </c>
      <c r="AG914" s="61"/>
      <c r="AH914" s="63" t="s">
        <v>250</v>
      </c>
      <c r="AI914" s="71" t="s">
        <v>242</v>
      </c>
      <c r="AJ914" s="61"/>
      <c r="AK914" s="63" t="s">
        <v>250</v>
      </c>
      <c r="AL914" s="71" t="s">
        <v>242</v>
      </c>
      <c r="AM914" s="61"/>
      <c r="AN914" s="63" t="s">
        <v>250</v>
      </c>
      <c r="AO914" s="71" t="s">
        <v>242</v>
      </c>
      <c r="AP914" s="61"/>
      <c r="AQ914" s="63" t="s">
        <v>250</v>
      </c>
      <c r="AR914" s="71" t="s">
        <v>242</v>
      </c>
      <c r="AS914" s="61"/>
      <c r="AT914" s="63" t="s">
        <v>250</v>
      </c>
      <c r="AU914" s="71" t="s">
        <v>242</v>
      </c>
    </row>
    <row r="915" spans="15:47" ht="13" x14ac:dyDescent="0.3">
      <c r="O915" s="6" t="s">
        <v>231</v>
      </c>
      <c r="P915" s="6"/>
      <c r="Q915" s="60"/>
      <c r="R915" s="85">
        <f>P_1_minQ-(R913^2*R_up)+dpup_minQ</f>
        <v>56.915629424503294</v>
      </c>
      <c r="S915" s="56"/>
      <c r="T915" s="72"/>
      <c r="U915" s="53">
        <f>P_1_minQ-(U913^2*R_up)+dpup_minQ</f>
        <v>56.78364095918009</v>
      </c>
      <c r="V915" s="44"/>
      <c r="W915" s="72"/>
      <c r="X915" s="53">
        <f>P_1_minQ-(X913^2*R_up)+dpup_minQ</f>
        <v>56.152685473357053</v>
      </c>
      <c r="Y915" s="44"/>
      <c r="Z915" s="72"/>
      <c r="AA915" s="53">
        <f>P_1_minQ-(AA913^2*R_up)+dpup_minQ</f>
        <v>54.132820353894346</v>
      </c>
      <c r="AB915" s="44"/>
      <c r="AC915" s="72"/>
      <c r="AD915" s="53">
        <f>P_1_minQ-(AD913^2*R_up)+dpup_minQ</f>
        <v>49.387773082860029</v>
      </c>
      <c r="AE915" s="44"/>
      <c r="AF915" s="72"/>
      <c r="AG915" s="53">
        <f>P_1_minQ-(AG913^2*R_up)+dpup_minQ</f>
        <v>40.227890606911195</v>
      </c>
      <c r="AH915" s="44"/>
      <c r="AI915" s="72"/>
      <c r="AJ915" s="53">
        <f>P_1_minQ-(AJ913^2*R_up)+dpup_minQ</f>
        <v>27.196024205216336</v>
      </c>
      <c r="AK915" s="44"/>
      <c r="AL915" s="72"/>
      <c r="AM915" s="53">
        <f>P_1_minQ-(AM913^2*R_up)+dpup_minQ</f>
        <v>12.666935873249717</v>
      </c>
      <c r="AN915" s="44"/>
      <c r="AO915" s="72"/>
      <c r="AP915" s="53">
        <f>P_1_minQ-(AP913^2*R_up)+dpup_minQ</f>
        <v>-2.7251028979156375</v>
      </c>
      <c r="AQ915" s="44"/>
      <c r="AR915" s="72"/>
      <c r="AS915" s="53">
        <f>P_1_minQ-(AS913^2*R_up)+dpup_minQ</f>
        <v>-20.334557439334663</v>
      </c>
      <c r="AT915" s="44"/>
      <c r="AU915" s="72"/>
    </row>
    <row r="916" spans="15:47" ht="13" x14ac:dyDescent="0.3">
      <c r="O916" s="6" t="s">
        <v>233</v>
      </c>
      <c r="P916" s="6"/>
      <c r="Q916" s="60"/>
      <c r="R916" s="85">
        <f>P_2_minQ+(R913^2*R_dn)-dpdn_minQ</f>
        <v>24.656874115099342</v>
      </c>
      <c r="S916" s="66"/>
      <c r="T916" s="74"/>
      <c r="U916" s="53">
        <f>P_2_minQ+(U913^2*R_dn)-dpdn_minQ</f>
        <v>24.683271808163983</v>
      </c>
      <c r="V916" s="45"/>
      <c r="W916" s="74"/>
      <c r="X916" s="53">
        <f>P_2_minQ+(X913^2*R_dn)-dpdn_minQ</f>
        <v>24.809462905328591</v>
      </c>
      <c r="Y916" s="45"/>
      <c r="Z916" s="74"/>
      <c r="AA916" s="53">
        <f>P_2_minQ+(AA913^2*R_dn)-dpdn_minQ</f>
        <v>25.213435929221131</v>
      </c>
      <c r="AB916" s="45"/>
      <c r="AC916" s="74"/>
      <c r="AD916" s="53">
        <f>P_2_minQ+(AD913^2*R_dn)-dpdn_minQ</f>
        <v>26.162445383427993</v>
      </c>
      <c r="AE916" s="45"/>
      <c r="AF916" s="74"/>
      <c r="AG916" s="53">
        <f>P_2_minQ+(AG913^2*R_dn)-dpdn_minQ</f>
        <v>27.994421878617761</v>
      </c>
      <c r="AH916" s="45"/>
      <c r="AI916" s="74"/>
      <c r="AJ916" s="53">
        <f>P_2_minQ+(AJ913^2*R_dn)-dpdn_minQ</f>
        <v>30.600795158956732</v>
      </c>
      <c r="AK916" s="45"/>
      <c r="AL916" s="74"/>
      <c r="AM916" s="53">
        <f>P_2_minQ+(AM913^2*R_dn)-dpdn_minQ</f>
        <v>33.506612825350061</v>
      </c>
      <c r="AN916" s="45"/>
      <c r="AO916" s="74"/>
      <c r="AP916" s="53">
        <f>P_2_minQ+(AP913^2*R_dn)-dpdn_minQ</f>
        <v>36.58502057958313</v>
      </c>
      <c r="AQ916" s="45"/>
      <c r="AR916" s="74"/>
      <c r="AS916" s="53">
        <f>P_2_minQ+(AS913^2*R_dn)-dpdn_minQ</f>
        <v>40.106911487866938</v>
      </c>
      <c r="AT916" s="45"/>
      <c r="AU916" s="74"/>
    </row>
    <row r="917" spans="15:47" x14ac:dyDescent="0.25">
      <c r="O917" s="6" t="s">
        <v>243</v>
      </c>
      <c r="Q917" s="60"/>
      <c r="R917" s="53">
        <f>R915-R916</f>
        <v>32.258755309403952</v>
      </c>
      <c r="S917" s="56"/>
      <c r="T917" s="72"/>
      <c r="U917" s="64">
        <f>U915-U916</f>
        <v>32.10036915101611</v>
      </c>
      <c r="V917" s="44"/>
      <c r="W917" s="72"/>
      <c r="X917" s="64">
        <f>X915-X916</f>
        <v>31.343222568028462</v>
      </c>
      <c r="Y917" s="44"/>
      <c r="Z917" s="72"/>
      <c r="AA917" s="64">
        <f>AA915-AA916</f>
        <v>28.919384424673215</v>
      </c>
      <c r="AB917" s="44"/>
      <c r="AC917" s="72"/>
      <c r="AD917" s="64">
        <f>AD915-AD916</f>
        <v>23.225327699432036</v>
      </c>
      <c r="AE917" s="44"/>
      <c r="AF917" s="72"/>
      <c r="AG917" s="64">
        <f>AG915-AG916</f>
        <v>12.233468728293435</v>
      </c>
      <c r="AH917" s="44"/>
      <c r="AI917" s="72"/>
      <c r="AJ917" s="64">
        <f>AJ915-AJ916</f>
        <v>-3.4047709537403961</v>
      </c>
      <c r="AK917" s="44"/>
      <c r="AL917" s="72"/>
      <c r="AM917" s="64">
        <f>AM915-AM916</f>
        <v>-20.839676952100344</v>
      </c>
      <c r="AN917" s="44"/>
      <c r="AO917" s="72"/>
      <c r="AP917" s="64">
        <f>AP915-AP916</f>
        <v>-39.31012347749877</v>
      </c>
      <c r="AQ917" s="44"/>
      <c r="AR917" s="72"/>
      <c r="AS917" s="64">
        <f>AS915-AS916</f>
        <v>-60.441468927201598</v>
      </c>
      <c r="AT917" s="44"/>
      <c r="AU917" s="72"/>
    </row>
    <row r="918" spans="15:47" ht="13" x14ac:dyDescent="0.3">
      <c r="O918" s="6" t="s">
        <v>75</v>
      </c>
      <c r="P918" s="6">
        <v>3</v>
      </c>
      <c r="Q918" s="65"/>
      <c r="R918" s="85">
        <f>(F_LP_h/F_P_h)^2*(R915-('Valve Sizing'!$V$4*'Valve Sizing'!$G$7))</f>
        <v>46.764737812888661</v>
      </c>
      <c r="S918" s="58"/>
      <c r="T918" s="73"/>
      <c r="U918" s="53">
        <f>(U$29/U$27)^2*(U915-('Valve Sizing'!$V$4*'Valve Sizing'!$G$7))</f>
        <v>46.642728088775499</v>
      </c>
      <c r="V918" s="41"/>
      <c r="W918" s="73"/>
      <c r="X918" s="53">
        <f>(X$29/X$27)^2*(X915-('Valve Sizing'!$V$4*'Valve Sizing'!$G$7))</f>
        <v>45.080071397240715</v>
      </c>
      <c r="Y918" s="41"/>
      <c r="Z918" s="73"/>
      <c r="AA918" s="53">
        <f>(AA$29/AA$27)^2*(AA915-('Valve Sizing'!$V$4*'Valve Sizing'!$G$7))</f>
        <v>41.493617809701689</v>
      </c>
      <c r="AB918" s="41"/>
      <c r="AC918" s="73"/>
      <c r="AD918" s="53">
        <f>(AD$29/AD$27)^2*(AD915-('Valve Sizing'!$V$4*'Valve Sizing'!$G$7))</f>
        <v>35.300475966524239</v>
      </c>
      <c r="AE918" s="41"/>
      <c r="AF918" s="73"/>
      <c r="AG918" s="53">
        <f>(AG$29/AG$27)^2*(AG915-('Valve Sizing'!$V$4*'Valve Sizing'!$G$7))</f>
        <v>25.62511313437129</v>
      </c>
      <c r="AH918" s="41"/>
      <c r="AI918" s="73"/>
      <c r="AJ918" s="53">
        <f>(AJ$29/AJ$27)^2*(AJ915-('Valve Sizing'!$V$4*'Valve Sizing'!$G$7))</f>
        <v>15.474696801752545</v>
      </c>
      <c r="AK918" s="41"/>
      <c r="AL918" s="73"/>
      <c r="AM918" s="53">
        <f>(AM$29/AM$27)^2*(AM915-('Valve Sizing'!$V$4*'Valve Sizing'!$G$7))</f>
        <v>5.8502206936911492</v>
      </c>
      <c r="AN918" s="41"/>
      <c r="AO918" s="73"/>
      <c r="AP918" s="53">
        <f>(AP$29/AP$27)^2*(AP915-('Valve Sizing'!$V$4*'Valve Sizing'!$G$7))</f>
        <v>-1.2490572725859874</v>
      </c>
      <c r="AQ918" s="41"/>
      <c r="AR918" s="73"/>
      <c r="AS918" s="53">
        <f>(AS$29/AS$27)^2*(AS915-('Valve Sizing'!$V$4*'Valve Sizing'!$G$7))</f>
        <v>-7.8141802240351046</v>
      </c>
      <c r="AT918" s="41"/>
      <c r="AU918" s="73"/>
    </row>
    <row r="919" spans="15:47" ht="13" x14ac:dyDescent="0.25">
      <c r="O919" s="1" t="s">
        <v>69</v>
      </c>
      <c r="P919" s="17">
        <v>7</v>
      </c>
      <c r="Q919" s="65"/>
      <c r="R919" s="53">
        <f>(R913/(N_1*F_P_h))*SQRT('Valve Sizing'!$G$6/R917)</f>
        <v>0.68682082272323308</v>
      </c>
      <c r="S919" s="58"/>
      <c r="T919" s="73"/>
      <c r="U919" s="64">
        <f>(U913/(N_1*U$27))*SQRT('Valve Sizing'!$G$6/U917)</f>
        <v>11.064746381890373</v>
      </c>
      <c r="V919" s="41"/>
      <c r="W919" s="73"/>
      <c r="X919" s="64">
        <f>(X913/(N_1*X$27))*SQRT('Valve Sizing'!$G$6/X917)</f>
        <v>26.938920831602349</v>
      </c>
      <c r="Y919" s="41"/>
      <c r="Z919" s="73"/>
      <c r="AA919" s="64">
        <f>(AA913/(N_1*AA$27))*SQRT('Valve Sizing'!$G$6/AA917)</f>
        <v>53.856498736353863</v>
      </c>
      <c r="AB919" s="41"/>
      <c r="AC919" s="73"/>
      <c r="AD919" s="64">
        <f>(AD913/(N_1*AD$27))*SQRT('Valve Sizing'!$G$6/AD917)</f>
        <v>100.07961015090139</v>
      </c>
      <c r="AE919" s="41"/>
      <c r="AF919" s="73"/>
      <c r="AG919" s="64">
        <f>(AG913/(N_1*AG$27))*SQRT('Valve Sizing'!$G$6/AG917)</f>
        <v>209.88909864098233</v>
      </c>
      <c r="AH919" s="41"/>
      <c r="AI919" s="73"/>
      <c r="AJ919" s="64" t="e">
        <f>(AJ913/(N_1*AJ$27))*SQRT('Valve Sizing'!$G$6/AJ917)</f>
        <v>#NUM!</v>
      </c>
      <c r="AK919" s="41"/>
      <c r="AL919" s="73"/>
      <c r="AM919" s="64" t="e">
        <f>(AM913/(N_1*AM$27))*SQRT('Valve Sizing'!$G$6/AM917)</f>
        <v>#NUM!</v>
      </c>
      <c r="AN919" s="41"/>
      <c r="AO919" s="73"/>
      <c r="AP919" s="64" t="e">
        <f>(AP913/(N_1*AP$27))*SQRT('Valve Sizing'!$G$6/AP917)</f>
        <v>#NUM!</v>
      </c>
      <c r="AQ919" s="41"/>
      <c r="AR919" s="73"/>
      <c r="AS919" s="64" t="e">
        <f>(AS913/(N_1*AS$27))*SQRT('Valve Sizing'!$G$6/AS917)</f>
        <v>#NUM!</v>
      </c>
      <c r="AT919" s="41"/>
      <c r="AU919" s="73"/>
    </row>
    <row r="920" spans="15:47" ht="13" x14ac:dyDescent="0.3">
      <c r="O920" s="1" t="s">
        <v>72</v>
      </c>
      <c r="P920" s="17">
        <v>7</v>
      </c>
      <c r="Q920" s="65"/>
      <c r="R920" s="53">
        <f>(R913/(N_1*F_P_h))*SQRT('Valve Sizing'!$G$6/R918)</f>
        <v>0.57043741699494765</v>
      </c>
      <c r="S920" s="56"/>
      <c r="T920" s="72"/>
      <c r="U920" s="85">
        <f>(U913/(N_1*U$27))*SQRT('Valve Sizing'!$G$6/U918)</f>
        <v>9.1791930814017118</v>
      </c>
      <c r="V920" s="44"/>
      <c r="W920" s="72"/>
      <c r="X920" s="85">
        <f>(X913/(N_1*X$27))*SQRT('Valve Sizing'!$G$6/X918)</f>
        <v>22.462584284215044</v>
      </c>
      <c r="Y920" s="44"/>
      <c r="Z920" s="72"/>
      <c r="AA920" s="85">
        <f>(AA913/(N_1*AA$27))*SQRT('Valve Sizing'!$G$6/AA918)</f>
        <v>44.961623754879341</v>
      </c>
      <c r="AB920" s="44"/>
      <c r="AC920" s="72"/>
      <c r="AD920" s="85">
        <f>(AD913/(N_1*AD$27))*SQRT('Valve Sizing'!$G$6/AD918)</f>
        <v>81.177607895390736</v>
      </c>
      <c r="AE920" s="44"/>
      <c r="AF920" s="72"/>
      <c r="AG920" s="85">
        <f>(AG913/(N_1*AG$27))*SQRT('Valve Sizing'!$G$6/AG918)</f>
        <v>145.02130030805151</v>
      </c>
      <c r="AH920" s="44"/>
      <c r="AI920" s="72"/>
      <c r="AJ920" s="85">
        <f>(AJ913/(N_1*AJ$27))*SQRT('Valve Sizing'!$G$6/AJ918)</f>
        <v>258.09441070893234</v>
      </c>
      <c r="AK920" s="44"/>
      <c r="AL920" s="72"/>
      <c r="AM920" s="85">
        <f>(AM913/(N_1*AM$27))*SQRT('Valve Sizing'!$G$6/AM918)</f>
        <v>543.437641918959</v>
      </c>
      <c r="AN920" s="44"/>
      <c r="AO920" s="72"/>
      <c r="AP920" s="85" t="e">
        <f>(AP913/(N_1*AP$27))*SQRT('Valve Sizing'!$G$6/AP918)</f>
        <v>#NUM!</v>
      </c>
      <c r="AQ920" s="44"/>
      <c r="AR920" s="72"/>
      <c r="AS920" s="85" t="e">
        <f>(AS913/(N_1*AS$27))*SQRT('Valve Sizing'!$G$6/AS918)</f>
        <v>#NUM!</v>
      </c>
      <c r="AT920" s="44"/>
      <c r="AU920" s="72"/>
    </row>
    <row r="921" spans="15:47" x14ac:dyDescent="0.25">
      <c r="O921" s="1" t="s">
        <v>246</v>
      </c>
      <c r="P921" s="18"/>
      <c r="Q921" s="65"/>
      <c r="R921" s="53">
        <f>IF(R917&lt;R918,R919,R920)</f>
        <v>0.68682082272323308</v>
      </c>
      <c r="S921" s="49"/>
      <c r="T921" s="72"/>
      <c r="U921" s="64">
        <f>IF(U917&lt;U918,U919,U920)</f>
        <v>11.064746381890373</v>
      </c>
      <c r="V921" s="44"/>
      <c r="W921" s="72"/>
      <c r="X921" s="64">
        <f>IF(X917&lt;X918,X919,X920)</f>
        <v>26.938920831602349</v>
      </c>
      <c r="Y921" s="44"/>
      <c r="Z921" s="72"/>
      <c r="AA921" s="64">
        <f>IF(AA917&lt;AA918,AA919,AA920)</f>
        <v>53.856498736353863</v>
      </c>
      <c r="AB921" s="44"/>
      <c r="AC921" s="72"/>
      <c r="AD921" s="64">
        <f>IF(AD917&lt;AD918,AD919,AD920)</f>
        <v>100.07961015090139</v>
      </c>
      <c r="AE921" s="44"/>
      <c r="AF921" s="72"/>
      <c r="AG921" s="64">
        <f>IF(AG917&lt;AG918,AG919,AG920)</f>
        <v>209.88909864098233</v>
      </c>
      <c r="AH921" s="44"/>
      <c r="AI921" s="72"/>
      <c r="AJ921" s="64" t="e">
        <f>IF(AJ917&lt;AJ918,AJ919,AJ920)</f>
        <v>#NUM!</v>
      </c>
      <c r="AK921" s="44"/>
      <c r="AL921" s="72"/>
      <c r="AM921" s="64" t="e">
        <f>IF(AM917&lt;AM918,AM919,AM920)</f>
        <v>#NUM!</v>
      </c>
      <c r="AN921" s="44"/>
      <c r="AO921" s="72"/>
      <c r="AP921" s="64" t="e">
        <f>IF(AP917&lt;AP918,AP919,AP920)</f>
        <v>#NUM!</v>
      </c>
      <c r="AQ921" s="44"/>
      <c r="AR921" s="72"/>
      <c r="AS921" s="64" t="e">
        <f>IF(AS917&lt;AS918,AS919,AS920)</f>
        <v>#NUM!</v>
      </c>
      <c r="AT921" s="44"/>
      <c r="AU921" s="72"/>
    </row>
    <row r="922" spans="15:47" ht="13" x14ac:dyDescent="0.3">
      <c r="O922" s="7" t="s">
        <v>264</v>
      </c>
      <c r="Q922" s="61"/>
      <c r="R922" s="53"/>
      <c r="S922" s="69">
        <f>IFERROR(ABS(C_h-R921),Q_max*10)</f>
        <v>4.3131791772767674</v>
      </c>
      <c r="T922" s="76">
        <f>R913</f>
        <v>3.9003513248771173</v>
      </c>
      <c r="U922" s="61"/>
      <c r="V922" s="69">
        <f>IFERROR(ABS(U$23-U921),Q_max*10)</f>
        <v>0.93525361810962693</v>
      </c>
      <c r="W922" s="75">
        <f>U913</f>
        <v>62.636979482392277</v>
      </c>
      <c r="X922" s="61"/>
      <c r="Y922" s="69">
        <f>IFERROR(ABS(X$23-X921),Q_max*10)</f>
        <v>3.9389208316023492</v>
      </c>
      <c r="Z922" s="75">
        <f>X913</f>
        <v>150.35286207418122</v>
      </c>
      <c r="AA922" s="61"/>
      <c r="AB922" s="69">
        <f>IFERROR(ABS(AA$23-AA921),Q_max*10)</f>
        <v>14.856498736353863</v>
      </c>
      <c r="AC922" s="75">
        <f>AA913</f>
        <v>287.0787162455419</v>
      </c>
      <c r="AD922" s="61"/>
      <c r="AE922" s="69">
        <f>IFERROR(ABS(AD$23-AD921),Q_max*10)</f>
        <v>39.079610150901388</v>
      </c>
      <c r="AF922" s="75">
        <f>AD913</f>
        <v>472.13879211150874</v>
      </c>
      <c r="AG922" s="61"/>
      <c r="AH922" s="69">
        <f>IFERROR(ABS(AG$23-AG921),Q_max*10)</f>
        <v>121.88909864098233</v>
      </c>
      <c r="AI922" s="75">
        <f>AG913</f>
        <v>702.95032479497411</v>
      </c>
      <c r="AJ922" s="61"/>
      <c r="AK922" s="69">
        <f>IFERROR(ABS(AJ$23-AJ921),Q_max*10)</f>
        <v>5500</v>
      </c>
      <c r="AL922" s="75">
        <f>AJ913</f>
        <v>938.08993347308888</v>
      </c>
      <c r="AM922" s="61"/>
      <c r="AN922" s="69">
        <f>IFERROR(ABS(AM$23-AM921),Q_max*10)</f>
        <v>5500</v>
      </c>
      <c r="AO922" s="75">
        <f>AM913</f>
        <v>1144.6479933993139</v>
      </c>
      <c r="AP922" s="61"/>
      <c r="AQ922" s="69">
        <f>IFERROR(ABS(AP$23-AP921),Q_max*10)</f>
        <v>5500</v>
      </c>
      <c r="AR922" s="75">
        <f>AP913</f>
        <v>1328.900785163167</v>
      </c>
      <c r="AS922" s="61"/>
      <c r="AT922" s="69">
        <f>IFERROR(ABS(AS$23-AS921),Q_max*10)</f>
        <v>5500</v>
      </c>
      <c r="AU922" s="75">
        <f>AS913</f>
        <v>1512.4130539567223</v>
      </c>
    </row>
    <row r="923" spans="15:47" ht="14.5" x14ac:dyDescent="0.35">
      <c r="O923" s="8"/>
      <c r="P923" s="6"/>
      <c r="Q923" s="60"/>
      <c r="R923" s="67"/>
      <c r="S923" s="58"/>
      <c r="T923" s="73"/>
      <c r="V923" s="11"/>
      <c r="W923" s="38"/>
      <c r="Y923" s="11"/>
      <c r="Z923" s="38"/>
      <c r="AB923" s="11"/>
      <c r="AC923" s="38"/>
      <c r="AE923" s="11"/>
      <c r="AF923" s="38"/>
      <c r="AH923" s="11"/>
      <c r="AI923" s="38"/>
      <c r="AK923" s="11"/>
      <c r="AL923" s="38"/>
      <c r="AN923" s="11"/>
      <c r="AO923" s="38"/>
      <c r="AQ923" s="11"/>
      <c r="AR923" s="38"/>
      <c r="AT923" s="11"/>
      <c r="AU923" s="38"/>
    </row>
    <row r="924" spans="15:47" ht="14" x14ac:dyDescent="0.3">
      <c r="O924" s="8" t="s">
        <v>235</v>
      </c>
      <c r="P924" s="6"/>
      <c r="Q924" s="60"/>
      <c r="R924" s="53">
        <f>R913*1.02</f>
        <v>3.9783583513746597</v>
      </c>
      <c r="S924" s="58" t="s">
        <v>238</v>
      </c>
      <c r="T924" s="73" t="s">
        <v>241</v>
      </c>
      <c r="U924" s="84">
        <f>U913*1.01</f>
        <v>63.2633492772162</v>
      </c>
      <c r="V924" s="58" t="s">
        <v>238</v>
      </c>
      <c r="W924" s="73" t="s">
        <v>241</v>
      </c>
      <c r="X924" s="84">
        <f>X913*1.01</f>
        <v>151.85639069492302</v>
      </c>
      <c r="Y924" s="58" t="s">
        <v>238</v>
      </c>
      <c r="Z924" s="73" t="s">
        <v>241</v>
      </c>
      <c r="AA924" s="84">
        <f>AA913*1.01</f>
        <v>289.94950340799733</v>
      </c>
      <c r="AB924" s="58" t="s">
        <v>238</v>
      </c>
      <c r="AC924" s="73" t="s">
        <v>241</v>
      </c>
      <c r="AD924" s="84">
        <f>AD913*1.01</f>
        <v>476.86018003262382</v>
      </c>
      <c r="AE924" s="58" t="s">
        <v>238</v>
      </c>
      <c r="AF924" s="73" t="s">
        <v>241</v>
      </c>
      <c r="AG924" s="84">
        <f>AG913*1.01</f>
        <v>709.97982804292383</v>
      </c>
      <c r="AH924" s="58" t="s">
        <v>238</v>
      </c>
      <c r="AI924" s="73" t="s">
        <v>241</v>
      </c>
      <c r="AJ924" s="84">
        <f>AJ913*1.01</f>
        <v>947.47083280781976</v>
      </c>
      <c r="AK924" s="58" t="s">
        <v>238</v>
      </c>
      <c r="AL924" s="73" t="s">
        <v>241</v>
      </c>
      <c r="AM924" s="84">
        <f>AM913*1.01</f>
        <v>1156.0944733333072</v>
      </c>
      <c r="AN924" s="58" t="s">
        <v>238</v>
      </c>
      <c r="AO924" s="73" t="s">
        <v>241</v>
      </c>
      <c r="AP924" s="84">
        <f>AP913*1.01</f>
        <v>1342.1897930147986</v>
      </c>
      <c r="AQ924" s="58" t="s">
        <v>238</v>
      </c>
      <c r="AR924" s="73" t="s">
        <v>241</v>
      </c>
      <c r="AS924" s="84">
        <f>AS913*1.01</f>
        <v>1527.5371844962895</v>
      </c>
      <c r="AT924" s="58" t="s">
        <v>238</v>
      </c>
      <c r="AU924" s="73" t="s">
        <v>241</v>
      </c>
    </row>
    <row r="925" spans="15:47" ht="13" x14ac:dyDescent="0.25">
      <c r="O925" s="6"/>
      <c r="P925" s="6"/>
      <c r="Q925" s="60"/>
      <c r="R925" s="70"/>
      <c r="S925" s="63" t="s">
        <v>250</v>
      </c>
      <c r="T925" s="71" t="s">
        <v>242</v>
      </c>
      <c r="U925" s="61"/>
      <c r="V925" s="63" t="s">
        <v>250</v>
      </c>
      <c r="W925" s="71" t="s">
        <v>242</v>
      </c>
      <c r="X925" s="61"/>
      <c r="Y925" s="63" t="s">
        <v>250</v>
      </c>
      <c r="Z925" s="71" t="s">
        <v>242</v>
      </c>
      <c r="AA925" s="61"/>
      <c r="AB925" s="63" t="s">
        <v>250</v>
      </c>
      <c r="AC925" s="71" t="s">
        <v>242</v>
      </c>
      <c r="AD925" s="61"/>
      <c r="AE925" s="63" t="s">
        <v>250</v>
      </c>
      <c r="AF925" s="71" t="s">
        <v>242</v>
      </c>
      <c r="AG925" s="61"/>
      <c r="AH925" s="63" t="s">
        <v>250</v>
      </c>
      <c r="AI925" s="71" t="s">
        <v>242</v>
      </c>
      <c r="AJ925" s="61"/>
      <c r="AK925" s="63" t="s">
        <v>250</v>
      </c>
      <c r="AL925" s="71" t="s">
        <v>242</v>
      </c>
      <c r="AM925" s="61"/>
      <c r="AN925" s="63" t="s">
        <v>250</v>
      </c>
      <c r="AO925" s="71" t="s">
        <v>242</v>
      </c>
      <c r="AP925" s="61"/>
      <c r="AQ925" s="63" t="s">
        <v>250</v>
      </c>
      <c r="AR925" s="71" t="s">
        <v>242</v>
      </c>
      <c r="AS925" s="61"/>
      <c r="AT925" s="63" t="s">
        <v>250</v>
      </c>
      <c r="AU925" s="71" t="s">
        <v>242</v>
      </c>
    </row>
    <row r="926" spans="15:47" ht="13" x14ac:dyDescent="0.3">
      <c r="O926" s="6" t="s">
        <v>231</v>
      </c>
      <c r="P926" s="6"/>
      <c r="Q926" s="60"/>
      <c r="R926" s="85">
        <f>P_1_minQ-(R924^2*R_up)+dpup_minQ</f>
        <v>56.915608668180617</v>
      </c>
      <c r="S926" s="56"/>
      <c r="T926" s="72"/>
      <c r="U926" s="53">
        <f>P_1_minQ-(U924^2*R_up)+dpup_minQ</f>
        <v>56.780977664242791</v>
      </c>
      <c r="V926" s="44"/>
      <c r="W926" s="72"/>
      <c r="X926" s="53">
        <f>P_1_minQ-(X924^2*R_up)+dpup_minQ</f>
        <v>56.13733997315471</v>
      </c>
      <c r="Y926" s="44"/>
      <c r="Z926" s="72"/>
      <c r="AA926" s="53">
        <f>P_1_minQ-(AA924^2*R_up)+dpup_minQ</f>
        <v>54.076875564790804</v>
      </c>
      <c r="AB926" s="44"/>
      <c r="AC926" s="72"/>
      <c r="AD926" s="53">
        <f>P_1_minQ-(AD924^2*R_up)+dpup_minQ</f>
        <v>49.236452843608696</v>
      </c>
      <c r="AE926" s="44"/>
      <c r="AF926" s="72"/>
      <c r="AG926" s="53">
        <f>P_1_minQ-(AG924^2*R_up)+dpup_minQ</f>
        <v>39.89245672989329</v>
      </c>
      <c r="AH926" s="44"/>
      <c r="AI926" s="72"/>
      <c r="AJ926" s="53">
        <f>P_1_minQ-(AJ924^2*R_up)+dpup_minQ</f>
        <v>26.598649813524368</v>
      </c>
      <c r="AK926" s="44"/>
      <c r="AL926" s="72"/>
      <c r="AM926" s="53">
        <f>P_1_minQ-(AM924^2*R_up)+dpup_minQ</f>
        <v>11.777526806085216</v>
      </c>
      <c r="AN926" s="44"/>
      <c r="AO926" s="72"/>
      <c r="AP926" s="53">
        <f>P_1_minQ-(AP924^2*R_up)+dpup_minQ</f>
        <v>-3.9238919443805544</v>
      </c>
      <c r="AQ926" s="44"/>
      <c r="AR926" s="72"/>
      <c r="AS926" s="53">
        <f>P_1_minQ-(AS924^2*R_up)+dpup_minQ</f>
        <v>-21.887296522082099</v>
      </c>
      <c r="AT926" s="44"/>
      <c r="AU926" s="72"/>
    </row>
    <row r="927" spans="15:47" ht="13" x14ac:dyDescent="0.3">
      <c r="O927" s="6" t="s">
        <v>233</v>
      </c>
      <c r="P927" s="6"/>
      <c r="Q927" s="60"/>
      <c r="R927" s="85">
        <f>P_2_minQ+(R924^2*R_dn)-dpdn_minQ</f>
        <v>24.656878266363879</v>
      </c>
      <c r="S927" s="66"/>
      <c r="T927" s="74"/>
      <c r="U927" s="53">
        <f>P_2_minQ+(U924^2*R_dn)-dpdn_minQ</f>
        <v>24.683804467151443</v>
      </c>
      <c r="V927" s="45"/>
      <c r="W927" s="74"/>
      <c r="X927" s="53">
        <f>P_2_minQ+(X924^2*R_dn)-dpdn_minQ</f>
        <v>24.812532005369061</v>
      </c>
      <c r="Y927" s="45"/>
      <c r="Z927" s="74"/>
      <c r="AA927" s="53">
        <f>P_2_minQ+(AA924^2*R_dn)-dpdn_minQ</f>
        <v>25.224624887041841</v>
      </c>
      <c r="AB927" s="45"/>
      <c r="AC927" s="74"/>
      <c r="AD927" s="53">
        <f>P_2_minQ+(AD924^2*R_dn)-dpdn_minQ</f>
        <v>26.19270943127826</v>
      </c>
      <c r="AE927" s="45"/>
      <c r="AF927" s="74"/>
      <c r="AG927" s="53">
        <f>P_2_minQ+(AG924^2*R_dn)-dpdn_minQ</f>
        <v>28.061508654021342</v>
      </c>
      <c r="AH927" s="45"/>
      <c r="AI927" s="74"/>
      <c r="AJ927" s="53">
        <f>P_2_minQ+(AJ924^2*R_dn)-dpdn_minQ</f>
        <v>30.720270037295126</v>
      </c>
      <c r="AK927" s="45"/>
      <c r="AL927" s="74"/>
      <c r="AM927" s="53">
        <f>P_2_minQ+(AM924^2*R_dn)-dpdn_minQ</f>
        <v>33.684494638782965</v>
      </c>
      <c r="AN927" s="45"/>
      <c r="AO927" s="74"/>
      <c r="AP927" s="53">
        <f>P_2_minQ+(AP924^2*R_dn)-dpdn_minQ</f>
        <v>36.824778388876112</v>
      </c>
      <c r="AQ927" s="45"/>
      <c r="AR927" s="74"/>
      <c r="AS927" s="53">
        <f>P_2_minQ+(AS924^2*R_dn)-dpdn_minQ</f>
        <v>40.417459304416425</v>
      </c>
      <c r="AT927" s="45"/>
      <c r="AU927" s="74"/>
    </row>
    <row r="928" spans="15:47" x14ac:dyDescent="0.25">
      <c r="O928" s="6" t="s">
        <v>243</v>
      </c>
      <c r="Q928" s="60"/>
      <c r="R928" s="53">
        <f>R926-R927</f>
        <v>32.258730401816734</v>
      </c>
      <c r="S928" s="56"/>
      <c r="T928" s="72"/>
      <c r="U928" s="64">
        <f>U926-U927</f>
        <v>32.097173197091351</v>
      </c>
      <c r="V928" s="44"/>
      <c r="W928" s="72"/>
      <c r="X928" s="64">
        <f>X926-X927</f>
        <v>31.324807967785649</v>
      </c>
      <c r="Y928" s="44"/>
      <c r="Z928" s="72"/>
      <c r="AA928" s="64">
        <f>AA926-AA927</f>
        <v>28.852250677748962</v>
      </c>
      <c r="AB928" s="44"/>
      <c r="AC928" s="72"/>
      <c r="AD928" s="64">
        <f>AD926-AD927</f>
        <v>23.043743412330436</v>
      </c>
      <c r="AE928" s="44"/>
      <c r="AF928" s="72"/>
      <c r="AG928" s="64">
        <f>AG926-AG927</f>
        <v>11.830948075871948</v>
      </c>
      <c r="AH928" s="44"/>
      <c r="AI928" s="72"/>
      <c r="AJ928" s="64">
        <f>AJ926-AJ927</f>
        <v>-4.1216202237707584</v>
      </c>
      <c r="AK928" s="44"/>
      <c r="AL928" s="72"/>
      <c r="AM928" s="64">
        <f>AM926-AM927</f>
        <v>-21.906967832697749</v>
      </c>
      <c r="AN928" s="44"/>
      <c r="AO928" s="72"/>
      <c r="AP928" s="64">
        <f>AP926-AP927</f>
        <v>-40.748670333256669</v>
      </c>
      <c r="AQ928" s="44"/>
      <c r="AR928" s="72"/>
      <c r="AS928" s="64">
        <f>AS926-AS927</f>
        <v>-62.304755826498521</v>
      </c>
      <c r="AT928" s="44"/>
      <c r="AU928" s="72"/>
    </row>
    <row r="929" spans="15:47" ht="13" x14ac:dyDescent="0.3">
      <c r="O929" s="6" t="s">
        <v>75</v>
      </c>
      <c r="P929" s="6">
        <v>3</v>
      </c>
      <c r="Q929" s="65"/>
      <c r="R929" s="85">
        <f>(F_LP_h/F_P_h)^2*(R926-('Valve Sizing'!$V$4*'Valve Sizing'!$G$7))</f>
        <v>46.764720625563989</v>
      </c>
      <c r="S929" s="58"/>
      <c r="T929" s="73"/>
      <c r="U929" s="53">
        <f>(U$29/U$27)^2*(U926-('Valve Sizing'!$V$4*'Valve Sizing'!$G$7))</f>
        <v>46.640523341857985</v>
      </c>
      <c r="V929" s="41"/>
      <c r="W929" s="73"/>
      <c r="X929" s="53">
        <f>(X$29/X$27)^2*(X926-('Valve Sizing'!$V$4*'Valve Sizing'!$G$7))</f>
        <v>45.06765453104699</v>
      </c>
      <c r="Y929" s="41"/>
      <c r="Z929" s="73"/>
      <c r="AA929" s="53">
        <f>(AA$29/AA$27)^2*(AA926-('Valve Sizing'!$V$4*'Valve Sizing'!$G$7))</f>
        <v>41.450383832133276</v>
      </c>
      <c r="AB929" s="41"/>
      <c r="AC929" s="73"/>
      <c r="AD929" s="53">
        <f>(AD$29/AD$27)^2*(AD926-('Valve Sizing'!$V$4*'Valve Sizing'!$G$7))</f>
        <v>35.191345715525365</v>
      </c>
      <c r="AE929" s="41"/>
      <c r="AF929" s="73"/>
      <c r="AG929" s="53">
        <f>(AG$29/AG$27)^2*(AG926-('Valve Sizing'!$V$4*'Valve Sizing'!$G$7))</f>
        <v>25.409078974856012</v>
      </c>
      <c r="AH929" s="41"/>
      <c r="AI929" s="73"/>
      <c r="AJ929" s="53">
        <f>(AJ$29/AJ$27)^2*(AJ926-('Valve Sizing'!$V$4*'Valve Sizing'!$G$7))</f>
        <v>15.129196758760715</v>
      </c>
      <c r="AK929" s="41"/>
      <c r="AL929" s="73"/>
      <c r="AM929" s="53">
        <f>(AM$29/AM$27)^2*(AM926-('Valve Sizing'!$V$4*'Valve Sizing'!$G$7))</f>
        <v>5.4246632257140233</v>
      </c>
      <c r="AN929" s="41"/>
      <c r="AO929" s="73"/>
      <c r="AP929" s="53">
        <f>(AP$29/AP$27)^2*(AP926-('Valve Sizing'!$V$4*'Valve Sizing'!$G$7))</f>
        <v>-1.7221315906644388</v>
      </c>
      <c r="AQ929" s="41"/>
      <c r="AR929" s="73"/>
      <c r="AS929" s="53">
        <f>(AS$29/AS$27)^2*(AS926-('Valve Sizing'!$V$4*'Valve Sizing'!$G$7))</f>
        <v>-8.3982287356557617</v>
      </c>
      <c r="AT929" s="41"/>
      <c r="AU929" s="73"/>
    </row>
    <row r="930" spans="15:47" ht="13" x14ac:dyDescent="0.25">
      <c r="O930" s="1" t="s">
        <v>69</v>
      </c>
      <c r="P930" s="17">
        <v>7</v>
      </c>
      <c r="Q930" s="65"/>
      <c r="R930" s="53">
        <f>(R924/(N_1*F_P_h))*SQRT('Valve Sizing'!$G$6/R928)</f>
        <v>0.70055750963451602</v>
      </c>
      <c r="S930" s="58"/>
      <c r="T930" s="73"/>
      <c r="U930" s="64">
        <f>(U924/(N_1*U$27))*SQRT('Valve Sizing'!$G$6/U928)</f>
        <v>11.175950205525989</v>
      </c>
      <c r="V930" s="41"/>
      <c r="W930" s="73"/>
      <c r="X930" s="64">
        <f>(X924/(N_1*X$27))*SQRT('Valve Sizing'!$G$6/X928)</f>
        <v>27.216306202910449</v>
      </c>
      <c r="Y930" s="41"/>
      <c r="Z930" s="73"/>
      <c r="AA930" s="64">
        <f>(AA924/(N_1*AA$27))*SQRT('Valve Sizing'!$G$6/AA928)</f>
        <v>54.458310482528141</v>
      </c>
      <c r="AB930" s="41"/>
      <c r="AC930" s="73"/>
      <c r="AD930" s="64">
        <f>(AD924/(N_1*AD$27))*SQRT('Valve Sizing'!$G$6/AD928)</f>
        <v>101.47788066533748</v>
      </c>
      <c r="AE930" s="41"/>
      <c r="AF930" s="73"/>
      <c r="AG930" s="64">
        <f>(AG924/(N_1*AG$27))*SQRT('Valve Sizing'!$G$6/AG928)</f>
        <v>215.5640280132302</v>
      </c>
      <c r="AH930" s="41"/>
      <c r="AI930" s="73"/>
      <c r="AJ930" s="64" t="e">
        <f>(AJ924/(N_1*AJ$27))*SQRT('Valve Sizing'!$G$6/AJ928)</f>
        <v>#NUM!</v>
      </c>
      <c r="AK930" s="41"/>
      <c r="AL930" s="73"/>
      <c r="AM930" s="64" t="e">
        <f>(AM924/(N_1*AM$27))*SQRT('Valve Sizing'!$G$6/AM928)</f>
        <v>#NUM!</v>
      </c>
      <c r="AN930" s="41"/>
      <c r="AO930" s="73"/>
      <c r="AP930" s="64" t="e">
        <f>(AP924/(N_1*AP$27))*SQRT('Valve Sizing'!$G$6/AP928)</f>
        <v>#NUM!</v>
      </c>
      <c r="AQ930" s="41"/>
      <c r="AR930" s="73"/>
      <c r="AS930" s="64" t="e">
        <f>(AS924/(N_1*AS$27))*SQRT('Valve Sizing'!$G$6/AS928)</f>
        <v>#NUM!</v>
      </c>
      <c r="AT930" s="41"/>
      <c r="AU930" s="73"/>
    </row>
    <row r="931" spans="15:47" ht="13" x14ac:dyDescent="0.3">
      <c r="O931" s="1" t="s">
        <v>72</v>
      </c>
      <c r="P931" s="17">
        <v>7</v>
      </c>
      <c r="Q931" s="65"/>
      <c r="R931" s="53">
        <f>(R924/(N_1*F_P_h))*SQRT('Valve Sizing'!$G$6/R929)</f>
        <v>0.58184627225709384</v>
      </c>
      <c r="S931" s="56"/>
      <c r="T931" s="72"/>
      <c r="U931" s="85">
        <f>(U924/(N_1*U$27))*SQRT('Valve Sizing'!$G$6/U929)</f>
        <v>9.2712041342646678</v>
      </c>
      <c r="V931" s="44"/>
      <c r="W931" s="72"/>
      <c r="X931" s="85">
        <f>(X924/(N_1*X$27))*SQRT('Valve Sizing'!$G$6/X929)</f>
        <v>22.69033525809138</v>
      </c>
      <c r="Y931" s="44"/>
      <c r="Z931" s="72"/>
      <c r="AA931" s="85">
        <f>(AA924/(N_1*AA$27))*SQRT('Valve Sizing'!$G$6/AA929)</f>
        <v>45.43491645413134</v>
      </c>
      <c r="AB931" s="44"/>
      <c r="AC931" s="72"/>
      <c r="AD931" s="85">
        <f>(AD924/(N_1*AD$27))*SQRT('Valve Sizing'!$G$6/AD929)</f>
        <v>82.116412309277877</v>
      </c>
      <c r="AE931" s="44"/>
      <c r="AF931" s="72"/>
      <c r="AG931" s="85">
        <f>(AG924/(N_1*AG$27))*SQRT('Valve Sizing'!$G$6/AG929)</f>
        <v>147.09286357569826</v>
      </c>
      <c r="AH931" s="44"/>
      <c r="AI931" s="72"/>
      <c r="AJ931" s="85">
        <f>(AJ924/(N_1*AJ$27))*SQRT('Valve Sizing'!$G$6/AJ929)</f>
        <v>263.63502776812112</v>
      </c>
      <c r="AK931" s="44"/>
      <c r="AL931" s="72"/>
      <c r="AM931" s="85">
        <f>(AM924/(N_1*AM$27))*SQRT('Valve Sizing'!$G$6/AM929)</f>
        <v>569.99470988490054</v>
      </c>
      <c r="AN931" s="44"/>
      <c r="AO931" s="72"/>
      <c r="AP931" s="85" t="e">
        <f>(AP924/(N_1*AP$27))*SQRT('Valve Sizing'!$G$6/AP929)</f>
        <v>#NUM!</v>
      </c>
      <c r="AQ931" s="44"/>
      <c r="AR931" s="72"/>
      <c r="AS931" s="85" t="e">
        <f>(AS924/(N_1*AS$27))*SQRT('Valve Sizing'!$G$6/AS929)</f>
        <v>#NUM!</v>
      </c>
      <c r="AT931" s="44"/>
      <c r="AU931" s="72"/>
    </row>
    <row r="932" spans="15:47" x14ac:dyDescent="0.25">
      <c r="O932" s="1" t="s">
        <v>246</v>
      </c>
      <c r="P932" s="18"/>
      <c r="Q932" s="65"/>
      <c r="R932" s="53">
        <f>IF(R928&lt;R929,R930,R931)</f>
        <v>0.70055750963451602</v>
      </c>
      <c r="S932" s="49"/>
      <c r="T932" s="72"/>
      <c r="U932" s="64">
        <f>IF(U928&lt;U929,U930,U931)</f>
        <v>11.175950205525989</v>
      </c>
      <c r="V932" s="44"/>
      <c r="W932" s="72"/>
      <c r="X932" s="64">
        <f>IF(X928&lt;X929,X930,X931)</f>
        <v>27.216306202910449</v>
      </c>
      <c r="Y932" s="44"/>
      <c r="Z932" s="72"/>
      <c r="AA932" s="64">
        <f>IF(AA928&lt;AA929,AA930,AA931)</f>
        <v>54.458310482528141</v>
      </c>
      <c r="AB932" s="44"/>
      <c r="AC932" s="72"/>
      <c r="AD932" s="64">
        <f>IF(AD928&lt;AD929,AD930,AD931)</f>
        <v>101.47788066533748</v>
      </c>
      <c r="AE932" s="44"/>
      <c r="AF932" s="72"/>
      <c r="AG932" s="64">
        <f>IF(AG928&lt;AG929,AG930,AG931)</f>
        <v>215.5640280132302</v>
      </c>
      <c r="AH932" s="44"/>
      <c r="AI932" s="72"/>
      <c r="AJ932" s="64" t="e">
        <f>IF(AJ928&lt;AJ929,AJ930,AJ931)</f>
        <v>#NUM!</v>
      </c>
      <c r="AK932" s="44"/>
      <c r="AL932" s="72"/>
      <c r="AM932" s="64" t="e">
        <f>IF(AM928&lt;AM929,AM930,AM931)</f>
        <v>#NUM!</v>
      </c>
      <c r="AN932" s="44"/>
      <c r="AO932" s="72"/>
      <c r="AP932" s="64" t="e">
        <f>IF(AP928&lt;AP929,AP930,AP931)</f>
        <v>#NUM!</v>
      </c>
      <c r="AQ932" s="44"/>
      <c r="AR932" s="72"/>
      <c r="AS932" s="64" t="e">
        <f>IF(AS928&lt;AS929,AS930,AS931)</f>
        <v>#NUM!</v>
      </c>
      <c r="AT932" s="44"/>
      <c r="AU932" s="72"/>
    </row>
    <row r="933" spans="15:47" ht="13" x14ac:dyDescent="0.3">
      <c r="O933" s="7" t="s">
        <v>264</v>
      </c>
      <c r="Q933" s="61"/>
      <c r="R933" s="53"/>
      <c r="S933" s="69">
        <f>IFERROR(ABS(C_h-R932),Q_max*10)</f>
        <v>4.2994424903654842</v>
      </c>
      <c r="T933" s="76">
        <f>R924</f>
        <v>3.9783583513746597</v>
      </c>
      <c r="U933" s="61"/>
      <c r="V933" s="69">
        <f>IFERROR(ABS(U$23-U932),Q_max*10)</f>
        <v>0.82404979447401061</v>
      </c>
      <c r="W933" s="75">
        <f>U924</f>
        <v>63.2633492772162</v>
      </c>
      <c r="X933" s="61"/>
      <c r="Y933" s="69">
        <f>IFERROR(ABS(X$23-X932),Q_max*10)</f>
        <v>4.2163062029104488</v>
      </c>
      <c r="Z933" s="75">
        <f>X924</f>
        <v>151.85639069492302</v>
      </c>
      <c r="AA933" s="61"/>
      <c r="AB933" s="69">
        <f>IFERROR(ABS(AA$23-AA932),Q_max*10)</f>
        <v>15.458310482528141</v>
      </c>
      <c r="AC933" s="75">
        <f>AA924</f>
        <v>289.94950340799733</v>
      </c>
      <c r="AD933" s="61"/>
      <c r="AE933" s="69">
        <f>IFERROR(ABS(AD$23-AD932),Q_max*10)</f>
        <v>40.47788066533748</v>
      </c>
      <c r="AF933" s="75">
        <f>AD924</f>
        <v>476.86018003262382</v>
      </c>
      <c r="AG933" s="61"/>
      <c r="AH933" s="69">
        <f>IFERROR(ABS(AG$23-AG932),Q_max*10)</f>
        <v>127.5640280132302</v>
      </c>
      <c r="AI933" s="75">
        <f>AG924</f>
        <v>709.97982804292383</v>
      </c>
      <c r="AJ933" s="61"/>
      <c r="AK933" s="69">
        <f>IFERROR(ABS(AJ$23-AJ932),Q_max*10)</f>
        <v>5500</v>
      </c>
      <c r="AL933" s="75">
        <f>AJ924</f>
        <v>947.47083280781976</v>
      </c>
      <c r="AM933" s="61"/>
      <c r="AN933" s="69">
        <f>IFERROR(ABS(AM$23-AM932),Q_max*10)</f>
        <v>5500</v>
      </c>
      <c r="AO933" s="75">
        <f>AM924</f>
        <v>1156.0944733333072</v>
      </c>
      <c r="AP933" s="61"/>
      <c r="AQ933" s="69">
        <f>IFERROR(ABS(AP$23-AP932),Q_max*10)</f>
        <v>5500</v>
      </c>
      <c r="AR933" s="75">
        <f>AP924</f>
        <v>1342.1897930147986</v>
      </c>
      <c r="AS933" s="61"/>
      <c r="AT933" s="69">
        <f>IFERROR(ABS(AS$23-AS932),Q_max*10)</f>
        <v>5500</v>
      </c>
      <c r="AU933" s="75">
        <f>AS924</f>
        <v>1527.5371844962895</v>
      </c>
    </row>
    <row r="934" spans="15:47" ht="14.5" x14ac:dyDescent="0.35">
      <c r="O934" s="6"/>
      <c r="P934" s="6"/>
      <c r="Q934" s="60"/>
      <c r="R934" s="67"/>
      <c r="S934" s="56"/>
      <c r="T934" s="72"/>
      <c r="V934" s="11"/>
      <c r="W934" s="38"/>
      <c r="Y934" s="11"/>
      <c r="Z934" s="38"/>
      <c r="AB934" s="11"/>
      <c r="AC934" s="38"/>
      <c r="AE934" s="11"/>
      <c r="AF934" s="38"/>
      <c r="AH934" s="11"/>
      <c r="AI934" s="38"/>
      <c r="AK934" s="11"/>
      <c r="AL934" s="38"/>
      <c r="AN934" s="11"/>
      <c r="AO934" s="38"/>
      <c r="AQ934" s="11"/>
      <c r="AR934" s="38"/>
      <c r="AT934" s="11"/>
      <c r="AU934" s="38"/>
    </row>
    <row r="935" spans="15:47" ht="14" x14ac:dyDescent="0.3">
      <c r="O935" s="8" t="s">
        <v>235</v>
      </c>
      <c r="P935" s="6"/>
      <c r="Q935" s="60"/>
      <c r="R935" s="53">
        <f>R924*1.02</f>
        <v>4.0579255184021532</v>
      </c>
      <c r="S935" s="58" t="s">
        <v>238</v>
      </c>
      <c r="T935" s="73" t="s">
        <v>241</v>
      </c>
      <c r="U935" s="84">
        <f>U924*1.01</f>
        <v>63.895982769988365</v>
      </c>
      <c r="V935" s="58" t="s">
        <v>238</v>
      </c>
      <c r="W935" s="73" t="s">
        <v>241</v>
      </c>
      <c r="X935" s="84">
        <f>X924*1.01</f>
        <v>153.37495460187225</v>
      </c>
      <c r="Y935" s="58" t="s">
        <v>238</v>
      </c>
      <c r="Z935" s="73" t="s">
        <v>241</v>
      </c>
      <c r="AA935" s="84">
        <f>AA924*1.01</f>
        <v>292.84899844207729</v>
      </c>
      <c r="AB935" s="58" t="s">
        <v>238</v>
      </c>
      <c r="AC935" s="73" t="s">
        <v>241</v>
      </c>
      <c r="AD935" s="84">
        <f>AD924*1.01</f>
        <v>481.62878183295004</v>
      </c>
      <c r="AE935" s="58" t="s">
        <v>238</v>
      </c>
      <c r="AF935" s="73" t="s">
        <v>241</v>
      </c>
      <c r="AG935" s="84">
        <f>AG924*1.01</f>
        <v>717.07962632335307</v>
      </c>
      <c r="AH935" s="58" t="s">
        <v>238</v>
      </c>
      <c r="AI935" s="73" t="s">
        <v>241</v>
      </c>
      <c r="AJ935" s="84">
        <f>AJ924*1.01</f>
        <v>956.945541135898</v>
      </c>
      <c r="AK935" s="58" t="s">
        <v>238</v>
      </c>
      <c r="AL935" s="73" t="s">
        <v>241</v>
      </c>
      <c r="AM935" s="84">
        <f>AM924*1.01</f>
        <v>1167.6554180666403</v>
      </c>
      <c r="AN935" s="58" t="s">
        <v>238</v>
      </c>
      <c r="AO935" s="73" t="s">
        <v>241</v>
      </c>
      <c r="AP935" s="84">
        <f>AP924*1.01</f>
        <v>1355.6116909449465</v>
      </c>
      <c r="AQ935" s="58" t="s">
        <v>238</v>
      </c>
      <c r="AR935" s="73" t="s">
        <v>241</v>
      </c>
      <c r="AS935" s="84">
        <f>AS924*1.01</f>
        <v>1542.8125563412523</v>
      </c>
      <c r="AT935" s="58" t="s">
        <v>238</v>
      </c>
      <c r="AU935" s="73" t="s">
        <v>241</v>
      </c>
    </row>
    <row r="936" spans="15:47" ht="13" x14ac:dyDescent="0.25">
      <c r="O936" s="6"/>
      <c r="P936" s="6"/>
      <c r="Q936" s="60"/>
      <c r="R936" s="70"/>
      <c r="S936" s="63" t="s">
        <v>250</v>
      </c>
      <c r="T936" s="71" t="s">
        <v>242</v>
      </c>
      <c r="U936" s="61"/>
      <c r="V936" s="63" t="s">
        <v>250</v>
      </c>
      <c r="W936" s="71" t="s">
        <v>242</v>
      </c>
      <c r="X936" s="61"/>
      <c r="Y936" s="63" t="s">
        <v>250</v>
      </c>
      <c r="Z936" s="71" t="s">
        <v>242</v>
      </c>
      <c r="AA936" s="61"/>
      <c r="AB936" s="63" t="s">
        <v>250</v>
      </c>
      <c r="AC936" s="71" t="s">
        <v>242</v>
      </c>
      <c r="AD936" s="61"/>
      <c r="AE936" s="63" t="s">
        <v>250</v>
      </c>
      <c r="AF936" s="71" t="s">
        <v>242</v>
      </c>
      <c r="AG936" s="61"/>
      <c r="AH936" s="63" t="s">
        <v>250</v>
      </c>
      <c r="AI936" s="71" t="s">
        <v>242</v>
      </c>
      <c r="AJ936" s="61"/>
      <c r="AK936" s="63" t="s">
        <v>250</v>
      </c>
      <c r="AL936" s="71" t="s">
        <v>242</v>
      </c>
      <c r="AM936" s="61"/>
      <c r="AN936" s="63" t="s">
        <v>250</v>
      </c>
      <c r="AO936" s="71" t="s">
        <v>242</v>
      </c>
      <c r="AP936" s="61"/>
      <c r="AQ936" s="63" t="s">
        <v>250</v>
      </c>
      <c r="AR936" s="71" t="s">
        <v>242</v>
      </c>
      <c r="AS936" s="61"/>
      <c r="AT936" s="63" t="s">
        <v>250</v>
      </c>
      <c r="AU936" s="71" t="s">
        <v>242</v>
      </c>
    </row>
    <row r="937" spans="15:47" ht="13" x14ac:dyDescent="0.3">
      <c r="O937" s="6" t="s">
        <v>231</v>
      </c>
      <c r="P937" s="6"/>
      <c r="Q937" s="60"/>
      <c r="R937" s="85">
        <f>P_1_minQ-(R935^2*R_up)+dpup_minQ</f>
        <v>56.915587073302504</v>
      </c>
      <c r="S937" s="56"/>
      <c r="T937" s="72"/>
      <c r="U937" s="53">
        <f>P_1_minQ-(U935^2*R_up)+dpup_minQ</f>
        <v>56.778260837077248</v>
      </c>
      <c r="V937" s="44"/>
      <c r="W937" s="72"/>
      <c r="X937" s="53">
        <f>P_1_minQ-(X935^2*R_up)+dpup_minQ</f>
        <v>56.121686028398301</v>
      </c>
      <c r="Y937" s="44"/>
      <c r="Z937" s="72"/>
      <c r="AA937" s="53">
        <f>P_1_minQ-(AA935^2*R_up)+dpup_minQ</f>
        <v>54.019806285426284</v>
      </c>
      <c r="AB937" s="44"/>
      <c r="AC937" s="72"/>
      <c r="AD937" s="53">
        <f>P_1_minQ-(AD935^2*R_up)+dpup_minQ</f>
        <v>49.082091067548419</v>
      </c>
      <c r="AE937" s="44"/>
      <c r="AF937" s="72"/>
      <c r="AG937" s="53">
        <f>P_1_minQ-(AG935^2*R_up)+dpup_minQ</f>
        <v>39.550280631947324</v>
      </c>
      <c r="AH937" s="44"/>
      <c r="AI937" s="72"/>
      <c r="AJ937" s="53">
        <f>P_1_minQ-(AJ935^2*R_up)+dpup_minQ</f>
        <v>25.989268196559387</v>
      </c>
      <c r="AK937" s="44"/>
      <c r="AL937" s="72"/>
      <c r="AM937" s="53">
        <f>P_1_minQ-(AM935^2*R_up)+dpup_minQ</f>
        <v>10.870240616670703</v>
      </c>
      <c r="AN937" s="44"/>
      <c r="AO937" s="72"/>
      <c r="AP937" s="53">
        <f>P_1_minQ-(AP935^2*R_up)+dpup_minQ</f>
        <v>-5.1467766506794108</v>
      </c>
      <c r="AQ937" s="44"/>
      <c r="AR937" s="72"/>
      <c r="AS937" s="53">
        <f>P_1_minQ-(AS935^2*R_up)+dpup_minQ</f>
        <v>-23.471245660392771</v>
      </c>
      <c r="AT937" s="44"/>
      <c r="AU937" s="72"/>
    </row>
    <row r="938" spans="15:47" ht="13" x14ac:dyDescent="0.3">
      <c r="O938" s="6" t="s">
        <v>233</v>
      </c>
      <c r="P938" s="6"/>
      <c r="Q938" s="60"/>
      <c r="R938" s="85">
        <f>P_2_minQ+(R935^2*R_dn)-dpdn_minQ</f>
        <v>24.656882585339499</v>
      </c>
      <c r="S938" s="66"/>
      <c r="T938" s="74"/>
      <c r="U938" s="53">
        <f>P_2_minQ+(U935^2*R_dn)-dpdn_minQ</f>
        <v>24.684347832584553</v>
      </c>
      <c r="V938" s="45"/>
      <c r="W938" s="74"/>
      <c r="X938" s="53">
        <f>P_2_minQ+(X935^2*R_dn)-dpdn_minQ</f>
        <v>24.815662794320342</v>
      </c>
      <c r="Y938" s="45"/>
      <c r="Z938" s="74"/>
      <c r="AA938" s="53">
        <f>P_2_minQ+(AA935^2*R_dn)-dpdn_minQ</f>
        <v>25.236038742914744</v>
      </c>
      <c r="AB938" s="45"/>
      <c r="AC938" s="74"/>
      <c r="AD938" s="53">
        <f>P_2_minQ+(AD935^2*R_dn)-dpdn_minQ</f>
        <v>26.223581786490318</v>
      </c>
      <c r="AE938" s="45"/>
      <c r="AF938" s="74"/>
      <c r="AG938" s="53">
        <f>P_2_minQ+(AG935^2*R_dn)-dpdn_minQ</f>
        <v>28.129943873610536</v>
      </c>
      <c r="AH938" s="45"/>
      <c r="AI938" s="74"/>
      <c r="AJ938" s="53">
        <f>P_2_minQ+(AJ935^2*R_dn)-dpdn_minQ</f>
        <v>30.842146360688123</v>
      </c>
      <c r="AK938" s="45"/>
      <c r="AL938" s="74"/>
      <c r="AM938" s="53">
        <f>P_2_minQ+(AM935^2*R_dn)-dpdn_minQ</f>
        <v>33.865951876665861</v>
      </c>
      <c r="AN938" s="45"/>
      <c r="AO938" s="74"/>
      <c r="AP938" s="53">
        <f>P_2_minQ+(AP935^2*R_dn)-dpdn_minQ</f>
        <v>37.069355330135885</v>
      </c>
      <c r="AQ938" s="45"/>
      <c r="AR938" s="74"/>
      <c r="AS938" s="53">
        <f>P_2_minQ+(AS935^2*R_dn)-dpdn_minQ</f>
        <v>40.73424913207856</v>
      </c>
      <c r="AT938" s="45"/>
      <c r="AU938" s="74"/>
    </row>
    <row r="939" spans="15:47" x14ac:dyDescent="0.25">
      <c r="O939" s="6" t="s">
        <v>243</v>
      </c>
      <c r="Q939" s="60"/>
      <c r="R939" s="53">
        <f>R937-R938</f>
        <v>32.258704487963001</v>
      </c>
      <c r="S939" s="56"/>
      <c r="T939" s="72"/>
      <c r="U939" s="64">
        <f>U937-U938</f>
        <v>32.093913004492691</v>
      </c>
      <c r="V939" s="44"/>
      <c r="W939" s="72"/>
      <c r="X939" s="64">
        <f>X937-X938</f>
        <v>31.306023234077959</v>
      </c>
      <c r="Y939" s="44"/>
      <c r="Z939" s="72"/>
      <c r="AA939" s="64">
        <f>AA937-AA938</f>
        <v>28.783767542511541</v>
      </c>
      <c r="AB939" s="44"/>
      <c r="AC939" s="72"/>
      <c r="AD939" s="64">
        <f>AD937-AD938</f>
        <v>22.858509281058101</v>
      </c>
      <c r="AE939" s="44"/>
      <c r="AF939" s="72"/>
      <c r="AG939" s="64">
        <f>AG937-AG938</f>
        <v>11.420336758336788</v>
      </c>
      <c r="AH939" s="44"/>
      <c r="AI939" s="72"/>
      <c r="AJ939" s="64">
        <f>AJ937-AJ938</f>
        <v>-4.852878164128736</v>
      </c>
      <c r="AK939" s="44"/>
      <c r="AL939" s="72"/>
      <c r="AM939" s="64">
        <f>AM937-AM938</f>
        <v>-22.995711259995158</v>
      </c>
      <c r="AN939" s="44"/>
      <c r="AO939" s="72"/>
      <c r="AP939" s="64">
        <f>AP937-AP938</f>
        <v>-42.216131980815298</v>
      </c>
      <c r="AQ939" s="44"/>
      <c r="AR939" s="72"/>
      <c r="AS939" s="64">
        <f>AS937-AS938</f>
        <v>-64.205494792471328</v>
      </c>
      <c r="AT939" s="44"/>
      <c r="AU939" s="72"/>
    </row>
    <row r="940" spans="15:47" ht="13" x14ac:dyDescent="0.3">
      <c r="O940" s="6" t="s">
        <v>75</v>
      </c>
      <c r="P940" s="6">
        <v>3</v>
      </c>
      <c r="Q940" s="65"/>
      <c r="R940" s="85">
        <f>(F_LP_h/F_P_h)^2*(R937-('Valve Sizing'!$V$4*'Valve Sizing'!$G$7))</f>
        <v>46.764702743871396</v>
      </c>
      <c r="S940" s="58"/>
      <c r="T940" s="73"/>
      <c r="U940" s="53">
        <f>(U$29/U$27)^2*(U937-('Valve Sizing'!$V$4*'Valve Sizing'!$G$7))</f>
        <v>46.63827427952743</v>
      </c>
      <c r="V940" s="41"/>
      <c r="W940" s="73"/>
      <c r="X940" s="53">
        <f>(X$29/X$27)^2*(X937-('Valve Sizing'!$V$4*'Valve Sizing'!$G$7))</f>
        <v>45.054988085842773</v>
      </c>
      <c r="Y940" s="41"/>
      <c r="Z940" s="73"/>
      <c r="AA940" s="53">
        <f>(AA$29/AA$27)^2*(AA937-('Valve Sizing'!$V$4*'Valve Sizing'!$G$7))</f>
        <v>41.40628085161574</v>
      </c>
      <c r="AB940" s="41"/>
      <c r="AC940" s="73"/>
      <c r="AD940" s="53">
        <f>(AD$29/AD$27)^2*(AD937-('Valve Sizing'!$V$4*'Valve Sizing'!$G$7))</f>
        <v>35.080021946481416</v>
      </c>
      <c r="AE940" s="41"/>
      <c r="AF940" s="73"/>
      <c r="AG940" s="53">
        <f>(AG$29/AG$27)^2*(AG937-('Valve Sizing'!$V$4*'Valve Sizing'!$G$7))</f>
        <v>25.188702528734478</v>
      </c>
      <c r="AH940" s="41"/>
      <c r="AI940" s="73"/>
      <c r="AJ940" s="53">
        <f>(AJ$29/AJ$27)^2*(AJ937-('Valve Sizing'!$V$4*'Valve Sizing'!$G$7))</f>
        <v>14.776752164904748</v>
      </c>
      <c r="AK940" s="41"/>
      <c r="AL940" s="73"/>
      <c r="AM940" s="53">
        <f>(AM$29/AM$27)^2*(AM937-('Valve Sizing'!$V$4*'Valve Sizing'!$G$7))</f>
        <v>4.9905520526305542</v>
      </c>
      <c r="AN940" s="41"/>
      <c r="AO940" s="73"/>
      <c r="AP940" s="53">
        <f>(AP$29/AP$27)^2*(AP937-('Valve Sizing'!$V$4*'Valve Sizing'!$G$7))</f>
        <v>-2.2047147025362648</v>
      </c>
      <c r="AQ940" s="41"/>
      <c r="AR940" s="73"/>
      <c r="AS940" s="53">
        <f>(AS$29/AS$27)^2*(AS937-('Valve Sizing'!$V$4*'Valve Sizing'!$G$7))</f>
        <v>-8.9940166223599984</v>
      </c>
      <c r="AT940" s="41"/>
      <c r="AU940" s="73"/>
    </row>
    <row r="941" spans="15:47" ht="13" x14ac:dyDescent="0.25">
      <c r="O941" s="1" t="s">
        <v>69</v>
      </c>
      <c r="P941" s="17">
        <v>7</v>
      </c>
      <c r="Q941" s="65"/>
      <c r="R941" s="53">
        <f>(R935/(N_1*F_P_h))*SQRT('Valve Sizing'!$G$6/R939)</f>
        <v>0.71456894683848449</v>
      </c>
      <c r="S941" s="58"/>
      <c r="T941" s="73"/>
      <c r="U941" s="64">
        <f>(U935/(N_1*U$27))*SQRT('Valve Sizing'!$G$6/U939)</f>
        <v>11.288283012137809</v>
      </c>
      <c r="V941" s="41"/>
      <c r="W941" s="73"/>
      <c r="X941" s="64">
        <f>(X935/(N_1*X$27))*SQRT('Valve Sizing'!$G$6/X939)</f>
        <v>27.496715060571123</v>
      </c>
      <c r="Y941" s="41"/>
      <c r="Z941" s="73"/>
      <c r="AA941" s="64">
        <f>(AA935/(N_1*AA$27))*SQRT('Valve Sizing'!$G$6/AA939)</f>
        <v>55.068286916330045</v>
      </c>
      <c r="AB941" s="41"/>
      <c r="AC941" s="73"/>
      <c r="AD941" s="64">
        <f>(AD935/(N_1*AD$27))*SQRT('Valve Sizing'!$G$6/AD939)</f>
        <v>102.9070966515628</v>
      </c>
      <c r="AE941" s="41"/>
      <c r="AF941" s="73"/>
      <c r="AG941" s="64">
        <f>(AG935/(N_1*AG$27))*SQRT('Valve Sizing'!$G$6/AG939)</f>
        <v>221.59909526086378</v>
      </c>
      <c r="AH941" s="41"/>
      <c r="AI941" s="73"/>
      <c r="AJ941" s="64" t="e">
        <f>(AJ935/(N_1*AJ$27))*SQRT('Valve Sizing'!$G$6/AJ939)</f>
        <v>#NUM!</v>
      </c>
      <c r="AK941" s="41"/>
      <c r="AL941" s="73"/>
      <c r="AM941" s="64" t="e">
        <f>(AM935/(N_1*AM$27))*SQRT('Valve Sizing'!$G$6/AM939)</f>
        <v>#NUM!</v>
      </c>
      <c r="AN941" s="41"/>
      <c r="AO941" s="73"/>
      <c r="AP941" s="64" t="e">
        <f>(AP935/(N_1*AP$27))*SQRT('Valve Sizing'!$G$6/AP939)</f>
        <v>#NUM!</v>
      </c>
      <c r="AQ941" s="41"/>
      <c r="AR941" s="73"/>
      <c r="AS941" s="64" t="e">
        <f>(AS935/(N_1*AS$27))*SQRT('Valve Sizing'!$G$6/AS939)</f>
        <v>#NUM!</v>
      </c>
      <c r="AT941" s="41"/>
      <c r="AU941" s="73"/>
    </row>
    <row r="942" spans="15:47" ht="13" x14ac:dyDescent="0.3">
      <c r="O942" s="1" t="s">
        <v>72</v>
      </c>
      <c r="P942" s="17">
        <v>7</v>
      </c>
      <c r="Q942" s="65"/>
      <c r="R942" s="53">
        <f>(R935/(N_1*F_P_h))*SQRT('Valve Sizing'!$G$6/R940)</f>
        <v>0.59348331116904363</v>
      </c>
      <c r="S942" s="56"/>
      <c r="T942" s="72"/>
      <c r="U942" s="85">
        <f>(U935/(N_1*U$27))*SQRT('Valve Sizing'!$G$6/U940)</f>
        <v>9.364141953442914</v>
      </c>
      <c r="V942" s="44"/>
      <c r="W942" s="72"/>
      <c r="X942" s="85">
        <f>(X935/(N_1*X$27))*SQRT('Valve Sizing'!$G$6/X940)</f>
        <v>22.920459780630082</v>
      </c>
      <c r="Y942" s="44"/>
      <c r="Z942" s="72"/>
      <c r="AA942" s="85">
        <f>(AA935/(N_1*AA$27))*SQRT('Valve Sizing'!$G$6/AA940)</f>
        <v>45.913698080573639</v>
      </c>
      <c r="AB942" s="44"/>
      <c r="AC942" s="72"/>
      <c r="AD942" s="85">
        <f>(AD935/(N_1*AD$27))*SQRT('Valve Sizing'!$G$6/AD940)</f>
        <v>83.069070224238388</v>
      </c>
      <c r="AE942" s="44"/>
      <c r="AF942" s="72"/>
      <c r="AG942" s="85">
        <f>(AG935/(N_1*AG$27))*SQRT('Valve Sizing'!$G$6/AG940)</f>
        <v>149.21227065996473</v>
      </c>
      <c r="AH942" s="44"/>
      <c r="AI942" s="72"/>
      <c r="AJ942" s="85">
        <f>(AJ935/(N_1*AJ$27))*SQRT('Valve Sizing'!$G$6/AJ940)</f>
        <v>269.42812371465709</v>
      </c>
      <c r="AK942" s="44"/>
      <c r="AL942" s="72"/>
      <c r="AM942" s="85">
        <f>(AM935/(N_1*AM$27))*SQRT('Valve Sizing'!$G$6/AM940)</f>
        <v>600.21147572778148</v>
      </c>
      <c r="AN942" s="44"/>
      <c r="AO942" s="72"/>
      <c r="AP942" s="85" t="e">
        <f>(AP935/(N_1*AP$27))*SQRT('Valve Sizing'!$G$6/AP940)</f>
        <v>#NUM!</v>
      </c>
      <c r="AQ942" s="44"/>
      <c r="AR942" s="72"/>
      <c r="AS942" s="85" t="e">
        <f>(AS935/(N_1*AS$27))*SQRT('Valve Sizing'!$G$6/AS940)</f>
        <v>#NUM!</v>
      </c>
      <c r="AT942" s="44"/>
      <c r="AU942" s="72"/>
    </row>
    <row r="943" spans="15:47" x14ac:dyDescent="0.25">
      <c r="O943" s="1" t="s">
        <v>246</v>
      </c>
      <c r="P943" s="18"/>
      <c r="Q943" s="65"/>
      <c r="R943" s="53">
        <f>IF(R939&lt;R940,R941,R942)</f>
        <v>0.71456894683848449</v>
      </c>
      <c r="S943" s="49"/>
      <c r="T943" s="72"/>
      <c r="U943" s="64">
        <f>IF(U939&lt;U940,U941,U942)</f>
        <v>11.288283012137809</v>
      </c>
      <c r="V943" s="44"/>
      <c r="W943" s="72"/>
      <c r="X943" s="64">
        <f>IF(X939&lt;X940,X941,X942)</f>
        <v>27.496715060571123</v>
      </c>
      <c r="Y943" s="44"/>
      <c r="Z943" s="72"/>
      <c r="AA943" s="64">
        <f>IF(AA939&lt;AA940,AA941,AA942)</f>
        <v>55.068286916330045</v>
      </c>
      <c r="AB943" s="44"/>
      <c r="AC943" s="72"/>
      <c r="AD943" s="64">
        <f>IF(AD939&lt;AD940,AD941,AD942)</f>
        <v>102.9070966515628</v>
      </c>
      <c r="AE943" s="44"/>
      <c r="AF943" s="72"/>
      <c r="AG943" s="64">
        <f>IF(AG939&lt;AG940,AG941,AG942)</f>
        <v>221.59909526086378</v>
      </c>
      <c r="AH943" s="44"/>
      <c r="AI943" s="72"/>
      <c r="AJ943" s="64" t="e">
        <f>IF(AJ939&lt;AJ940,AJ941,AJ942)</f>
        <v>#NUM!</v>
      </c>
      <c r="AK943" s="44"/>
      <c r="AL943" s="72"/>
      <c r="AM943" s="64" t="e">
        <f>IF(AM939&lt;AM940,AM941,AM942)</f>
        <v>#NUM!</v>
      </c>
      <c r="AN943" s="44"/>
      <c r="AO943" s="72"/>
      <c r="AP943" s="64" t="e">
        <f>IF(AP939&lt;AP940,AP941,AP942)</f>
        <v>#NUM!</v>
      </c>
      <c r="AQ943" s="44"/>
      <c r="AR943" s="72"/>
      <c r="AS943" s="64" t="e">
        <f>IF(AS939&lt;AS940,AS941,AS942)</f>
        <v>#NUM!</v>
      </c>
      <c r="AT943" s="44"/>
      <c r="AU943" s="72"/>
    </row>
    <row r="944" spans="15:47" ht="13" x14ac:dyDescent="0.3">
      <c r="O944" s="7" t="s">
        <v>264</v>
      </c>
      <c r="Q944" s="61"/>
      <c r="R944" s="53"/>
      <c r="S944" s="69">
        <f>IFERROR(ABS(C_h-R943),Q_max*10)</f>
        <v>4.2854310531615152</v>
      </c>
      <c r="T944" s="76">
        <f>R935</f>
        <v>4.0579255184021532</v>
      </c>
      <c r="U944" s="61"/>
      <c r="V944" s="69">
        <f>IFERROR(ABS(U$23-U943),Q_max*10)</f>
        <v>0.71171698786219117</v>
      </c>
      <c r="W944" s="75">
        <f>U935</f>
        <v>63.895982769988365</v>
      </c>
      <c r="X944" s="61"/>
      <c r="Y944" s="69">
        <f>IFERROR(ABS(X$23-X943),Q_max*10)</f>
        <v>4.4967150605711232</v>
      </c>
      <c r="Z944" s="75">
        <f>X935</f>
        <v>153.37495460187225</v>
      </c>
      <c r="AA944" s="61"/>
      <c r="AB944" s="69">
        <f>IFERROR(ABS(AA$23-AA943),Q_max*10)</f>
        <v>16.068286916330045</v>
      </c>
      <c r="AC944" s="75">
        <f>AA935</f>
        <v>292.84899844207729</v>
      </c>
      <c r="AD944" s="61"/>
      <c r="AE944" s="69">
        <f>IFERROR(ABS(AD$23-AD943),Q_max*10)</f>
        <v>41.907096651562796</v>
      </c>
      <c r="AF944" s="75">
        <f>AD935</f>
        <v>481.62878183295004</v>
      </c>
      <c r="AG944" s="61"/>
      <c r="AH944" s="69">
        <f>IFERROR(ABS(AG$23-AG943),Q_max*10)</f>
        <v>133.59909526086378</v>
      </c>
      <c r="AI944" s="75">
        <f>AG935</f>
        <v>717.07962632335307</v>
      </c>
      <c r="AJ944" s="61"/>
      <c r="AK944" s="69">
        <f>IFERROR(ABS(AJ$23-AJ943),Q_max*10)</f>
        <v>5500</v>
      </c>
      <c r="AL944" s="75">
        <f>AJ935</f>
        <v>956.945541135898</v>
      </c>
      <c r="AM944" s="61"/>
      <c r="AN944" s="69">
        <f>IFERROR(ABS(AM$23-AM943),Q_max*10)</f>
        <v>5500</v>
      </c>
      <c r="AO944" s="75">
        <f>AM935</f>
        <v>1167.6554180666403</v>
      </c>
      <c r="AP944" s="61"/>
      <c r="AQ944" s="69">
        <f>IFERROR(ABS(AP$23-AP943),Q_max*10)</f>
        <v>5500</v>
      </c>
      <c r="AR944" s="75">
        <f>AP935</f>
        <v>1355.6116909449465</v>
      </c>
      <c r="AS944" s="61"/>
      <c r="AT944" s="69">
        <f>IFERROR(ABS(AS$23-AS943),Q_max*10)</f>
        <v>5500</v>
      </c>
      <c r="AU944" s="75">
        <f>AS935</f>
        <v>1542.8125563412523</v>
      </c>
    </row>
    <row r="945" spans="15:47" ht="14.5" x14ac:dyDescent="0.35">
      <c r="O945" s="8"/>
      <c r="P945" s="6"/>
      <c r="Q945" s="60"/>
      <c r="R945" s="67"/>
      <c r="S945" s="66"/>
      <c r="T945" s="74"/>
      <c r="V945" s="11"/>
      <c r="W945" s="38"/>
      <c r="Y945" s="11"/>
      <c r="Z945" s="38"/>
      <c r="AB945" s="11"/>
      <c r="AC945" s="38"/>
      <c r="AE945" s="11"/>
      <c r="AF945" s="38"/>
      <c r="AH945" s="11"/>
      <c r="AI945" s="38"/>
      <c r="AK945" s="11"/>
      <c r="AL945" s="38"/>
      <c r="AN945" s="11"/>
      <c r="AO945" s="38"/>
      <c r="AQ945" s="11"/>
      <c r="AR945" s="38"/>
      <c r="AT945" s="11"/>
      <c r="AU945" s="38"/>
    </row>
    <row r="946" spans="15:47" ht="14" x14ac:dyDescent="0.3">
      <c r="O946" s="8" t="s">
        <v>235</v>
      </c>
      <c r="P946" s="6"/>
      <c r="Q946" s="60"/>
      <c r="R946" s="53">
        <f>R935*1.02</f>
        <v>4.1390840287701964</v>
      </c>
      <c r="S946" s="58" t="s">
        <v>238</v>
      </c>
      <c r="T946" s="73" t="s">
        <v>241</v>
      </c>
      <c r="U946" s="84">
        <f>U935*1.01</f>
        <v>64.534942597688243</v>
      </c>
      <c r="V946" s="58" t="s">
        <v>238</v>
      </c>
      <c r="W946" s="73" t="s">
        <v>241</v>
      </c>
      <c r="X946" s="84">
        <f>X935*1.01</f>
        <v>154.90870414789097</v>
      </c>
      <c r="Y946" s="58" t="s">
        <v>238</v>
      </c>
      <c r="Z946" s="73" t="s">
        <v>241</v>
      </c>
      <c r="AA946" s="84">
        <f>AA935*1.01</f>
        <v>295.77748842649805</v>
      </c>
      <c r="AB946" s="58" t="s">
        <v>238</v>
      </c>
      <c r="AC946" s="73" t="s">
        <v>241</v>
      </c>
      <c r="AD946" s="84">
        <f>AD935*1.01</f>
        <v>486.44506965127954</v>
      </c>
      <c r="AE946" s="58" t="s">
        <v>238</v>
      </c>
      <c r="AF946" s="73" t="s">
        <v>241</v>
      </c>
      <c r="AG946" s="84">
        <f>AG935*1.01</f>
        <v>724.25042258658664</v>
      </c>
      <c r="AH946" s="58" t="s">
        <v>238</v>
      </c>
      <c r="AI946" s="73" t="s">
        <v>241</v>
      </c>
      <c r="AJ946" s="84">
        <f>AJ935*1.01</f>
        <v>966.51499654725694</v>
      </c>
      <c r="AK946" s="58" t="s">
        <v>238</v>
      </c>
      <c r="AL946" s="73" t="s">
        <v>241</v>
      </c>
      <c r="AM946" s="84">
        <f>AM935*1.01</f>
        <v>1179.3319722473068</v>
      </c>
      <c r="AN946" s="58" t="s">
        <v>238</v>
      </c>
      <c r="AO946" s="73" t="s">
        <v>241</v>
      </c>
      <c r="AP946" s="84">
        <f>AP935*1.01</f>
        <v>1369.167807854396</v>
      </c>
      <c r="AQ946" s="58" t="s">
        <v>238</v>
      </c>
      <c r="AR946" s="73" t="s">
        <v>241</v>
      </c>
      <c r="AS946" s="84">
        <f>AS935*1.01</f>
        <v>1558.2406819046648</v>
      </c>
      <c r="AT946" s="58" t="s">
        <v>238</v>
      </c>
      <c r="AU946" s="73" t="s">
        <v>241</v>
      </c>
    </row>
    <row r="947" spans="15:47" ht="13" x14ac:dyDescent="0.25">
      <c r="O947" s="6"/>
      <c r="P947" s="6"/>
      <c r="Q947" s="60"/>
      <c r="R947" s="70"/>
      <c r="S947" s="63" t="s">
        <v>250</v>
      </c>
      <c r="T947" s="71" t="s">
        <v>242</v>
      </c>
      <c r="U947" s="61"/>
      <c r="V947" s="63" t="s">
        <v>250</v>
      </c>
      <c r="W947" s="71" t="s">
        <v>242</v>
      </c>
      <c r="X947" s="61"/>
      <c r="Y947" s="63" t="s">
        <v>250</v>
      </c>
      <c r="Z947" s="71" t="s">
        <v>242</v>
      </c>
      <c r="AA947" s="61"/>
      <c r="AB947" s="63" t="s">
        <v>250</v>
      </c>
      <c r="AC947" s="71" t="s">
        <v>242</v>
      </c>
      <c r="AD947" s="61"/>
      <c r="AE947" s="63" t="s">
        <v>250</v>
      </c>
      <c r="AF947" s="71" t="s">
        <v>242</v>
      </c>
      <c r="AG947" s="61"/>
      <c r="AH947" s="63" t="s">
        <v>250</v>
      </c>
      <c r="AI947" s="71" t="s">
        <v>242</v>
      </c>
      <c r="AJ947" s="61"/>
      <c r="AK947" s="63" t="s">
        <v>250</v>
      </c>
      <c r="AL947" s="71" t="s">
        <v>242</v>
      </c>
      <c r="AM947" s="61"/>
      <c r="AN947" s="63" t="s">
        <v>250</v>
      </c>
      <c r="AO947" s="71" t="s">
        <v>242</v>
      </c>
      <c r="AP947" s="61"/>
      <c r="AQ947" s="63" t="s">
        <v>250</v>
      </c>
      <c r="AR947" s="71" t="s">
        <v>242</v>
      </c>
      <c r="AS947" s="61"/>
      <c r="AT947" s="63" t="s">
        <v>250</v>
      </c>
      <c r="AU947" s="71" t="s">
        <v>242</v>
      </c>
    </row>
    <row r="948" spans="15:47" ht="13" x14ac:dyDescent="0.3">
      <c r="O948" s="6" t="s">
        <v>231</v>
      </c>
      <c r="P948" s="6"/>
      <c r="Q948" s="60"/>
      <c r="R948" s="85">
        <f>P_1_minQ-(R946^2*R_up)+dpup_minQ</f>
        <v>56.915564605991314</v>
      </c>
      <c r="S948" s="56"/>
      <c r="T948" s="72"/>
      <c r="U948" s="53">
        <f>P_1_minQ-(U946^2*R_up)+dpup_minQ</f>
        <v>56.775489401685682</v>
      </c>
      <c r="V948" s="44"/>
      <c r="W948" s="72"/>
      <c r="X948" s="53">
        <f>P_1_minQ-(X946^2*R_up)+dpup_minQ</f>
        <v>56.105717439352283</v>
      </c>
      <c r="Y948" s="44"/>
      <c r="Z948" s="72"/>
      <c r="AA948" s="53">
        <f>P_1_minQ-(AA946^2*R_up)+dpup_minQ</f>
        <v>53.961589913546533</v>
      </c>
      <c r="AB948" s="44"/>
      <c r="AC948" s="72"/>
      <c r="AD948" s="53">
        <f>P_1_minQ-(AD946^2*R_up)+dpup_minQ</f>
        <v>48.924626619789322</v>
      </c>
      <c r="AE948" s="44"/>
      <c r="AF948" s="72"/>
      <c r="AG948" s="53">
        <f>P_1_minQ-(AG946^2*R_up)+dpup_minQ</f>
        <v>39.20122679443265</v>
      </c>
      <c r="AH948" s="44"/>
      <c r="AI948" s="72"/>
      <c r="AJ948" s="53">
        <f>P_1_minQ-(AJ946^2*R_up)+dpup_minQ</f>
        <v>25.367638009093412</v>
      </c>
      <c r="AK948" s="44"/>
      <c r="AL948" s="72"/>
      <c r="AM948" s="53">
        <f>P_1_minQ-(AM946^2*R_up)+dpup_minQ</f>
        <v>9.9447179748489596</v>
      </c>
      <c r="AN948" s="44"/>
      <c r="AO948" s="72"/>
      <c r="AP948" s="53">
        <f>P_1_minQ-(AP946^2*R_up)+dpup_minQ</f>
        <v>-6.3942413395748803</v>
      </c>
      <c r="AQ948" s="44"/>
      <c r="AR948" s="72"/>
      <c r="AS948" s="53">
        <f>P_1_minQ-(AS946^2*R_up)+dpup_minQ</f>
        <v>-25.087032176383477</v>
      </c>
      <c r="AT948" s="44"/>
      <c r="AU948" s="72"/>
    </row>
    <row r="949" spans="15:47" ht="13" x14ac:dyDescent="0.3">
      <c r="O949" s="6" t="s">
        <v>233</v>
      </c>
      <c r="P949" s="6"/>
      <c r="Q949" s="60"/>
      <c r="R949" s="85">
        <f>P_2_minQ+(R946^2*R_dn)-dpdn_minQ</f>
        <v>24.656887078801738</v>
      </c>
      <c r="S949" s="66"/>
      <c r="T949" s="74"/>
      <c r="U949" s="53">
        <f>P_2_minQ+(U946^2*R_dn)-dpdn_minQ</f>
        <v>24.684902119662866</v>
      </c>
      <c r="V949" s="45"/>
      <c r="W949" s="74"/>
      <c r="X949" s="53">
        <f>P_2_minQ+(X946^2*R_dn)-dpdn_minQ</f>
        <v>24.818856512129543</v>
      </c>
      <c r="Y949" s="45"/>
      <c r="Z949" s="74"/>
      <c r="AA949" s="53">
        <f>P_2_minQ+(AA946^2*R_dn)-dpdn_minQ</f>
        <v>25.247682017290696</v>
      </c>
      <c r="AB949" s="45"/>
      <c r="AC949" s="74"/>
      <c r="AD949" s="53">
        <f>P_2_minQ+(AD946^2*R_dn)-dpdn_minQ</f>
        <v>26.255074676042138</v>
      </c>
      <c r="AE949" s="45"/>
      <c r="AF949" s="74"/>
      <c r="AG949" s="53">
        <f>P_2_minQ+(AG946^2*R_dn)-dpdn_minQ</f>
        <v>28.199754641113472</v>
      </c>
      <c r="AH949" s="45"/>
      <c r="AI949" s="74"/>
      <c r="AJ949" s="53">
        <f>P_2_minQ+(AJ946^2*R_dn)-dpdn_minQ</f>
        <v>30.96647239818132</v>
      </c>
      <c r="AK949" s="45"/>
      <c r="AL949" s="74"/>
      <c r="AM949" s="53">
        <f>P_2_minQ+(AM946^2*R_dn)-dpdn_minQ</f>
        <v>34.051056405030209</v>
      </c>
      <c r="AN949" s="45"/>
      <c r="AO949" s="74"/>
      <c r="AP949" s="53">
        <f>P_2_minQ+(AP946^2*R_dn)-dpdn_minQ</f>
        <v>37.31884826791498</v>
      </c>
      <c r="AQ949" s="45"/>
      <c r="AR949" s="74"/>
      <c r="AS949" s="53">
        <f>P_2_minQ+(AS946^2*R_dn)-dpdn_minQ</f>
        <v>41.057406435276704</v>
      </c>
      <c r="AT949" s="45"/>
      <c r="AU949" s="74"/>
    </row>
    <row r="950" spans="15:47" x14ac:dyDescent="0.25">
      <c r="O950" s="6" t="s">
        <v>243</v>
      </c>
      <c r="Q950" s="60"/>
      <c r="R950" s="53">
        <f>R948-R949</f>
        <v>32.258677527189576</v>
      </c>
      <c r="S950" s="56"/>
      <c r="T950" s="72"/>
      <c r="U950" s="64">
        <f>U948-U949</f>
        <v>32.090587282022817</v>
      </c>
      <c r="V950" s="44"/>
      <c r="W950" s="72"/>
      <c r="X950" s="64">
        <f>X948-X949</f>
        <v>31.28686092722274</v>
      </c>
      <c r="Y950" s="44"/>
      <c r="Z950" s="72"/>
      <c r="AA950" s="64">
        <f>AA948-AA949</f>
        <v>28.713907896255837</v>
      </c>
      <c r="AB950" s="44"/>
      <c r="AC950" s="72"/>
      <c r="AD950" s="64">
        <f>AD948-AD949</f>
        <v>22.669551943747184</v>
      </c>
      <c r="AE950" s="44"/>
      <c r="AF950" s="72"/>
      <c r="AG950" s="64">
        <f>AG948-AG949</f>
        <v>11.001472153319177</v>
      </c>
      <c r="AH950" s="44"/>
      <c r="AI950" s="72"/>
      <c r="AJ950" s="64">
        <f>AJ948-AJ949</f>
        <v>-5.5988343890879086</v>
      </c>
      <c r="AK950" s="44"/>
      <c r="AL950" s="72"/>
      <c r="AM950" s="64">
        <f>AM948-AM949</f>
        <v>-24.10633843018125</v>
      </c>
      <c r="AN950" s="44"/>
      <c r="AO950" s="72"/>
      <c r="AP950" s="64">
        <f>AP948-AP949</f>
        <v>-43.713089607489863</v>
      </c>
      <c r="AQ950" s="44"/>
      <c r="AR950" s="72"/>
      <c r="AS950" s="64">
        <f>AS948-AS949</f>
        <v>-66.144438611660178</v>
      </c>
      <c r="AT950" s="44"/>
      <c r="AU950" s="72"/>
    </row>
    <row r="951" spans="15:47" ht="13" x14ac:dyDescent="0.3">
      <c r="O951" s="6" t="s">
        <v>75</v>
      </c>
      <c r="P951" s="6">
        <v>3</v>
      </c>
      <c r="Q951" s="65"/>
      <c r="R951" s="85">
        <f>(F_LP_h/F_P_h)^2*(R948-('Valve Sizing'!$V$4*'Valve Sizing'!$G$7))</f>
        <v>46.764684139758423</v>
      </c>
      <c r="S951" s="58"/>
      <c r="T951" s="73"/>
      <c r="U951" s="53">
        <f>(U$29/U$27)^2*(U948-('Valve Sizing'!$V$4*'Valve Sizing'!$G$7))</f>
        <v>46.635980011044033</v>
      </c>
      <c r="V951" s="41"/>
      <c r="W951" s="73"/>
      <c r="X951" s="53">
        <f>(X$29/X$27)^2*(X948-('Valve Sizing'!$V$4*'Valve Sizing'!$G$7))</f>
        <v>45.042067045089944</v>
      </c>
      <c r="Y951" s="41"/>
      <c r="Z951" s="73"/>
      <c r="AA951" s="53">
        <f>(AA$29/AA$27)^2*(AA948-('Valve Sizing'!$V$4*'Valve Sizing'!$G$7))</f>
        <v>41.361291401189789</v>
      </c>
      <c r="AB951" s="41"/>
      <c r="AC951" s="73"/>
      <c r="AD951" s="53">
        <f>(AD$29/AD$27)^2*(AD948-('Valve Sizing'!$V$4*'Valve Sizing'!$G$7))</f>
        <v>34.966460569679683</v>
      </c>
      <c r="AE951" s="41"/>
      <c r="AF951" s="73"/>
      <c r="AG951" s="53">
        <f>(AG$29/AG$27)^2*(AG948-('Valve Sizing'!$V$4*'Valve Sizing'!$G$7))</f>
        <v>24.963896516045903</v>
      </c>
      <c r="AH951" s="41"/>
      <c r="AI951" s="73"/>
      <c r="AJ951" s="53">
        <f>(AJ$29/AJ$27)^2*(AJ948-('Valve Sizing'!$V$4*'Valve Sizing'!$G$7))</f>
        <v>14.417223434712275</v>
      </c>
      <c r="AK951" s="41"/>
      <c r="AL951" s="73"/>
      <c r="AM951" s="53">
        <f>(AM$29/AM$27)^2*(AM948-('Valve Sizing'!$V$4*'Valve Sizing'!$G$7))</f>
        <v>4.5477152449681082</v>
      </c>
      <c r="AN951" s="41"/>
      <c r="AO951" s="73"/>
      <c r="AP951" s="53">
        <f>(AP$29/AP$27)^2*(AP948-('Valve Sizing'!$V$4*'Valve Sizing'!$G$7))</f>
        <v>-2.6969977349567169</v>
      </c>
      <c r="AQ951" s="41"/>
      <c r="AR951" s="73"/>
      <c r="AS951" s="53">
        <f>(AS$29/AS$27)^2*(AS948-('Valve Sizing'!$V$4*'Valve Sizing'!$G$7))</f>
        <v>-9.6017798455869858</v>
      </c>
      <c r="AT951" s="41"/>
      <c r="AU951" s="73"/>
    </row>
    <row r="952" spans="15:47" ht="13" x14ac:dyDescent="0.25">
      <c r="O952" s="1" t="s">
        <v>69</v>
      </c>
      <c r="P952" s="17">
        <v>7</v>
      </c>
      <c r="Q952" s="65"/>
      <c r="R952" s="53">
        <f>(R946/(N_1*F_P_h))*SQRT('Valve Sizing'!$G$6/R950)</f>
        <v>0.72886063035429316</v>
      </c>
      <c r="S952" s="58"/>
      <c r="T952" s="73"/>
      <c r="U952" s="64">
        <f>(U946/(N_1*U$27))*SQRT('Valve Sizing'!$G$6/U950)</f>
        <v>11.401756609432635</v>
      </c>
      <c r="V952" s="41"/>
      <c r="W952" s="73"/>
      <c r="X952" s="64">
        <f>(X946/(N_1*X$27))*SQRT('Valve Sizing'!$G$6/X950)</f>
        <v>27.780185589607022</v>
      </c>
      <c r="Y952" s="41"/>
      <c r="Z952" s="73"/>
      <c r="AA952" s="64">
        <f>(AA946/(N_1*AA$27))*SQRT('Valve Sizing'!$G$6/AA950)</f>
        <v>55.68658790828821</v>
      </c>
      <c r="AB952" s="41"/>
      <c r="AC952" s="73"/>
      <c r="AD952" s="64">
        <f>(AD946/(N_1*AD$27))*SQRT('Valve Sizing'!$G$6/AD950)</f>
        <v>104.36843787126151</v>
      </c>
      <c r="AE952" s="41"/>
      <c r="AF952" s="73"/>
      <c r="AG952" s="64">
        <f>(AG946/(N_1*AG$27))*SQRT('Valve Sizing'!$G$6/AG950)</f>
        <v>228.03599769297651</v>
      </c>
      <c r="AH952" s="41"/>
      <c r="AI952" s="73"/>
      <c r="AJ952" s="64" t="e">
        <f>(AJ946/(N_1*AJ$27))*SQRT('Valve Sizing'!$G$6/AJ950)</f>
        <v>#NUM!</v>
      </c>
      <c r="AK952" s="41"/>
      <c r="AL952" s="73"/>
      <c r="AM952" s="64" t="e">
        <f>(AM946/(N_1*AM$27))*SQRT('Valve Sizing'!$G$6/AM950)</f>
        <v>#NUM!</v>
      </c>
      <c r="AN952" s="41"/>
      <c r="AO952" s="73"/>
      <c r="AP952" s="64" t="e">
        <f>(AP946/(N_1*AP$27))*SQRT('Valve Sizing'!$G$6/AP950)</f>
        <v>#NUM!</v>
      </c>
      <c r="AQ952" s="41"/>
      <c r="AR952" s="73"/>
      <c r="AS952" s="64" t="e">
        <f>(AS946/(N_1*AS$27))*SQRT('Valve Sizing'!$G$6/AS950)</f>
        <v>#NUM!</v>
      </c>
      <c r="AT952" s="41"/>
      <c r="AU952" s="73"/>
    </row>
    <row r="953" spans="15:47" ht="13" x14ac:dyDescent="0.3">
      <c r="O953" s="1" t="s">
        <v>72</v>
      </c>
      <c r="P953" s="17">
        <v>7</v>
      </c>
      <c r="Q953" s="65"/>
      <c r="R953" s="53">
        <f>(R946/(N_1*F_P_h))*SQRT('Valve Sizing'!$G$6/R951)</f>
        <v>0.60535309780437918</v>
      </c>
      <c r="S953" s="56"/>
      <c r="T953" s="72"/>
      <c r="U953" s="85">
        <f>(U946/(N_1*U$27))*SQRT('Valve Sizing'!$G$6/U951)</f>
        <v>9.4580160091034475</v>
      </c>
      <c r="V953" s="44"/>
      <c r="W953" s="72"/>
      <c r="X953" s="85">
        <f>(X946/(N_1*X$27))*SQRT('Valve Sizing'!$G$6/X951)</f>
        <v>23.152984566960829</v>
      </c>
      <c r="Y953" s="44"/>
      <c r="Z953" s="72"/>
      <c r="AA953" s="85">
        <f>(AA946/(N_1*AA$27))*SQRT('Valve Sizing'!$G$6/AA951)</f>
        <v>46.398048507068104</v>
      </c>
      <c r="AB953" s="44"/>
      <c r="AC953" s="72"/>
      <c r="AD953" s="85">
        <f>(AD946/(N_1*AD$27))*SQRT('Valve Sizing'!$G$6/AD951)</f>
        <v>84.035892076936889</v>
      </c>
      <c r="AE953" s="44"/>
      <c r="AF953" s="72"/>
      <c r="AG953" s="85">
        <f>(AG946/(N_1*AG$27))*SQRT('Valve Sizing'!$G$6/AG951)</f>
        <v>151.38143756325584</v>
      </c>
      <c r="AH953" s="44"/>
      <c r="AI953" s="72"/>
      <c r="AJ953" s="85">
        <f>(AJ946/(N_1*AJ$27))*SQRT('Valve Sizing'!$G$6/AJ951)</f>
        <v>275.49453024286919</v>
      </c>
      <c r="AK953" s="44"/>
      <c r="AL953" s="72"/>
      <c r="AM953" s="85">
        <f>(AM946/(N_1*AM$27))*SQRT('Valve Sizing'!$G$6/AM951)</f>
        <v>635.04328999636539</v>
      </c>
      <c r="AN953" s="44"/>
      <c r="AO953" s="72"/>
      <c r="AP953" s="85" t="e">
        <f>(AP946/(N_1*AP$27))*SQRT('Valve Sizing'!$G$6/AP951)</f>
        <v>#NUM!</v>
      </c>
      <c r="AQ953" s="44"/>
      <c r="AR953" s="72"/>
      <c r="AS953" s="85" t="e">
        <f>(AS946/(N_1*AS$27))*SQRT('Valve Sizing'!$G$6/AS951)</f>
        <v>#NUM!</v>
      </c>
      <c r="AT953" s="44"/>
      <c r="AU953" s="72"/>
    </row>
    <row r="954" spans="15:47" x14ac:dyDescent="0.25">
      <c r="O954" s="1" t="s">
        <v>246</v>
      </c>
      <c r="P954" s="18"/>
      <c r="Q954" s="65"/>
      <c r="R954" s="53">
        <f>IF(R950&lt;R951,R952,R953)</f>
        <v>0.72886063035429316</v>
      </c>
      <c r="S954" s="49"/>
      <c r="T954" s="72"/>
      <c r="U954" s="64">
        <f>IF(U950&lt;U951,U952,U953)</f>
        <v>11.401756609432635</v>
      </c>
      <c r="V954" s="44"/>
      <c r="W954" s="72"/>
      <c r="X954" s="64">
        <f>IF(X950&lt;X951,X952,X953)</f>
        <v>27.780185589607022</v>
      </c>
      <c r="Y954" s="44"/>
      <c r="Z954" s="72"/>
      <c r="AA954" s="64">
        <f>IF(AA950&lt;AA951,AA952,AA953)</f>
        <v>55.68658790828821</v>
      </c>
      <c r="AB954" s="44"/>
      <c r="AC954" s="72"/>
      <c r="AD954" s="64">
        <f>IF(AD950&lt;AD951,AD952,AD953)</f>
        <v>104.36843787126151</v>
      </c>
      <c r="AE954" s="44"/>
      <c r="AF954" s="72"/>
      <c r="AG954" s="64">
        <f>IF(AG950&lt;AG951,AG952,AG953)</f>
        <v>228.03599769297651</v>
      </c>
      <c r="AH954" s="44"/>
      <c r="AI954" s="72"/>
      <c r="AJ954" s="64" t="e">
        <f>IF(AJ950&lt;AJ951,AJ952,AJ953)</f>
        <v>#NUM!</v>
      </c>
      <c r="AK954" s="44"/>
      <c r="AL954" s="72"/>
      <c r="AM954" s="64" t="e">
        <f>IF(AM950&lt;AM951,AM952,AM953)</f>
        <v>#NUM!</v>
      </c>
      <c r="AN954" s="44"/>
      <c r="AO954" s="72"/>
      <c r="AP954" s="64" t="e">
        <f>IF(AP950&lt;AP951,AP952,AP953)</f>
        <v>#NUM!</v>
      </c>
      <c r="AQ954" s="44"/>
      <c r="AR954" s="72"/>
      <c r="AS954" s="64" t="e">
        <f>IF(AS950&lt;AS951,AS952,AS953)</f>
        <v>#NUM!</v>
      </c>
      <c r="AT954" s="44"/>
      <c r="AU954" s="72"/>
    </row>
    <row r="955" spans="15:47" ht="13" x14ac:dyDescent="0.3">
      <c r="O955" s="7" t="s">
        <v>264</v>
      </c>
      <c r="Q955" s="61"/>
      <c r="R955" s="53"/>
      <c r="S955" s="69">
        <f>IFERROR(ABS(C_h-R954),Q_max*10)</f>
        <v>4.2711393696457067</v>
      </c>
      <c r="T955" s="76">
        <f>R946</f>
        <v>4.1390840287701964</v>
      </c>
      <c r="U955" s="61"/>
      <c r="V955" s="69">
        <f>IFERROR(ABS(U$23-U954),Q_max*10)</f>
        <v>0.5982433905673652</v>
      </c>
      <c r="W955" s="75">
        <f>U946</f>
        <v>64.534942597688243</v>
      </c>
      <c r="X955" s="61"/>
      <c r="Y955" s="69">
        <f>IFERROR(ABS(X$23-X954),Q_max*10)</f>
        <v>4.7801855896070222</v>
      </c>
      <c r="Z955" s="75">
        <f>X946</f>
        <v>154.90870414789097</v>
      </c>
      <c r="AA955" s="61"/>
      <c r="AB955" s="69">
        <f>IFERROR(ABS(AA$23-AA954),Q_max*10)</f>
        <v>16.68658790828821</v>
      </c>
      <c r="AC955" s="75">
        <f>AA946</f>
        <v>295.77748842649805</v>
      </c>
      <c r="AD955" s="61"/>
      <c r="AE955" s="69">
        <f>IFERROR(ABS(AD$23-AD954),Q_max*10)</f>
        <v>43.368437871261506</v>
      </c>
      <c r="AF955" s="75">
        <f>AD946</f>
        <v>486.44506965127954</v>
      </c>
      <c r="AG955" s="61"/>
      <c r="AH955" s="69">
        <f>IFERROR(ABS(AG$23-AG954),Q_max*10)</f>
        <v>140.03599769297651</v>
      </c>
      <c r="AI955" s="75">
        <f>AG946</f>
        <v>724.25042258658664</v>
      </c>
      <c r="AJ955" s="61"/>
      <c r="AK955" s="69">
        <f>IFERROR(ABS(AJ$23-AJ954),Q_max*10)</f>
        <v>5500</v>
      </c>
      <c r="AL955" s="75">
        <f>AJ946</f>
        <v>966.51499654725694</v>
      </c>
      <c r="AM955" s="61"/>
      <c r="AN955" s="69">
        <f>IFERROR(ABS(AM$23-AM954),Q_max*10)</f>
        <v>5500</v>
      </c>
      <c r="AO955" s="75">
        <f>AM946</f>
        <v>1179.3319722473068</v>
      </c>
      <c r="AP955" s="61"/>
      <c r="AQ955" s="69">
        <f>IFERROR(ABS(AP$23-AP954),Q_max*10)</f>
        <v>5500</v>
      </c>
      <c r="AR955" s="75">
        <f>AP946</f>
        <v>1369.167807854396</v>
      </c>
      <c r="AS955" s="61"/>
      <c r="AT955" s="69">
        <f>IFERROR(ABS(AS$23-AS954),Q_max*10)</f>
        <v>5500</v>
      </c>
      <c r="AU955" s="75">
        <f>AS946</f>
        <v>1558.2406819046648</v>
      </c>
    </row>
    <row r="956" spans="15:47" ht="14.5" x14ac:dyDescent="0.35">
      <c r="O956" s="6"/>
      <c r="P956" s="6"/>
      <c r="Q956" s="60"/>
      <c r="R956" s="67"/>
      <c r="S956" s="56"/>
      <c r="T956" s="72"/>
      <c r="V956" s="11"/>
      <c r="W956" s="38"/>
      <c r="Y956" s="11"/>
      <c r="Z956" s="38"/>
      <c r="AB956" s="11"/>
      <c r="AC956" s="38"/>
      <c r="AE956" s="11"/>
      <c r="AF956" s="38"/>
      <c r="AH956" s="11"/>
      <c r="AI956" s="38"/>
      <c r="AK956" s="11"/>
      <c r="AL956" s="38"/>
      <c r="AN956" s="11"/>
      <c r="AO956" s="38"/>
      <c r="AQ956" s="11"/>
      <c r="AR956" s="38"/>
      <c r="AT956" s="11"/>
      <c r="AU956" s="38"/>
    </row>
    <row r="957" spans="15:47" ht="14" x14ac:dyDescent="0.3">
      <c r="O957" s="8" t="s">
        <v>235</v>
      </c>
      <c r="P957" s="6"/>
      <c r="Q957" s="60"/>
      <c r="R957" s="53">
        <f>R946*1.02</f>
        <v>4.2218657093456002</v>
      </c>
      <c r="S957" s="58" t="s">
        <v>238</v>
      </c>
      <c r="T957" s="73" t="s">
        <v>241</v>
      </c>
      <c r="U957" s="84">
        <f>U946*1.01</f>
        <v>65.180292023665132</v>
      </c>
      <c r="V957" s="58" t="s">
        <v>238</v>
      </c>
      <c r="W957" s="73" t="s">
        <v>241</v>
      </c>
      <c r="X957" s="84">
        <f>X946*1.01</f>
        <v>156.45779118936989</v>
      </c>
      <c r="Y957" s="58" t="s">
        <v>238</v>
      </c>
      <c r="Z957" s="73" t="s">
        <v>241</v>
      </c>
      <c r="AA957" s="84">
        <f>AA946*1.01</f>
        <v>298.73526331076306</v>
      </c>
      <c r="AB957" s="58" t="s">
        <v>238</v>
      </c>
      <c r="AC957" s="73" t="s">
        <v>241</v>
      </c>
      <c r="AD957" s="84">
        <f>AD946*1.01</f>
        <v>491.30952034779233</v>
      </c>
      <c r="AE957" s="58" t="s">
        <v>238</v>
      </c>
      <c r="AF957" s="73" t="s">
        <v>241</v>
      </c>
      <c r="AG957" s="84">
        <f>AG946*1.01</f>
        <v>731.49292681245254</v>
      </c>
      <c r="AH957" s="58" t="s">
        <v>238</v>
      </c>
      <c r="AI957" s="73" t="s">
        <v>241</v>
      </c>
      <c r="AJ957" s="84">
        <f>AJ946*1.01</f>
        <v>976.18014651272949</v>
      </c>
      <c r="AK957" s="58" t="s">
        <v>238</v>
      </c>
      <c r="AL957" s="73" t="s">
        <v>241</v>
      </c>
      <c r="AM957" s="84">
        <f>AM946*1.01</f>
        <v>1191.1252919697799</v>
      </c>
      <c r="AN957" s="58" t="s">
        <v>238</v>
      </c>
      <c r="AO957" s="73" t="s">
        <v>241</v>
      </c>
      <c r="AP957" s="84">
        <f>AP946*1.01</f>
        <v>1382.8594859329398</v>
      </c>
      <c r="AQ957" s="58" t="s">
        <v>238</v>
      </c>
      <c r="AR957" s="73" t="s">
        <v>241</v>
      </c>
      <c r="AS957" s="84">
        <f>AS946*1.01</f>
        <v>1573.8230887237114</v>
      </c>
      <c r="AT957" s="58" t="s">
        <v>238</v>
      </c>
      <c r="AU957" s="73" t="s">
        <v>241</v>
      </c>
    </row>
    <row r="958" spans="15:47" ht="13" x14ac:dyDescent="0.25">
      <c r="O958" s="6"/>
      <c r="P958" s="6"/>
      <c r="Q958" s="60"/>
      <c r="R958" s="70"/>
      <c r="S958" s="63" t="s">
        <v>250</v>
      </c>
      <c r="T958" s="71" t="s">
        <v>242</v>
      </c>
      <c r="U958" s="61"/>
      <c r="V958" s="63" t="s">
        <v>250</v>
      </c>
      <c r="W958" s="71" t="s">
        <v>242</v>
      </c>
      <c r="X958" s="61"/>
      <c r="Y958" s="63" t="s">
        <v>250</v>
      </c>
      <c r="Z958" s="71" t="s">
        <v>242</v>
      </c>
      <c r="AA958" s="61"/>
      <c r="AB958" s="63" t="s">
        <v>250</v>
      </c>
      <c r="AC958" s="71" t="s">
        <v>242</v>
      </c>
      <c r="AD958" s="61"/>
      <c r="AE958" s="63" t="s">
        <v>250</v>
      </c>
      <c r="AF958" s="71" t="s">
        <v>242</v>
      </c>
      <c r="AG958" s="61"/>
      <c r="AH958" s="63" t="s">
        <v>250</v>
      </c>
      <c r="AI958" s="71" t="s">
        <v>242</v>
      </c>
      <c r="AJ958" s="61"/>
      <c r="AK958" s="63" t="s">
        <v>250</v>
      </c>
      <c r="AL958" s="71" t="s">
        <v>242</v>
      </c>
      <c r="AM958" s="61"/>
      <c r="AN958" s="63" t="s">
        <v>250</v>
      </c>
      <c r="AO958" s="71" t="s">
        <v>242</v>
      </c>
      <c r="AP958" s="61"/>
      <c r="AQ958" s="63" t="s">
        <v>250</v>
      </c>
      <c r="AR958" s="71" t="s">
        <v>242</v>
      </c>
      <c r="AS958" s="61"/>
      <c r="AT958" s="63" t="s">
        <v>250</v>
      </c>
      <c r="AU958" s="71" t="s">
        <v>242</v>
      </c>
    </row>
    <row r="959" spans="15:47" ht="13" x14ac:dyDescent="0.3">
      <c r="O959" s="6" t="s">
        <v>231</v>
      </c>
      <c r="P959" s="6"/>
      <c r="Q959" s="60"/>
      <c r="R959" s="85">
        <f>P_1_minQ-(R957^2*R_up)+dpup_minQ</f>
        <v>56.915541231000752</v>
      </c>
      <c r="S959" s="56"/>
      <c r="T959" s="72"/>
      <c r="U959" s="53">
        <f>P_1_minQ-(U957^2*R_up)+dpup_minQ</f>
        <v>56.77266226044275</v>
      </c>
      <c r="V959" s="44"/>
      <c r="W959" s="72"/>
      <c r="X959" s="53">
        <f>P_1_minQ-(X957^2*R_up)+dpup_minQ</f>
        <v>56.089427881666445</v>
      </c>
      <c r="Y959" s="44"/>
      <c r="Z959" s="72"/>
      <c r="AA959" s="53">
        <f>P_1_minQ-(AA957^2*R_up)+dpup_minQ</f>
        <v>53.902203392592</v>
      </c>
      <c r="AB959" s="44"/>
      <c r="AC959" s="72"/>
      <c r="AD959" s="53">
        <f>P_1_minQ-(AD957^2*R_up)+dpup_minQ</f>
        <v>48.763997136630266</v>
      </c>
      <c r="AE959" s="44"/>
      <c r="AF959" s="72"/>
      <c r="AG959" s="53">
        <f>P_1_minQ-(AG957^2*R_up)+dpup_minQ</f>
        <v>38.845156974783926</v>
      </c>
      <c r="AH959" s="44"/>
      <c r="AI959" s="72"/>
      <c r="AJ959" s="53">
        <f>P_1_minQ-(AJ957^2*R_up)+dpup_minQ</f>
        <v>24.733513054859369</v>
      </c>
      <c r="AK959" s="44"/>
      <c r="AL959" s="72"/>
      <c r="AM959" s="53">
        <f>P_1_minQ-(AM957^2*R_up)+dpup_minQ</f>
        <v>9.0005923279266007</v>
      </c>
      <c r="AN959" s="44"/>
      <c r="AO959" s="72"/>
      <c r="AP959" s="53">
        <f>P_1_minQ-(AP957^2*R_up)+dpup_minQ</f>
        <v>-7.6667800687171495</v>
      </c>
      <c r="AQ959" s="44"/>
      <c r="AR959" s="72"/>
      <c r="AS959" s="53">
        <f>P_1_minQ-(AS957^2*R_up)+dpup_minQ</f>
        <v>-26.735296001345592</v>
      </c>
      <c r="AT959" s="44"/>
      <c r="AU959" s="72"/>
    </row>
    <row r="960" spans="15:47" ht="13" x14ac:dyDescent="0.3">
      <c r="O960" s="6" t="s">
        <v>233</v>
      </c>
      <c r="P960" s="6"/>
      <c r="Q960" s="60"/>
      <c r="R960" s="85">
        <f>P_2_minQ+(R957^2*R_dn)-dpdn_minQ</f>
        <v>24.656891753799851</v>
      </c>
      <c r="S960" s="66"/>
      <c r="T960" s="74"/>
      <c r="U960" s="53">
        <f>P_2_minQ+(U957^2*R_dn)-dpdn_minQ</f>
        <v>24.68546754791145</v>
      </c>
      <c r="V960" s="45"/>
      <c r="W960" s="74"/>
      <c r="X960" s="53">
        <f>P_2_minQ+(X957^2*R_dn)-dpdn_minQ</f>
        <v>24.822114423666712</v>
      </c>
      <c r="Y960" s="45"/>
      <c r="Z960" s="74"/>
      <c r="AA960" s="53">
        <f>P_2_minQ+(AA957^2*R_dn)-dpdn_minQ</f>
        <v>25.2595593214816</v>
      </c>
      <c r="AB960" s="45"/>
      <c r="AC960" s="74"/>
      <c r="AD960" s="53">
        <f>P_2_minQ+(AD957^2*R_dn)-dpdn_minQ</f>
        <v>26.287200572673949</v>
      </c>
      <c r="AE960" s="45"/>
      <c r="AF960" s="74"/>
      <c r="AG960" s="53">
        <f>P_2_minQ+(AG957^2*R_dn)-dpdn_minQ</f>
        <v>28.270968605043215</v>
      </c>
      <c r="AH960" s="45"/>
      <c r="AI960" s="74"/>
      <c r="AJ960" s="53">
        <f>P_2_minQ+(AJ957^2*R_dn)-dpdn_minQ</f>
        <v>31.093297389028127</v>
      </c>
      <c r="AK960" s="45"/>
      <c r="AL960" s="74"/>
      <c r="AM960" s="53">
        <f>P_2_minQ+(AM957^2*R_dn)-dpdn_minQ</f>
        <v>34.239881534414685</v>
      </c>
      <c r="AN960" s="45"/>
      <c r="AO960" s="74"/>
      <c r="AP960" s="53">
        <f>P_2_minQ+(AP957^2*R_dn)-dpdn_minQ</f>
        <v>37.573356013743435</v>
      </c>
      <c r="AQ960" s="45"/>
      <c r="AR960" s="74"/>
      <c r="AS960" s="53">
        <f>P_2_minQ+(AS957^2*R_dn)-dpdn_minQ</f>
        <v>41.387059200269121</v>
      </c>
      <c r="AT960" s="45"/>
      <c r="AU960" s="74"/>
    </row>
    <row r="961" spans="15:47" x14ac:dyDescent="0.25">
      <c r="O961" s="6" t="s">
        <v>243</v>
      </c>
      <c r="Q961" s="60"/>
      <c r="R961" s="53">
        <f>R959-R960</f>
        <v>32.258649477200905</v>
      </c>
      <c r="S961" s="56"/>
      <c r="T961" s="72"/>
      <c r="U961" s="64">
        <f>U959-U960</f>
        <v>32.0871947125313</v>
      </c>
      <c r="V961" s="44"/>
      <c r="W961" s="72"/>
      <c r="X961" s="64">
        <f>X959-X960</f>
        <v>31.267313457999734</v>
      </c>
      <c r="Y961" s="44"/>
      <c r="Z961" s="72"/>
      <c r="AA961" s="64">
        <f>AA959-AA960</f>
        <v>28.6426440711104</v>
      </c>
      <c r="AB961" s="44"/>
      <c r="AC961" s="72"/>
      <c r="AD961" s="64">
        <f>AD959-AD960</f>
        <v>22.476796563956317</v>
      </c>
      <c r="AE961" s="44"/>
      <c r="AF961" s="72"/>
      <c r="AG961" s="64">
        <f>AG959-AG960</f>
        <v>10.57418836974071</v>
      </c>
      <c r="AH961" s="44"/>
      <c r="AI961" s="72"/>
      <c r="AJ961" s="64">
        <f>AJ959-AJ960</f>
        <v>-6.3597843341687579</v>
      </c>
      <c r="AK961" s="44"/>
      <c r="AL961" s="72"/>
      <c r="AM961" s="64">
        <f>AM959-AM960</f>
        <v>-25.239289206488085</v>
      </c>
      <c r="AN961" s="44"/>
      <c r="AO961" s="72"/>
      <c r="AP961" s="64">
        <f>AP959-AP960</f>
        <v>-45.240136082460587</v>
      </c>
      <c r="AQ961" s="44"/>
      <c r="AR961" s="72"/>
      <c r="AS961" s="64">
        <f>AS959-AS960</f>
        <v>-68.12235520161471</v>
      </c>
      <c r="AT961" s="44"/>
      <c r="AU961" s="72"/>
    </row>
    <row r="962" spans="15:47" ht="13" x14ac:dyDescent="0.3">
      <c r="O962" s="6" t="s">
        <v>75</v>
      </c>
      <c r="P962" s="6">
        <v>3</v>
      </c>
      <c r="Q962" s="65"/>
      <c r="R962" s="85">
        <f>(F_LP_h/F_P_h)^2*(R959-('Valve Sizing'!$V$4*'Valve Sizing'!$G$7))</f>
        <v>46.764664784039283</v>
      </c>
      <c r="S962" s="58"/>
      <c r="T962" s="73"/>
      <c r="U962" s="53">
        <f>(U$29/U$27)^2*(U959-('Valve Sizing'!$V$4*'Valve Sizing'!$G$7))</f>
        <v>46.633639627764126</v>
      </c>
      <c r="V962" s="41"/>
      <c r="W962" s="73"/>
      <c r="X962" s="53">
        <f>(X$29/X$27)^2*(X959-('Valve Sizing'!$V$4*'Valve Sizing'!$G$7))</f>
        <v>45.02888629141799</v>
      </c>
      <c r="Y962" s="41"/>
      <c r="Z962" s="73"/>
      <c r="AA962" s="53">
        <f>(AA$29/AA$27)^2*(AA959-('Valve Sizing'!$V$4*'Valve Sizing'!$G$7))</f>
        <v>41.315397662810284</v>
      </c>
      <c r="AB962" s="41"/>
      <c r="AC962" s="73"/>
      <c r="AD962" s="53">
        <f>(AD$29/AD$27)^2*(AD959-('Valve Sizing'!$V$4*'Valve Sizing'!$G$7))</f>
        <v>34.850616609204231</v>
      </c>
      <c r="AE962" s="41"/>
      <c r="AF962" s="73"/>
      <c r="AG962" s="53">
        <f>(AG$29/AG$27)^2*(AG959-('Valve Sizing'!$V$4*'Valve Sizing'!$G$7))</f>
        <v>24.734571902502285</v>
      </c>
      <c r="AH962" s="41"/>
      <c r="AI962" s="73"/>
      <c r="AJ962" s="53">
        <f>(AJ$29/AJ$27)^2*(AJ959-('Valve Sizing'!$V$4*'Valve Sizing'!$G$7))</f>
        <v>14.050468177042934</v>
      </c>
      <c r="AK962" s="41"/>
      <c r="AL962" s="73"/>
      <c r="AM962" s="53">
        <f>(AM$29/AM$27)^2*(AM959-('Valve Sizing'!$V$4*'Valve Sizing'!$G$7))</f>
        <v>4.0959774174716479</v>
      </c>
      <c r="AN962" s="41"/>
      <c r="AO962" s="73"/>
      <c r="AP962" s="53">
        <f>(AP$29/AP$27)^2*(AP959-('Valve Sizing'!$V$4*'Valve Sizing'!$G$7))</f>
        <v>-3.1991756563288201</v>
      </c>
      <c r="AQ962" s="41"/>
      <c r="AR962" s="73"/>
      <c r="AS962" s="53">
        <f>(AS$29/AS$27)^2*(AS959-('Valve Sizing'!$V$4*'Valve Sizing'!$G$7))</f>
        <v>-10.221759109600834</v>
      </c>
      <c r="AT962" s="41"/>
      <c r="AU962" s="73"/>
    </row>
    <row r="963" spans="15:47" ht="13" x14ac:dyDescent="0.25">
      <c r="O963" s="1" t="s">
        <v>69</v>
      </c>
      <c r="P963" s="17">
        <v>7</v>
      </c>
      <c r="Q963" s="65"/>
      <c r="R963" s="53">
        <f>(R957/(N_1*F_P_h))*SQRT('Valve Sizing'!$G$6/R961)</f>
        <v>0.74343816618350522</v>
      </c>
      <c r="S963" s="58"/>
      <c r="T963" s="73"/>
      <c r="U963" s="64">
        <f>(U957/(N_1*U$27))*SQRT('Valve Sizing'!$G$6/U961)</f>
        <v>11.516382939114433</v>
      </c>
      <c r="V963" s="41"/>
      <c r="W963" s="73"/>
      <c r="X963" s="64">
        <f>(X957/(N_1*X$27))*SQRT('Valve Sizing'!$G$6/X961)</f>
        <v>28.066756618342492</v>
      </c>
      <c r="Y963" s="41"/>
      <c r="Z963" s="73"/>
      <c r="AA963" s="64">
        <f>(AA957/(N_1*AA$27))*SQRT('Valve Sizing'!$G$6/AA961)</f>
        <v>56.313378087265072</v>
      </c>
      <c r="AB963" s="41"/>
      <c r="AC963" s="73"/>
      <c r="AD963" s="64">
        <f>(AD957/(N_1*AD$27))*SQRT('Valve Sizing'!$G$6/AD961)</f>
        <v>105.86315132030725</v>
      </c>
      <c r="AE963" s="41"/>
      <c r="AF963" s="73"/>
      <c r="AG963" s="64">
        <f>(AG957/(N_1*AG$27))*SQRT('Valve Sizing'!$G$6/AG961)</f>
        <v>234.92360916256251</v>
      </c>
      <c r="AH963" s="41"/>
      <c r="AI963" s="73"/>
      <c r="AJ963" s="64" t="e">
        <f>(AJ957/(N_1*AJ$27))*SQRT('Valve Sizing'!$G$6/AJ961)</f>
        <v>#NUM!</v>
      </c>
      <c r="AK963" s="41"/>
      <c r="AL963" s="73"/>
      <c r="AM963" s="64" t="e">
        <f>(AM957/(N_1*AM$27))*SQRT('Valve Sizing'!$G$6/AM961)</f>
        <v>#NUM!</v>
      </c>
      <c r="AN963" s="41"/>
      <c r="AO963" s="73"/>
      <c r="AP963" s="64" t="e">
        <f>(AP957/(N_1*AP$27))*SQRT('Valve Sizing'!$G$6/AP961)</f>
        <v>#NUM!</v>
      </c>
      <c r="AQ963" s="41"/>
      <c r="AR963" s="73"/>
      <c r="AS963" s="64" t="e">
        <f>(AS957/(N_1*AS$27))*SQRT('Valve Sizing'!$G$6/AS961)</f>
        <v>#NUM!</v>
      </c>
      <c r="AT963" s="41"/>
      <c r="AU963" s="73"/>
    </row>
    <row r="964" spans="15:47" ht="13" x14ac:dyDescent="0.3">
      <c r="O964" s="1" t="s">
        <v>72</v>
      </c>
      <c r="P964" s="17">
        <v>7</v>
      </c>
      <c r="Q964" s="65"/>
      <c r="R964" s="53">
        <f>(R957/(N_1*F_P_h))*SQRT('Valve Sizing'!$G$6/R962)</f>
        <v>0.61746028754267435</v>
      </c>
      <c r="S964" s="56"/>
      <c r="T964" s="72"/>
      <c r="U964" s="85">
        <f>(U957/(N_1*U$27))*SQRT('Valve Sizing'!$G$6/U962)</f>
        <v>9.5528358722933362</v>
      </c>
      <c r="V964" s="44"/>
      <c r="W964" s="72"/>
      <c r="X964" s="85">
        <f>(X957/(N_1*X$27))*SQRT('Valve Sizing'!$G$6/X962)</f>
        <v>23.387936693272106</v>
      </c>
      <c r="Y964" s="44"/>
      <c r="Z964" s="72"/>
      <c r="AA964" s="85">
        <f>(AA957/(N_1*AA$27))*SQRT('Valve Sizing'!$G$6/AA962)</f>
        <v>46.888049276364384</v>
      </c>
      <c r="AB964" s="44"/>
      <c r="AC964" s="72"/>
      <c r="AD964" s="85">
        <f>(AD957/(N_1*AD$27))*SQRT('Valve Sizing'!$G$6/AD962)</f>
        <v>85.017198917888663</v>
      </c>
      <c r="AE964" s="44"/>
      <c r="AF964" s="72"/>
      <c r="AG964" s="85">
        <f>(AG957/(N_1*AG$27))*SQRT('Valve Sizing'!$G$6/AG962)</f>
        <v>153.60239474184436</v>
      </c>
      <c r="AH964" s="44"/>
      <c r="AI964" s="72"/>
      <c r="AJ964" s="85">
        <f>(AJ957/(N_1*AJ$27))*SQRT('Valve Sizing'!$G$6/AJ962)</f>
        <v>281.85761397985783</v>
      </c>
      <c r="AK964" s="44"/>
      <c r="AL964" s="72"/>
      <c r="AM964" s="85">
        <f>(AM957/(N_1*AM$27))*SQRT('Valve Sizing'!$G$6/AM962)</f>
        <v>675.8379273667681</v>
      </c>
      <c r="AN964" s="44"/>
      <c r="AO964" s="72"/>
      <c r="AP964" s="85" t="e">
        <f>(AP957/(N_1*AP$27))*SQRT('Valve Sizing'!$G$6/AP962)</f>
        <v>#NUM!</v>
      </c>
      <c r="AQ964" s="44"/>
      <c r="AR964" s="72"/>
      <c r="AS964" s="85" t="e">
        <f>(AS957/(N_1*AS$27))*SQRT('Valve Sizing'!$G$6/AS962)</f>
        <v>#NUM!</v>
      </c>
      <c r="AT964" s="44"/>
      <c r="AU964" s="72"/>
    </row>
    <row r="965" spans="15:47" x14ac:dyDescent="0.25">
      <c r="O965" s="1" t="s">
        <v>246</v>
      </c>
      <c r="P965" s="18"/>
      <c r="Q965" s="65"/>
      <c r="R965" s="53">
        <f>IF(R961&lt;R962,R963,R964)</f>
        <v>0.74343816618350522</v>
      </c>
      <c r="S965" s="49"/>
      <c r="T965" s="72"/>
      <c r="U965" s="64">
        <f>IF(U961&lt;U962,U963,U964)</f>
        <v>11.516382939114433</v>
      </c>
      <c r="V965" s="44"/>
      <c r="W965" s="72"/>
      <c r="X965" s="64">
        <f>IF(X961&lt;X962,X963,X964)</f>
        <v>28.066756618342492</v>
      </c>
      <c r="Y965" s="44"/>
      <c r="Z965" s="72"/>
      <c r="AA965" s="64">
        <f>IF(AA961&lt;AA962,AA963,AA964)</f>
        <v>56.313378087265072</v>
      </c>
      <c r="AB965" s="44"/>
      <c r="AC965" s="72"/>
      <c r="AD965" s="64">
        <f>IF(AD961&lt;AD962,AD963,AD964)</f>
        <v>105.86315132030725</v>
      </c>
      <c r="AE965" s="44"/>
      <c r="AF965" s="72"/>
      <c r="AG965" s="64">
        <f>IF(AG961&lt;AG962,AG963,AG964)</f>
        <v>234.92360916256251</v>
      </c>
      <c r="AH965" s="44"/>
      <c r="AI965" s="72"/>
      <c r="AJ965" s="64" t="e">
        <f>IF(AJ961&lt;AJ962,AJ963,AJ964)</f>
        <v>#NUM!</v>
      </c>
      <c r="AK965" s="44"/>
      <c r="AL965" s="72"/>
      <c r="AM965" s="64" t="e">
        <f>IF(AM961&lt;AM962,AM963,AM964)</f>
        <v>#NUM!</v>
      </c>
      <c r="AN965" s="44"/>
      <c r="AO965" s="72"/>
      <c r="AP965" s="64" t="e">
        <f>IF(AP961&lt;AP962,AP963,AP964)</f>
        <v>#NUM!</v>
      </c>
      <c r="AQ965" s="44"/>
      <c r="AR965" s="72"/>
      <c r="AS965" s="64" t="e">
        <f>IF(AS961&lt;AS962,AS963,AS964)</f>
        <v>#NUM!</v>
      </c>
      <c r="AT965" s="44"/>
      <c r="AU965" s="72"/>
    </row>
    <row r="966" spans="15:47" ht="13" x14ac:dyDescent="0.3">
      <c r="O966" s="7" t="s">
        <v>264</v>
      </c>
      <c r="Q966" s="61"/>
      <c r="R966" s="53"/>
      <c r="S966" s="69">
        <f>IFERROR(ABS(C_h-R965),Q_max*10)</f>
        <v>4.2565618338164946</v>
      </c>
      <c r="T966" s="76">
        <f>R957</f>
        <v>4.2218657093456002</v>
      </c>
      <c r="U966" s="61"/>
      <c r="V966" s="69">
        <f>IFERROR(ABS(U$23-U965),Q_max*10)</f>
        <v>0.48361706088556744</v>
      </c>
      <c r="W966" s="75">
        <f>U957</f>
        <v>65.180292023665132</v>
      </c>
      <c r="X966" s="61"/>
      <c r="Y966" s="69">
        <f>IFERROR(ABS(X$23-X965),Q_max*10)</f>
        <v>5.0667566183424917</v>
      </c>
      <c r="Z966" s="75">
        <f>X957</f>
        <v>156.45779118936989</v>
      </c>
      <c r="AA966" s="61"/>
      <c r="AB966" s="69">
        <f>IFERROR(ABS(AA$23-AA965),Q_max*10)</f>
        <v>17.313378087265072</v>
      </c>
      <c r="AC966" s="75">
        <f>AA957</f>
        <v>298.73526331076306</v>
      </c>
      <c r="AD966" s="61"/>
      <c r="AE966" s="69">
        <f>IFERROR(ABS(AD$23-AD965),Q_max*10)</f>
        <v>44.863151320307253</v>
      </c>
      <c r="AF966" s="75">
        <f>AD957</f>
        <v>491.30952034779233</v>
      </c>
      <c r="AG966" s="61"/>
      <c r="AH966" s="69">
        <f>IFERROR(ABS(AG$23-AG965),Q_max*10)</f>
        <v>146.92360916256251</v>
      </c>
      <c r="AI966" s="75">
        <f>AG957</f>
        <v>731.49292681245254</v>
      </c>
      <c r="AJ966" s="61"/>
      <c r="AK966" s="69">
        <f>IFERROR(ABS(AJ$23-AJ965),Q_max*10)</f>
        <v>5500</v>
      </c>
      <c r="AL966" s="75">
        <f>AJ957</f>
        <v>976.18014651272949</v>
      </c>
      <c r="AM966" s="61"/>
      <c r="AN966" s="69">
        <f>IFERROR(ABS(AM$23-AM965),Q_max*10)</f>
        <v>5500</v>
      </c>
      <c r="AO966" s="75">
        <f>AM957</f>
        <v>1191.1252919697799</v>
      </c>
      <c r="AP966" s="61"/>
      <c r="AQ966" s="69">
        <f>IFERROR(ABS(AP$23-AP965),Q_max*10)</f>
        <v>5500</v>
      </c>
      <c r="AR966" s="75">
        <f>AP957</f>
        <v>1382.8594859329398</v>
      </c>
      <c r="AS966" s="61"/>
      <c r="AT966" s="69">
        <f>IFERROR(ABS(AS$23-AS965),Q_max*10)</f>
        <v>5500</v>
      </c>
      <c r="AU966" s="75">
        <f>AS957</f>
        <v>1573.8230887237114</v>
      </c>
    </row>
    <row r="967" spans="15:47" ht="14.5" x14ac:dyDescent="0.35">
      <c r="O967" s="8"/>
      <c r="P967" s="6"/>
      <c r="Q967" s="60"/>
      <c r="R967" s="67"/>
      <c r="S967" s="58"/>
      <c r="T967" s="73"/>
      <c r="V967" s="11"/>
      <c r="W967" s="38"/>
      <c r="Y967" s="11"/>
      <c r="Z967" s="38"/>
      <c r="AB967" s="11"/>
      <c r="AC967" s="38"/>
      <c r="AE967" s="11"/>
      <c r="AF967" s="38"/>
      <c r="AH967" s="11"/>
      <c r="AI967" s="38"/>
      <c r="AK967" s="11"/>
      <c r="AL967" s="38"/>
      <c r="AN967" s="11"/>
      <c r="AO967" s="38"/>
      <c r="AQ967" s="11"/>
      <c r="AR967" s="38"/>
      <c r="AT967" s="11"/>
      <c r="AU967" s="38"/>
    </row>
    <row r="968" spans="15:47" ht="14" x14ac:dyDescent="0.3">
      <c r="O968" s="8" t="s">
        <v>235</v>
      </c>
      <c r="P968" s="6"/>
      <c r="Q968" s="60"/>
      <c r="R968" s="53">
        <f>R957*1.02</f>
        <v>4.3063030235325126</v>
      </c>
      <c r="S968" s="58" t="s">
        <v>238</v>
      </c>
      <c r="T968" s="73" t="s">
        <v>241</v>
      </c>
      <c r="U968" s="84">
        <f>U957*1.01</f>
        <v>65.83209494390178</v>
      </c>
      <c r="V968" s="58" t="s">
        <v>238</v>
      </c>
      <c r="W968" s="73" t="s">
        <v>241</v>
      </c>
      <c r="X968" s="84">
        <f>X957*1.01</f>
        <v>158.02236910126359</v>
      </c>
      <c r="Y968" s="58" t="s">
        <v>238</v>
      </c>
      <c r="Z968" s="73" t="s">
        <v>241</v>
      </c>
      <c r="AA968" s="84">
        <f>AA957*1.01</f>
        <v>301.72261594387066</v>
      </c>
      <c r="AB968" s="58" t="s">
        <v>238</v>
      </c>
      <c r="AC968" s="73" t="s">
        <v>241</v>
      </c>
      <c r="AD968" s="84">
        <f>AD957*1.01</f>
        <v>496.22261555127028</v>
      </c>
      <c r="AE968" s="58" t="s">
        <v>238</v>
      </c>
      <c r="AF968" s="73" t="s">
        <v>241</v>
      </c>
      <c r="AG968" s="84">
        <f>AG957*1.01</f>
        <v>738.80785608057704</v>
      </c>
      <c r="AH968" s="58" t="s">
        <v>238</v>
      </c>
      <c r="AI968" s="73" t="s">
        <v>241</v>
      </c>
      <c r="AJ968" s="84">
        <f>AJ957*1.01</f>
        <v>985.94194797785678</v>
      </c>
      <c r="AK968" s="58" t="s">
        <v>238</v>
      </c>
      <c r="AL968" s="73" t="s">
        <v>241</v>
      </c>
      <c r="AM968" s="84">
        <f>AM957*1.01</f>
        <v>1203.0365448894777</v>
      </c>
      <c r="AN968" s="58" t="s">
        <v>238</v>
      </c>
      <c r="AO968" s="73" t="s">
        <v>241</v>
      </c>
      <c r="AP968" s="84">
        <f>AP957*1.01</f>
        <v>1396.6880807922691</v>
      </c>
      <c r="AQ968" s="58" t="s">
        <v>238</v>
      </c>
      <c r="AR968" s="73" t="s">
        <v>241</v>
      </c>
      <c r="AS968" s="84">
        <f>AS957*1.01</f>
        <v>1589.5613196109484</v>
      </c>
      <c r="AT968" s="58" t="s">
        <v>238</v>
      </c>
      <c r="AU968" s="73" t="s">
        <v>241</v>
      </c>
    </row>
    <row r="969" spans="15:47" ht="13" x14ac:dyDescent="0.25">
      <c r="O969" s="6"/>
      <c r="P969" s="6"/>
      <c r="Q969" s="60"/>
      <c r="R969" s="70"/>
      <c r="S969" s="63" t="s">
        <v>250</v>
      </c>
      <c r="T969" s="71" t="s">
        <v>242</v>
      </c>
      <c r="U969" s="61"/>
      <c r="V969" s="63" t="s">
        <v>250</v>
      </c>
      <c r="W969" s="71" t="s">
        <v>242</v>
      </c>
      <c r="X969" s="61"/>
      <c r="Y969" s="63" t="s">
        <v>250</v>
      </c>
      <c r="Z969" s="71" t="s">
        <v>242</v>
      </c>
      <c r="AA969" s="61"/>
      <c r="AB969" s="63" t="s">
        <v>250</v>
      </c>
      <c r="AC969" s="71" t="s">
        <v>242</v>
      </c>
      <c r="AD969" s="61"/>
      <c r="AE969" s="63" t="s">
        <v>250</v>
      </c>
      <c r="AF969" s="71" t="s">
        <v>242</v>
      </c>
      <c r="AG969" s="61"/>
      <c r="AH969" s="63" t="s">
        <v>250</v>
      </c>
      <c r="AI969" s="71" t="s">
        <v>242</v>
      </c>
      <c r="AJ969" s="61"/>
      <c r="AK969" s="63" t="s">
        <v>250</v>
      </c>
      <c r="AL969" s="71" t="s">
        <v>242</v>
      </c>
      <c r="AM969" s="61"/>
      <c r="AN969" s="63" t="s">
        <v>250</v>
      </c>
      <c r="AO969" s="71" t="s">
        <v>242</v>
      </c>
      <c r="AP969" s="61"/>
      <c r="AQ969" s="63" t="s">
        <v>250</v>
      </c>
      <c r="AR969" s="71" t="s">
        <v>242</v>
      </c>
      <c r="AS969" s="61"/>
      <c r="AT969" s="63" t="s">
        <v>250</v>
      </c>
      <c r="AU969" s="71" t="s">
        <v>242</v>
      </c>
    </row>
    <row r="970" spans="15:47" ht="13" x14ac:dyDescent="0.3">
      <c r="O970" s="6" t="s">
        <v>231</v>
      </c>
      <c r="P970" s="6"/>
      <c r="Q970" s="60"/>
      <c r="R970" s="85">
        <f>P_1_minQ-(R968^2*R_up)+dpup_minQ</f>
        <v>56.915516911660575</v>
      </c>
      <c r="S970" s="56"/>
      <c r="T970" s="72"/>
      <c r="U970" s="53">
        <f>P_1_minQ-(U968^2*R_up)+dpup_minQ</f>
        <v>56.769778293660828</v>
      </c>
      <c r="V970" s="44"/>
      <c r="W970" s="72"/>
      <c r="X970" s="53">
        <f>P_1_minQ-(X968^2*R_up)+dpup_minQ</f>
        <v>56.072810903871122</v>
      </c>
      <c r="Y970" s="44"/>
      <c r="Z970" s="72"/>
      <c r="AA970" s="53">
        <f>P_1_minQ-(AA968^2*R_up)+dpup_minQ</f>
        <v>53.841623202566282</v>
      </c>
      <c r="AB970" s="44"/>
      <c r="AC970" s="72"/>
      <c r="AD970" s="53">
        <f>P_1_minQ-(AD968^2*R_up)+dpup_minQ</f>
        <v>48.60013900085972</v>
      </c>
      <c r="AE970" s="44"/>
      <c r="AF970" s="72"/>
      <c r="AG970" s="53">
        <f>P_1_minQ-(AG968^2*R_up)+dpup_minQ</f>
        <v>38.48193015176026</v>
      </c>
      <c r="AH970" s="44"/>
      <c r="AI970" s="72"/>
      <c r="AJ970" s="53">
        <f>P_1_minQ-(AJ968^2*R_up)+dpup_minQ</f>
        <v>24.086642189045225</v>
      </c>
      <c r="AK970" s="44"/>
      <c r="AL970" s="72"/>
      <c r="AM970" s="53">
        <f>P_1_minQ-(AM968^2*R_up)+dpup_minQ</f>
        <v>8.0374897555011096</v>
      </c>
      <c r="AN970" s="44"/>
      <c r="AO970" s="72"/>
      <c r="AP970" s="53">
        <f>P_1_minQ-(AP968^2*R_up)+dpup_minQ</f>
        <v>-8.9648968263151723</v>
      </c>
      <c r="AQ970" s="44"/>
      <c r="AR970" s="72"/>
      <c r="AS970" s="53">
        <f>P_1_minQ-(AS968^2*R_up)+dpup_minQ</f>
        <v>-28.416689929189463</v>
      </c>
      <c r="AT970" s="44"/>
      <c r="AU970" s="72"/>
    </row>
    <row r="971" spans="15:47" ht="13" x14ac:dyDescent="0.3">
      <c r="O971" s="6" t="s">
        <v>233</v>
      </c>
      <c r="P971" s="6"/>
      <c r="Q971" s="60"/>
      <c r="R971" s="85">
        <f>P_2_minQ+(R968^2*R_dn)-dpdn_minQ</f>
        <v>24.656896617667886</v>
      </c>
      <c r="S971" s="66"/>
      <c r="T971" s="74"/>
      <c r="U971" s="53">
        <f>P_2_minQ+(U968^2*R_dn)-dpdn_minQ</f>
        <v>24.686044341267834</v>
      </c>
      <c r="V971" s="45"/>
      <c r="W971" s="74"/>
      <c r="X971" s="53">
        <f>P_2_minQ+(X968^2*R_dn)-dpdn_minQ</f>
        <v>24.825437819225776</v>
      </c>
      <c r="Y971" s="45"/>
      <c r="Z971" s="74"/>
      <c r="AA971" s="53">
        <f>P_2_minQ+(AA968^2*R_dn)-dpdn_minQ</f>
        <v>25.271675359486746</v>
      </c>
      <c r="AB971" s="45"/>
      <c r="AC971" s="74"/>
      <c r="AD971" s="53">
        <f>P_2_minQ+(AD968^2*R_dn)-dpdn_minQ</f>
        <v>26.319972199828058</v>
      </c>
      <c r="AE971" s="45"/>
      <c r="AF971" s="74"/>
      <c r="AG971" s="53">
        <f>P_2_minQ+(AG968^2*R_dn)-dpdn_minQ</f>
        <v>28.343613969647947</v>
      </c>
      <c r="AH971" s="45"/>
      <c r="AI971" s="74"/>
      <c r="AJ971" s="53">
        <f>P_2_minQ+(AJ968^2*R_dn)-dpdn_minQ</f>
        <v>31.222671562190957</v>
      </c>
      <c r="AK971" s="45"/>
      <c r="AL971" s="74"/>
      <c r="AM971" s="53">
        <f>P_2_minQ+(AM968^2*R_dn)-dpdn_minQ</f>
        <v>34.432502048899785</v>
      </c>
      <c r="AN971" s="45"/>
      <c r="AO971" s="74"/>
      <c r="AP971" s="53">
        <f>P_2_minQ+(AP968^2*R_dn)-dpdn_minQ</f>
        <v>37.832979365263043</v>
      </c>
      <c r="AQ971" s="45"/>
      <c r="AR971" s="74"/>
      <c r="AS971" s="53">
        <f>P_2_minQ+(AS968^2*R_dn)-dpdn_minQ</f>
        <v>41.723337985837894</v>
      </c>
      <c r="AT971" s="45"/>
      <c r="AU971" s="74"/>
    </row>
    <row r="972" spans="15:47" x14ac:dyDescent="0.25">
      <c r="O972" s="6" t="s">
        <v>243</v>
      </c>
      <c r="Q972" s="60"/>
      <c r="R972" s="53">
        <f>R970-R971</f>
        <v>32.258620293992692</v>
      </c>
      <c r="S972" s="56"/>
      <c r="T972" s="72"/>
      <c r="U972" s="64">
        <f>U970-U971</f>
        <v>32.08373395239299</v>
      </c>
      <c r="V972" s="44"/>
      <c r="W972" s="72"/>
      <c r="X972" s="64">
        <f>X970-X971</f>
        <v>31.247373084645346</v>
      </c>
      <c r="Y972" s="44"/>
      <c r="Z972" s="72"/>
      <c r="AA972" s="64">
        <f>AA970-AA971</f>
        <v>28.569947843079536</v>
      </c>
      <c r="AB972" s="44"/>
      <c r="AC972" s="72"/>
      <c r="AD972" s="64">
        <f>AD970-AD971</f>
        <v>22.280166801031662</v>
      </c>
      <c r="AE972" s="44"/>
      <c r="AF972" s="72"/>
      <c r="AG972" s="64">
        <f>AG970-AG971</f>
        <v>10.138316182112312</v>
      </c>
      <c r="AH972" s="44"/>
      <c r="AI972" s="72"/>
      <c r="AJ972" s="64">
        <f>AJ970-AJ971</f>
        <v>-7.1360293731457318</v>
      </c>
      <c r="AK972" s="44"/>
      <c r="AL972" s="72"/>
      <c r="AM972" s="64">
        <f>AM970-AM971</f>
        <v>-26.395012293398675</v>
      </c>
      <c r="AN972" s="44"/>
      <c r="AO972" s="72"/>
      <c r="AP972" s="64">
        <f>AP970-AP971</f>
        <v>-46.797876191578212</v>
      </c>
      <c r="AQ972" s="44"/>
      <c r="AR972" s="72"/>
      <c r="AS972" s="64">
        <f>AS970-AS971</f>
        <v>-70.14002791502736</v>
      </c>
      <c r="AT972" s="44"/>
      <c r="AU972" s="72"/>
    </row>
    <row r="973" spans="15:47" ht="13" x14ac:dyDescent="0.3">
      <c r="O973" s="6" t="s">
        <v>75</v>
      </c>
      <c r="P973" s="6">
        <v>3</v>
      </c>
      <c r="Q973" s="65"/>
      <c r="R973" s="85">
        <f>(F_LP_h/F_P_h)^2*(R970-('Valve Sizing'!$V$4*'Valve Sizing'!$G$7))</f>
        <v>46.764644646349097</v>
      </c>
      <c r="S973" s="58"/>
      <c r="T973" s="73"/>
      <c r="U973" s="53">
        <f>(U$29/U$27)^2*(U970-('Valve Sizing'!$V$4*'Valve Sizing'!$G$7))</f>
        <v>46.631252202780281</v>
      </c>
      <c r="V973" s="41"/>
      <c r="W973" s="73"/>
      <c r="X973" s="53">
        <f>(X$29/X$27)^2*(X970-('Valve Sizing'!$V$4*'Valve Sizing'!$G$7))</f>
        <v>45.015440604597231</v>
      </c>
      <c r="Y973" s="41"/>
      <c r="Z973" s="73"/>
      <c r="AA973" s="53">
        <f>(AA$29/AA$27)^2*(AA970-('Valve Sizing'!$V$4*'Valve Sizing'!$G$7))</f>
        <v>41.268581460289354</v>
      </c>
      <c r="AB973" s="41"/>
      <c r="AC973" s="73"/>
      <c r="AD973" s="53">
        <f>(AD$29/AD$27)^2*(AD970-('Valve Sizing'!$V$4*'Valve Sizing'!$G$7))</f>
        <v>34.732444185123228</v>
      </c>
      <c r="AE973" s="41"/>
      <c r="AF973" s="73"/>
      <c r="AG973" s="53">
        <f>(AG$29/AG$27)^2*(AG970-('Valve Sizing'!$V$4*'Valve Sizing'!$G$7))</f>
        <v>24.500637864226437</v>
      </c>
      <c r="AH973" s="41"/>
      <c r="AI973" s="73"/>
      <c r="AJ973" s="53">
        <f>(AJ$29/AJ$27)^2*(AJ970-('Valve Sizing'!$V$4*'Valve Sizing'!$G$7))</f>
        <v>13.676341138694442</v>
      </c>
      <c r="AK973" s="41"/>
      <c r="AL973" s="73"/>
      <c r="AM973" s="53">
        <f>(AM$29/AM$27)^2*(AM970-('Valve Sizing'!$V$4*'Valve Sizing'!$G$7))</f>
        <v>3.6351596596425115</v>
      </c>
      <c r="AN973" s="41"/>
      <c r="AO973" s="73"/>
      <c r="AP973" s="53">
        <f>(AP$29/AP$27)^2*(AP970-('Valve Sizing'!$V$4*'Valve Sizing'!$G$7))</f>
        <v>-3.7114473539205002</v>
      </c>
      <c r="AQ973" s="41"/>
      <c r="AR973" s="73"/>
      <c r="AS973" s="53">
        <f>(AS$29/AS$27)^2*(AS970-('Valve Sizing'!$V$4*'Valve Sizing'!$G$7))</f>
        <v>-10.854199956821368</v>
      </c>
      <c r="AT973" s="41"/>
      <c r="AU973" s="73"/>
    </row>
    <row r="974" spans="15:47" ht="13" x14ac:dyDescent="0.25">
      <c r="O974" s="1" t="s">
        <v>69</v>
      </c>
      <c r="P974" s="17">
        <v>7</v>
      </c>
      <c r="Q974" s="65"/>
      <c r="R974" s="53">
        <f>(R968/(N_1*F_P_h))*SQRT('Valve Sizing'!$G$6/R972)</f>
        <v>0.7583072725135378</v>
      </c>
      <c r="S974" s="58"/>
      <c r="T974" s="73"/>
      <c r="U974" s="64">
        <f>(U968/(N_1*U$27))*SQRT('Valve Sizing'!$G$6/U972)</f>
        <v>11.632174078718396</v>
      </c>
      <c r="V974" s="41"/>
      <c r="W974" s="73"/>
      <c r="X974" s="64">
        <f>(X968/(N_1*X$27))*SQRT('Valve Sizing'!$G$6/X972)</f>
        <v>28.356467633871972</v>
      </c>
      <c r="Y974" s="41"/>
      <c r="Z974" s="73"/>
      <c r="AA974" s="64">
        <f>(AA968/(N_1*AA$27))*SQRT('Valve Sizing'!$G$6/AA972)</f>
        <v>56.948827033869129</v>
      </c>
      <c r="AB974" s="41"/>
      <c r="AC974" s="73"/>
      <c r="AD974" s="64">
        <f>(AD968/(N_1*AD$27))*SQRT('Valve Sizing'!$G$6/AD972)</f>
        <v>107.39255629383103</v>
      </c>
      <c r="AE974" s="41"/>
      <c r="AF974" s="73"/>
      <c r="AG974" s="64">
        <f>(AG968/(N_1*AG$27))*SQRT('Valve Sizing'!$G$6/AG972)</f>
        <v>242.31965599983056</v>
      </c>
      <c r="AH974" s="41"/>
      <c r="AI974" s="73"/>
      <c r="AJ974" s="64" t="e">
        <f>(AJ968/(N_1*AJ$27))*SQRT('Valve Sizing'!$G$6/AJ972)</f>
        <v>#NUM!</v>
      </c>
      <c r="AK974" s="41"/>
      <c r="AL974" s="73"/>
      <c r="AM974" s="64" t="e">
        <f>(AM968/(N_1*AM$27))*SQRT('Valve Sizing'!$G$6/AM972)</f>
        <v>#NUM!</v>
      </c>
      <c r="AN974" s="41"/>
      <c r="AO974" s="73"/>
      <c r="AP974" s="64" t="e">
        <f>(AP968/(N_1*AP$27))*SQRT('Valve Sizing'!$G$6/AP972)</f>
        <v>#NUM!</v>
      </c>
      <c r="AQ974" s="41"/>
      <c r="AR974" s="73"/>
      <c r="AS974" s="64" t="e">
        <f>(AS968/(N_1*AS$27))*SQRT('Valve Sizing'!$G$6/AS972)</f>
        <v>#NUM!</v>
      </c>
      <c r="AT974" s="41"/>
      <c r="AU974" s="73"/>
    </row>
    <row r="975" spans="15:47" ht="13" x14ac:dyDescent="0.3">
      <c r="O975" s="1" t="s">
        <v>72</v>
      </c>
      <c r="P975" s="17">
        <v>7</v>
      </c>
      <c r="Q975" s="65"/>
      <c r="R975" s="53">
        <f>(R968/(N_1*F_P_h))*SQRT('Valve Sizing'!$G$6/R973)</f>
        <v>0.62980962889711456</v>
      </c>
      <c r="S975" s="56"/>
      <c r="T975" s="72"/>
      <c r="U975" s="85">
        <f>(U968/(N_1*U$27))*SQRT('Valve Sizing'!$G$6/U973)</f>
        <v>9.6486112161378852</v>
      </c>
      <c r="V975" s="44"/>
      <c r="W975" s="72"/>
      <c r="X975" s="85">
        <f>(X968/(N_1*X$27))*SQRT('Valve Sizing'!$G$6/X973)</f>
        <v>23.625343603457402</v>
      </c>
      <c r="Y975" s="44"/>
      <c r="Z975" s="72"/>
      <c r="AA975" s="85">
        <f>(AA968/(N_1*AA$27))*SQRT('Valve Sizing'!$G$6/AA973)</f>
        <v>47.383783650654934</v>
      </c>
      <c r="AB975" s="44"/>
      <c r="AC975" s="72"/>
      <c r="AD975" s="85">
        <f>(AD968/(N_1*AD$27))*SQRT('Valve Sizing'!$G$6/AD973)</f>
        <v>86.013322900654643</v>
      </c>
      <c r="AE975" s="44"/>
      <c r="AF975" s="72"/>
      <c r="AG975" s="85">
        <f>(AG968/(N_1*AG$27))*SQRT('Valve Sizing'!$G$6/AG973)</f>
        <v>155.87729614218151</v>
      </c>
      <c r="AH975" s="44"/>
      <c r="AI975" s="72"/>
      <c r="AJ975" s="85">
        <f>(AJ968/(N_1*AJ$27))*SQRT('Valve Sizing'!$G$6/AJ973)</f>
        <v>288.54368918459244</v>
      </c>
      <c r="AK975" s="44"/>
      <c r="AL975" s="72"/>
      <c r="AM975" s="85">
        <f>(AM968/(N_1*AM$27))*SQRT('Valve Sizing'!$G$6/AM973)</f>
        <v>724.57102964499427</v>
      </c>
      <c r="AN975" s="44"/>
      <c r="AO975" s="72"/>
      <c r="AP975" s="85" t="e">
        <f>(AP968/(N_1*AP$27))*SQRT('Valve Sizing'!$G$6/AP973)</f>
        <v>#NUM!</v>
      </c>
      <c r="AQ975" s="44"/>
      <c r="AR975" s="72"/>
      <c r="AS975" s="85" t="e">
        <f>(AS968/(N_1*AS$27))*SQRT('Valve Sizing'!$G$6/AS973)</f>
        <v>#NUM!</v>
      </c>
      <c r="AT975" s="44"/>
      <c r="AU975" s="72"/>
    </row>
    <row r="976" spans="15:47" x14ac:dyDescent="0.25">
      <c r="O976" s="1" t="s">
        <v>246</v>
      </c>
      <c r="P976" s="18"/>
      <c r="Q976" s="65"/>
      <c r="R976" s="53">
        <f>IF(R972&lt;R973,R974,R975)</f>
        <v>0.7583072725135378</v>
      </c>
      <c r="S976" s="49"/>
      <c r="T976" s="72"/>
      <c r="U976" s="64">
        <f>IF(U972&lt;U973,U974,U975)</f>
        <v>11.632174078718396</v>
      </c>
      <c r="V976" s="44"/>
      <c r="W976" s="72"/>
      <c r="X976" s="64">
        <f>IF(X972&lt;X973,X974,X975)</f>
        <v>28.356467633871972</v>
      </c>
      <c r="Y976" s="44"/>
      <c r="Z976" s="72"/>
      <c r="AA976" s="64">
        <f>IF(AA972&lt;AA973,AA974,AA975)</f>
        <v>56.948827033869129</v>
      </c>
      <c r="AB976" s="44"/>
      <c r="AC976" s="72"/>
      <c r="AD976" s="64">
        <f>IF(AD972&lt;AD973,AD974,AD975)</f>
        <v>107.39255629383103</v>
      </c>
      <c r="AE976" s="44"/>
      <c r="AF976" s="72"/>
      <c r="AG976" s="64">
        <f>IF(AG972&lt;AG973,AG974,AG975)</f>
        <v>242.31965599983056</v>
      </c>
      <c r="AH976" s="44"/>
      <c r="AI976" s="72"/>
      <c r="AJ976" s="64" t="e">
        <f>IF(AJ972&lt;AJ973,AJ974,AJ975)</f>
        <v>#NUM!</v>
      </c>
      <c r="AK976" s="44"/>
      <c r="AL976" s="72"/>
      <c r="AM976" s="64" t="e">
        <f>IF(AM972&lt;AM973,AM974,AM975)</f>
        <v>#NUM!</v>
      </c>
      <c r="AN976" s="44"/>
      <c r="AO976" s="72"/>
      <c r="AP976" s="64" t="e">
        <f>IF(AP972&lt;AP973,AP974,AP975)</f>
        <v>#NUM!</v>
      </c>
      <c r="AQ976" s="44"/>
      <c r="AR976" s="72"/>
      <c r="AS976" s="64" t="e">
        <f>IF(AS972&lt;AS973,AS974,AS975)</f>
        <v>#NUM!</v>
      </c>
      <c r="AT976" s="44"/>
      <c r="AU976" s="72"/>
    </row>
    <row r="977" spans="15:47" ht="13" x14ac:dyDescent="0.3">
      <c r="O977" s="7" t="s">
        <v>264</v>
      </c>
      <c r="Q977" s="61"/>
      <c r="R977" s="53"/>
      <c r="S977" s="69">
        <f>IFERROR(ABS(C_h-R976),Q_max*10)</f>
        <v>4.2416927274864626</v>
      </c>
      <c r="T977" s="76">
        <f>R968</f>
        <v>4.3063030235325126</v>
      </c>
      <c r="U977" s="61"/>
      <c r="V977" s="69">
        <f>IFERROR(ABS(U$23-U976),Q_max*10)</f>
        <v>0.36782592128160374</v>
      </c>
      <c r="W977" s="75">
        <f>U968</f>
        <v>65.83209494390178</v>
      </c>
      <c r="X977" s="61"/>
      <c r="Y977" s="69">
        <f>IFERROR(ABS(X$23-X976),Q_max*10)</f>
        <v>5.3564676338719721</v>
      </c>
      <c r="Z977" s="75">
        <f>X968</f>
        <v>158.02236910126359</v>
      </c>
      <c r="AA977" s="61"/>
      <c r="AB977" s="69">
        <f>IFERROR(ABS(AA$23-AA976),Q_max*10)</f>
        <v>17.948827033869129</v>
      </c>
      <c r="AC977" s="75">
        <f>AA968</f>
        <v>301.72261594387066</v>
      </c>
      <c r="AD977" s="61"/>
      <c r="AE977" s="69">
        <f>IFERROR(ABS(AD$23-AD976),Q_max*10)</f>
        <v>46.392556293831035</v>
      </c>
      <c r="AF977" s="75">
        <f>AD968</f>
        <v>496.22261555127028</v>
      </c>
      <c r="AG977" s="61"/>
      <c r="AH977" s="69">
        <f>IFERROR(ABS(AG$23-AG976),Q_max*10)</f>
        <v>154.31965599983056</v>
      </c>
      <c r="AI977" s="75">
        <f>AG968</f>
        <v>738.80785608057704</v>
      </c>
      <c r="AJ977" s="61"/>
      <c r="AK977" s="69">
        <f>IFERROR(ABS(AJ$23-AJ976),Q_max*10)</f>
        <v>5500</v>
      </c>
      <c r="AL977" s="75">
        <f>AJ968</f>
        <v>985.94194797785678</v>
      </c>
      <c r="AM977" s="61"/>
      <c r="AN977" s="69">
        <f>IFERROR(ABS(AM$23-AM976),Q_max*10)</f>
        <v>5500</v>
      </c>
      <c r="AO977" s="75">
        <f>AM968</f>
        <v>1203.0365448894777</v>
      </c>
      <c r="AP977" s="61"/>
      <c r="AQ977" s="69">
        <f>IFERROR(ABS(AP$23-AP976),Q_max*10)</f>
        <v>5500</v>
      </c>
      <c r="AR977" s="75">
        <f>AP968</f>
        <v>1396.6880807922691</v>
      </c>
      <c r="AS977" s="61"/>
      <c r="AT977" s="69">
        <f>IFERROR(ABS(AS$23-AS976),Q_max*10)</f>
        <v>5500</v>
      </c>
      <c r="AU977" s="75">
        <f>AS968</f>
        <v>1589.5613196109484</v>
      </c>
    </row>
    <row r="978" spans="15:47" ht="14.5" x14ac:dyDescent="0.35">
      <c r="O978" s="6"/>
      <c r="P978" s="6"/>
      <c r="Q978" s="60"/>
      <c r="R978" s="67"/>
      <c r="S978" s="56"/>
      <c r="T978" s="72"/>
      <c r="V978" s="11"/>
      <c r="W978" s="38"/>
      <c r="Y978" s="11"/>
      <c r="Z978" s="38"/>
      <c r="AB978" s="11"/>
      <c r="AC978" s="38"/>
      <c r="AE978" s="11"/>
      <c r="AF978" s="38"/>
      <c r="AH978" s="11"/>
      <c r="AI978" s="38"/>
      <c r="AK978" s="11"/>
      <c r="AL978" s="38"/>
      <c r="AN978" s="11"/>
      <c r="AO978" s="38"/>
      <c r="AQ978" s="11"/>
      <c r="AR978" s="38"/>
      <c r="AT978" s="11"/>
      <c r="AU978" s="38"/>
    </row>
    <row r="979" spans="15:47" ht="14" x14ac:dyDescent="0.3">
      <c r="O979" s="8" t="s">
        <v>235</v>
      </c>
      <c r="P979" s="6"/>
      <c r="Q979" s="60"/>
      <c r="R979" s="53">
        <f>R968*1.02</f>
        <v>4.3924290840031626</v>
      </c>
      <c r="S979" s="58" t="s">
        <v>238</v>
      </c>
      <c r="T979" s="73" t="s">
        <v>241</v>
      </c>
      <c r="U979" s="84">
        <f>U968*1.01</f>
        <v>66.490415893340796</v>
      </c>
      <c r="V979" s="58" t="s">
        <v>238</v>
      </c>
      <c r="W979" s="73" t="s">
        <v>241</v>
      </c>
      <c r="X979" s="84">
        <f>X968*1.01</f>
        <v>159.60259279227623</v>
      </c>
      <c r="Y979" s="58" t="s">
        <v>238</v>
      </c>
      <c r="Z979" s="73" t="s">
        <v>241</v>
      </c>
      <c r="AA979" s="84">
        <f>AA968*1.01</f>
        <v>304.7398421033094</v>
      </c>
      <c r="AB979" s="58" t="s">
        <v>238</v>
      </c>
      <c r="AC979" s="73" t="s">
        <v>241</v>
      </c>
      <c r="AD979" s="84">
        <f>AD968*1.01</f>
        <v>501.184841706783</v>
      </c>
      <c r="AE979" s="58" t="s">
        <v>238</v>
      </c>
      <c r="AF979" s="73" t="s">
        <v>241</v>
      </c>
      <c r="AG979" s="84">
        <f>AG968*1.01</f>
        <v>746.19593464138279</v>
      </c>
      <c r="AH979" s="58" t="s">
        <v>238</v>
      </c>
      <c r="AI979" s="73" t="s">
        <v>241</v>
      </c>
      <c r="AJ979" s="84">
        <f>AJ968*1.01</f>
        <v>995.80136745763537</v>
      </c>
      <c r="AK979" s="58" t="s">
        <v>238</v>
      </c>
      <c r="AL979" s="73" t="s">
        <v>241</v>
      </c>
      <c r="AM979" s="84">
        <f>AM968*1.01</f>
        <v>1215.0669103383725</v>
      </c>
      <c r="AN979" s="58" t="s">
        <v>238</v>
      </c>
      <c r="AO979" s="73" t="s">
        <v>241</v>
      </c>
      <c r="AP979" s="84">
        <f>AP968*1.01</f>
        <v>1410.6549616001919</v>
      </c>
      <c r="AQ979" s="58" t="s">
        <v>238</v>
      </c>
      <c r="AR979" s="73" t="s">
        <v>241</v>
      </c>
      <c r="AS979" s="84">
        <f>AS968*1.01</f>
        <v>1605.4569328070579</v>
      </c>
      <c r="AT979" s="58" t="s">
        <v>238</v>
      </c>
      <c r="AU979" s="73" t="s">
        <v>241</v>
      </c>
    </row>
    <row r="980" spans="15:47" ht="13" x14ac:dyDescent="0.25">
      <c r="O980" s="6"/>
      <c r="P980" s="6"/>
      <c r="Q980" s="60"/>
      <c r="R980" s="70"/>
      <c r="S980" s="63" t="s">
        <v>250</v>
      </c>
      <c r="T980" s="71" t="s">
        <v>242</v>
      </c>
      <c r="U980" s="61"/>
      <c r="V980" s="63" t="s">
        <v>250</v>
      </c>
      <c r="W980" s="71" t="s">
        <v>242</v>
      </c>
      <c r="X980" s="61"/>
      <c r="Y980" s="63" t="s">
        <v>250</v>
      </c>
      <c r="Z980" s="71" t="s">
        <v>242</v>
      </c>
      <c r="AA980" s="61"/>
      <c r="AB980" s="63" t="s">
        <v>250</v>
      </c>
      <c r="AC980" s="71" t="s">
        <v>242</v>
      </c>
      <c r="AD980" s="61"/>
      <c r="AE980" s="63" t="s">
        <v>250</v>
      </c>
      <c r="AF980" s="71" t="s">
        <v>242</v>
      </c>
      <c r="AG980" s="61"/>
      <c r="AH980" s="63" t="s">
        <v>250</v>
      </c>
      <c r="AI980" s="71" t="s">
        <v>242</v>
      </c>
      <c r="AJ980" s="61"/>
      <c r="AK980" s="63" t="s">
        <v>250</v>
      </c>
      <c r="AL980" s="71" t="s">
        <v>242</v>
      </c>
      <c r="AM980" s="61"/>
      <c r="AN980" s="63" t="s">
        <v>250</v>
      </c>
      <c r="AO980" s="71" t="s">
        <v>242</v>
      </c>
      <c r="AP980" s="61"/>
      <c r="AQ980" s="63" t="s">
        <v>250</v>
      </c>
      <c r="AR980" s="71" t="s">
        <v>242</v>
      </c>
      <c r="AS980" s="61"/>
      <c r="AT980" s="63" t="s">
        <v>250</v>
      </c>
      <c r="AU980" s="71" t="s">
        <v>242</v>
      </c>
    </row>
    <row r="981" spans="15:47" ht="13" x14ac:dyDescent="0.3">
      <c r="O981" s="6" t="s">
        <v>231</v>
      </c>
      <c r="P981" s="6"/>
      <c r="Q981" s="60"/>
      <c r="R981" s="85">
        <f>P_1_minQ-(R979^2*R_up)+dpup_minQ</f>
        <v>56.91549160981905</v>
      </c>
      <c r="S981" s="56"/>
      <c r="T981" s="72"/>
      <c r="U981" s="53">
        <f>P_1_minQ-(U979^2*R_up)+dpup_minQ</f>
        <v>56.766836359146595</v>
      </c>
      <c r="V981" s="44"/>
      <c r="W981" s="72"/>
      <c r="X981" s="53">
        <f>P_1_minQ-(X979^2*R_up)+dpup_minQ</f>
        <v>56.055859924822116</v>
      </c>
      <c r="Y981" s="44"/>
      <c r="Z981" s="72"/>
      <c r="AA981" s="53">
        <f>P_1_minQ-(AA979^2*R_up)+dpup_minQ</f>
        <v>53.77982535072104</v>
      </c>
      <c r="AB981" s="44"/>
      <c r="AC981" s="72"/>
      <c r="AD981" s="53">
        <f>P_1_minQ-(AD979^2*R_up)+dpup_minQ</f>
        <v>48.43298731656018</v>
      </c>
      <c r="AE981" s="44"/>
      <c r="AF981" s="72"/>
      <c r="AG981" s="53">
        <f>P_1_minQ-(AG979^2*R_up)+dpup_minQ</f>
        <v>38.111402469593827</v>
      </c>
      <c r="AH981" s="44"/>
      <c r="AI981" s="72"/>
      <c r="AJ981" s="53">
        <f>P_1_minQ-(AJ979^2*R_up)+dpup_minQ</f>
        <v>23.426769218828216</v>
      </c>
      <c r="AK981" s="44"/>
      <c r="AL981" s="72"/>
      <c r="AM981" s="53">
        <f>P_1_minQ-(AM979^2*R_up)+dpup_minQ</f>
        <v>7.0550288213698478</v>
      </c>
      <c r="AN981" s="44"/>
      <c r="AO981" s="72"/>
      <c r="AP981" s="53">
        <f>P_1_minQ-(AP979^2*R_up)+dpup_minQ</f>
        <v>-10.289105730740932</v>
      </c>
      <c r="AQ981" s="44"/>
      <c r="AR981" s="72"/>
      <c r="AS981" s="53">
        <f>P_1_minQ-(AS979^2*R_up)+dpup_minQ</f>
        <v>-30.131879874982989</v>
      </c>
      <c r="AT981" s="44"/>
      <c r="AU981" s="72"/>
    </row>
    <row r="982" spans="15:47" ht="13" x14ac:dyDescent="0.3">
      <c r="O982" s="6" t="s">
        <v>233</v>
      </c>
      <c r="P982" s="6"/>
      <c r="Q982" s="60"/>
      <c r="R982" s="85">
        <f>P_2_minQ+(R979^2*R_dn)-dpdn_minQ</f>
        <v>24.656901678036192</v>
      </c>
      <c r="S982" s="66"/>
      <c r="T982" s="74"/>
      <c r="U982" s="53">
        <f>P_2_minQ+(U979^2*R_dn)-dpdn_minQ</f>
        <v>24.686632728170682</v>
      </c>
      <c r="V982" s="45"/>
      <c r="W982" s="74"/>
      <c r="X982" s="53">
        <f>P_2_minQ+(X979^2*R_dn)-dpdn_minQ</f>
        <v>24.82882801503558</v>
      </c>
      <c r="Y982" s="45"/>
      <c r="Z982" s="74"/>
      <c r="AA982" s="53">
        <f>P_2_minQ+(AA979^2*R_dn)-dpdn_minQ</f>
        <v>25.284034929855792</v>
      </c>
      <c r="AB982" s="45"/>
      <c r="AC982" s="74"/>
      <c r="AD982" s="53">
        <f>P_2_minQ+(AD979^2*R_dn)-dpdn_minQ</f>
        <v>26.353402536687966</v>
      </c>
      <c r="AE982" s="45"/>
      <c r="AF982" s="74"/>
      <c r="AG982" s="53">
        <f>P_2_minQ+(AG979^2*R_dn)-dpdn_minQ</f>
        <v>28.417719506081237</v>
      </c>
      <c r="AH982" s="45"/>
      <c r="AI982" s="74"/>
      <c r="AJ982" s="53">
        <f>P_2_minQ+(AJ979^2*R_dn)-dpdn_minQ</f>
        <v>31.354646156234356</v>
      </c>
      <c r="AK982" s="45"/>
      <c r="AL982" s="74"/>
      <c r="AM982" s="53">
        <f>P_2_minQ+(AM979^2*R_dn)-dpdn_minQ</f>
        <v>34.628994235726033</v>
      </c>
      <c r="AN982" s="45"/>
      <c r="AO982" s="74"/>
      <c r="AP982" s="53">
        <f>P_2_minQ+(AP979^2*R_dn)-dpdn_minQ</f>
        <v>38.097821146148192</v>
      </c>
      <c r="AQ982" s="45"/>
      <c r="AR982" s="74"/>
      <c r="AS982" s="53">
        <f>P_2_minQ+(AS979^2*R_dn)-dpdn_minQ</f>
        <v>42.066375974996603</v>
      </c>
      <c r="AT982" s="45"/>
      <c r="AU982" s="74"/>
    </row>
    <row r="983" spans="15:47" x14ac:dyDescent="0.25">
      <c r="O983" s="6" t="s">
        <v>243</v>
      </c>
      <c r="Q983" s="60"/>
      <c r="R983" s="53">
        <f>R981-R982</f>
        <v>32.258589931782858</v>
      </c>
      <c r="S983" s="56"/>
      <c r="T983" s="72"/>
      <c r="U983" s="64">
        <f>U981-U982</f>
        <v>32.080203630975916</v>
      </c>
      <c r="V983" s="44"/>
      <c r="W983" s="72"/>
      <c r="X983" s="64">
        <f>X981-X982</f>
        <v>31.227031909786536</v>
      </c>
      <c r="Y983" s="44"/>
      <c r="Z983" s="72"/>
      <c r="AA983" s="64">
        <f>AA981-AA982</f>
        <v>28.495790420865248</v>
      </c>
      <c r="AB983" s="44"/>
      <c r="AC983" s="72"/>
      <c r="AD983" s="64">
        <f>AD981-AD982</f>
        <v>22.079584779872214</v>
      </c>
      <c r="AE983" s="44"/>
      <c r="AF983" s="72"/>
      <c r="AG983" s="64">
        <f>AG981-AG982</f>
        <v>9.6936829635125896</v>
      </c>
      <c r="AH983" s="44"/>
      <c r="AI983" s="72"/>
      <c r="AJ983" s="64">
        <f>AJ981-AJ982</f>
        <v>-7.9278769374061397</v>
      </c>
      <c r="AK983" s="44"/>
      <c r="AL983" s="72"/>
      <c r="AM983" s="64">
        <f>AM981-AM982</f>
        <v>-27.573965414356184</v>
      </c>
      <c r="AN983" s="44"/>
      <c r="AO983" s="72"/>
      <c r="AP983" s="64">
        <f>AP981-AP982</f>
        <v>-48.38692687688912</v>
      </c>
      <c r="AQ983" s="44"/>
      <c r="AR983" s="72"/>
      <c r="AS983" s="64">
        <f>AS981-AS982</f>
        <v>-72.198255849979589</v>
      </c>
      <c r="AT983" s="44"/>
      <c r="AU983" s="72"/>
    </row>
    <row r="984" spans="15:47" ht="13" x14ac:dyDescent="0.3">
      <c r="O984" s="6" t="s">
        <v>75</v>
      </c>
      <c r="P984" s="6">
        <v>3</v>
      </c>
      <c r="Q984" s="65"/>
      <c r="R984" s="85">
        <f>(F_LP_h/F_P_h)^2*(R981-('Valve Sizing'!$V$4*'Valve Sizing'!$G$7))</f>
        <v>46.764623695096219</v>
      </c>
      <c r="S984" s="58"/>
      <c r="T984" s="73"/>
      <c r="U984" s="53">
        <f>(U$29/U$27)^2*(U981-('Valve Sizing'!$V$4*'Valve Sizing'!$G$7))</f>
        <v>46.628816790554268</v>
      </c>
      <c r="V984" s="41"/>
      <c r="W984" s="73"/>
      <c r="X984" s="53">
        <f>(X$29/X$27)^2*(X981-('Valve Sizing'!$V$4*'Valve Sizing'!$G$7))</f>
        <v>45.001724659471378</v>
      </c>
      <c r="Y984" s="41"/>
      <c r="Z984" s="73"/>
      <c r="AA984" s="53">
        <f>(AA$29/AA$27)^2*(AA981-('Valve Sizing'!$V$4*'Valve Sizing'!$G$7))</f>
        <v>41.220824252097749</v>
      </c>
      <c r="AB984" s="41"/>
      <c r="AC984" s="73"/>
      <c r="AD984" s="53">
        <f>(AD$29/AD$27)^2*(AD981-('Valve Sizing'!$V$4*'Valve Sizing'!$G$7))</f>
        <v>34.611896495318199</v>
      </c>
      <c r="AE984" s="41"/>
      <c r="AF984" s="73"/>
      <c r="AG984" s="53">
        <f>(AG$29/AG$27)^2*(AG981-('Valve Sizing'!$V$4*'Valve Sizing'!$G$7))</f>
        <v>24.262001751781252</v>
      </c>
      <c r="AH984" s="41"/>
      <c r="AI984" s="73"/>
      <c r="AJ984" s="53">
        <f>(AJ$29/AJ$27)^2*(AJ981-('Valve Sizing'!$V$4*'Valve Sizing'!$G$7))</f>
        <v>13.294694146875143</v>
      </c>
      <c r="AK984" s="41"/>
      <c r="AL984" s="73"/>
      <c r="AM984" s="53">
        <f>(AM$29/AM$27)^2*(AM981-('Valve Sizing'!$V$4*'Valve Sizing'!$G$7))</f>
        <v>3.1650794648810012</v>
      </c>
      <c r="AN984" s="41"/>
      <c r="AO984" s="73"/>
      <c r="AP984" s="53">
        <f>(AP$29/AP$27)^2*(AP981-('Valve Sizing'!$V$4*'Valve Sizing'!$G$7))</f>
        <v>-4.2340157126337798</v>
      </c>
      <c r="AQ984" s="41"/>
      <c r="AR984" s="73"/>
      <c r="AS984" s="53">
        <f>(AS$29/AS$27)^2*(AS981-('Valve Sizing'!$V$4*'Valve Sizing'!$G$7))</f>
        <v>-11.499352865071032</v>
      </c>
      <c r="AT984" s="41"/>
      <c r="AU984" s="73"/>
    </row>
    <row r="985" spans="15:47" ht="13" x14ac:dyDescent="0.25">
      <c r="O985" s="1" t="s">
        <v>69</v>
      </c>
      <c r="P985" s="17">
        <v>7</v>
      </c>
      <c r="Q985" s="65"/>
      <c r="R985" s="53">
        <f>(R979/(N_1*F_P_h))*SQRT('Valve Sizing'!$G$6/R983)</f>
        <v>0.7734737819654085</v>
      </c>
      <c r="S985" s="58"/>
      <c r="T985" s="73"/>
      <c r="U985" s="64">
        <f>(U979/(N_1*U$27))*SQRT('Valve Sizing'!$G$6/U983)</f>
        <v>11.74914224347901</v>
      </c>
      <c r="V985" s="41"/>
      <c r="W985" s="73"/>
      <c r="X985" s="64">
        <f>(X979/(N_1*X$27))*SQRT('Valve Sizing'!$G$6/X983)</f>
        <v>28.649358798018582</v>
      </c>
      <c r="Y985" s="41"/>
      <c r="Z985" s="73"/>
      <c r="AA985" s="64">
        <f>(AA979/(N_1*AA$27))*SQRT('Valve Sizing'!$G$6/AA983)</f>
        <v>57.593109483633754</v>
      </c>
      <c r="AB985" s="41"/>
      <c r="AC985" s="73"/>
      <c r="AD985" s="64">
        <f>(AD979/(N_1*AD$27))*SQRT('Valve Sizing'!$G$6/AD983)</f>
        <v>108.95804992693974</v>
      </c>
      <c r="AE985" s="41"/>
      <c r="AF985" s="73"/>
      <c r="AG985" s="64">
        <f>(AG979/(N_1*AG$27))*SQRT('Valve Sizing'!$G$6/AG983)</f>
        <v>250.29289833169238</v>
      </c>
      <c r="AH985" s="41"/>
      <c r="AI985" s="73"/>
      <c r="AJ985" s="64" t="e">
        <f>(AJ979/(N_1*AJ$27))*SQRT('Valve Sizing'!$G$6/AJ983)</f>
        <v>#NUM!</v>
      </c>
      <c r="AK985" s="41"/>
      <c r="AL985" s="73"/>
      <c r="AM985" s="64" t="e">
        <f>(AM979/(N_1*AM$27))*SQRT('Valve Sizing'!$G$6/AM983)</f>
        <v>#NUM!</v>
      </c>
      <c r="AN985" s="41"/>
      <c r="AO985" s="73"/>
      <c r="AP985" s="64" t="e">
        <f>(AP979/(N_1*AP$27))*SQRT('Valve Sizing'!$G$6/AP983)</f>
        <v>#NUM!</v>
      </c>
      <c r="AQ985" s="41"/>
      <c r="AR985" s="73"/>
      <c r="AS985" s="64" t="e">
        <f>(AS979/(N_1*AS$27))*SQRT('Valve Sizing'!$G$6/AS983)</f>
        <v>#NUM!</v>
      </c>
      <c r="AT985" s="41"/>
      <c r="AU985" s="73"/>
    </row>
    <row r="986" spans="15:47" ht="13" x14ac:dyDescent="0.3">
      <c r="O986" s="1" t="s">
        <v>72</v>
      </c>
      <c r="P986" s="17">
        <v>7</v>
      </c>
      <c r="Q986" s="65"/>
      <c r="R986" s="53">
        <f>(R979/(N_1*F_P_h))*SQRT('Valve Sizing'!$G$6/R984)</f>
        <v>0.6424059653787626</v>
      </c>
      <c r="S986" s="56"/>
      <c r="T986" s="72"/>
      <c r="U986" s="85">
        <f>(U979/(N_1*U$27))*SQRT('Valve Sizing'!$G$6/U984)</f>
        <v>9.7453518170566689</v>
      </c>
      <c r="V986" s="44"/>
      <c r="W986" s="72"/>
      <c r="X986" s="85">
        <f>(X979/(N_1*X$27))*SQRT('Valve Sizing'!$G$6/X984)</f>
        <v>23.865233115929858</v>
      </c>
      <c r="Y986" s="44"/>
      <c r="Z986" s="72"/>
      <c r="AA986" s="85">
        <f>(AA979/(N_1*AA$27))*SQRT('Valve Sizing'!$G$6/AA984)</f>
        <v>47.885336663000857</v>
      </c>
      <c r="AB986" s="44"/>
      <c r="AC986" s="72"/>
      <c r="AD986" s="85">
        <f>(AD979/(N_1*AD$27))*SQRT('Valve Sizing'!$G$6/AD984)</f>
        <v>87.024607798997806</v>
      </c>
      <c r="AE986" s="44"/>
      <c r="AF986" s="72"/>
      <c r="AG986" s="85">
        <f>(AG979/(N_1*AG$27))*SQRT('Valve Sizing'!$G$6/AG984)</f>
        <v>158.2084291272474</v>
      </c>
      <c r="AH986" s="44"/>
      <c r="AI986" s="72"/>
      <c r="AJ986" s="85">
        <f>(AJ979/(N_1*AJ$27))*SQRT('Valve Sizing'!$G$6/AJ984)</f>
        <v>295.58251582343786</v>
      </c>
      <c r="AK986" s="44"/>
      <c r="AL986" s="72"/>
      <c r="AM986" s="85">
        <f>(AM979/(N_1*AM$27))*SQRT('Valve Sizing'!$G$6/AM984)</f>
        <v>784.28114741142281</v>
      </c>
      <c r="AN986" s="44"/>
      <c r="AO986" s="72"/>
      <c r="AP986" s="85" t="e">
        <f>(AP979/(N_1*AP$27))*SQRT('Valve Sizing'!$G$6/AP984)</f>
        <v>#NUM!</v>
      </c>
      <c r="AQ986" s="44"/>
      <c r="AR986" s="72"/>
      <c r="AS986" s="85" t="e">
        <f>(AS979/(N_1*AS$27))*SQRT('Valve Sizing'!$G$6/AS984)</f>
        <v>#NUM!</v>
      </c>
      <c r="AT986" s="44"/>
      <c r="AU986" s="72"/>
    </row>
    <row r="987" spans="15:47" x14ac:dyDescent="0.25">
      <c r="O987" s="1" t="s">
        <v>246</v>
      </c>
      <c r="P987" s="18"/>
      <c r="Q987" s="65"/>
      <c r="R987" s="53">
        <f>IF(R983&lt;R984,R985,R986)</f>
        <v>0.7734737819654085</v>
      </c>
      <c r="S987" s="49"/>
      <c r="T987" s="72"/>
      <c r="U987" s="64">
        <f>IF(U983&lt;U984,U985,U986)</f>
        <v>11.74914224347901</v>
      </c>
      <c r="V987" s="44"/>
      <c r="W987" s="72"/>
      <c r="X987" s="64">
        <f>IF(X983&lt;X984,X985,X986)</f>
        <v>28.649358798018582</v>
      </c>
      <c r="Y987" s="44"/>
      <c r="Z987" s="72"/>
      <c r="AA987" s="64">
        <f>IF(AA983&lt;AA984,AA985,AA986)</f>
        <v>57.593109483633754</v>
      </c>
      <c r="AB987" s="44"/>
      <c r="AC987" s="72"/>
      <c r="AD987" s="64">
        <f>IF(AD983&lt;AD984,AD985,AD986)</f>
        <v>108.95804992693974</v>
      </c>
      <c r="AE987" s="44"/>
      <c r="AF987" s="72"/>
      <c r="AG987" s="64">
        <f>IF(AG983&lt;AG984,AG985,AG986)</f>
        <v>250.29289833169238</v>
      </c>
      <c r="AH987" s="44"/>
      <c r="AI987" s="72"/>
      <c r="AJ987" s="64" t="e">
        <f>IF(AJ983&lt;AJ984,AJ985,AJ986)</f>
        <v>#NUM!</v>
      </c>
      <c r="AK987" s="44"/>
      <c r="AL987" s="72"/>
      <c r="AM987" s="64" t="e">
        <f>IF(AM983&lt;AM984,AM985,AM986)</f>
        <v>#NUM!</v>
      </c>
      <c r="AN987" s="44"/>
      <c r="AO987" s="72"/>
      <c r="AP987" s="64" t="e">
        <f>IF(AP983&lt;AP984,AP985,AP986)</f>
        <v>#NUM!</v>
      </c>
      <c r="AQ987" s="44"/>
      <c r="AR987" s="72"/>
      <c r="AS987" s="64" t="e">
        <f>IF(AS983&lt;AS984,AS985,AS986)</f>
        <v>#NUM!</v>
      </c>
      <c r="AT987" s="44"/>
      <c r="AU987" s="72"/>
    </row>
    <row r="988" spans="15:47" ht="13" x14ac:dyDescent="0.3">
      <c r="O988" s="7" t="s">
        <v>264</v>
      </c>
      <c r="Q988" s="61"/>
      <c r="R988" s="53"/>
      <c r="S988" s="69">
        <f>IFERROR(ABS(C_h-R987),Q_max*10)</f>
        <v>4.2265262180345911</v>
      </c>
      <c r="T988" s="76">
        <f>R979</f>
        <v>4.3924290840031626</v>
      </c>
      <c r="U988" s="61"/>
      <c r="V988" s="69">
        <f>IFERROR(ABS(U$23-U987),Q_max*10)</f>
        <v>0.25085775652098974</v>
      </c>
      <c r="W988" s="75">
        <f>U979</f>
        <v>66.490415893340796</v>
      </c>
      <c r="X988" s="61"/>
      <c r="Y988" s="69">
        <f>IFERROR(ABS(X$23-X987),Q_max*10)</f>
        <v>5.6493587980185822</v>
      </c>
      <c r="Z988" s="75">
        <f>X979</f>
        <v>159.60259279227623</v>
      </c>
      <c r="AA988" s="61"/>
      <c r="AB988" s="69">
        <f>IFERROR(ABS(AA$23-AA987),Q_max*10)</f>
        <v>18.593109483633754</v>
      </c>
      <c r="AC988" s="75">
        <f>AA979</f>
        <v>304.7398421033094</v>
      </c>
      <c r="AD988" s="61"/>
      <c r="AE988" s="69">
        <f>IFERROR(ABS(AD$23-AD987),Q_max*10)</f>
        <v>47.958049926939736</v>
      </c>
      <c r="AF988" s="75">
        <f>AD979</f>
        <v>501.184841706783</v>
      </c>
      <c r="AG988" s="61"/>
      <c r="AH988" s="69">
        <f>IFERROR(ABS(AG$23-AG987),Q_max*10)</f>
        <v>162.29289833169238</v>
      </c>
      <c r="AI988" s="75">
        <f>AG979</f>
        <v>746.19593464138279</v>
      </c>
      <c r="AJ988" s="61"/>
      <c r="AK988" s="69">
        <f>IFERROR(ABS(AJ$23-AJ987),Q_max*10)</f>
        <v>5500</v>
      </c>
      <c r="AL988" s="75">
        <f>AJ979</f>
        <v>995.80136745763537</v>
      </c>
      <c r="AM988" s="61"/>
      <c r="AN988" s="69">
        <f>IFERROR(ABS(AM$23-AM987),Q_max*10)</f>
        <v>5500</v>
      </c>
      <c r="AO988" s="75">
        <f>AM979</f>
        <v>1215.0669103383725</v>
      </c>
      <c r="AP988" s="61"/>
      <c r="AQ988" s="69">
        <f>IFERROR(ABS(AP$23-AP987),Q_max*10)</f>
        <v>5500</v>
      </c>
      <c r="AR988" s="75">
        <f>AP979</f>
        <v>1410.6549616001919</v>
      </c>
      <c r="AS988" s="61"/>
      <c r="AT988" s="69">
        <f>IFERROR(ABS(AS$23-AS987),Q_max*10)</f>
        <v>5500</v>
      </c>
      <c r="AU988" s="75">
        <f>AS979</f>
        <v>1605.4569328070579</v>
      </c>
    </row>
    <row r="989" spans="15:47" ht="14.5" x14ac:dyDescent="0.35">
      <c r="O989" s="6"/>
      <c r="P989" s="6"/>
      <c r="Q989" s="60"/>
      <c r="R989" s="67"/>
      <c r="S989" s="56"/>
      <c r="T989" s="72"/>
      <c r="V989" s="11"/>
      <c r="W989" s="38"/>
      <c r="Y989" s="11"/>
      <c r="Z989" s="38"/>
      <c r="AB989" s="11"/>
      <c r="AC989" s="38"/>
      <c r="AE989" s="11"/>
      <c r="AF989" s="38"/>
      <c r="AH989" s="11"/>
      <c r="AI989" s="38"/>
      <c r="AK989" s="11"/>
      <c r="AL989" s="38"/>
      <c r="AN989" s="11"/>
      <c r="AO989" s="38"/>
      <c r="AQ989" s="11"/>
      <c r="AR989" s="38"/>
      <c r="AT989" s="11"/>
      <c r="AU989" s="38"/>
    </row>
    <row r="990" spans="15:47" ht="14" x14ac:dyDescent="0.3">
      <c r="O990" s="8" t="s">
        <v>235</v>
      </c>
      <c r="P990" s="6"/>
      <c r="Q990" s="60"/>
      <c r="R990" s="53">
        <f>R979*1.02</f>
        <v>4.4802776656832259</v>
      </c>
      <c r="S990" s="58" t="s">
        <v>238</v>
      </c>
      <c r="T990" s="73" t="s">
        <v>241</v>
      </c>
      <c r="U990" s="84">
        <f>U979*1.01</f>
        <v>67.155320052274206</v>
      </c>
      <c r="V990" s="58" t="s">
        <v>238</v>
      </c>
      <c r="W990" s="73" t="s">
        <v>241</v>
      </c>
      <c r="X990" s="84">
        <f>X979*1.01</f>
        <v>161.19861872019899</v>
      </c>
      <c r="Y990" s="58" t="s">
        <v>238</v>
      </c>
      <c r="Z990" s="73" t="s">
        <v>241</v>
      </c>
      <c r="AA990" s="84">
        <f>AA979*1.01</f>
        <v>307.78724052434251</v>
      </c>
      <c r="AB990" s="58" t="s">
        <v>238</v>
      </c>
      <c r="AC990" s="73" t="s">
        <v>241</v>
      </c>
      <c r="AD990" s="84">
        <f>AD979*1.01</f>
        <v>506.19669012385083</v>
      </c>
      <c r="AE990" s="58" t="s">
        <v>238</v>
      </c>
      <c r="AF990" s="73" t="s">
        <v>241</v>
      </c>
      <c r="AG990" s="84">
        <f>AG979*1.01</f>
        <v>753.65789398779657</v>
      </c>
      <c r="AH990" s="58" t="s">
        <v>238</v>
      </c>
      <c r="AI990" s="73" t="s">
        <v>241</v>
      </c>
      <c r="AJ990" s="84">
        <f>AJ979*1.01</f>
        <v>1005.7593811322117</v>
      </c>
      <c r="AK990" s="58" t="s">
        <v>238</v>
      </c>
      <c r="AL990" s="73" t="s">
        <v>241</v>
      </c>
      <c r="AM990" s="84">
        <f>AM979*1.01</f>
        <v>1227.2175794417562</v>
      </c>
      <c r="AN990" s="58" t="s">
        <v>238</v>
      </c>
      <c r="AO990" s="73" t="s">
        <v>241</v>
      </c>
      <c r="AP990" s="84">
        <f>AP979*1.01</f>
        <v>1424.7615112161939</v>
      </c>
      <c r="AQ990" s="58" t="s">
        <v>238</v>
      </c>
      <c r="AR990" s="73" t="s">
        <v>241</v>
      </c>
      <c r="AS990" s="84">
        <f>AS979*1.01</f>
        <v>1621.5115021351285</v>
      </c>
      <c r="AT990" s="58" t="s">
        <v>238</v>
      </c>
      <c r="AU990" s="73" t="s">
        <v>241</v>
      </c>
    </row>
    <row r="991" spans="15:47" ht="13" x14ac:dyDescent="0.25">
      <c r="O991" s="6"/>
      <c r="P991" s="6"/>
      <c r="Q991" s="60"/>
      <c r="R991" s="70"/>
      <c r="S991" s="63" t="s">
        <v>250</v>
      </c>
      <c r="T991" s="71" t="s">
        <v>242</v>
      </c>
      <c r="U991" s="61"/>
      <c r="V991" s="63" t="s">
        <v>250</v>
      </c>
      <c r="W991" s="71" t="s">
        <v>242</v>
      </c>
      <c r="X991" s="61"/>
      <c r="Y991" s="63" t="s">
        <v>250</v>
      </c>
      <c r="Z991" s="71" t="s">
        <v>242</v>
      </c>
      <c r="AA991" s="61"/>
      <c r="AB991" s="63" t="s">
        <v>250</v>
      </c>
      <c r="AC991" s="71" t="s">
        <v>242</v>
      </c>
      <c r="AD991" s="61"/>
      <c r="AE991" s="63" t="s">
        <v>250</v>
      </c>
      <c r="AF991" s="71" t="s">
        <v>242</v>
      </c>
      <c r="AG991" s="61"/>
      <c r="AH991" s="63" t="s">
        <v>250</v>
      </c>
      <c r="AI991" s="71" t="s">
        <v>242</v>
      </c>
      <c r="AJ991" s="61"/>
      <c r="AK991" s="63" t="s">
        <v>250</v>
      </c>
      <c r="AL991" s="71" t="s">
        <v>242</v>
      </c>
      <c r="AM991" s="61"/>
      <c r="AN991" s="63" t="s">
        <v>250</v>
      </c>
      <c r="AO991" s="71" t="s">
        <v>242</v>
      </c>
      <c r="AP991" s="61"/>
      <c r="AQ991" s="63" t="s">
        <v>250</v>
      </c>
      <c r="AR991" s="71" t="s">
        <v>242</v>
      </c>
      <c r="AS991" s="61"/>
      <c r="AT991" s="63" t="s">
        <v>250</v>
      </c>
      <c r="AU991" s="71" t="s">
        <v>242</v>
      </c>
    </row>
    <row r="992" spans="15:47" ht="13" x14ac:dyDescent="0.3">
      <c r="O992" s="6" t="s">
        <v>231</v>
      </c>
      <c r="P992" s="6"/>
      <c r="Q992" s="60"/>
      <c r="R992" s="85">
        <f>P_1_minQ-(R990^2*R_up)+dpup_minQ</f>
        <v>56.915465285783128</v>
      </c>
      <c r="S992" s="56"/>
      <c r="T992" s="72"/>
      <c r="U992" s="53">
        <f>P_1_minQ-(U990^2*R_up)+dpup_minQ</f>
        <v>56.76383529174862</v>
      </c>
      <c r="V992" s="44"/>
      <c r="W992" s="72"/>
      <c r="X992" s="53">
        <f>P_1_minQ-(X990^2*R_up)+dpup_minQ</f>
        <v>56.038568231094224</v>
      </c>
      <c r="Y992" s="44"/>
      <c r="Z992" s="72"/>
      <c r="AA992" s="53">
        <f>P_1_minQ-(AA990^2*R_up)+dpup_minQ</f>
        <v>53.716785362053713</v>
      </c>
      <c r="AB992" s="44"/>
      <c r="AC992" s="72"/>
      <c r="AD992" s="53">
        <f>P_1_minQ-(AD990^2*R_up)+dpup_minQ</f>
        <v>48.262475883406218</v>
      </c>
      <c r="AE992" s="44"/>
      <c r="AF992" s="72"/>
      <c r="AG992" s="53">
        <f>P_1_minQ-(AG990^2*R_up)+dpup_minQ</f>
        <v>37.733427181015848</v>
      </c>
      <c r="AH992" s="44"/>
      <c r="AI992" s="72"/>
      <c r="AJ992" s="53">
        <f>P_1_minQ-(AJ990^2*R_up)+dpup_minQ</f>
        <v>22.753632801909848</v>
      </c>
      <c r="AK992" s="44"/>
      <c r="AL992" s="72"/>
      <c r="AM992" s="53">
        <f>P_1_minQ-(AM990^2*R_up)+dpup_minQ</f>
        <v>6.0528204224625695</v>
      </c>
      <c r="AN992" s="44"/>
      <c r="AO992" s="72"/>
      <c r="AP992" s="53">
        <f>P_1_minQ-(AP990^2*R_up)+dpup_minQ</f>
        <v>-11.639931234145639</v>
      </c>
      <c r="AQ992" s="44"/>
      <c r="AR992" s="72"/>
      <c r="AS992" s="53">
        <f>P_1_minQ-(AS990^2*R_up)+dpup_minQ</f>
        <v>-31.881545138686949</v>
      </c>
      <c r="AT992" s="44"/>
      <c r="AU992" s="72"/>
    </row>
    <row r="993" spans="15:47" ht="13" x14ac:dyDescent="0.3">
      <c r="O993" s="6" t="s">
        <v>233</v>
      </c>
      <c r="P993" s="6"/>
      <c r="Q993" s="60"/>
      <c r="R993" s="85">
        <f>P_2_minQ+(R990^2*R_dn)-dpdn_minQ</f>
        <v>24.656906942843374</v>
      </c>
      <c r="S993" s="66"/>
      <c r="T993" s="74"/>
      <c r="U993" s="53">
        <f>P_2_minQ+(U990^2*R_dn)-dpdn_minQ</f>
        <v>24.687232941650276</v>
      </c>
      <c r="V993" s="45"/>
      <c r="W993" s="74"/>
      <c r="X993" s="53">
        <f>P_2_minQ+(X990^2*R_dn)-dpdn_minQ</f>
        <v>24.832286353781157</v>
      </c>
      <c r="Y993" s="45"/>
      <c r="Z993" s="74"/>
      <c r="AA993" s="53">
        <f>P_2_minQ+(AA990^2*R_dn)-dpdn_minQ</f>
        <v>25.296642927589257</v>
      </c>
      <c r="AB993" s="45"/>
      <c r="AC993" s="74"/>
      <c r="AD993" s="53">
        <f>P_2_minQ+(AD990^2*R_dn)-dpdn_minQ</f>
        <v>26.387504823318757</v>
      </c>
      <c r="AE993" s="45"/>
      <c r="AF993" s="74"/>
      <c r="AG993" s="53">
        <f>P_2_minQ+(AG990^2*R_dn)-dpdn_minQ</f>
        <v>28.493314563796833</v>
      </c>
      <c r="AH993" s="45"/>
      <c r="AI993" s="74"/>
      <c r="AJ993" s="53">
        <f>P_2_minQ+(AJ990^2*R_dn)-dpdn_minQ</f>
        <v>31.489273439618032</v>
      </c>
      <c r="AK993" s="45"/>
      <c r="AL993" s="74"/>
      <c r="AM993" s="53">
        <f>P_2_minQ+(AM990^2*R_dn)-dpdn_minQ</f>
        <v>34.829435915507489</v>
      </c>
      <c r="AN993" s="45"/>
      <c r="AO993" s="74"/>
      <c r="AP993" s="53">
        <f>P_2_minQ+(AP990^2*R_dn)-dpdn_minQ</f>
        <v>38.367986246829133</v>
      </c>
      <c r="AQ993" s="45"/>
      <c r="AR993" s="74"/>
      <c r="AS993" s="53">
        <f>P_2_minQ+(AS990^2*R_dn)-dpdn_minQ</f>
        <v>42.416309027737398</v>
      </c>
      <c r="AT993" s="45"/>
      <c r="AU993" s="74"/>
    </row>
    <row r="994" spans="15:47" x14ac:dyDescent="0.25">
      <c r="O994" s="6" t="s">
        <v>243</v>
      </c>
      <c r="Q994" s="60"/>
      <c r="R994" s="53">
        <f>R992-R993</f>
        <v>32.25855834293975</v>
      </c>
      <c r="S994" s="56"/>
      <c r="T994" s="72"/>
      <c r="U994" s="64">
        <f>U992-U993</f>
        <v>32.076602350098341</v>
      </c>
      <c r="V994" s="44"/>
      <c r="W994" s="72"/>
      <c r="X994" s="64">
        <f>X992-X993</f>
        <v>31.206281877313067</v>
      </c>
      <c r="Y994" s="44"/>
      <c r="Z994" s="72"/>
      <c r="AA994" s="64">
        <f>AA992-AA993</f>
        <v>28.420142434464456</v>
      </c>
      <c r="AB994" s="44"/>
      <c r="AC994" s="72"/>
      <c r="AD994" s="64">
        <f>AD992-AD993</f>
        <v>21.874971060087461</v>
      </c>
      <c r="AE994" s="44"/>
      <c r="AF994" s="72"/>
      <c r="AG994" s="64">
        <f>AG992-AG993</f>
        <v>9.2401126172190153</v>
      </c>
      <c r="AH994" s="44"/>
      <c r="AI994" s="72"/>
      <c r="AJ994" s="64">
        <f>AJ992-AJ993</f>
        <v>-8.7356406377081832</v>
      </c>
      <c r="AK994" s="44"/>
      <c r="AL994" s="72"/>
      <c r="AM994" s="64">
        <f>AM992-AM993</f>
        <v>-28.776615493044918</v>
      </c>
      <c r="AN994" s="44"/>
      <c r="AO994" s="72"/>
      <c r="AP994" s="64">
        <f>AP992-AP993</f>
        <v>-50.007917480974768</v>
      </c>
      <c r="AQ994" s="44"/>
      <c r="AR994" s="72"/>
      <c r="AS994" s="64">
        <f>AS992-AS993</f>
        <v>-74.297854166424344</v>
      </c>
      <c r="AT994" s="44"/>
      <c r="AU994" s="72"/>
    </row>
    <row r="995" spans="15:47" ht="13" x14ac:dyDescent="0.3">
      <c r="O995" s="6" t="s">
        <v>75</v>
      </c>
      <c r="P995" s="6">
        <v>3</v>
      </c>
      <c r="Q995" s="65"/>
      <c r="R995" s="85">
        <f>(F_LP_h/F_P_h)^2*(R992-('Valve Sizing'!$V$4*'Valve Sizing'!$G$7))</f>
        <v>46.764601897412732</v>
      </c>
      <c r="S995" s="58"/>
      <c r="T995" s="73"/>
      <c r="U995" s="53">
        <f>(U$29/U$27)^2*(U992-('Valve Sizing'!$V$4*'Valve Sizing'!$G$7))</f>
        <v>46.626332426542511</v>
      </c>
      <c r="V995" s="41"/>
      <c r="W995" s="73"/>
      <c r="X995" s="53">
        <f>(X$29/X$27)^2*(X992-('Valve Sizing'!$V$4*'Valve Sizing'!$G$7))</f>
        <v>44.987733023848492</v>
      </c>
      <c r="Y995" s="41"/>
      <c r="Z995" s="73"/>
      <c r="AA995" s="53">
        <f>(AA$29/AA$27)^2*(AA992-('Valve Sizing'!$V$4*'Valve Sizing'!$G$7))</f>
        <v>41.172107124021487</v>
      </c>
      <c r="AB995" s="41"/>
      <c r="AC995" s="73"/>
      <c r="AD995" s="53">
        <f>(AD$29/AD$27)^2*(AD992-('Valve Sizing'!$V$4*'Valve Sizing'!$G$7))</f>
        <v>34.488925796948081</v>
      </c>
      <c r="AE995" s="41"/>
      <c r="AF995" s="73"/>
      <c r="AG995" s="53">
        <f>(AG$29/AG$27)^2*(AG992-('Valve Sizing'!$V$4*'Valve Sizing'!$G$7))</f>
        <v>24.018569053475918</v>
      </c>
      <c r="AH995" s="41"/>
      <c r="AI995" s="73"/>
      <c r="AJ995" s="53">
        <f>(AJ$29/AJ$27)^2*(AJ992-('Valve Sizing'!$V$4*'Valve Sizing'!$G$7))</f>
        <v>12.905376050520278</v>
      </c>
      <c r="AK995" s="41"/>
      <c r="AL995" s="73"/>
      <c r="AM995" s="53">
        <f>(AM$29/AM$27)^2*(AM992-('Valve Sizing'!$V$4*'Valve Sizing'!$G$7))</f>
        <v>2.6855506582047952</v>
      </c>
      <c r="AN995" s="41"/>
      <c r="AO995" s="73"/>
      <c r="AP995" s="53">
        <f>(AP$29/AP$27)^2*(AP992-('Valve Sizing'!$V$4*'Valve Sizing'!$G$7))</f>
        <v>-4.7670876953571923</v>
      </c>
      <c r="AQ995" s="41"/>
      <c r="AR995" s="73"/>
      <c r="AS995" s="53">
        <f>(AS$29/AS$27)^2*(AS992-('Valve Sizing'!$V$4*'Valve Sizing'!$G$7))</f>
        <v>-12.157473346776507</v>
      </c>
      <c r="AT995" s="41"/>
      <c r="AU995" s="73"/>
    </row>
    <row r="996" spans="15:47" ht="13" x14ac:dyDescent="0.25">
      <c r="O996" s="1" t="s">
        <v>69</v>
      </c>
      <c r="P996" s="17">
        <v>7</v>
      </c>
      <c r="Q996" s="65"/>
      <c r="R996" s="53">
        <f>(R990/(N_1*F_P_h))*SQRT('Valve Sizing'!$G$6/R994)</f>
        <v>0.7889436438866827</v>
      </c>
      <c r="S996" s="58"/>
      <c r="T996" s="73"/>
      <c r="U996" s="64">
        <f>(U990/(N_1*U$27))*SQRT('Valve Sizing'!$G$6/U994)</f>
        <v>11.867299788232849</v>
      </c>
      <c r="V996" s="41"/>
      <c r="W996" s="73"/>
      <c r="X996" s="64">
        <f>(X990/(N_1*X$27))*SQRT('Valve Sizing'!$G$6/X994)</f>
        <v>28.945470963801462</v>
      </c>
      <c r="Y996" s="41"/>
      <c r="Z996" s="73"/>
      <c r="AA996" s="64">
        <f>(AA990/(N_1*AA$27))*SQRT('Valve Sizing'!$G$6/AA994)</f>
        <v>58.246405540549986</v>
      </c>
      <c r="AB996" s="41"/>
      <c r="AC996" s="73"/>
      <c r="AD996" s="64">
        <f>(AD990/(N_1*AD$27))*SQRT('Valve Sizing'!$G$6/AD994)</f>
        <v>110.5611132648927</v>
      </c>
      <c r="AE996" s="41"/>
      <c r="AF996" s="73"/>
      <c r="AG996" s="64">
        <f>(AG990/(N_1*AG$27))*SQRT('Valve Sizing'!$G$6/AG994)</f>
        <v>258.92600753992946</v>
      </c>
      <c r="AH996" s="41"/>
      <c r="AI996" s="73"/>
      <c r="AJ996" s="64" t="e">
        <f>(AJ990/(N_1*AJ$27))*SQRT('Valve Sizing'!$G$6/AJ994)</f>
        <v>#NUM!</v>
      </c>
      <c r="AK996" s="41"/>
      <c r="AL996" s="73"/>
      <c r="AM996" s="64" t="e">
        <f>(AM990/(N_1*AM$27))*SQRT('Valve Sizing'!$G$6/AM994)</f>
        <v>#NUM!</v>
      </c>
      <c r="AN996" s="41"/>
      <c r="AO996" s="73"/>
      <c r="AP996" s="64" t="e">
        <f>(AP990/(N_1*AP$27))*SQRT('Valve Sizing'!$G$6/AP994)</f>
        <v>#NUM!</v>
      </c>
      <c r="AQ996" s="41"/>
      <c r="AR996" s="73"/>
      <c r="AS996" s="64" t="e">
        <f>(AS990/(N_1*AS$27))*SQRT('Valve Sizing'!$G$6/AS994)</f>
        <v>#NUM!</v>
      </c>
      <c r="AT996" s="41"/>
      <c r="AU996" s="73"/>
    </row>
    <row r="997" spans="15:47" ht="13" x14ac:dyDescent="0.3">
      <c r="O997" s="1" t="s">
        <v>72</v>
      </c>
      <c r="P997" s="17">
        <v>7</v>
      </c>
      <c r="Q997" s="65"/>
      <c r="R997" s="53">
        <f>(R990/(N_1*F_P_h))*SQRT('Valve Sizing'!$G$6/R995)</f>
        <v>0.65525423739820643</v>
      </c>
      <c r="S997" s="56"/>
      <c r="T997" s="72"/>
      <c r="U997" s="85">
        <f>(U990/(N_1*U$27))*SQRT('Valve Sizing'!$G$6/U995)</f>
        <v>9.8430675559977274</v>
      </c>
      <c r="V997" s="44"/>
      <c r="W997" s="72"/>
      <c r="X997" s="85">
        <f>(X990/(N_1*X$27))*SQRT('Valve Sizing'!$G$6/X995)</f>
        <v>24.107633430610807</v>
      </c>
      <c r="Y997" s="44"/>
      <c r="Z997" s="72"/>
      <c r="AA997" s="85">
        <f>(AA990/(N_1*AA$27))*SQRT('Valve Sizing'!$G$6/AA995)</f>
        <v>48.39279517071239</v>
      </c>
      <c r="AB997" s="44"/>
      <c r="AC997" s="72"/>
      <c r="AD997" s="85">
        <f>(AD990/(N_1*AD$27))*SQRT('Valve Sizing'!$G$6/AD995)</f>
        <v>88.051409553910659</v>
      </c>
      <c r="AE997" s="44"/>
      <c r="AF997" s="72"/>
      <c r="AG997" s="85">
        <f>(AG990/(N_1*AG$27))*SQRT('Valve Sizing'!$G$6/AG995)</f>
        <v>160.59822539863191</v>
      </c>
      <c r="AH997" s="44"/>
      <c r="AI997" s="72"/>
      <c r="AJ997" s="85">
        <f>(AJ990/(N_1*AJ$27))*SQRT('Valve Sizing'!$G$6/AJ995)</f>
        <v>303.00790473694229</v>
      </c>
      <c r="AK997" s="44"/>
      <c r="AL997" s="72"/>
      <c r="AM997" s="85">
        <f>(AM990/(N_1*AM$27))*SQRT('Valve Sizing'!$G$6/AM995)</f>
        <v>859.94125412028552</v>
      </c>
      <c r="AN997" s="44"/>
      <c r="AO997" s="72"/>
      <c r="AP997" s="85" t="e">
        <f>(AP990/(N_1*AP$27))*SQRT('Valve Sizing'!$G$6/AP995)</f>
        <v>#NUM!</v>
      </c>
      <c r="AQ997" s="44"/>
      <c r="AR997" s="72"/>
      <c r="AS997" s="85" t="e">
        <f>(AS990/(N_1*AS$27))*SQRT('Valve Sizing'!$G$6/AS995)</f>
        <v>#NUM!</v>
      </c>
      <c r="AT997" s="44"/>
      <c r="AU997" s="72"/>
    </row>
    <row r="998" spans="15:47" x14ac:dyDescent="0.25">
      <c r="O998" s="1" t="s">
        <v>246</v>
      </c>
      <c r="P998" s="18"/>
      <c r="Q998" s="65"/>
      <c r="R998" s="53">
        <f>IF(R994&lt;R995,R996,R997)</f>
        <v>0.7889436438866827</v>
      </c>
      <c r="S998" s="49"/>
      <c r="T998" s="72"/>
      <c r="U998" s="64">
        <f>IF(U994&lt;U995,U996,U997)</f>
        <v>11.867299788232849</v>
      </c>
      <c r="V998" s="44"/>
      <c r="W998" s="72"/>
      <c r="X998" s="64">
        <f>IF(X994&lt;X995,X996,X997)</f>
        <v>28.945470963801462</v>
      </c>
      <c r="Y998" s="44"/>
      <c r="Z998" s="72"/>
      <c r="AA998" s="64">
        <f>IF(AA994&lt;AA995,AA996,AA997)</f>
        <v>58.246405540549986</v>
      </c>
      <c r="AB998" s="44"/>
      <c r="AC998" s="72"/>
      <c r="AD998" s="64">
        <f>IF(AD994&lt;AD995,AD996,AD997)</f>
        <v>110.5611132648927</v>
      </c>
      <c r="AE998" s="44"/>
      <c r="AF998" s="72"/>
      <c r="AG998" s="64">
        <f>IF(AG994&lt;AG995,AG996,AG997)</f>
        <v>258.92600753992946</v>
      </c>
      <c r="AH998" s="44"/>
      <c r="AI998" s="72"/>
      <c r="AJ998" s="64" t="e">
        <f>IF(AJ994&lt;AJ995,AJ996,AJ997)</f>
        <v>#NUM!</v>
      </c>
      <c r="AK998" s="44"/>
      <c r="AL998" s="72"/>
      <c r="AM998" s="64" t="e">
        <f>IF(AM994&lt;AM995,AM996,AM997)</f>
        <v>#NUM!</v>
      </c>
      <c r="AN998" s="44"/>
      <c r="AO998" s="72"/>
      <c r="AP998" s="64" t="e">
        <f>IF(AP994&lt;AP995,AP996,AP997)</f>
        <v>#NUM!</v>
      </c>
      <c r="AQ998" s="44"/>
      <c r="AR998" s="72"/>
      <c r="AS998" s="64" t="e">
        <f>IF(AS994&lt;AS995,AS996,AS997)</f>
        <v>#NUM!</v>
      </c>
      <c r="AT998" s="44"/>
      <c r="AU998" s="72"/>
    </row>
    <row r="999" spans="15:47" ht="13" x14ac:dyDescent="0.3">
      <c r="O999" s="7" t="s">
        <v>264</v>
      </c>
      <c r="Q999" s="61"/>
      <c r="R999" s="53"/>
      <c r="S999" s="69">
        <f>IFERROR(ABS(C_h-R998),Q_max*10)</f>
        <v>4.2110563561133176</v>
      </c>
      <c r="T999" s="76">
        <f>R990</f>
        <v>4.4802776656832259</v>
      </c>
      <c r="U999" s="61"/>
      <c r="V999" s="69">
        <f>IFERROR(ABS(U$23-U998),Q_max*10)</f>
        <v>0.13270021176715119</v>
      </c>
      <c r="W999" s="75">
        <f>U990</f>
        <v>67.155320052274206</v>
      </c>
      <c r="X999" s="61"/>
      <c r="Y999" s="69">
        <f>IFERROR(ABS(X$23-X998),Q_max*10)</f>
        <v>5.945470963801462</v>
      </c>
      <c r="Z999" s="75">
        <f>X990</f>
        <v>161.19861872019899</v>
      </c>
      <c r="AA999" s="61"/>
      <c r="AB999" s="69">
        <f>IFERROR(ABS(AA$23-AA998),Q_max*10)</f>
        <v>19.246405540549986</v>
      </c>
      <c r="AC999" s="75">
        <f>AA990</f>
        <v>307.78724052434251</v>
      </c>
      <c r="AD999" s="61"/>
      <c r="AE999" s="69">
        <f>IFERROR(ABS(AD$23-AD998),Q_max*10)</f>
        <v>49.561113264892697</v>
      </c>
      <c r="AF999" s="75">
        <f>AD990</f>
        <v>506.19669012385083</v>
      </c>
      <c r="AG999" s="61"/>
      <c r="AH999" s="69">
        <f>IFERROR(ABS(AG$23-AG998),Q_max*10)</f>
        <v>170.92600753992946</v>
      </c>
      <c r="AI999" s="75">
        <f>AG990</f>
        <v>753.65789398779657</v>
      </c>
      <c r="AJ999" s="61"/>
      <c r="AK999" s="69">
        <f>IFERROR(ABS(AJ$23-AJ998),Q_max*10)</f>
        <v>5500</v>
      </c>
      <c r="AL999" s="75">
        <f>AJ990</f>
        <v>1005.7593811322117</v>
      </c>
      <c r="AM999" s="61"/>
      <c r="AN999" s="69">
        <f>IFERROR(ABS(AM$23-AM998),Q_max*10)</f>
        <v>5500</v>
      </c>
      <c r="AO999" s="75">
        <f>AM990</f>
        <v>1227.2175794417562</v>
      </c>
      <c r="AP999" s="61"/>
      <c r="AQ999" s="69">
        <f>IFERROR(ABS(AP$23-AP998),Q_max*10)</f>
        <v>5500</v>
      </c>
      <c r="AR999" s="75">
        <f>AP990</f>
        <v>1424.7615112161939</v>
      </c>
      <c r="AS999" s="61"/>
      <c r="AT999" s="69">
        <f>IFERROR(ABS(AS$23-AS998),Q_max*10)</f>
        <v>5500</v>
      </c>
      <c r="AU999" s="75">
        <f>AS990</f>
        <v>1621.5115021351285</v>
      </c>
    </row>
    <row r="1000" spans="15:47" ht="14.5" x14ac:dyDescent="0.35">
      <c r="O1000" s="6"/>
      <c r="P1000" s="6"/>
      <c r="Q1000" s="60"/>
      <c r="R1000" s="67"/>
      <c r="S1000" s="56"/>
      <c r="T1000" s="72"/>
      <c r="V1000" s="11"/>
      <c r="W1000" s="38"/>
      <c r="Y1000" s="11"/>
      <c r="Z1000" s="38"/>
      <c r="AB1000" s="11"/>
      <c r="AC1000" s="38"/>
      <c r="AE1000" s="11"/>
      <c r="AF1000" s="38"/>
      <c r="AH1000" s="11"/>
      <c r="AI1000" s="38"/>
      <c r="AK1000" s="11"/>
      <c r="AL1000" s="38"/>
      <c r="AN1000" s="11"/>
      <c r="AO1000" s="38"/>
      <c r="AQ1000" s="11"/>
      <c r="AR1000" s="38"/>
      <c r="AT1000" s="11"/>
      <c r="AU1000" s="38"/>
    </row>
    <row r="1001" spans="15:47" ht="14" x14ac:dyDescent="0.3">
      <c r="O1001" s="8" t="s">
        <v>235</v>
      </c>
      <c r="P1001" s="6"/>
      <c r="Q1001" s="60"/>
      <c r="R1001" s="53">
        <f>R990*1.02</f>
        <v>4.5698832189968908</v>
      </c>
      <c r="S1001" s="58" t="s">
        <v>238</v>
      </c>
      <c r="T1001" s="73" t="s">
        <v>241</v>
      </c>
      <c r="U1001" s="84">
        <f>U990*1.01</f>
        <v>67.826873252796943</v>
      </c>
      <c r="V1001" s="58" t="s">
        <v>238</v>
      </c>
      <c r="W1001" s="73" t="s">
        <v>241</v>
      </c>
      <c r="X1001" s="84">
        <f>X990*1.01</f>
        <v>162.81060490740097</v>
      </c>
      <c r="Y1001" s="58" t="s">
        <v>238</v>
      </c>
      <c r="Z1001" s="73" t="s">
        <v>241</v>
      </c>
      <c r="AA1001" s="84">
        <f>AA990*1.01</f>
        <v>310.86511292958596</v>
      </c>
      <c r="AB1001" s="58" t="s">
        <v>238</v>
      </c>
      <c r="AC1001" s="73" t="s">
        <v>241</v>
      </c>
      <c r="AD1001" s="84">
        <f>AD990*1.01</f>
        <v>511.25865702508935</v>
      </c>
      <c r="AE1001" s="58" t="s">
        <v>238</v>
      </c>
      <c r="AF1001" s="73" t="s">
        <v>241</v>
      </c>
      <c r="AG1001" s="84">
        <f>AG990*1.01</f>
        <v>761.1944729276745</v>
      </c>
      <c r="AH1001" s="58" t="s">
        <v>238</v>
      </c>
      <c r="AI1001" s="73" t="s">
        <v>241</v>
      </c>
      <c r="AJ1001" s="84">
        <f>AJ990*1.01</f>
        <v>1015.8169749435339</v>
      </c>
      <c r="AK1001" s="58" t="s">
        <v>238</v>
      </c>
      <c r="AL1001" s="73" t="s">
        <v>241</v>
      </c>
      <c r="AM1001" s="84">
        <f>AM990*1.01</f>
        <v>1239.4897552361738</v>
      </c>
      <c r="AN1001" s="58" t="s">
        <v>238</v>
      </c>
      <c r="AO1001" s="73" t="s">
        <v>241</v>
      </c>
      <c r="AP1001" s="84">
        <f>AP990*1.01</f>
        <v>1439.0091263283557</v>
      </c>
      <c r="AQ1001" s="58" t="s">
        <v>238</v>
      </c>
      <c r="AR1001" s="73" t="s">
        <v>241</v>
      </c>
      <c r="AS1001" s="84">
        <f>AS990*1.01</f>
        <v>1637.7266171564797</v>
      </c>
      <c r="AT1001" s="58" t="s">
        <v>238</v>
      </c>
      <c r="AU1001" s="73" t="s">
        <v>241</v>
      </c>
    </row>
    <row r="1002" spans="15:47" ht="13" x14ac:dyDescent="0.25">
      <c r="O1002" s="6"/>
      <c r="P1002" s="6"/>
      <c r="Q1002" s="60"/>
      <c r="R1002" s="70"/>
      <c r="S1002" s="63" t="s">
        <v>250</v>
      </c>
      <c r="T1002" s="71" t="s">
        <v>242</v>
      </c>
      <c r="U1002" s="61"/>
      <c r="V1002" s="63" t="s">
        <v>250</v>
      </c>
      <c r="W1002" s="71" t="s">
        <v>242</v>
      </c>
      <c r="X1002" s="61"/>
      <c r="Y1002" s="63" t="s">
        <v>250</v>
      </c>
      <c r="Z1002" s="71" t="s">
        <v>242</v>
      </c>
      <c r="AA1002" s="61"/>
      <c r="AB1002" s="63" t="s">
        <v>250</v>
      </c>
      <c r="AC1002" s="71" t="s">
        <v>242</v>
      </c>
      <c r="AD1002" s="61"/>
      <c r="AE1002" s="63" t="s">
        <v>250</v>
      </c>
      <c r="AF1002" s="71" t="s">
        <v>242</v>
      </c>
      <c r="AG1002" s="61"/>
      <c r="AH1002" s="63" t="s">
        <v>250</v>
      </c>
      <c r="AI1002" s="71" t="s">
        <v>242</v>
      </c>
      <c r="AJ1002" s="61"/>
      <c r="AK1002" s="63" t="s">
        <v>250</v>
      </c>
      <c r="AL1002" s="71" t="s">
        <v>242</v>
      </c>
      <c r="AM1002" s="61"/>
      <c r="AN1002" s="63" t="s">
        <v>250</v>
      </c>
      <c r="AO1002" s="71" t="s">
        <v>242</v>
      </c>
      <c r="AP1002" s="61"/>
      <c r="AQ1002" s="63" t="s">
        <v>250</v>
      </c>
      <c r="AR1002" s="71" t="s">
        <v>242</v>
      </c>
      <c r="AS1002" s="61"/>
      <c r="AT1002" s="63" t="s">
        <v>250</v>
      </c>
      <c r="AU1002" s="71" t="s">
        <v>242</v>
      </c>
    </row>
    <row r="1003" spans="15:47" ht="13" x14ac:dyDescent="0.3">
      <c r="O1003" s="6" t="s">
        <v>231</v>
      </c>
      <c r="P1003" s="6"/>
      <c r="Q1003" s="60"/>
      <c r="R1003" s="85">
        <f>P_1_minQ-(R1001^2*R_up)+dpup_minQ</f>
        <v>56.915437898256151</v>
      </c>
      <c r="S1003" s="56"/>
      <c r="T1003" s="72"/>
      <c r="U1003" s="53">
        <f>P_1_minQ-(U1001^2*R_up)+dpup_minQ</f>
        <v>56.760773902895949</v>
      </c>
      <c r="V1003" s="44"/>
      <c r="W1003" s="72"/>
      <c r="X1003" s="53">
        <f>P_1_minQ-(X1001^2*R_up)+dpup_minQ</f>
        <v>56.020928974322395</v>
      </c>
      <c r="Y1003" s="44"/>
      <c r="Z1003" s="72"/>
      <c r="AA1003" s="53">
        <f>P_1_minQ-(AA1001^2*R_up)+dpup_minQ</f>
        <v>53.652478269614178</v>
      </c>
      <c r="AB1003" s="44"/>
      <c r="AC1003" s="72"/>
      <c r="AD1003" s="53">
        <f>P_1_minQ-(AD1001^2*R_up)+dpup_minQ</f>
        <v>48.088537170445868</v>
      </c>
      <c r="AE1003" s="44"/>
      <c r="AF1003" s="72"/>
      <c r="AG1003" s="53">
        <f>P_1_minQ-(AG1001^2*R_up)+dpup_minQ</f>
        <v>37.347854589137448</v>
      </c>
      <c r="AH1003" s="44"/>
      <c r="AI1003" s="72"/>
      <c r="AJ1003" s="53">
        <f>P_1_minQ-(AJ1001^2*R_up)+dpup_minQ</f>
        <v>22.066966343011412</v>
      </c>
      <c r="AK1003" s="44"/>
      <c r="AL1003" s="72"/>
      <c r="AM1003" s="53">
        <f>P_1_minQ-(AM1001^2*R_up)+dpup_minQ</f>
        <v>5.0304676347372519</v>
      </c>
      <c r="AN1003" s="44"/>
      <c r="AO1003" s="72"/>
      <c r="AP1003" s="53">
        <f>P_1_minQ-(AP1001^2*R_up)+dpup_minQ</f>
        <v>-13.017908330168783</v>
      </c>
      <c r="AQ1003" s="44"/>
      <c r="AR1003" s="72"/>
      <c r="AS1003" s="53">
        <f>P_1_minQ-(AS1001^2*R_up)+dpup_minQ</f>
        <v>-33.666378674191371</v>
      </c>
      <c r="AT1003" s="44"/>
      <c r="AU1003" s="72"/>
    </row>
    <row r="1004" spans="15:47" ht="13" x14ac:dyDescent="0.3">
      <c r="O1004" s="6" t="s">
        <v>233</v>
      </c>
      <c r="P1004" s="6"/>
      <c r="Q1004" s="60"/>
      <c r="R1004" s="85">
        <f>P_2_minQ+(R1001^2*R_dn)-dpdn_minQ</f>
        <v>24.656912420348771</v>
      </c>
      <c r="S1004" s="66"/>
      <c r="T1004" s="74"/>
      <c r="U1004" s="53">
        <f>P_2_minQ+(U1001^2*R_dn)-dpdn_minQ</f>
        <v>24.687845219420812</v>
      </c>
      <c r="V1004" s="45"/>
      <c r="W1004" s="74"/>
      <c r="X1004" s="53">
        <f>P_2_minQ+(X1001^2*R_dn)-dpdn_minQ</f>
        <v>24.83581420513552</v>
      </c>
      <c r="Y1004" s="45"/>
      <c r="Z1004" s="74"/>
      <c r="AA1004" s="53">
        <f>P_2_minQ+(AA1001^2*R_dn)-dpdn_minQ</f>
        <v>25.309504346077166</v>
      </c>
      <c r="AB1004" s="45"/>
      <c r="AC1004" s="74"/>
      <c r="AD1004" s="53">
        <f>P_2_minQ+(AD1001^2*R_dn)-dpdn_minQ</f>
        <v>26.422292565910826</v>
      </c>
      <c r="AE1004" s="45"/>
      <c r="AF1004" s="74"/>
      <c r="AG1004" s="53">
        <f>P_2_minQ+(AG1001^2*R_dn)-dpdn_minQ</f>
        <v>28.570429082172513</v>
      </c>
      <c r="AH1004" s="45"/>
      <c r="AI1004" s="74"/>
      <c r="AJ1004" s="53">
        <f>P_2_minQ+(AJ1001^2*R_dn)-dpdn_minQ</f>
        <v>31.626606731397718</v>
      </c>
      <c r="AK1004" s="45"/>
      <c r="AL1004" s="74"/>
      <c r="AM1004" s="53">
        <f>P_2_minQ+(AM1001^2*R_dn)-dpdn_minQ</f>
        <v>35.033906473052554</v>
      </c>
      <c r="AN1004" s="45"/>
      <c r="AO1004" s="74"/>
      <c r="AP1004" s="53">
        <f>P_2_minQ+(AP1001^2*R_dn)-dpdn_minQ</f>
        <v>38.643581666033761</v>
      </c>
      <c r="AQ1004" s="45"/>
      <c r="AR1004" s="74"/>
      <c r="AS1004" s="53">
        <f>P_2_minQ+(AS1001^2*R_dn)-dpdn_minQ</f>
        <v>42.773275734838279</v>
      </c>
      <c r="AT1004" s="45"/>
      <c r="AU1004" s="74"/>
    </row>
    <row r="1005" spans="15:47" x14ac:dyDescent="0.25">
      <c r="O1005" s="6" t="s">
        <v>243</v>
      </c>
      <c r="Q1005" s="60"/>
      <c r="R1005" s="53">
        <f>R1003-R1004</f>
        <v>32.258525477907384</v>
      </c>
      <c r="S1005" s="56"/>
      <c r="T1005" s="72"/>
      <c r="U1005" s="64">
        <f>U1003-U1004</f>
        <v>32.072928683475141</v>
      </c>
      <c r="V1005" s="44"/>
      <c r="W1005" s="72"/>
      <c r="X1005" s="64">
        <f>X1003-X1004</f>
        <v>31.185114769186875</v>
      </c>
      <c r="Y1005" s="44"/>
      <c r="Z1005" s="72"/>
      <c r="AA1005" s="64">
        <f>AA1003-AA1004</f>
        <v>28.342973923537013</v>
      </c>
      <c r="AB1005" s="44"/>
      <c r="AC1005" s="72"/>
      <c r="AD1005" s="64">
        <f>AD1003-AD1004</f>
        <v>21.666244604535041</v>
      </c>
      <c r="AE1005" s="44"/>
      <c r="AF1005" s="72"/>
      <c r="AG1005" s="64">
        <f>AG1003-AG1004</f>
        <v>8.777425506964935</v>
      </c>
      <c r="AH1005" s="44"/>
      <c r="AI1005" s="72"/>
      <c r="AJ1005" s="64">
        <f>AJ1003-AJ1004</f>
        <v>-9.5596403883863061</v>
      </c>
      <c r="AK1005" s="44"/>
      <c r="AL1005" s="72"/>
      <c r="AM1005" s="64">
        <f>AM1003-AM1004</f>
        <v>-30.003438838315301</v>
      </c>
      <c r="AN1005" s="44"/>
      <c r="AO1005" s="72"/>
      <c r="AP1005" s="64">
        <f>AP1003-AP1004</f>
        <v>-51.661489996202548</v>
      </c>
      <c r="AQ1005" s="44"/>
      <c r="AR1005" s="72"/>
      <c r="AS1005" s="64">
        <f>AS1003-AS1004</f>
        <v>-76.439654409029657</v>
      </c>
      <c r="AT1005" s="44"/>
      <c r="AU1005" s="72"/>
    </row>
    <row r="1006" spans="15:47" ht="13" x14ac:dyDescent="0.3">
      <c r="O1006" s="6" t="s">
        <v>75</v>
      </c>
      <c r="P1006" s="6">
        <v>3</v>
      </c>
      <c r="Q1006" s="65"/>
      <c r="R1006" s="85">
        <f>(F_LP_h/F_P_h)^2*(R1003-('Valve Sizing'!$V$4*'Valve Sizing'!$G$7))</f>
        <v>46.764579219102828</v>
      </c>
      <c r="S1006" s="58"/>
      <c r="T1006" s="73"/>
      <c r="U1006" s="53">
        <f>(U$29/U$27)^2*(U1003-('Valve Sizing'!$V$4*'Valve Sizing'!$G$7))</f>
        <v>46.623798126814116</v>
      </c>
      <c r="V1006" s="41"/>
      <c r="W1006" s="73"/>
      <c r="X1006" s="53">
        <f>(X$29/X$27)^2*(X1003-('Valve Sizing'!$V$4*'Valve Sizing'!$G$7))</f>
        <v>44.973460156349581</v>
      </c>
      <c r="Y1006" s="41"/>
      <c r="Z1006" s="73"/>
      <c r="AA1006" s="53">
        <f>(AA$29/AA$27)^2*(AA1003-('Valve Sizing'!$V$4*'Valve Sizing'!$G$7))</f>
        <v>41.122410781670908</v>
      </c>
      <c r="AB1006" s="41"/>
      <c r="AC1006" s="73"/>
      <c r="AD1006" s="53">
        <f>(AD$29/AD$27)^2*(AD1003-('Valve Sizing'!$V$4*'Valve Sizing'!$G$7))</f>
        <v>34.363483387540725</v>
      </c>
      <c r="AE1006" s="41"/>
      <c r="AF1006" s="73"/>
      <c r="AG1006" s="53">
        <f>(AG$29/AG$27)^2*(AG1003-('Valve Sizing'!$V$4*'Valve Sizing'!$G$7))</f>
        <v>23.770243357934643</v>
      </c>
      <c r="AH1006" s="41"/>
      <c r="AI1006" s="73"/>
      <c r="AJ1006" s="53">
        <f>(AJ$29/AJ$27)^2*(AJ1003-('Valve Sizing'!$V$4*'Valve Sizing'!$G$7))</f>
        <v>12.508232660428675</v>
      </c>
      <c r="AK1006" s="41"/>
      <c r="AL1006" s="73"/>
      <c r="AM1006" s="53">
        <f>(AM$29/AM$27)^2*(AM1003-('Valve Sizing'!$V$4*'Valve Sizing'!$G$7))</f>
        <v>2.1963833225143961</v>
      </c>
      <c r="AN1006" s="41"/>
      <c r="AO1006" s="73"/>
      <c r="AP1006" s="53">
        <f>(AP$29/AP$27)^2*(AP1003-('Valve Sizing'!$V$4*'Valve Sizing'!$G$7))</f>
        <v>-5.3108744249333464</v>
      </c>
      <c r="AQ1006" s="41"/>
      <c r="AR1006" s="73"/>
      <c r="AS1006" s="53">
        <f>(AS$29/AS$27)^2*(AS1003-('Valve Sizing'!$V$4*'Valve Sizing'!$G$7))</f>
        <v>-12.82882205016427</v>
      </c>
      <c r="AT1006" s="41"/>
      <c r="AU1006" s="73"/>
    </row>
    <row r="1007" spans="15:47" ht="13" x14ac:dyDescent="0.25">
      <c r="O1007" s="1" t="s">
        <v>69</v>
      </c>
      <c r="P1007" s="17">
        <v>7</v>
      </c>
      <c r="Q1007" s="65"/>
      <c r="R1007" s="53">
        <f>(R1001/(N_1*F_P_h))*SQRT('Valve Sizing'!$G$6/R1005)</f>
        <v>0.80472292669054335</v>
      </c>
      <c r="S1007" s="58"/>
      <c r="T1007" s="73"/>
      <c r="U1007" s="64">
        <f>(U1001/(N_1*U$27))*SQRT('Valve Sizing'!$G$6/U1005)</f>
        <v>11.986659209356979</v>
      </c>
      <c r="V1007" s="41"/>
      <c r="W1007" s="73"/>
      <c r="X1007" s="64">
        <f>(X1001/(N_1*X$27))*SQRT('Valve Sizing'!$G$6/X1005)</f>
        <v>29.244845692431266</v>
      </c>
      <c r="Y1007" s="41"/>
      <c r="Z1007" s="73"/>
      <c r="AA1007" s="64">
        <f>(AA1001/(N_1*AA$27))*SQRT('Valve Sizing'!$G$6/AA1005)</f>
        <v>58.908900901582946</v>
      </c>
      <c r="AB1007" s="41"/>
      <c r="AC1007" s="73"/>
      <c r="AD1007" s="64">
        <f>(AD1001/(N_1*AD$27))*SQRT('Valve Sizing'!$G$6/AD1005)</f>
        <v>112.20331792370253</v>
      </c>
      <c r="AE1007" s="41"/>
      <c r="AF1007" s="73"/>
      <c r="AG1007" s="64">
        <f>(AG1001/(N_1*AG$27))*SQRT('Valve Sizing'!$G$6/AG1005)</f>
        <v>268.31941886760296</v>
      </c>
      <c r="AH1007" s="41"/>
      <c r="AI1007" s="73"/>
      <c r="AJ1007" s="64" t="e">
        <f>(AJ1001/(N_1*AJ$27))*SQRT('Valve Sizing'!$G$6/AJ1005)</f>
        <v>#NUM!</v>
      </c>
      <c r="AK1007" s="41"/>
      <c r="AL1007" s="73"/>
      <c r="AM1007" s="64" t="e">
        <f>(AM1001/(N_1*AM$27))*SQRT('Valve Sizing'!$G$6/AM1005)</f>
        <v>#NUM!</v>
      </c>
      <c r="AN1007" s="41"/>
      <c r="AO1007" s="73"/>
      <c r="AP1007" s="64" t="e">
        <f>(AP1001/(N_1*AP$27))*SQRT('Valve Sizing'!$G$6/AP1005)</f>
        <v>#NUM!</v>
      </c>
      <c r="AQ1007" s="41"/>
      <c r="AR1007" s="73"/>
      <c r="AS1007" s="64" t="e">
        <f>(AS1001/(N_1*AS$27))*SQRT('Valve Sizing'!$G$6/AS1005)</f>
        <v>#NUM!</v>
      </c>
      <c r="AT1007" s="41"/>
      <c r="AU1007" s="73"/>
    </row>
    <row r="1008" spans="15:47" ht="13" x14ac:dyDescent="0.3">
      <c r="O1008" s="1" t="s">
        <v>72</v>
      </c>
      <c r="P1008" s="17">
        <v>7</v>
      </c>
      <c r="Q1008" s="65"/>
      <c r="R1008" s="53">
        <f>(R1001/(N_1*F_P_h))*SQRT('Valve Sizing'!$G$6/R1006)</f>
        <v>0.66835948420534275</v>
      </c>
      <c r="S1008" s="56"/>
      <c r="T1008" s="72"/>
      <c r="U1008" s="85">
        <f>(U1001/(N_1*U$27))*SQRT('Valve Sizing'!$G$6/U1006)</f>
        <v>9.941768419690332</v>
      </c>
      <c r="V1008" s="44"/>
      <c r="W1008" s="72"/>
      <c r="X1008" s="85">
        <f>(X1001/(N_1*X$27))*SQRT('Valve Sizing'!$G$6/X1006)</f>
        <v>24.352573136097725</v>
      </c>
      <c r="Y1008" s="44"/>
      <c r="Z1008" s="72"/>
      <c r="AA1008" s="85">
        <f>(AA1001/(N_1*AA$27))*SQRT('Valve Sizing'!$G$6/AA1006)</f>
        <v>48.906247910772507</v>
      </c>
      <c r="AB1008" s="44"/>
      <c r="AC1008" s="72"/>
      <c r="AD1008" s="85">
        <f>(AD1001/(N_1*AD$27))*SQRT('Valve Sizing'!$G$6/AD1006)</f>
        <v>89.094096852576186</v>
      </c>
      <c r="AE1008" s="44"/>
      <c r="AF1008" s="72"/>
      <c r="AG1008" s="85">
        <f>(AG1001/(N_1*AG$27))*SQRT('Valve Sizing'!$G$6/AG1006)</f>
        <v>163.04927303480775</v>
      </c>
      <c r="AH1008" s="44"/>
      <c r="AI1008" s="72"/>
      <c r="AJ1008" s="85">
        <f>(AJ1001/(N_1*AJ$27))*SQRT('Valve Sizing'!$G$6/AJ1006)</f>
        <v>310.8584582499397</v>
      </c>
      <c r="AK1008" s="44"/>
      <c r="AL1008" s="72"/>
      <c r="AM1008" s="85">
        <f>(AM1001/(N_1*AM$27))*SQRT('Valve Sizing'!$G$6/AM1006)</f>
        <v>960.40135368986159</v>
      </c>
      <c r="AN1008" s="44"/>
      <c r="AO1008" s="72"/>
      <c r="AP1008" s="85" t="e">
        <f>(AP1001/(N_1*AP$27))*SQRT('Valve Sizing'!$G$6/AP1006)</f>
        <v>#NUM!</v>
      </c>
      <c r="AQ1008" s="44"/>
      <c r="AR1008" s="72"/>
      <c r="AS1008" s="85" t="e">
        <f>(AS1001/(N_1*AS$27))*SQRT('Valve Sizing'!$G$6/AS1006)</f>
        <v>#NUM!</v>
      </c>
      <c r="AT1008" s="44"/>
      <c r="AU1008" s="72"/>
    </row>
    <row r="1009" spans="15:47" x14ac:dyDescent="0.25">
      <c r="O1009" s="1" t="s">
        <v>246</v>
      </c>
      <c r="P1009" s="18"/>
      <c r="Q1009" s="65"/>
      <c r="R1009" s="53">
        <f>IF(R1005&lt;R1006,R1007,R1008)</f>
        <v>0.80472292669054335</v>
      </c>
      <c r="S1009" s="49"/>
      <c r="T1009" s="72"/>
      <c r="U1009" s="64">
        <f>IF(U1005&lt;U1006,U1007,U1008)</f>
        <v>11.986659209356979</v>
      </c>
      <c r="V1009" s="44"/>
      <c r="W1009" s="72"/>
      <c r="X1009" s="64">
        <f>IF(X1005&lt;X1006,X1007,X1008)</f>
        <v>29.244845692431266</v>
      </c>
      <c r="Y1009" s="44"/>
      <c r="Z1009" s="72"/>
      <c r="AA1009" s="64">
        <f>IF(AA1005&lt;AA1006,AA1007,AA1008)</f>
        <v>58.908900901582946</v>
      </c>
      <c r="AB1009" s="44"/>
      <c r="AC1009" s="72"/>
      <c r="AD1009" s="64">
        <f>IF(AD1005&lt;AD1006,AD1007,AD1008)</f>
        <v>112.20331792370253</v>
      </c>
      <c r="AE1009" s="44"/>
      <c r="AF1009" s="72"/>
      <c r="AG1009" s="64">
        <f>IF(AG1005&lt;AG1006,AG1007,AG1008)</f>
        <v>268.31941886760296</v>
      </c>
      <c r="AH1009" s="44"/>
      <c r="AI1009" s="72"/>
      <c r="AJ1009" s="64" t="e">
        <f>IF(AJ1005&lt;AJ1006,AJ1007,AJ1008)</f>
        <v>#NUM!</v>
      </c>
      <c r="AK1009" s="44"/>
      <c r="AL1009" s="72"/>
      <c r="AM1009" s="64" t="e">
        <f>IF(AM1005&lt;AM1006,AM1007,AM1008)</f>
        <v>#NUM!</v>
      </c>
      <c r="AN1009" s="44"/>
      <c r="AO1009" s="72"/>
      <c r="AP1009" s="64" t="e">
        <f>IF(AP1005&lt;AP1006,AP1007,AP1008)</f>
        <v>#NUM!</v>
      </c>
      <c r="AQ1009" s="44"/>
      <c r="AR1009" s="72"/>
      <c r="AS1009" s="64" t="e">
        <f>IF(AS1005&lt;AS1006,AS1007,AS1008)</f>
        <v>#NUM!</v>
      </c>
      <c r="AT1009" s="44"/>
      <c r="AU1009" s="72"/>
    </row>
    <row r="1010" spans="15:47" ht="13" x14ac:dyDescent="0.3">
      <c r="O1010" s="7" t="s">
        <v>264</v>
      </c>
      <c r="Q1010" s="61"/>
      <c r="R1010" s="53"/>
      <c r="S1010" s="69">
        <f>IFERROR(ABS(C_h-R1009),Q_max*10)</f>
        <v>4.1952770733094571</v>
      </c>
      <c r="T1010" s="76">
        <f>R1001</f>
        <v>4.5698832189968908</v>
      </c>
      <c r="U1010" s="61"/>
      <c r="V1010" s="69">
        <f>IFERROR(ABS(U$23-U1009),Q_max*10)</f>
        <v>1.3340790643020739E-2</v>
      </c>
      <c r="W1010" s="75">
        <f>U1001</f>
        <v>67.826873252796943</v>
      </c>
      <c r="X1010" s="61"/>
      <c r="Y1010" s="69">
        <f>IFERROR(ABS(X$23-X1009),Q_max*10)</f>
        <v>6.2448456924312659</v>
      </c>
      <c r="Z1010" s="75">
        <f>X1001</f>
        <v>162.81060490740097</v>
      </c>
      <c r="AA1010" s="61"/>
      <c r="AB1010" s="69">
        <f>IFERROR(ABS(AA$23-AA1009),Q_max*10)</f>
        <v>19.908900901582946</v>
      </c>
      <c r="AC1010" s="75">
        <f>AA1001</f>
        <v>310.86511292958596</v>
      </c>
      <c r="AD1010" s="61"/>
      <c r="AE1010" s="69">
        <f>IFERROR(ABS(AD$23-AD1009),Q_max*10)</f>
        <v>51.203317923702528</v>
      </c>
      <c r="AF1010" s="75">
        <f>AD1001</f>
        <v>511.25865702508935</v>
      </c>
      <c r="AG1010" s="61"/>
      <c r="AH1010" s="69">
        <f>IFERROR(ABS(AG$23-AG1009),Q_max*10)</f>
        <v>180.31941886760296</v>
      </c>
      <c r="AI1010" s="75">
        <f>AG1001</f>
        <v>761.1944729276745</v>
      </c>
      <c r="AJ1010" s="61"/>
      <c r="AK1010" s="69">
        <f>IFERROR(ABS(AJ$23-AJ1009),Q_max*10)</f>
        <v>5500</v>
      </c>
      <c r="AL1010" s="75">
        <f>AJ1001</f>
        <v>1015.8169749435339</v>
      </c>
      <c r="AM1010" s="61"/>
      <c r="AN1010" s="69">
        <f>IFERROR(ABS(AM$23-AM1009),Q_max*10)</f>
        <v>5500</v>
      </c>
      <c r="AO1010" s="75">
        <f>AM1001</f>
        <v>1239.4897552361738</v>
      </c>
      <c r="AP1010" s="61"/>
      <c r="AQ1010" s="69">
        <f>IFERROR(ABS(AP$23-AP1009),Q_max*10)</f>
        <v>5500</v>
      </c>
      <c r="AR1010" s="75">
        <f>AP1001</f>
        <v>1439.0091263283557</v>
      </c>
      <c r="AS1010" s="61"/>
      <c r="AT1010" s="69">
        <f>IFERROR(ABS(AS$23-AS1009),Q_max*10)</f>
        <v>5500</v>
      </c>
      <c r="AU1010" s="75">
        <f>AS1001</f>
        <v>1637.7266171564797</v>
      </c>
    </row>
    <row r="1011" spans="15:47" ht="14.5" x14ac:dyDescent="0.35">
      <c r="O1011" s="8"/>
      <c r="P1011" s="6"/>
      <c r="Q1011" s="60"/>
      <c r="R1011" s="67"/>
      <c r="S1011" s="58"/>
      <c r="T1011" s="73"/>
      <c r="V1011" s="11"/>
      <c r="W1011" s="38"/>
      <c r="Y1011" s="11"/>
      <c r="Z1011" s="38"/>
      <c r="AB1011" s="11"/>
      <c r="AC1011" s="38"/>
      <c r="AE1011" s="11"/>
      <c r="AF1011" s="38"/>
      <c r="AH1011" s="11"/>
      <c r="AI1011" s="38"/>
      <c r="AK1011" s="11"/>
      <c r="AL1011" s="38"/>
      <c r="AN1011" s="11"/>
      <c r="AO1011" s="38"/>
      <c r="AQ1011" s="11"/>
      <c r="AR1011" s="38"/>
      <c r="AT1011" s="11"/>
      <c r="AU1011" s="38"/>
    </row>
    <row r="1012" spans="15:47" ht="14" x14ac:dyDescent="0.3">
      <c r="O1012" s="8" t="s">
        <v>235</v>
      </c>
      <c r="P1012" s="6"/>
      <c r="Q1012" s="60"/>
      <c r="R1012" s="53">
        <f>R1001*1.02</f>
        <v>4.6612808833768282</v>
      </c>
      <c r="S1012" s="58" t="s">
        <v>238</v>
      </c>
      <c r="T1012" s="73" t="s">
        <v>241</v>
      </c>
      <c r="U1012" s="84">
        <f>U1001*1.01</f>
        <v>68.505141985324912</v>
      </c>
      <c r="V1012" s="58" t="s">
        <v>238</v>
      </c>
      <c r="W1012" s="73" t="s">
        <v>241</v>
      </c>
      <c r="X1012" s="84">
        <f>X1001*1.01</f>
        <v>164.43871095647498</v>
      </c>
      <c r="Y1012" s="58" t="s">
        <v>238</v>
      </c>
      <c r="Z1012" s="73" t="s">
        <v>241</v>
      </c>
      <c r="AA1012" s="84">
        <f>AA1001*1.01</f>
        <v>313.97376405888184</v>
      </c>
      <c r="AB1012" s="58" t="s">
        <v>238</v>
      </c>
      <c r="AC1012" s="73" t="s">
        <v>241</v>
      </c>
      <c r="AD1012" s="84">
        <f>AD1001*1.01</f>
        <v>516.37124359534027</v>
      </c>
      <c r="AE1012" s="58" t="s">
        <v>238</v>
      </c>
      <c r="AF1012" s="73" t="s">
        <v>241</v>
      </c>
      <c r="AG1012" s="84">
        <f>AG1001*1.01</f>
        <v>768.80641765695123</v>
      </c>
      <c r="AH1012" s="58" t="s">
        <v>238</v>
      </c>
      <c r="AI1012" s="73" t="s">
        <v>241</v>
      </c>
      <c r="AJ1012" s="84">
        <f>AJ1001*1.01</f>
        <v>1025.9751446929693</v>
      </c>
      <c r="AK1012" s="58" t="s">
        <v>238</v>
      </c>
      <c r="AL1012" s="73" t="s">
        <v>241</v>
      </c>
      <c r="AM1012" s="84">
        <f>AM1001*1.01</f>
        <v>1251.8846527885355</v>
      </c>
      <c r="AN1012" s="58" t="s">
        <v>238</v>
      </c>
      <c r="AO1012" s="73" t="s">
        <v>241</v>
      </c>
      <c r="AP1012" s="84">
        <f>AP1001*1.01</f>
        <v>1453.3992175916392</v>
      </c>
      <c r="AQ1012" s="58" t="s">
        <v>238</v>
      </c>
      <c r="AR1012" s="73" t="s">
        <v>241</v>
      </c>
      <c r="AS1012" s="84">
        <f>AS1001*1.01</f>
        <v>1654.1038833280445</v>
      </c>
      <c r="AT1012" s="58" t="s">
        <v>238</v>
      </c>
      <c r="AU1012" s="73" t="s">
        <v>241</v>
      </c>
    </row>
    <row r="1013" spans="15:47" ht="13" x14ac:dyDescent="0.25">
      <c r="O1013" s="6"/>
      <c r="P1013" s="6"/>
      <c r="Q1013" s="60"/>
      <c r="R1013" s="70"/>
      <c r="S1013" s="63" t="s">
        <v>250</v>
      </c>
      <c r="T1013" s="71" t="s">
        <v>242</v>
      </c>
      <c r="U1013" s="61"/>
      <c r="V1013" s="63" t="s">
        <v>250</v>
      </c>
      <c r="W1013" s="71" t="s">
        <v>242</v>
      </c>
      <c r="X1013" s="61"/>
      <c r="Y1013" s="63" t="s">
        <v>250</v>
      </c>
      <c r="Z1013" s="71" t="s">
        <v>242</v>
      </c>
      <c r="AA1013" s="61"/>
      <c r="AB1013" s="63" t="s">
        <v>250</v>
      </c>
      <c r="AC1013" s="71" t="s">
        <v>242</v>
      </c>
      <c r="AD1013" s="61"/>
      <c r="AE1013" s="63" t="s">
        <v>250</v>
      </c>
      <c r="AF1013" s="71" t="s">
        <v>242</v>
      </c>
      <c r="AG1013" s="61"/>
      <c r="AH1013" s="63" t="s">
        <v>250</v>
      </c>
      <c r="AI1013" s="71" t="s">
        <v>242</v>
      </c>
      <c r="AJ1013" s="61"/>
      <c r="AK1013" s="63" t="s">
        <v>250</v>
      </c>
      <c r="AL1013" s="71" t="s">
        <v>242</v>
      </c>
      <c r="AM1013" s="61"/>
      <c r="AN1013" s="63" t="s">
        <v>250</v>
      </c>
      <c r="AO1013" s="71" t="s">
        <v>242</v>
      </c>
      <c r="AP1013" s="61"/>
      <c r="AQ1013" s="63" t="s">
        <v>250</v>
      </c>
      <c r="AR1013" s="71" t="s">
        <v>242</v>
      </c>
      <c r="AS1013" s="61"/>
      <c r="AT1013" s="63" t="s">
        <v>250</v>
      </c>
      <c r="AU1013" s="71" t="s">
        <v>242</v>
      </c>
    </row>
    <row r="1014" spans="15:47" ht="13" x14ac:dyDescent="0.3">
      <c r="O1014" s="6" t="s">
        <v>231</v>
      </c>
      <c r="P1014" s="6"/>
      <c r="Q1014" s="60"/>
      <c r="R1014" s="85">
        <f>P_1_minQ-(R1012^2*R_up)+dpup_minQ</f>
        <v>56.915409404273092</v>
      </c>
      <c r="S1014" s="56"/>
      <c r="T1014" s="72"/>
      <c r="U1014" s="53">
        <f>P_1_minQ-(U1012^2*R_up)+dpup_minQ</f>
        <v>56.757650980127337</v>
      </c>
      <c r="V1014" s="44"/>
      <c r="W1014" s="72"/>
      <c r="X1014" s="53">
        <f>P_1_minQ-(X1012^2*R_up)+dpup_minQ</f>
        <v>56.002935168489458</v>
      </c>
      <c r="Y1014" s="44"/>
      <c r="Z1014" s="72"/>
      <c r="AA1014" s="53">
        <f>P_1_minQ-(AA1012^2*R_up)+dpup_minQ</f>
        <v>53.586878604616601</v>
      </c>
      <c r="AB1014" s="44"/>
      <c r="AC1014" s="72"/>
      <c r="AD1014" s="53">
        <f>P_1_minQ-(AD1012^2*R_up)+dpup_minQ</f>
        <v>47.911102289355007</v>
      </c>
      <c r="AE1014" s="44"/>
      <c r="AF1014" s="72"/>
      <c r="AG1014" s="53">
        <f>P_1_minQ-(AG1012^2*R_up)+dpup_minQ</f>
        <v>36.954531988162294</v>
      </c>
      <c r="AH1014" s="44"/>
      <c r="AI1014" s="72"/>
      <c r="AJ1014" s="53">
        <f>P_1_minQ-(AJ1012^2*R_up)+dpup_minQ</f>
        <v>21.366497888289114</v>
      </c>
      <c r="AK1014" s="44"/>
      <c r="AL1014" s="72"/>
      <c r="AM1014" s="53">
        <f>P_1_minQ-(AM1012^2*R_up)+dpup_minQ</f>
        <v>3.9875655559786507</v>
      </c>
      <c r="AN1014" s="44"/>
      <c r="AO1014" s="72"/>
      <c r="AP1014" s="53">
        <f>P_1_minQ-(AP1012^2*R_up)+dpup_minQ</f>
        <v>-14.42358276582198</v>
      </c>
      <c r="AQ1014" s="44"/>
      <c r="AR1014" s="72"/>
      <c r="AS1014" s="53">
        <f>P_1_minQ-(AS1012^2*R_up)+dpup_minQ</f>
        <v>-35.48708736375945</v>
      </c>
      <c r="AT1014" s="44"/>
      <c r="AU1014" s="72"/>
    </row>
    <row r="1015" spans="15:47" ht="13" x14ac:dyDescent="0.3">
      <c r="O1015" s="6" t="s">
        <v>233</v>
      </c>
      <c r="P1015" s="6"/>
      <c r="Q1015" s="60"/>
      <c r="R1015" s="85">
        <f>P_2_minQ+(R1012^2*R_dn)-dpdn_minQ</f>
        <v>24.656918119145384</v>
      </c>
      <c r="S1015" s="66"/>
      <c r="T1015" s="74"/>
      <c r="U1015" s="53">
        <f>P_2_minQ+(U1012^2*R_dn)-dpdn_minQ</f>
        <v>24.688469803974534</v>
      </c>
      <c r="V1015" s="45"/>
      <c r="W1015" s="74"/>
      <c r="X1015" s="53">
        <f>P_2_minQ+(X1012^2*R_dn)-dpdn_minQ</f>
        <v>24.83941296630211</v>
      </c>
      <c r="Y1015" s="45"/>
      <c r="Z1015" s="74"/>
      <c r="AA1015" s="53">
        <f>P_2_minQ+(AA1012^2*R_dn)-dpdn_minQ</f>
        <v>25.322624279076681</v>
      </c>
      <c r="AB1015" s="45"/>
      <c r="AC1015" s="74"/>
      <c r="AD1015" s="53">
        <f>P_2_minQ+(AD1012^2*R_dn)-dpdn_minQ</f>
        <v>26.457779542129</v>
      </c>
      <c r="AE1015" s="45"/>
      <c r="AF1015" s="74"/>
      <c r="AG1015" s="53">
        <f>P_2_minQ+(AG1012^2*R_dn)-dpdn_minQ</f>
        <v>28.649093602367543</v>
      </c>
      <c r="AH1015" s="45"/>
      <c r="AI1015" s="74"/>
      <c r="AJ1015" s="53">
        <f>P_2_minQ+(AJ1012^2*R_dn)-dpdn_minQ</f>
        <v>31.766700422342179</v>
      </c>
      <c r="AK1015" s="45"/>
      <c r="AL1015" s="74"/>
      <c r="AM1015" s="53">
        <f>P_2_minQ+(AM1012^2*R_dn)-dpdn_minQ</f>
        <v>35.242486888804272</v>
      </c>
      <c r="AN1015" s="45"/>
      <c r="AO1015" s="74"/>
      <c r="AP1015" s="53">
        <f>P_2_minQ+(AP1012^2*R_dn)-dpdn_minQ</f>
        <v>38.924716553164401</v>
      </c>
      <c r="AQ1015" s="45"/>
      <c r="AR1015" s="74"/>
      <c r="AS1015" s="53">
        <f>P_2_minQ+(AS1012^2*R_dn)-dpdn_minQ</f>
        <v>43.137417472751892</v>
      </c>
      <c r="AT1015" s="45"/>
      <c r="AU1015" s="74"/>
    </row>
    <row r="1016" spans="15:47" x14ac:dyDescent="0.25">
      <c r="O1016" s="6" t="s">
        <v>243</v>
      </c>
      <c r="Q1016" s="60"/>
      <c r="R1016" s="53">
        <f>R1014-R1015</f>
        <v>32.258491285127704</v>
      </c>
      <c r="S1016" s="56"/>
      <c r="T1016" s="72"/>
      <c r="U1016" s="64">
        <f>U1014-U1015</f>
        <v>32.069181176152803</v>
      </c>
      <c r="V1016" s="44"/>
      <c r="W1016" s="72"/>
      <c r="X1016" s="64">
        <f>X1014-X1015</f>
        <v>31.163522202187348</v>
      </c>
      <c r="Y1016" s="44"/>
      <c r="Z1016" s="72"/>
      <c r="AA1016" s="64">
        <f>AA1014-AA1015</f>
        <v>28.26425432553992</v>
      </c>
      <c r="AB1016" s="44"/>
      <c r="AC1016" s="72"/>
      <c r="AD1016" s="64">
        <f>AD1014-AD1015</f>
        <v>21.453322747226007</v>
      </c>
      <c r="AE1016" s="44"/>
      <c r="AF1016" s="72"/>
      <c r="AG1016" s="64">
        <f>AG1014-AG1015</f>
        <v>8.3054383857947514</v>
      </c>
      <c r="AH1016" s="44"/>
      <c r="AI1016" s="72"/>
      <c r="AJ1016" s="64">
        <f>AJ1014-AJ1015</f>
        <v>-10.400202534053065</v>
      </c>
      <c r="AK1016" s="44"/>
      <c r="AL1016" s="72"/>
      <c r="AM1016" s="64">
        <f>AM1014-AM1015</f>
        <v>-31.254921332825621</v>
      </c>
      <c r="AN1016" s="44"/>
      <c r="AO1016" s="72"/>
      <c r="AP1016" s="64">
        <f>AP1014-AP1015</f>
        <v>-53.348299318986378</v>
      </c>
      <c r="AQ1016" s="44"/>
      <c r="AR1016" s="72"/>
      <c r="AS1016" s="64">
        <f>AS1014-AS1015</f>
        <v>-78.624504836511335</v>
      </c>
      <c r="AT1016" s="44"/>
      <c r="AU1016" s="72"/>
    </row>
    <row r="1017" spans="15:47" ht="13" x14ac:dyDescent="0.3">
      <c r="O1017" s="6" t="s">
        <v>75</v>
      </c>
      <c r="P1017" s="6">
        <v>3</v>
      </c>
      <c r="Q1017" s="65"/>
      <c r="R1017" s="85">
        <f>(F_LP_h/F_P_h)^2*(R1014-('Valve Sizing'!$V$4*'Valve Sizing'!$G$7))</f>
        <v>46.764555624589207</v>
      </c>
      <c r="S1017" s="58"/>
      <c r="T1017" s="73"/>
      <c r="U1017" s="53">
        <f>(U$29/U$27)^2*(U1014-('Valve Sizing'!$V$4*'Valve Sizing'!$G$7))</f>
        <v>46.62121288766118</v>
      </c>
      <c r="V1017" s="41"/>
      <c r="W1017" s="73"/>
      <c r="X1017" s="53">
        <f>(X$29/X$27)^2*(X1014-('Valve Sizing'!$V$4*'Valve Sizing'!$G$7))</f>
        <v>44.958900404213942</v>
      </c>
      <c r="Y1017" s="41"/>
      <c r="Z1017" s="73"/>
      <c r="AA1017" s="53">
        <f>(AA$29/AA$27)^2*(AA1014-('Valve Sizing'!$V$4*'Valve Sizing'!$G$7))</f>
        <v>41.071715542839065</v>
      </c>
      <c r="AB1017" s="41"/>
      <c r="AC1017" s="73"/>
      <c r="AD1017" s="53">
        <f>(AD$29/AD$27)^2*(AD1014-('Valve Sizing'!$V$4*'Valve Sizing'!$G$7))</f>
        <v>34.235519585704282</v>
      </c>
      <c r="AE1017" s="41"/>
      <c r="AF1017" s="73"/>
      <c r="AG1017" s="53">
        <f>(AG$29/AG$27)^2*(AG1014-('Valve Sizing'!$V$4*'Valve Sizing'!$G$7))</f>
        <v>23.516926315912993</v>
      </c>
      <c r="AH1017" s="41"/>
      <c r="AI1017" s="73"/>
      <c r="AJ1017" s="53">
        <f>(AJ$29/AJ$27)^2*(AJ1014-('Valve Sizing'!$V$4*'Valve Sizing'!$G$7))</f>
        <v>12.103106688196229</v>
      </c>
      <c r="AK1017" s="41"/>
      <c r="AL1017" s="73"/>
      <c r="AM1017" s="53">
        <f>(AM$29/AM$27)^2*(AM1014-('Valve Sizing'!$V$4*'Valve Sizing'!$G$7))</f>
        <v>1.6973837233766176</v>
      </c>
      <c r="AN1017" s="41"/>
      <c r="AO1017" s="73"/>
      <c r="AP1017" s="53">
        <f>(AP$29/AP$27)^2*(AP1014-('Valve Sizing'!$V$4*'Valve Sizing'!$G$7))</f>
        <v>-5.8655912677739757</v>
      </c>
      <c r="AQ1017" s="41"/>
      <c r="AR1017" s="73"/>
      <c r="AS1017" s="53">
        <f>(AS$29/AS$27)^2*(AS1014-('Valve Sizing'!$V$4*'Valve Sizing'!$G$7))</f>
        <v>-13.513664862490131</v>
      </c>
      <c r="AT1017" s="41"/>
      <c r="AU1017" s="73"/>
    </row>
    <row r="1018" spans="15:47" ht="13" x14ac:dyDescent="0.25">
      <c r="O1018" s="1" t="s">
        <v>69</v>
      </c>
      <c r="P1018" s="17">
        <v>7</v>
      </c>
      <c r="Q1018" s="65"/>
      <c r="R1018" s="53">
        <f>(R1012/(N_1*F_P_h))*SQRT('Valve Sizing'!$G$6/R1016)</f>
        <v>0.82081782024191796</v>
      </c>
      <c r="S1018" s="58"/>
      <c r="T1018" s="73"/>
      <c r="U1018" s="64">
        <f>(U1012/(N_1*U$27))*SQRT('Valve Sizing'!$G$6/U1016)</f>
        <v>12.107233146743956</v>
      </c>
      <c r="V1018" s="41"/>
      <c r="W1018" s="73"/>
      <c r="X1018" s="64">
        <f>(X1012/(N_1*X$27))*SQRT('Valve Sizing'!$G$6/X1016)</f>
        <v>29.547525270854077</v>
      </c>
      <c r="Y1018" s="41"/>
      <c r="Z1018" s="73"/>
      <c r="AA1018" s="64">
        <f>(AA1012/(N_1*AA$27))*SQRT('Valve Sizing'!$G$6/AA1016)</f>
        <v>59.58078709284505</v>
      </c>
      <c r="AB1018" s="41"/>
      <c r="AC1018" s="73"/>
      <c r="AD1018" s="64">
        <f>(AD1012/(N_1*AD$27))*SQRT('Valve Sizing'!$G$6/AD1016)</f>
        <v>113.88633341038191</v>
      </c>
      <c r="AE1018" s="41"/>
      <c r="AF1018" s="73"/>
      <c r="AG1018" s="64">
        <f>(AG1012/(N_1*AG$27))*SQRT('Valve Sizing'!$G$6/AG1016)</f>
        <v>278.59657578907076</v>
      </c>
      <c r="AH1018" s="41"/>
      <c r="AI1018" s="73"/>
      <c r="AJ1018" s="64" t="e">
        <f>(AJ1012/(N_1*AJ$27))*SQRT('Valve Sizing'!$G$6/AJ1016)</f>
        <v>#NUM!</v>
      </c>
      <c r="AK1018" s="41"/>
      <c r="AL1018" s="73"/>
      <c r="AM1018" s="64" t="e">
        <f>(AM1012/(N_1*AM$27))*SQRT('Valve Sizing'!$G$6/AM1016)</f>
        <v>#NUM!</v>
      </c>
      <c r="AN1018" s="41"/>
      <c r="AO1018" s="73"/>
      <c r="AP1018" s="64" t="e">
        <f>(AP1012/(N_1*AP$27))*SQRT('Valve Sizing'!$G$6/AP1016)</f>
        <v>#NUM!</v>
      </c>
      <c r="AQ1018" s="41"/>
      <c r="AR1018" s="73"/>
      <c r="AS1018" s="64" t="e">
        <f>(AS1012/(N_1*AS$27))*SQRT('Valve Sizing'!$G$6/AS1016)</f>
        <v>#NUM!</v>
      </c>
      <c r="AT1018" s="41"/>
      <c r="AU1018" s="73"/>
    </row>
    <row r="1019" spans="15:47" ht="13" x14ac:dyDescent="0.3">
      <c r="O1019" s="1" t="s">
        <v>72</v>
      </c>
      <c r="P1019" s="17">
        <v>7</v>
      </c>
      <c r="Q1019" s="65"/>
      <c r="R1019" s="53">
        <f>(R1012/(N_1*F_P_h))*SQRT('Valve Sizing'!$G$6/R1017)</f>
        <v>0.68172684586806742</v>
      </c>
      <c r="S1019" s="56"/>
      <c r="T1019" s="72"/>
      <c r="U1019" s="85">
        <f>(U1012/(N_1*U$27))*SQRT('Valve Sizing'!$G$6/U1017)</f>
        <v>10.041464501916716</v>
      </c>
      <c r="V1019" s="44"/>
      <c r="W1019" s="72"/>
      <c r="X1019" s="85">
        <f>(X1012/(N_1*X$27))*SQRT('Valve Sizing'!$G$6/X1017)</f>
        <v>24.600081217017188</v>
      </c>
      <c r="Y1019" s="44"/>
      <c r="Z1019" s="72"/>
      <c r="AA1019" s="85">
        <f>(AA1012/(N_1*AA$27))*SQRT('Valve Sizing'!$G$6/AA1017)</f>
        <v>49.425785557396061</v>
      </c>
      <c r="AB1019" s="44"/>
      <c r="AC1019" s="72"/>
      <c r="AD1019" s="85">
        <f>(AD1012/(N_1*AD$27))*SQRT('Valve Sizing'!$G$6/AD1017)</f>
        <v>90.15305174149114</v>
      </c>
      <c r="AE1019" s="44"/>
      <c r="AF1019" s="72"/>
      <c r="AG1019" s="85">
        <f>(AG1012/(N_1*AG$27))*SQRT('Valve Sizing'!$G$6/AG1017)</f>
        <v>165.56432978321007</v>
      </c>
      <c r="AH1019" s="44"/>
      <c r="AI1019" s="72"/>
      <c r="AJ1019" s="85">
        <f>(AJ1012/(N_1*AJ$27))*SQRT('Valve Sizing'!$G$6/AJ1017)</f>
        <v>319.17848361236838</v>
      </c>
      <c r="AK1019" s="44"/>
      <c r="AL1019" s="72"/>
      <c r="AM1019" s="85">
        <f>(AM1012/(N_1*AM$27))*SQRT('Valve Sizing'!$G$6/AM1017)</f>
        <v>1103.413236284033</v>
      </c>
      <c r="AN1019" s="44"/>
      <c r="AO1019" s="72"/>
      <c r="AP1019" s="85" t="e">
        <f>(AP1012/(N_1*AP$27))*SQRT('Valve Sizing'!$G$6/AP1017)</f>
        <v>#NUM!</v>
      </c>
      <c r="AQ1019" s="44"/>
      <c r="AR1019" s="72"/>
      <c r="AS1019" s="85" t="e">
        <f>(AS1012/(N_1*AS$27))*SQRT('Valve Sizing'!$G$6/AS1017)</f>
        <v>#NUM!</v>
      </c>
      <c r="AT1019" s="44"/>
      <c r="AU1019" s="72"/>
    </row>
    <row r="1020" spans="15:47" x14ac:dyDescent="0.25">
      <c r="O1020" s="1" t="s">
        <v>246</v>
      </c>
      <c r="P1020" s="18"/>
      <c r="Q1020" s="65"/>
      <c r="R1020" s="53">
        <f>IF(R1016&lt;R1017,R1018,R1019)</f>
        <v>0.82081782024191796</v>
      </c>
      <c r="S1020" s="49"/>
      <c r="T1020" s="72"/>
      <c r="U1020" s="64">
        <f>IF(U1016&lt;U1017,U1018,U1019)</f>
        <v>12.107233146743956</v>
      </c>
      <c r="V1020" s="44"/>
      <c r="W1020" s="72"/>
      <c r="X1020" s="64">
        <f>IF(X1016&lt;X1017,X1018,X1019)</f>
        <v>29.547525270854077</v>
      </c>
      <c r="Y1020" s="44"/>
      <c r="Z1020" s="72"/>
      <c r="AA1020" s="64">
        <f>IF(AA1016&lt;AA1017,AA1018,AA1019)</f>
        <v>59.58078709284505</v>
      </c>
      <c r="AB1020" s="44"/>
      <c r="AC1020" s="72"/>
      <c r="AD1020" s="64">
        <f>IF(AD1016&lt;AD1017,AD1018,AD1019)</f>
        <v>113.88633341038191</v>
      </c>
      <c r="AE1020" s="44"/>
      <c r="AF1020" s="72"/>
      <c r="AG1020" s="64">
        <f>IF(AG1016&lt;AG1017,AG1018,AG1019)</f>
        <v>278.59657578907076</v>
      </c>
      <c r="AH1020" s="44"/>
      <c r="AI1020" s="72"/>
      <c r="AJ1020" s="64" t="e">
        <f>IF(AJ1016&lt;AJ1017,AJ1018,AJ1019)</f>
        <v>#NUM!</v>
      </c>
      <c r="AK1020" s="44"/>
      <c r="AL1020" s="72"/>
      <c r="AM1020" s="64" t="e">
        <f>IF(AM1016&lt;AM1017,AM1018,AM1019)</f>
        <v>#NUM!</v>
      </c>
      <c r="AN1020" s="44"/>
      <c r="AO1020" s="72"/>
      <c r="AP1020" s="64" t="e">
        <f>IF(AP1016&lt;AP1017,AP1018,AP1019)</f>
        <v>#NUM!</v>
      </c>
      <c r="AQ1020" s="44"/>
      <c r="AR1020" s="72"/>
      <c r="AS1020" s="64" t="e">
        <f>IF(AS1016&lt;AS1017,AS1018,AS1019)</f>
        <v>#NUM!</v>
      </c>
      <c r="AT1020" s="44"/>
      <c r="AU1020" s="72"/>
    </row>
    <row r="1021" spans="15:47" ht="13" x14ac:dyDescent="0.3">
      <c r="O1021" s="7" t="s">
        <v>264</v>
      </c>
      <c r="Q1021" s="61"/>
      <c r="R1021" s="53"/>
      <c r="S1021" s="69">
        <f>IFERROR(ABS(C_h-R1020),Q_max*10)</f>
        <v>4.1791821797580821</v>
      </c>
      <c r="T1021" s="76">
        <f>R1012</f>
        <v>4.6612808833768282</v>
      </c>
      <c r="U1021" s="61"/>
      <c r="V1021" s="69">
        <f>IFERROR(ABS(U$23-U1020),Q_max*10)</f>
        <v>0.10723314674395645</v>
      </c>
      <c r="W1021" s="75">
        <f>U1012</f>
        <v>68.505141985324912</v>
      </c>
      <c r="X1021" s="61"/>
      <c r="Y1021" s="69">
        <f>IFERROR(ABS(X$23-X1020),Q_max*10)</f>
        <v>6.5475252708540772</v>
      </c>
      <c r="Z1021" s="75">
        <f>X1012</f>
        <v>164.43871095647498</v>
      </c>
      <c r="AA1021" s="61"/>
      <c r="AB1021" s="69">
        <f>IFERROR(ABS(AA$23-AA1020),Q_max*10)</f>
        <v>20.58078709284505</v>
      </c>
      <c r="AC1021" s="75">
        <f>AA1012</f>
        <v>313.97376405888184</v>
      </c>
      <c r="AD1021" s="61"/>
      <c r="AE1021" s="69">
        <f>IFERROR(ABS(AD$23-AD1020),Q_max*10)</f>
        <v>52.886333410381908</v>
      </c>
      <c r="AF1021" s="75">
        <f>AD1012</f>
        <v>516.37124359534027</v>
      </c>
      <c r="AG1021" s="61"/>
      <c r="AH1021" s="69">
        <f>IFERROR(ABS(AG$23-AG1020),Q_max*10)</f>
        <v>190.59657578907076</v>
      </c>
      <c r="AI1021" s="75">
        <f>AG1012</f>
        <v>768.80641765695123</v>
      </c>
      <c r="AJ1021" s="61"/>
      <c r="AK1021" s="69">
        <f>IFERROR(ABS(AJ$23-AJ1020),Q_max*10)</f>
        <v>5500</v>
      </c>
      <c r="AL1021" s="75">
        <f>AJ1012</f>
        <v>1025.9751446929693</v>
      </c>
      <c r="AM1021" s="61"/>
      <c r="AN1021" s="69">
        <f>IFERROR(ABS(AM$23-AM1020),Q_max*10)</f>
        <v>5500</v>
      </c>
      <c r="AO1021" s="75">
        <f>AM1012</f>
        <v>1251.8846527885355</v>
      </c>
      <c r="AP1021" s="61"/>
      <c r="AQ1021" s="69">
        <f>IFERROR(ABS(AP$23-AP1020),Q_max*10)</f>
        <v>5500</v>
      </c>
      <c r="AR1021" s="75">
        <f>AP1012</f>
        <v>1453.3992175916392</v>
      </c>
      <c r="AS1021" s="61"/>
      <c r="AT1021" s="69">
        <f>IFERROR(ABS(AS$23-AS1020),Q_max*10)</f>
        <v>5500</v>
      </c>
      <c r="AU1021" s="75">
        <f>AS1012</f>
        <v>1654.1038833280445</v>
      </c>
    </row>
    <row r="1022" spans="15:47" ht="14.5" x14ac:dyDescent="0.35">
      <c r="O1022" s="6"/>
      <c r="P1022" s="6"/>
      <c r="Q1022" s="60"/>
      <c r="R1022" s="67"/>
      <c r="S1022" s="56"/>
      <c r="T1022" s="72"/>
      <c r="V1022" s="11"/>
      <c r="W1022" s="38"/>
      <c r="Y1022" s="11"/>
      <c r="Z1022" s="38"/>
      <c r="AB1022" s="11"/>
      <c r="AC1022" s="38"/>
      <c r="AE1022" s="11"/>
      <c r="AF1022" s="38"/>
      <c r="AH1022" s="11"/>
      <c r="AI1022" s="38"/>
      <c r="AK1022" s="11"/>
      <c r="AL1022" s="38"/>
      <c r="AN1022" s="11"/>
      <c r="AO1022" s="38"/>
      <c r="AQ1022" s="11"/>
      <c r="AR1022" s="38"/>
      <c r="AT1022" s="11"/>
      <c r="AU1022" s="38"/>
    </row>
    <row r="1023" spans="15:47" ht="14" x14ac:dyDescent="0.3">
      <c r="O1023" s="8" t="s">
        <v>235</v>
      </c>
      <c r="P1023" s="6"/>
      <c r="Q1023" s="60"/>
      <c r="R1023" s="53">
        <f>R1012*1.02</f>
        <v>4.7545065010443652</v>
      </c>
      <c r="S1023" s="58" t="s">
        <v>238</v>
      </c>
      <c r="T1023" s="73" t="s">
        <v>241</v>
      </c>
      <c r="U1023" s="84">
        <f>U1012*1.01</f>
        <v>69.190193405178164</v>
      </c>
      <c r="V1023" s="58" t="s">
        <v>238</v>
      </c>
      <c r="W1023" s="73" t="s">
        <v>241</v>
      </c>
      <c r="X1023" s="84">
        <f>X1012*1.01</f>
        <v>166.08309806603972</v>
      </c>
      <c r="Y1023" s="58" t="s">
        <v>238</v>
      </c>
      <c r="Z1023" s="73" t="s">
        <v>241</v>
      </c>
      <c r="AA1023" s="84">
        <f>AA1012*1.01</f>
        <v>317.11350169947065</v>
      </c>
      <c r="AB1023" s="58" t="s">
        <v>238</v>
      </c>
      <c r="AC1023" s="73" t="s">
        <v>241</v>
      </c>
      <c r="AD1023" s="84">
        <f>AD1012*1.01</f>
        <v>521.53495603129363</v>
      </c>
      <c r="AE1023" s="58" t="s">
        <v>238</v>
      </c>
      <c r="AF1023" s="73" t="s">
        <v>241</v>
      </c>
      <c r="AG1023" s="84">
        <f>AG1012*1.01</f>
        <v>776.49448183352069</v>
      </c>
      <c r="AH1023" s="58" t="s">
        <v>238</v>
      </c>
      <c r="AI1023" s="73" t="s">
        <v>241</v>
      </c>
      <c r="AJ1023" s="84">
        <f>AJ1012*1.01</f>
        <v>1036.2348961398989</v>
      </c>
      <c r="AK1023" s="58" t="s">
        <v>238</v>
      </c>
      <c r="AL1023" s="73" t="s">
        <v>241</v>
      </c>
      <c r="AM1023" s="84">
        <f>AM1012*1.01</f>
        <v>1264.4034993164209</v>
      </c>
      <c r="AN1023" s="58" t="s">
        <v>238</v>
      </c>
      <c r="AO1023" s="73" t="s">
        <v>241</v>
      </c>
      <c r="AP1023" s="84">
        <f>AP1012*1.01</f>
        <v>1467.9332097675556</v>
      </c>
      <c r="AQ1023" s="58" t="s">
        <v>238</v>
      </c>
      <c r="AR1023" s="73" t="s">
        <v>241</v>
      </c>
      <c r="AS1023" s="84">
        <f>AS1012*1.01</f>
        <v>1670.644922161325</v>
      </c>
      <c r="AT1023" s="58" t="s">
        <v>238</v>
      </c>
      <c r="AU1023" s="73" t="s">
        <v>241</v>
      </c>
    </row>
    <row r="1024" spans="15:47" ht="13" x14ac:dyDescent="0.25">
      <c r="O1024" s="6"/>
      <c r="P1024" s="6"/>
      <c r="Q1024" s="60"/>
      <c r="R1024" s="70"/>
      <c r="S1024" s="63" t="s">
        <v>250</v>
      </c>
      <c r="T1024" s="71" t="s">
        <v>242</v>
      </c>
      <c r="U1024" s="61"/>
      <c r="V1024" s="63" t="s">
        <v>250</v>
      </c>
      <c r="W1024" s="71" t="s">
        <v>242</v>
      </c>
      <c r="X1024" s="61"/>
      <c r="Y1024" s="63" t="s">
        <v>250</v>
      </c>
      <c r="Z1024" s="71" t="s">
        <v>242</v>
      </c>
      <c r="AA1024" s="61"/>
      <c r="AB1024" s="63" t="s">
        <v>250</v>
      </c>
      <c r="AC1024" s="71" t="s">
        <v>242</v>
      </c>
      <c r="AD1024" s="61"/>
      <c r="AE1024" s="63" t="s">
        <v>250</v>
      </c>
      <c r="AF1024" s="71" t="s">
        <v>242</v>
      </c>
      <c r="AG1024" s="61"/>
      <c r="AH1024" s="63" t="s">
        <v>250</v>
      </c>
      <c r="AI1024" s="71" t="s">
        <v>242</v>
      </c>
      <c r="AJ1024" s="61"/>
      <c r="AK1024" s="63" t="s">
        <v>250</v>
      </c>
      <c r="AL1024" s="71" t="s">
        <v>242</v>
      </c>
      <c r="AM1024" s="61"/>
      <c r="AN1024" s="63" t="s">
        <v>250</v>
      </c>
      <c r="AO1024" s="71" t="s">
        <v>242</v>
      </c>
      <c r="AP1024" s="61"/>
      <c r="AQ1024" s="63" t="s">
        <v>250</v>
      </c>
      <c r="AR1024" s="71" t="s">
        <v>242</v>
      </c>
      <c r="AS1024" s="61"/>
      <c r="AT1024" s="63" t="s">
        <v>250</v>
      </c>
      <c r="AU1024" s="71" t="s">
        <v>242</v>
      </c>
    </row>
    <row r="1025" spans="15:47" ht="13" x14ac:dyDescent="0.3">
      <c r="O1025" s="6" t="s">
        <v>231</v>
      </c>
      <c r="P1025" s="6"/>
      <c r="Q1025" s="60"/>
      <c r="R1025" s="85">
        <f>P_1_minQ-(R1023^2*R_up)+dpup_minQ</f>
        <v>56.915379759133117</v>
      </c>
      <c r="S1025" s="56"/>
      <c r="T1025" s="72"/>
      <c r="U1025" s="53">
        <f>P_1_minQ-(U1023^2*R_up)+dpup_minQ</f>
        <v>56.754465286611079</v>
      </c>
      <c r="V1025" s="44"/>
      <c r="W1025" s="72"/>
      <c r="X1025" s="53">
        <f>P_1_minQ-(X1023^2*R_up)+dpup_minQ</f>
        <v>55.984579687159275</v>
      </c>
      <c r="Y1025" s="44"/>
      <c r="Z1025" s="72"/>
      <c r="AA1025" s="53">
        <f>P_1_minQ-(AA1023^2*R_up)+dpup_minQ</f>
        <v>53.519960386352579</v>
      </c>
      <c r="AB1025" s="44"/>
      <c r="AC1025" s="72"/>
      <c r="AD1025" s="53">
        <f>P_1_minQ-(AD1023^2*R_up)+dpup_minQ</f>
        <v>47.730100967154222</v>
      </c>
      <c r="AE1025" s="44"/>
      <c r="AF1025" s="72"/>
      <c r="AG1025" s="53">
        <f>P_1_minQ-(AG1023^2*R_up)+dpup_minQ</f>
        <v>36.55330360290754</v>
      </c>
      <c r="AH1025" s="44"/>
      <c r="AI1025" s="72"/>
      <c r="AJ1025" s="53">
        <f>P_1_minQ-(AJ1023^2*R_up)+dpup_minQ</f>
        <v>20.65195001762692</v>
      </c>
      <c r="AK1025" s="44"/>
      <c r="AL1025" s="72"/>
      <c r="AM1025" s="53">
        <f>P_1_minQ-(AM1023^2*R_up)+dpup_minQ</f>
        <v>2.9237011454369961</v>
      </c>
      <c r="AN1025" s="44"/>
      <c r="AO1025" s="72"/>
      <c r="AP1025" s="53">
        <f>P_1_minQ-(AP1023^2*R_up)+dpup_minQ</f>
        <v>-15.857511257631831</v>
      </c>
      <c r="AQ1025" s="44"/>
      <c r="AR1025" s="72"/>
      <c r="AS1025" s="53">
        <f>P_1_minQ-(AS1023^2*R_up)+dpup_minQ</f>
        <v>-37.344392297987831</v>
      </c>
      <c r="AT1025" s="44"/>
      <c r="AU1025" s="72"/>
    </row>
    <row r="1026" spans="15:47" ht="13" x14ac:dyDescent="0.3">
      <c r="O1026" s="6" t="s">
        <v>233</v>
      </c>
      <c r="P1026" s="6"/>
      <c r="Q1026" s="60"/>
      <c r="R1026" s="85">
        <f>P_2_minQ+(R1023^2*R_dn)-dpdn_minQ</f>
        <v>24.65692404817338</v>
      </c>
      <c r="S1026" s="66"/>
      <c r="T1026" s="74"/>
      <c r="U1026" s="53">
        <f>P_2_minQ+(U1023^2*R_dn)-dpdn_minQ</f>
        <v>24.689106942677785</v>
      </c>
      <c r="V1026" s="45"/>
      <c r="W1026" s="74"/>
      <c r="X1026" s="53">
        <f>P_2_minQ+(X1023^2*R_dn)-dpdn_minQ</f>
        <v>24.843084062568145</v>
      </c>
      <c r="Y1026" s="45"/>
      <c r="Z1026" s="74"/>
      <c r="AA1026" s="53">
        <f>P_2_minQ+(AA1023^2*R_dn)-dpdn_minQ</f>
        <v>25.336007922729486</v>
      </c>
      <c r="AB1026" s="45"/>
      <c r="AC1026" s="74"/>
      <c r="AD1026" s="53">
        <f>P_2_minQ+(AD1023^2*R_dn)-dpdn_minQ</f>
        <v>26.493979806569158</v>
      </c>
      <c r="AE1026" s="45"/>
      <c r="AF1026" s="74"/>
      <c r="AG1026" s="53">
        <f>P_2_minQ+(AG1023^2*R_dn)-dpdn_minQ</f>
        <v>28.729339279418493</v>
      </c>
      <c r="AH1026" s="45"/>
      <c r="AI1026" s="74"/>
      <c r="AJ1026" s="53">
        <f>P_2_minQ+(AJ1023^2*R_dn)-dpdn_minQ</f>
        <v>31.909609996474618</v>
      </c>
      <c r="AK1026" s="45"/>
      <c r="AL1026" s="74"/>
      <c r="AM1026" s="53">
        <f>P_2_minQ+(AM1023^2*R_dn)-dpdn_minQ</f>
        <v>35.455259770912605</v>
      </c>
      <c r="AN1026" s="45"/>
      <c r="AO1026" s="74"/>
      <c r="AP1026" s="53">
        <f>P_2_minQ+(AP1023^2*R_dn)-dpdn_minQ</f>
        <v>39.211502251526369</v>
      </c>
      <c r="AQ1026" s="45"/>
      <c r="AR1026" s="74"/>
      <c r="AS1026" s="53">
        <f>P_2_minQ+(AS1023^2*R_dn)-dpdn_minQ</f>
        <v>43.508878459597568</v>
      </c>
      <c r="AT1026" s="45"/>
      <c r="AU1026" s="74"/>
    </row>
    <row r="1027" spans="15:47" x14ac:dyDescent="0.25">
      <c r="O1027" s="6" t="s">
        <v>243</v>
      </c>
      <c r="Q1027" s="60"/>
      <c r="R1027" s="53">
        <f>R1025-R1026</f>
        <v>32.258455710959737</v>
      </c>
      <c r="S1027" s="56"/>
      <c r="T1027" s="72"/>
      <c r="U1027" s="64">
        <f>U1025-U1026</f>
        <v>32.065358343933298</v>
      </c>
      <c r="V1027" s="44"/>
      <c r="W1027" s="72"/>
      <c r="X1027" s="64">
        <f>X1025-X1026</f>
        <v>31.14149562459113</v>
      </c>
      <c r="Y1027" s="44"/>
      <c r="Z1027" s="72"/>
      <c r="AA1027" s="64">
        <f>AA1025-AA1026</f>
        <v>28.183952463623093</v>
      </c>
      <c r="AB1027" s="44"/>
      <c r="AC1027" s="72"/>
      <c r="AD1027" s="64">
        <f>AD1025-AD1026</f>
        <v>21.236121160585064</v>
      </c>
      <c r="AE1027" s="44"/>
      <c r="AF1027" s="72"/>
      <c r="AG1027" s="64">
        <f>AG1025-AG1026</f>
        <v>7.8239643234890472</v>
      </c>
      <c r="AH1027" s="44"/>
      <c r="AI1027" s="72"/>
      <c r="AJ1027" s="64">
        <f>AJ1025-AJ1026</f>
        <v>-11.257659978847698</v>
      </c>
      <c r="AK1027" s="44"/>
      <c r="AL1027" s="72"/>
      <c r="AM1027" s="64">
        <f>AM1025-AM1026</f>
        <v>-32.531558625475611</v>
      </c>
      <c r="AN1027" s="44"/>
      <c r="AO1027" s="72"/>
      <c r="AP1027" s="64">
        <f>AP1025-AP1026</f>
        <v>-55.069013509158196</v>
      </c>
      <c r="AQ1027" s="44"/>
      <c r="AR1027" s="72"/>
      <c r="AS1027" s="64">
        <f>AS1025-AS1026</f>
        <v>-80.853270757585392</v>
      </c>
      <c r="AT1027" s="44"/>
      <c r="AU1027" s="72"/>
    </row>
    <row r="1028" spans="15:47" ht="13" x14ac:dyDescent="0.3">
      <c r="O1028" s="6" t="s">
        <v>75</v>
      </c>
      <c r="P1028" s="6">
        <v>3</v>
      </c>
      <c r="Q1028" s="65"/>
      <c r="R1028" s="85">
        <f>(F_LP_h/F_P_h)^2*(R1025-('Valve Sizing'!$V$4*'Valve Sizing'!$G$7))</f>
        <v>46.764531076857232</v>
      </c>
      <c r="S1028" s="58"/>
      <c r="T1028" s="73"/>
      <c r="U1028" s="53">
        <f>(U$29/U$27)^2*(U1025-('Valve Sizing'!$V$4*'Valve Sizing'!$G$7))</f>
        <v>46.618575685201272</v>
      </c>
      <c r="V1028" s="41"/>
      <c r="W1028" s="73"/>
      <c r="X1028" s="53">
        <f>(X$29/X$27)^2*(X1025-('Valve Sizing'!$V$4*'Valve Sizing'!$G$7))</f>
        <v>44.944048001060381</v>
      </c>
      <c r="Y1028" s="41"/>
      <c r="Z1028" s="73"/>
      <c r="AA1028" s="53">
        <f>(AA$29/AA$27)^2*(AA1025-('Valve Sizing'!$V$4*'Valve Sizing'!$G$7))</f>
        <v>41.020001329706716</v>
      </c>
      <c r="AB1028" s="41"/>
      <c r="AC1028" s="73"/>
      <c r="AD1028" s="53">
        <f>(AD$29/AD$27)^2*(AD1025-('Valve Sizing'!$V$4*'Valve Sizing'!$G$7))</f>
        <v>34.104983711450927</v>
      </c>
      <c r="AE1028" s="41"/>
      <c r="AF1028" s="73"/>
      <c r="AG1028" s="53">
        <f>(AG$29/AG$27)^2*(AG1025-('Valve Sizing'!$V$4*'Valve Sizing'!$G$7))</f>
        <v>23.258517601346703</v>
      </c>
      <c r="AH1028" s="41"/>
      <c r="AI1028" s="73"/>
      <c r="AJ1028" s="53">
        <f>(AJ$29/AJ$27)^2*(AJ1025-('Valve Sizing'!$V$4*'Valve Sizing'!$G$7))</f>
        <v>11.689837683921924</v>
      </c>
      <c r="AK1028" s="41"/>
      <c r="AL1028" s="73"/>
      <c r="AM1028" s="53">
        <f>(AM$29/AM$27)^2*(AM1025-('Valve Sizing'!$V$4*'Valve Sizing'!$G$7))</f>
        <v>1.1883542322961671</v>
      </c>
      <c r="AN1028" s="41"/>
      <c r="AO1028" s="73"/>
      <c r="AP1028" s="53">
        <f>(AP$29/AP$27)^2*(AP1025-('Valve Sizing'!$V$4*'Valve Sizing'!$G$7))</f>
        <v>-6.4314579191557133</v>
      </c>
      <c r="AQ1028" s="41"/>
      <c r="AR1028" s="73"/>
      <c r="AS1028" s="53">
        <f>(AS$29/AS$27)^2*(AS1025-('Valve Sizing'!$V$4*'Valve Sizing'!$G$7))</f>
        <v>-14.212273015343737</v>
      </c>
      <c r="AT1028" s="41"/>
      <c r="AU1028" s="73"/>
    </row>
    <row r="1029" spans="15:47" ht="13" x14ac:dyDescent="0.25">
      <c r="O1029" s="1" t="s">
        <v>69</v>
      </c>
      <c r="P1029" s="17">
        <v>7</v>
      </c>
      <c r="Q1029" s="65"/>
      <c r="R1029" s="53">
        <f>(R1023/(N_1*F_P_h))*SQRT('Valve Sizing'!$G$6/R1027)</f>
        <v>0.8372346382916237</v>
      </c>
      <c r="S1029" s="58"/>
      <c r="T1029" s="73"/>
      <c r="U1029" s="64">
        <f>(U1023/(N_1*U$27))*SQRT('Valve Sizing'!$G$6/U1027)</f>
        <v>12.229034385814211</v>
      </c>
      <c r="V1029" s="41"/>
      <c r="W1029" s="73"/>
      <c r="X1029" s="64">
        <f>(X1023/(N_1*X$27))*SQRT('Valve Sizing'!$G$6/X1027)</f>
        <v>29.85355272986488</v>
      </c>
      <c r="Y1029" s="41"/>
      <c r="Z1029" s="73"/>
      <c r="AA1029" s="64">
        <f>(AA1023/(N_1*AA$27))*SQRT('Valve Sizing'!$G$6/AA1027)</f>
        <v>60.262261718148089</v>
      </c>
      <c r="AB1029" s="41"/>
      <c r="AC1029" s="73"/>
      <c r="AD1029" s="64">
        <f>(AD1023/(N_1*AD$27))*SQRT('Valve Sizing'!$G$6/AD1027)</f>
        <v>115.61193518160599</v>
      </c>
      <c r="AE1029" s="41"/>
      <c r="AF1029" s="73"/>
      <c r="AG1029" s="64">
        <f>(AG1023/(N_1*AG$27))*SQRT('Valve Sizing'!$G$6/AG1027)</f>
        <v>289.91120273988219</v>
      </c>
      <c r="AH1029" s="41"/>
      <c r="AI1029" s="73"/>
      <c r="AJ1029" s="64" t="e">
        <f>(AJ1023/(N_1*AJ$27))*SQRT('Valve Sizing'!$G$6/AJ1027)</f>
        <v>#NUM!</v>
      </c>
      <c r="AK1029" s="41"/>
      <c r="AL1029" s="73"/>
      <c r="AM1029" s="64" t="e">
        <f>(AM1023/(N_1*AM$27))*SQRT('Valve Sizing'!$G$6/AM1027)</f>
        <v>#NUM!</v>
      </c>
      <c r="AN1029" s="41"/>
      <c r="AO1029" s="73"/>
      <c r="AP1029" s="64" t="e">
        <f>(AP1023/(N_1*AP$27))*SQRT('Valve Sizing'!$G$6/AP1027)</f>
        <v>#NUM!</v>
      </c>
      <c r="AQ1029" s="41"/>
      <c r="AR1029" s="73"/>
      <c r="AS1029" s="64" t="e">
        <f>(AS1023/(N_1*AS$27))*SQRT('Valve Sizing'!$G$6/AS1027)</f>
        <v>#NUM!</v>
      </c>
      <c r="AT1029" s="41"/>
      <c r="AU1029" s="73"/>
    </row>
    <row r="1030" spans="15:47" ht="13" x14ac:dyDescent="0.3">
      <c r="O1030" s="1" t="s">
        <v>72</v>
      </c>
      <c r="P1030" s="17">
        <v>7</v>
      </c>
      <c r="Q1030" s="65"/>
      <c r="R1030" s="53">
        <f>(R1023/(N_1*F_P_h))*SQRT('Valve Sizing'!$G$6/R1028)</f>
        <v>0.69536156529065452</v>
      </c>
      <c r="S1030" s="56"/>
      <c r="T1030" s="72"/>
      <c r="U1030" s="85">
        <f>(U1023/(N_1*U$27))*SQRT('Valve Sizing'!$G$6/U1028)</f>
        <v>10.142166004803112</v>
      </c>
      <c r="V1030" s="44"/>
      <c r="W1030" s="72"/>
      <c r="X1030" s="85">
        <f>(X1023/(N_1*X$27))*SQRT('Valve Sizing'!$G$6/X1028)</f>
        <v>24.850187061568906</v>
      </c>
      <c r="Y1030" s="44"/>
      <c r="Z1030" s="72"/>
      <c r="AA1030" s="85">
        <f>(AA1023/(N_1*AA$27))*SQRT('Valve Sizing'!$G$6/AA1028)</f>
        <v>49.95150078182229</v>
      </c>
      <c r="AB1030" s="44"/>
      <c r="AC1030" s="72"/>
      <c r="AD1030" s="85">
        <f>(AD1023/(N_1*AD$27))*SQRT('Valve Sizing'!$G$6/AD1028)</f>
        <v>91.228670276161367</v>
      </c>
      <c r="AE1030" s="44"/>
      <c r="AF1030" s="72"/>
      <c r="AG1030" s="85">
        <f>(AG1023/(N_1*AG$27))*SQRT('Valve Sizing'!$G$6/AG1028)</f>
        <v>168.1463377637188</v>
      </c>
      <c r="AH1030" s="44"/>
      <c r="AI1030" s="72"/>
      <c r="AJ1030" s="85">
        <f>(AJ1023/(N_1*AJ$27))*SQRT('Valve Sizing'!$G$6/AJ1028)</f>
        <v>328.01912910352058</v>
      </c>
      <c r="AK1030" s="44"/>
      <c r="AL1030" s="72"/>
      <c r="AM1030" s="85">
        <f>(AM1023/(N_1*AM$27))*SQRT('Valve Sizing'!$G$6/AM1028)</f>
        <v>1331.9153410247243</v>
      </c>
      <c r="AN1030" s="44"/>
      <c r="AO1030" s="72"/>
      <c r="AP1030" s="85" t="e">
        <f>(AP1023/(N_1*AP$27))*SQRT('Valve Sizing'!$G$6/AP1028)</f>
        <v>#NUM!</v>
      </c>
      <c r="AQ1030" s="44"/>
      <c r="AR1030" s="72"/>
      <c r="AS1030" s="85" t="e">
        <f>(AS1023/(N_1*AS$27))*SQRT('Valve Sizing'!$G$6/AS1028)</f>
        <v>#NUM!</v>
      </c>
      <c r="AT1030" s="44"/>
      <c r="AU1030" s="72"/>
    </row>
    <row r="1031" spans="15:47" x14ac:dyDescent="0.25">
      <c r="O1031" s="1" t="s">
        <v>246</v>
      </c>
      <c r="P1031" s="18"/>
      <c r="Q1031" s="65"/>
      <c r="R1031" s="53">
        <f>IF(R1027&lt;R1028,R1029,R1030)</f>
        <v>0.8372346382916237</v>
      </c>
      <c r="S1031" s="49"/>
      <c r="T1031" s="72"/>
      <c r="U1031" s="64">
        <f>IF(U1027&lt;U1028,U1029,U1030)</f>
        <v>12.229034385814211</v>
      </c>
      <c r="V1031" s="44"/>
      <c r="W1031" s="72"/>
      <c r="X1031" s="64">
        <f>IF(X1027&lt;X1028,X1029,X1030)</f>
        <v>29.85355272986488</v>
      </c>
      <c r="Y1031" s="44"/>
      <c r="Z1031" s="72"/>
      <c r="AA1031" s="64">
        <f>IF(AA1027&lt;AA1028,AA1029,AA1030)</f>
        <v>60.262261718148089</v>
      </c>
      <c r="AB1031" s="44"/>
      <c r="AC1031" s="72"/>
      <c r="AD1031" s="64">
        <f>IF(AD1027&lt;AD1028,AD1029,AD1030)</f>
        <v>115.61193518160599</v>
      </c>
      <c r="AE1031" s="44"/>
      <c r="AF1031" s="72"/>
      <c r="AG1031" s="64">
        <f>IF(AG1027&lt;AG1028,AG1029,AG1030)</f>
        <v>289.91120273988219</v>
      </c>
      <c r="AH1031" s="44"/>
      <c r="AI1031" s="72"/>
      <c r="AJ1031" s="64" t="e">
        <f>IF(AJ1027&lt;AJ1028,AJ1029,AJ1030)</f>
        <v>#NUM!</v>
      </c>
      <c r="AK1031" s="44"/>
      <c r="AL1031" s="72"/>
      <c r="AM1031" s="64" t="e">
        <f>IF(AM1027&lt;AM1028,AM1029,AM1030)</f>
        <v>#NUM!</v>
      </c>
      <c r="AN1031" s="44"/>
      <c r="AO1031" s="72"/>
      <c r="AP1031" s="64" t="e">
        <f>IF(AP1027&lt;AP1028,AP1029,AP1030)</f>
        <v>#NUM!</v>
      </c>
      <c r="AQ1031" s="44"/>
      <c r="AR1031" s="72"/>
      <c r="AS1031" s="64" t="e">
        <f>IF(AS1027&lt;AS1028,AS1029,AS1030)</f>
        <v>#NUM!</v>
      </c>
      <c r="AT1031" s="44"/>
      <c r="AU1031" s="72"/>
    </row>
    <row r="1032" spans="15:47" ht="13" x14ac:dyDescent="0.3">
      <c r="O1032" s="7" t="s">
        <v>264</v>
      </c>
      <c r="Q1032" s="61"/>
      <c r="R1032" s="53"/>
      <c r="S1032" s="69">
        <f>IFERROR(ABS(C_h-R1031),Q_max*10)</f>
        <v>4.1627653617083764</v>
      </c>
      <c r="T1032" s="76">
        <f>R1023</f>
        <v>4.7545065010443652</v>
      </c>
      <c r="U1032" s="61"/>
      <c r="V1032" s="69">
        <f>IFERROR(ABS(U$23-U1031),Q_max*10)</f>
        <v>0.22903438581421121</v>
      </c>
      <c r="W1032" s="75">
        <f>U1023</f>
        <v>69.190193405178164</v>
      </c>
      <c r="X1032" s="61"/>
      <c r="Y1032" s="69">
        <f>IFERROR(ABS(X$23-X1031),Q_max*10)</f>
        <v>6.8535527298648802</v>
      </c>
      <c r="Z1032" s="75">
        <f>X1023</f>
        <v>166.08309806603972</v>
      </c>
      <c r="AA1032" s="61"/>
      <c r="AB1032" s="69">
        <f>IFERROR(ABS(AA$23-AA1031),Q_max*10)</f>
        <v>21.262261718148089</v>
      </c>
      <c r="AC1032" s="75">
        <f>AA1023</f>
        <v>317.11350169947065</v>
      </c>
      <c r="AD1032" s="61"/>
      <c r="AE1032" s="69">
        <f>IFERROR(ABS(AD$23-AD1031),Q_max*10)</f>
        <v>54.611935181605986</v>
      </c>
      <c r="AF1032" s="75">
        <f>AD1023</f>
        <v>521.53495603129363</v>
      </c>
      <c r="AG1032" s="61"/>
      <c r="AH1032" s="69">
        <f>IFERROR(ABS(AG$23-AG1031),Q_max*10)</f>
        <v>201.91120273988219</v>
      </c>
      <c r="AI1032" s="75">
        <f>AG1023</f>
        <v>776.49448183352069</v>
      </c>
      <c r="AJ1032" s="61"/>
      <c r="AK1032" s="69">
        <f>IFERROR(ABS(AJ$23-AJ1031),Q_max*10)</f>
        <v>5500</v>
      </c>
      <c r="AL1032" s="75">
        <f>AJ1023</f>
        <v>1036.2348961398989</v>
      </c>
      <c r="AM1032" s="61"/>
      <c r="AN1032" s="69">
        <f>IFERROR(ABS(AM$23-AM1031),Q_max*10)</f>
        <v>5500</v>
      </c>
      <c r="AO1032" s="75">
        <f>AM1023</f>
        <v>1264.4034993164209</v>
      </c>
      <c r="AP1032" s="61"/>
      <c r="AQ1032" s="69">
        <f>IFERROR(ABS(AP$23-AP1031),Q_max*10)</f>
        <v>5500</v>
      </c>
      <c r="AR1032" s="75">
        <f>AP1023</f>
        <v>1467.9332097675556</v>
      </c>
      <c r="AS1032" s="61"/>
      <c r="AT1032" s="69">
        <f>IFERROR(ABS(AS$23-AS1031),Q_max*10)</f>
        <v>5500</v>
      </c>
      <c r="AU1032" s="75">
        <f>AS1023</f>
        <v>1670.644922161325</v>
      </c>
    </row>
    <row r="1033" spans="15:47" ht="14.5" x14ac:dyDescent="0.35">
      <c r="O1033" s="8"/>
      <c r="P1033" s="6"/>
      <c r="Q1033" s="60"/>
      <c r="R1033" s="67"/>
      <c r="S1033" s="66"/>
      <c r="T1033" s="74"/>
      <c r="V1033" s="11"/>
      <c r="W1033" s="38"/>
      <c r="Y1033" s="11"/>
      <c r="Z1033" s="38"/>
      <c r="AB1033" s="11"/>
      <c r="AC1033" s="38"/>
      <c r="AE1033" s="11"/>
      <c r="AF1033" s="38"/>
      <c r="AH1033" s="11"/>
      <c r="AI1033" s="38"/>
      <c r="AK1033" s="11"/>
      <c r="AL1033" s="38"/>
      <c r="AN1033" s="11"/>
      <c r="AO1033" s="38"/>
      <c r="AQ1033" s="11"/>
      <c r="AR1033" s="38"/>
      <c r="AT1033" s="11"/>
      <c r="AU1033" s="38"/>
    </row>
    <row r="1034" spans="15:47" ht="14" x14ac:dyDescent="0.3">
      <c r="O1034" s="8" t="s">
        <v>235</v>
      </c>
      <c r="P1034" s="6"/>
      <c r="Q1034" s="60"/>
      <c r="R1034" s="53">
        <f>R1023*1.02</f>
        <v>4.8495966310652525</v>
      </c>
      <c r="S1034" s="58" t="s">
        <v>238</v>
      </c>
      <c r="T1034" s="73" t="s">
        <v>241</v>
      </c>
      <c r="U1034" s="84">
        <f>U1023*1.01</f>
        <v>69.882095339229949</v>
      </c>
      <c r="V1034" s="58" t="s">
        <v>238</v>
      </c>
      <c r="W1034" s="73" t="s">
        <v>241</v>
      </c>
      <c r="X1034" s="84">
        <f>X1023*1.01</f>
        <v>167.74392904670012</v>
      </c>
      <c r="Y1034" s="58" t="s">
        <v>238</v>
      </c>
      <c r="Z1034" s="73" t="s">
        <v>241</v>
      </c>
      <c r="AA1034" s="84">
        <f>AA1023*1.01</f>
        <v>320.28463671646534</v>
      </c>
      <c r="AB1034" s="58" t="s">
        <v>238</v>
      </c>
      <c r="AC1034" s="73" t="s">
        <v>241</v>
      </c>
      <c r="AD1034" s="84">
        <f>AD1023*1.01</f>
        <v>526.75030559160655</v>
      </c>
      <c r="AE1034" s="58" t="s">
        <v>238</v>
      </c>
      <c r="AF1034" s="73" t="s">
        <v>241</v>
      </c>
      <c r="AG1034" s="84">
        <f>AG1023*1.01</f>
        <v>784.25942665185596</v>
      </c>
      <c r="AH1034" s="58" t="s">
        <v>238</v>
      </c>
      <c r="AI1034" s="73" t="s">
        <v>241</v>
      </c>
      <c r="AJ1034" s="84">
        <f>AJ1023*1.01</f>
        <v>1046.5972451012979</v>
      </c>
      <c r="AK1034" s="58" t="s">
        <v>238</v>
      </c>
      <c r="AL1034" s="73" t="s">
        <v>241</v>
      </c>
      <c r="AM1034" s="84">
        <f>AM1023*1.01</f>
        <v>1277.0475343095852</v>
      </c>
      <c r="AN1034" s="58" t="s">
        <v>238</v>
      </c>
      <c r="AO1034" s="73" t="s">
        <v>241</v>
      </c>
      <c r="AP1034" s="84">
        <f>AP1023*1.01</f>
        <v>1482.6125418652312</v>
      </c>
      <c r="AQ1034" s="58" t="s">
        <v>238</v>
      </c>
      <c r="AR1034" s="73" t="s">
        <v>241</v>
      </c>
      <c r="AS1034" s="84">
        <f>AS1023*1.01</f>
        <v>1687.3513713829382</v>
      </c>
      <c r="AT1034" s="58" t="s">
        <v>238</v>
      </c>
      <c r="AU1034" s="73" t="s">
        <v>241</v>
      </c>
    </row>
    <row r="1035" spans="15:47" ht="13" x14ac:dyDescent="0.25">
      <c r="O1035" s="6"/>
      <c r="P1035" s="6"/>
      <c r="Q1035" s="60"/>
      <c r="R1035" s="70"/>
      <c r="S1035" s="63" t="s">
        <v>250</v>
      </c>
      <c r="T1035" s="71" t="s">
        <v>242</v>
      </c>
      <c r="U1035" s="61"/>
      <c r="V1035" s="63" t="s">
        <v>250</v>
      </c>
      <c r="W1035" s="71" t="s">
        <v>242</v>
      </c>
      <c r="X1035" s="61"/>
      <c r="Y1035" s="63" t="s">
        <v>250</v>
      </c>
      <c r="Z1035" s="71" t="s">
        <v>242</v>
      </c>
      <c r="AA1035" s="61"/>
      <c r="AB1035" s="63" t="s">
        <v>250</v>
      </c>
      <c r="AC1035" s="71" t="s">
        <v>242</v>
      </c>
      <c r="AD1035" s="61"/>
      <c r="AE1035" s="63" t="s">
        <v>250</v>
      </c>
      <c r="AF1035" s="71" t="s">
        <v>242</v>
      </c>
      <c r="AG1035" s="61"/>
      <c r="AH1035" s="63" t="s">
        <v>250</v>
      </c>
      <c r="AI1035" s="71" t="s">
        <v>242</v>
      </c>
      <c r="AJ1035" s="61"/>
      <c r="AK1035" s="63" t="s">
        <v>250</v>
      </c>
      <c r="AL1035" s="71" t="s">
        <v>242</v>
      </c>
      <c r="AM1035" s="61"/>
      <c r="AN1035" s="63" t="s">
        <v>250</v>
      </c>
      <c r="AO1035" s="71" t="s">
        <v>242</v>
      </c>
      <c r="AP1035" s="61"/>
      <c r="AQ1035" s="63" t="s">
        <v>250</v>
      </c>
      <c r="AR1035" s="71" t="s">
        <v>242</v>
      </c>
      <c r="AS1035" s="61"/>
      <c r="AT1035" s="63" t="s">
        <v>250</v>
      </c>
      <c r="AU1035" s="71" t="s">
        <v>242</v>
      </c>
    </row>
    <row r="1036" spans="15:47" ht="13" x14ac:dyDescent="0.3">
      <c r="O1036" s="6" t="s">
        <v>231</v>
      </c>
      <c r="P1036" s="6"/>
      <c r="Q1036" s="60"/>
      <c r="R1036" s="85">
        <f>P_1_minQ-(R1034^2*R_up)+dpup_minQ</f>
        <v>56.915348916329485</v>
      </c>
      <c r="S1036" s="56"/>
      <c r="T1036" s="72"/>
      <c r="U1036" s="53">
        <f>P_1_minQ-(U1034^2*R_up)+dpup_minQ</f>
        <v>56.75121556065514</v>
      </c>
      <c r="V1036" s="44"/>
      <c r="W1036" s="72"/>
      <c r="X1036" s="53">
        <f>P_1_minQ-(X1034^2*R_up)+dpup_minQ</f>
        <v>55.965855260654358</v>
      </c>
      <c r="Y1036" s="44"/>
      <c r="Z1036" s="72"/>
      <c r="AA1036" s="53">
        <f>P_1_minQ-(AA1034^2*R_up)+dpup_minQ</f>
        <v>53.451697111901446</v>
      </c>
      <c r="AB1036" s="44"/>
      <c r="AC1036" s="72"/>
      <c r="AD1036" s="53">
        <f>P_1_minQ-(AD1034^2*R_up)+dpup_minQ</f>
        <v>47.545461518377209</v>
      </c>
      <c r="AE1036" s="44"/>
      <c r="AF1036" s="72"/>
      <c r="AG1036" s="53">
        <f>P_1_minQ-(AG1034^2*R_up)+dpup_minQ</f>
        <v>36.144010527109153</v>
      </c>
      <c r="AH1036" s="44"/>
      <c r="AI1036" s="72"/>
      <c r="AJ1036" s="53">
        <f>P_1_minQ-(AJ1034^2*R_up)+dpup_minQ</f>
        <v>19.923039734764405</v>
      </c>
      <c r="AK1036" s="44"/>
      <c r="AL1036" s="72"/>
      <c r="AM1036" s="53">
        <f>P_1_minQ-(AM1034^2*R_up)+dpup_minQ</f>
        <v>1.838453060243455</v>
      </c>
      <c r="AN1036" s="44"/>
      <c r="AO1036" s="72"/>
      <c r="AP1036" s="53">
        <f>P_1_minQ-(AP1034^2*R_up)+dpup_minQ</f>
        <v>-17.320261712127053</v>
      </c>
      <c r="AQ1036" s="44"/>
      <c r="AR1036" s="72"/>
      <c r="AS1036" s="53">
        <f>P_1_minQ-(AS1034^2*R_up)+dpup_minQ</f>
        <v>-39.239029061394199</v>
      </c>
      <c r="AT1036" s="44"/>
      <c r="AU1036" s="72"/>
    </row>
    <row r="1037" spans="15:47" ht="13" x14ac:dyDescent="0.3">
      <c r="O1037" s="6" t="s">
        <v>233</v>
      </c>
      <c r="P1037" s="6"/>
      <c r="Q1037" s="60"/>
      <c r="R1037" s="85">
        <f>P_2_minQ+(R1034^2*R_dn)-dpdn_minQ</f>
        <v>24.656930216734104</v>
      </c>
      <c r="S1037" s="66"/>
      <c r="T1037" s="74"/>
      <c r="U1037" s="53">
        <f>P_2_minQ+(U1034^2*R_dn)-dpdn_minQ</f>
        <v>24.689756887868974</v>
      </c>
      <c r="V1037" s="45"/>
      <c r="W1037" s="74"/>
      <c r="X1037" s="53">
        <f>P_2_minQ+(X1034^2*R_dn)-dpdn_minQ</f>
        <v>24.846828947869128</v>
      </c>
      <c r="Y1037" s="45"/>
      <c r="Z1037" s="74"/>
      <c r="AA1037" s="53">
        <f>P_2_minQ+(AA1034^2*R_dn)-dpdn_minQ</f>
        <v>25.349660577619712</v>
      </c>
      <c r="AB1037" s="45"/>
      <c r="AC1037" s="74"/>
      <c r="AD1037" s="53">
        <f>P_2_minQ+(AD1034^2*R_dn)-dpdn_minQ</f>
        <v>26.530907696324558</v>
      </c>
      <c r="AE1037" s="45"/>
      <c r="AF1037" s="74"/>
      <c r="AG1037" s="53">
        <f>P_2_minQ+(AG1034^2*R_dn)-dpdn_minQ</f>
        <v>28.811197894578168</v>
      </c>
      <c r="AH1037" s="45"/>
      <c r="AI1037" s="74"/>
      <c r="AJ1037" s="53">
        <f>P_2_minQ+(AJ1034^2*R_dn)-dpdn_minQ</f>
        <v>32.055392053047122</v>
      </c>
      <c r="AK1037" s="45"/>
      <c r="AL1037" s="74"/>
      <c r="AM1037" s="53">
        <f>P_2_minQ+(AM1034^2*R_dn)-dpdn_minQ</f>
        <v>35.672309387951316</v>
      </c>
      <c r="AN1037" s="45"/>
      <c r="AO1037" s="74"/>
      <c r="AP1037" s="53">
        <f>P_2_minQ+(AP1034^2*R_dn)-dpdn_minQ</f>
        <v>39.50405234242541</v>
      </c>
      <c r="AQ1037" s="45"/>
      <c r="AR1037" s="74"/>
      <c r="AS1037" s="53">
        <f>P_2_minQ+(AS1034^2*R_dn)-dpdn_minQ</f>
        <v>43.887805812278842</v>
      </c>
      <c r="AT1037" s="45"/>
      <c r="AU1037" s="74"/>
    </row>
    <row r="1038" spans="15:47" x14ac:dyDescent="0.25">
      <c r="O1038" s="6" t="s">
        <v>243</v>
      </c>
      <c r="Q1038" s="60"/>
      <c r="R1038" s="53">
        <f>R1036-R1037</f>
        <v>32.258418699595381</v>
      </c>
      <c r="S1038" s="56"/>
      <c r="T1038" s="72"/>
      <c r="U1038" s="64">
        <f>U1036-U1037</f>
        <v>32.061458672786166</v>
      </c>
      <c r="V1038" s="44"/>
      <c r="W1038" s="72"/>
      <c r="X1038" s="64">
        <f>X1036-X1037</f>
        <v>31.11902631278523</v>
      </c>
      <c r="Y1038" s="44"/>
      <c r="Z1038" s="72"/>
      <c r="AA1038" s="64">
        <f>AA1036-AA1037</f>
        <v>28.102036534281734</v>
      </c>
      <c r="AB1038" s="44"/>
      <c r="AC1038" s="72"/>
      <c r="AD1038" s="64">
        <f>AD1036-AD1037</f>
        <v>21.014553822052651</v>
      </c>
      <c r="AE1038" s="44"/>
      <c r="AF1038" s="72"/>
      <c r="AG1038" s="64">
        <f>AG1036-AG1037</f>
        <v>7.3328126325309846</v>
      </c>
      <c r="AH1038" s="44"/>
      <c r="AI1038" s="72"/>
      <c r="AJ1038" s="64">
        <f>AJ1036-AJ1037</f>
        <v>-12.132352318282717</v>
      </c>
      <c r="AK1038" s="44"/>
      <c r="AL1038" s="72"/>
      <c r="AM1038" s="64">
        <f>AM1036-AM1037</f>
        <v>-33.833856327707863</v>
      </c>
      <c r="AN1038" s="44"/>
      <c r="AO1038" s="72"/>
      <c r="AP1038" s="64">
        <f>AP1036-AP1037</f>
        <v>-56.82431405455246</v>
      </c>
      <c r="AQ1038" s="44"/>
      <c r="AR1038" s="72"/>
      <c r="AS1038" s="64">
        <f>AS1036-AS1037</f>
        <v>-83.126834873673033</v>
      </c>
      <c r="AT1038" s="44"/>
      <c r="AU1038" s="72"/>
    </row>
    <row r="1039" spans="15:47" ht="13" x14ac:dyDescent="0.3">
      <c r="O1039" s="6" t="s">
        <v>75</v>
      </c>
      <c r="P1039" s="6">
        <v>3</v>
      </c>
      <c r="Q1039" s="65"/>
      <c r="R1039" s="85">
        <f>(F_LP_h/F_P_h)^2*(R1036-('Valve Sizing'!$V$4*'Valve Sizing'!$G$7))</f>
        <v>46.764505537396893</v>
      </c>
      <c r="S1039" s="58"/>
      <c r="T1039" s="73"/>
      <c r="U1039" s="53">
        <f>(U$29/U$27)^2*(U1036-('Valve Sizing'!$V$4*'Valve Sizing'!$G$7))</f>
        <v>46.615885474971918</v>
      </c>
      <c r="V1039" s="41"/>
      <c r="W1039" s="73"/>
      <c r="X1039" s="53">
        <f>(X$29/X$27)^2*(X1036-('Valve Sizing'!$V$4*'Valve Sizing'!$G$7))</f>
        <v>44.928897064603433</v>
      </c>
      <c r="Y1039" s="41"/>
      <c r="Z1039" s="73"/>
      <c r="AA1039" s="53">
        <f>(AA$29/AA$27)^2*(AA1036-('Valve Sizing'!$V$4*'Valve Sizing'!$G$7))</f>
        <v>40.967247660890401</v>
      </c>
      <c r="AB1039" s="41"/>
      <c r="AC1039" s="73"/>
      <c r="AD1039" s="53">
        <f>(AD$29/AD$27)^2*(AD1036-('Valve Sizing'!$V$4*'Valve Sizing'!$G$7))</f>
        <v>33.971824066125087</v>
      </c>
      <c r="AE1039" s="41"/>
      <c r="AF1039" s="73"/>
      <c r="AG1039" s="53">
        <f>(AG$29/AG$27)^2*(AG1036-('Valve Sizing'!$V$4*'Valve Sizing'!$G$7))</f>
        <v>22.994914871617627</v>
      </c>
      <c r="AH1039" s="41"/>
      <c r="AI1039" s="73"/>
      <c r="AJ1039" s="53">
        <f>(AJ$29/AJ$27)^2*(AJ1036-('Valve Sizing'!$V$4*'Valve Sizing'!$G$7))</f>
        <v>11.268261972661699</v>
      </c>
      <c r="AK1039" s="41"/>
      <c r="AL1039" s="73"/>
      <c r="AM1039" s="53">
        <f>(AM$29/AM$27)^2*(AM1036-('Valve Sizing'!$V$4*'Valve Sizing'!$G$7))</f>
        <v>0.66909324844499962</v>
      </c>
      <c r="AN1039" s="41"/>
      <c r="AO1039" s="73"/>
      <c r="AP1039" s="53">
        <f>(AP$29/AP$27)^2*(AP1036-('Valve Sizing'!$V$4*'Valve Sizing'!$G$7))</f>
        <v>-7.0086984902302198</v>
      </c>
      <c r="AQ1039" s="41"/>
      <c r="AR1039" s="73"/>
      <c r="AS1039" s="53">
        <f>(AS$29/AS$27)^2*(AS1036-('Valve Sizing'!$V$4*'Valve Sizing'!$G$7))</f>
        <v>-14.924923192069699</v>
      </c>
      <c r="AT1039" s="41"/>
      <c r="AU1039" s="73"/>
    </row>
    <row r="1040" spans="15:47" ht="13" x14ac:dyDescent="0.25">
      <c r="O1040" s="1" t="s">
        <v>69</v>
      </c>
      <c r="P1040" s="17">
        <v>7</v>
      </c>
      <c r="Q1040" s="65"/>
      <c r="R1040" s="53">
        <f>(R1034/(N_1*F_P_h))*SQRT('Valve Sizing'!$G$6/R1038)</f>
        <v>0.85397982095950919</v>
      </c>
      <c r="S1040" s="58"/>
      <c r="T1040" s="73"/>
      <c r="U1040" s="64">
        <f>(U1034/(N_1*U$27))*SQRT('Valve Sizing'!$G$6/U1038)</f>
        <v>12.352075859566874</v>
      </c>
      <c r="V1040" s="41"/>
      <c r="W1040" s="73"/>
      <c r="X1040" s="64">
        <f>(X1034/(N_1*X$27))*SQRT('Valve Sizing'!$G$6/X1038)</f>
        <v>30.162971862812682</v>
      </c>
      <c r="Y1040" s="41"/>
      <c r="Z1040" s="73"/>
      <c r="AA1040" s="64">
        <f>(AA1034/(N_1*AA$27))*SQRT('Valve Sizing'!$G$6/AA1038)</f>
        <v>60.95352872070837</v>
      </c>
      <c r="AB1040" s="41"/>
      <c r="AC1040" s="73"/>
      <c r="AD1040" s="64">
        <f>(AD1034/(N_1*AD$27))*SQRT('Valve Sizing'!$G$6/AD1038)</f>
        <v>117.3820135306315</v>
      </c>
      <c r="AE1040" s="41"/>
      <c r="AF1040" s="73"/>
      <c r="AG1040" s="64">
        <f>(AG1034/(N_1*AG$27))*SQRT('Valve Sizing'!$G$6/AG1038)</f>
        <v>302.45760447717828</v>
      </c>
      <c r="AH1040" s="41"/>
      <c r="AI1040" s="73"/>
      <c r="AJ1040" s="64" t="e">
        <f>(AJ1034/(N_1*AJ$27))*SQRT('Valve Sizing'!$G$6/AJ1038)</f>
        <v>#NUM!</v>
      </c>
      <c r="AK1040" s="41"/>
      <c r="AL1040" s="73"/>
      <c r="AM1040" s="64" t="e">
        <f>(AM1034/(N_1*AM$27))*SQRT('Valve Sizing'!$G$6/AM1038)</f>
        <v>#NUM!</v>
      </c>
      <c r="AN1040" s="41"/>
      <c r="AO1040" s="73"/>
      <c r="AP1040" s="64" t="e">
        <f>(AP1034/(N_1*AP$27))*SQRT('Valve Sizing'!$G$6/AP1038)</f>
        <v>#NUM!</v>
      </c>
      <c r="AQ1040" s="41"/>
      <c r="AR1040" s="73"/>
      <c r="AS1040" s="64" t="e">
        <f>(AS1034/(N_1*AS$27))*SQRT('Valve Sizing'!$G$6/AS1038)</f>
        <v>#NUM!</v>
      </c>
      <c r="AT1040" s="41"/>
      <c r="AU1040" s="73"/>
    </row>
    <row r="1041" spans="15:47" ht="13" x14ac:dyDescent="0.3">
      <c r="O1041" s="1" t="s">
        <v>72</v>
      </c>
      <c r="P1041" s="17">
        <v>7</v>
      </c>
      <c r="Q1041" s="65"/>
      <c r="R1041" s="53">
        <f>(R1034/(N_1*F_P_h))*SQRT('Valve Sizing'!$G$6/R1039)</f>
        <v>0.7092689902726288</v>
      </c>
      <c r="S1041" s="56"/>
      <c r="T1041" s="72"/>
      <c r="U1041" s="85">
        <f>(U1034/(N_1*U$27))*SQRT('Valve Sizing'!$G$6/U1039)</f>
        <v>10.24388324013054</v>
      </c>
      <c r="V1041" s="44"/>
      <c r="W1041" s="72"/>
      <c r="X1041" s="85">
        <f>(X1034/(N_1*X$27))*SQRT('Valve Sizing'!$G$6/X1039)</f>
        <v>25.102920469266891</v>
      </c>
      <c r="Y1041" s="44"/>
      <c r="Z1041" s="72"/>
      <c r="AA1041" s="85">
        <f>(AA1034/(N_1*AA$27))*SQRT('Valve Sizing'!$G$6/AA1039)</f>
        <v>50.483488314443576</v>
      </c>
      <c r="AB1041" s="44"/>
      <c r="AC1041" s="72"/>
      <c r="AD1041" s="85">
        <f>(AD1034/(N_1*AD$27))*SQRT('Valve Sizing'!$G$6/AD1039)</f>
        <v>92.321363209978841</v>
      </c>
      <c r="AE1041" s="44"/>
      <c r="AF1041" s="72"/>
      <c r="AG1041" s="85">
        <f>(AG1034/(N_1*AG$27))*SQRT('Valve Sizing'!$G$6/AG1039)</f>
        <v>170.79843976447165</v>
      </c>
      <c r="AH1041" s="44"/>
      <c r="AI1041" s="72"/>
      <c r="AJ1041" s="85">
        <f>(AJ1034/(N_1*AJ$27))*SQRT('Valve Sizing'!$G$6/AJ1039)</f>
        <v>337.43980999345615</v>
      </c>
      <c r="AK1041" s="44"/>
      <c r="AL1041" s="72"/>
      <c r="AM1041" s="85">
        <f>(AM1034/(N_1*AM$27))*SQRT('Valve Sizing'!$G$6/AM1039)</f>
        <v>1792.7826053440108</v>
      </c>
      <c r="AN1041" s="44"/>
      <c r="AO1041" s="72"/>
      <c r="AP1041" s="85" t="e">
        <f>(AP1034/(N_1*AP$27))*SQRT('Valve Sizing'!$G$6/AP1039)</f>
        <v>#NUM!</v>
      </c>
      <c r="AQ1041" s="44"/>
      <c r="AR1041" s="72"/>
      <c r="AS1041" s="85" t="e">
        <f>(AS1034/(N_1*AS$27))*SQRT('Valve Sizing'!$G$6/AS1039)</f>
        <v>#NUM!</v>
      </c>
      <c r="AT1041" s="44"/>
      <c r="AU1041" s="72"/>
    </row>
    <row r="1042" spans="15:47" x14ac:dyDescent="0.25">
      <c r="O1042" s="1" t="s">
        <v>246</v>
      </c>
      <c r="P1042" s="18"/>
      <c r="Q1042" s="65"/>
      <c r="R1042" s="53">
        <f>IF(R1038&lt;R1039,R1040,R1041)</f>
        <v>0.85397982095950919</v>
      </c>
      <c r="S1042" s="49"/>
      <c r="T1042" s="72"/>
      <c r="U1042" s="64">
        <f>IF(U1038&lt;U1039,U1040,U1041)</f>
        <v>12.352075859566874</v>
      </c>
      <c r="V1042" s="44"/>
      <c r="W1042" s="72"/>
      <c r="X1042" s="64">
        <f>IF(X1038&lt;X1039,X1040,X1041)</f>
        <v>30.162971862812682</v>
      </c>
      <c r="Y1042" s="44"/>
      <c r="Z1042" s="72"/>
      <c r="AA1042" s="64">
        <f>IF(AA1038&lt;AA1039,AA1040,AA1041)</f>
        <v>60.95352872070837</v>
      </c>
      <c r="AB1042" s="44"/>
      <c r="AC1042" s="72"/>
      <c r="AD1042" s="64">
        <f>IF(AD1038&lt;AD1039,AD1040,AD1041)</f>
        <v>117.3820135306315</v>
      </c>
      <c r="AE1042" s="44"/>
      <c r="AF1042" s="72"/>
      <c r="AG1042" s="64">
        <f>IF(AG1038&lt;AG1039,AG1040,AG1041)</f>
        <v>302.45760447717828</v>
      </c>
      <c r="AH1042" s="44"/>
      <c r="AI1042" s="72"/>
      <c r="AJ1042" s="64" t="e">
        <f>IF(AJ1038&lt;AJ1039,AJ1040,AJ1041)</f>
        <v>#NUM!</v>
      </c>
      <c r="AK1042" s="44"/>
      <c r="AL1042" s="72"/>
      <c r="AM1042" s="64" t="e">
        <f>IF(AM1038&lt;AM1039,AM1040,AM1041)</f>
        <v>#NUM!</v>
      </c>
      <c r="AN1042" s="44"/>
      <c r="AO1042" s="72"/>
      <c r="AP1042" s="64" t="e">
        <f>IF(AP1038&lt;AP1039,AP1040,AP1041)</f>
        <v>#NUM!</v>
      </c>
      <c r="AQ1042" s="44"/>
      <c r="AR1042" s="72"/>
      <c r="AS1042" s="64" t="e">
        <f>IF(AS1038&lt;AS1039,AS1040,AS1041)</f>
        <v>#NUM!</v>
      </c>
      <c r="AT1042" s="44"/>
      <c r="AU1042" s="72"/>
    </row>
    <row r="1043" spans="15:47" ht="13" x14ac:dyDescent="0.3">
      <c r="O1043" s="7" t="s">
        <v>264</v>
      </c>
      <c r="Q1043" s="61"/>
      <c r="R1043" s="53"/>
      <c r="S1043" s="69">
        <f>IFERROR(ABS(C_h-R1042),Q_max*10)</f>
        <v>4.1460201790404909</v>
      </c>
      <c r="T1043" s="76">
        <f>R1034</f>
        <v>4.8495966310652525</v>
      </c>
      <c r="U1043" s="61"/>
      <c r="V1043" s="69">
        <f>IFERROR(ABS(U$23-U1042),Q_max*10)</f>
        <v>0.35207585956687382</v>
      </c>
      <c r="W1043" s="75">
        <f>U1034</f>
        <v>69.882095339229949</v>
      </c>
      <c r="X1043" s="61"/>
      <c r="Y1043" s="69">
        <f>IFERROR(ABS(X$23-X1042),Q_max*10)</f>
        <v>7.1629718628126824</v>
      </c>
      <c r="Z1043" s="75">
        <f>X1034</f>
        <v>167.74392904670012</v>
      </c>
      <c r="AA1043" s="61"/>
      <c r="AB1043" s="69">
        <f>IFERROR(ABS(AA$23-AA1042),Q_max*10)</f>
        <v>21.95352872070837</v>
      </c>
      <c r="AC1043" s="75">
        <f>AA1034</f>
        <v>320.28463671646534</v>
      </c>
      <c r="AD1043" s="61"/>
      <c r="AE1043" s="69">
        <f>IFERROR(ABS(AD$23-AD1042),Q_max*10)</f>
        <v>56.382013530631497</v>
      </c>
      <c r="AF1043" s="75">
        <f>AD1034</f>
        <v>526.75030559160655</v>
      </c>
      <c r="AG1043" s="61"/>
      <c r="AH1043" s="69">
        <f>IFERROR(ABS(AG$23-AG1042),Q_max*10)</f>
        <v>214.45760447717828</v>
      </c>
      <c r="AI1043" s="75">
        <f>AG1034</f>
        <v>784.25942665185596</v>
      </c>
      <c r="AJ1043" s="61"/>
      <c r="AK1043" s="69">
        <f>IFERROR(ABS(AJ$23-AJ1042),Q_max*10)</f>
        <v>5500</v>
      </c>
      <c r="AL1043" s="75">
        <f>AJ1034</f>
        <v>1046.5972451012979</v>
      </c>
      <c r="AM1043" s="61"/>
      <c r="AN1043" s="69">
        <f>IFERROR(ABS(AM$23-AM1042),Q_max*10)</f>
        <v>5500</v>
      </c>
      <c r="AO1043" s="75">
        <f>AM1034</f>
        <v>1277.0475343095852</v>
      </c>
      <c r="AP1043" s="61"/>
      <c r="AQ1043" s="69">
        <f>IFERROR(ABS(AP$23-AP1042),Q_max*10)</f>
        <v>5500</v>
      </c>
      <c r="AR1043" s="75">
        <f>AP1034</f>
        <v>1482.6125418652312</v>
      </c>
      <c r="AS1043" s="61"/>
      <c r="AT1043" s="69">
        <f>IFERROR(ABS(AS$23-AS1042),Q_max*10)</f>
        <v>5500</v>
      </c>
      <c r="AU1043" s="75">
        <f>AS1034</f>
        <v>1687.3513713829382</v>
      </c>
    </row>
    <row r="1044" spans="15:47" ht="14.5" x14ac:dyDescent="0.35">
      <c r="O1044" s="6"/>
      <c r="P1044" s="6"/>
      <c r="Q1044" s="60"/>
      <c r="R1044" s="67"/>
      <c r="S1044" s="56"/>
      <c r="T1044" s="72"/>
      <c r="V1044" s="11"/>
      <c r="W1044" s="38"/>
      <c r="Y1044" s="11"/>
      <c r="Z1044" s="38"/>
      <c r="AB1044" s="11"/>
      <c r="AC1044" s="38"/>
      <c r="AE1044" s="11"/>
      <c r="AF1044" s="38"/>
      <c r="AH1044" s="11"/>
      <c r="AI1044" s="38"/>
      <c r="AK1044" s="11"/>
      <c r="AL1044" s="38"/>
      <c r="AN1044" s="11"/>
      <c r="AO1044" s="38"/>
      <c r="AQ1044" s="11"/>
      <c r="AR1044" s="38"/>
      <c r="AT1044" s="11"/>
      <c r="AU1044" s="38"/>
    </row>
    <row r="1045" spans="15:47" ht="14" x14ac:dyDescent="0.3">
      <c r="O1045" s="8" t="s">
        <v>235</v>
      </c>
      <c r="P1045" s="6"/>
      <c r="Q1045" s="60"/>
      <c r="R1045" s="53">
        <f>R1034*1.02</f>
        <v>4.9465885636865581</v>
      </c>
      <c r="S1045" s="58" t="s">
        <v>238</v>
      </c>
      <c r="T1045" s="73" t="s">
        <v>241</v>
      </c>
      <c r="U1045" s="84">
        <f>U1034*1.01</f>
        <v>70.580916292622248</v>
      </c>
      <c r="V1045" s="58" t="s">
        <v>238</v>
      </c>
      <c r="W1045" s="73" t="s">
        <v>241</v>
      </c>
      <c r="X1045" s="84">
        <f>X1034*1.01</f>
        <v>169.42136833716711</v>
      </c>
      <c r="Y1045" s="58" t="s">
        <v>238</v>
      </c>
      <c r="Z1045" s="73" t="s">
        <v>241</v>
      </c>
      <c r="AA1045" s="84">
        <f>AA1034*1.01</f>
        <v>323.48748308363002</v>
      </c>
      <c r="AB1045" s="58" t="s">
        <v>238</v>
      </c>
      <c r="AC1045" s="73" t="s">
        <v>241</v>
      </c>
      <c r="AD1045" s="84">
        <f>AD1034*1.01</f>
        <v>532.01780864752266</v>
      </c>
      <c r="AE1045" s="58" t="s">
        <v>238</v>
      </c>
      <c r="AF1045" s="73" t="s">
        <v>241</v>
      </c>
      <c r="AG1045" s="84">
        <f>AG1034*1.01</f>
        <v>792.10202091837448</v>
      </c>
      <c r="AH1045" s="58" t="s">
        <v>238</v>
      </c>
      <c r="AI1045" s="73" t="s">
        <v>241</v>
      </c>
      <c r="AJ1045" s="84">
        <f>AJ1034*1.01</f>
        <v>1057.0632175523108</v>
      </c>
      <c r="AK1045" s="58" t="s">
        <v>238</v>
      </c>
      <c r="AL1045" s="73" t="s">
        <v>241</v>
      </c>
      <c r="AM1045" s="84">
        <f>AM1034*1.01</f>
        <v>1289.818009652681</v>
      </c>
      <c r="AN1045" s="58" t="s">
        <v>238</v>
      </c>
      <c r="AO1045" s="73" t="s">
        <v>241</v>
      </c>
      <c r="AP1045" s="84">
        <f>AP1034*1.01</f>
        <v>1497.4386672838834</v>
      </c>
      <c r="AQ1045" s="58" t="s">
        <v>238</v>
      </c>
      <c r="AR1045" s="73" t="s">
        <v>241</v>
      </c>
      <c r="AS1045" s="84">
        <f>AS1034*1.01</f>
        <v>1704.2248850967676</v>
      </c>
      <c r="AT1045" s="58" t="s">
        <v>238</v>
      </c>
      <c r="AU1045" s="73" t="s">
        <v>241</v>
      </c>
    </row>
    <row r="1046" spans="15:47" ht="13" x14ac:dyDescent="0.25">
      <c r="O1046" s="6"/>
      <c r="P1046" s="6"/>
      <c r="Q1046" s="60"/>
      <c r="R1046" s="70"/>
      <c r="S1046" s="63" t="s">
        <v>250</v>
      </c>
      <c r="T1046" s="71" t="s">
        <v>242</v>
      </c>
      <c r="U1046" s="61"/>
      <c r="V1046" s="63" t="s">
        <v>250</v>
      </c>
      <c r="W1046" s="71" t="s">
        <v>242</v>
      </c>
      <c r="X1046" s="61"/>
      <c r="Y1046" s="63" t="s">
        <v>250</v>
      </c>
      <c r="Z1046" s="71" t="s">
        <v>242</v>
      </c>
      <c r="AA1046" s="61"/>
      <c r="AB1046" s="63" t="s">
        <v>250</v>
      </c>
      <c r="AC1046" s="71" t="s">
        <v>242</v>
      </c>
      <c r="AD1046" s="61"/>
      <c r="AE1046" s="63" t="s">
        <v>250</v>
      </c>
      <c r="AF1046" s="71" t="s">
        <v>242</v>
      </c>
      <c r="AG1046" s="61"/>
      <c r="AH1046" s="63" t="s">
        <v>250</v>
      </c>
      <c r="AI1046" s="71" t="s">
        <v>242</v>
      </c>
      <c r="AJ1046" s="61"/>
      <c r="AK1046" s="63" t="s">
        <v>250</v>
      </c>
      <c r="AL1046" s="71" t="s">
        <v>242</v>
      </c>
      <c r="AM1046" s="61"/>
      <c r="AN1046" s="63" t="s">
        <v>250</v>
      </c>
      <c r="AO1046" s="71" t="s">
        <v>242</v>
      </c>
      <c r="AP1046" s="61"/>
      <c r="AQ1046" s="63" t="s">
        <v>250</v>
      </c>
      <c r="AR1046" s="71" t="s">
        <v>242</v>
      </c>
      <c r="AS1046" s="61"/>
      <c r="AT1046" s="63" t="s">
        <v>250</v>
      </c>
      <c r="AU1046" s="71" t="s">
        <v>242</v>
      </c>
    </row>
    <row r="1047" spans="15:47" ht="13" x14ac:dyDescent="0.3">
      <c r="O1047" s="6" t="s">
        <v>231</v>
      </c>
      <c r="P1047" s="6"/>
      <c r="Q1047" s="60"/>
      <c r="R1047" s="85">
        <f>P_1_minQ-(R1045^2*R_up)+dpup_minQ</f>
        <v>56.91531682747658</v>
      </c>
      <c r="S1047" s="56"/>
      <c r="T1047" s="72"/>
      <c r="U1047" s="53">
        <f>P_1_minQ-(U1045^2*R_up)+dpup_minQ</f>
        <v>56.74790051520749</v>
      </c>
      <c r="V1047" s="44"/>
      <c r="W1047" s="72"/>
      <c r="X1047" s="53">
        <f>P_1_minQ-(X1045^2*R_up)+dpup_minQ</f>
        <v>55.946754473176696</v>
      </c>
      <c r="Y1047" s="44"/>
      <c r="Z1047" s="72"/>
      <c r="AA1047" s="53">
        <f>P_1_minQ-(AA1045^2*R_up)+dpup_minQ</f>
        <v>53.382061745633848</v>
      </c>
      <c r="AB1047" s="44"/>
      <c r="AC1047" s="72"/>
      <c r="AD1047" s="53">
        <f>P_1_minQ-(AD1045^2*R_up)+dpup_minQ</f>
        <v>47.357110816679771</v>
      </c>
      <c r="AE1047" s="44"/>
      <c r="AF1047" s="72"/>
      <c r="AG1047" s="53">
        <f>P_1_minQ-(AG1045^2*R_up)+dpup_minQ</f>
        <v>35.726490660487237</v>
      </c>
      <c r="AH1047" s="44"/>
      <c r="AI1047" s="72"/>
      <c r="AJ1047" s="53">
        <f>P_1_minQ-(AJ1045^2*R_up)+dpup_minQ</f>
        <v>19.17947835521635</v>
      </c>
      <c r="AK1047" s="44"/>
      <c r="AL1047" s="72"/>
      <c r="AM1047" s="53">
        <f>P_1_minQ-(AM1045^2*R_up)+dpup_minQ</f>
        <v>0.73139148853754243</v>
      </c>
      <c r="AN1047" s="44"/>
      <c r="AO1047" s="72"/>
      <c r="AP1047" s="53">
        <f>P_1_minQ-(AP1045^2*R_up)+dpup_minQ</f>
        <v>-18.812413450757607</v>
      </c>
      <c r="AQ1047" s="44"/>
      <c r="AR1047" s="72"/>
      <c r="AS1047" s="53">
        <f>P_1_minQ-(AS1045^2*R_up)+dpup_minQ</f>
        <v>-41.171748023745046</v>
      </c>
      <c r="AT1047" s="44"/>
      <c r="AU1047" s="72"/>
    </row>
    <row r="1048" spans="15:47" ht="13" x14ac:dyDescent="0.3">
      <c r="O1048" s="6" t="s">
        <v>233</v>
      </c>
      <c r="P1048" s="6"/>
      <c r="Q1048" s="60"/>
      <c r="R1048" s="85">
        <f>P_2_minQ+(R1045^2*R_dn)-dpdn_minQ</f>
        <v>24.656936634504685</v>
      </c>
      <c r="S1048" s="66"/>
      <c r="T1048" s="74"/>
      <c r="U1048" s="53">
        <f>P_2_minQ+(U1045^2*R_dn)-dpdn_minQ</f>
        <v>24.690419896958502</v>
      </c>
      <c r="V1048" s="45"/>
      <c r="W1048" s="74"/>
      <c r="X1048" s="53">
        <f>P_2_minQ+(X1045^2*R_dn)-dpdn_minQ</f>
        <v>24.850649105364663</v>
      </c>
      <c r="Y1048" s="45"/>
      <c r="Z1048" s="74"/>
      <c r="AA1048" s="53">
        <f>P_2_minQ+(AA1045^2*R_dn)-dpdn_minQ</f>
        <v>25.363587650873232</v>
      </c>
      <c r="AB1048" s="45"/>
      <c r="AC1048" s="74"/>
      <c r="AD1048" s="53">
        <f>P_2_minQ+(AD1045^2*R_dn)-dpdn_minQ</f>
        <v>26.568577836664048</v>
      </c>
      <c r="AE1048" s="45"/>
      <c r="AF1048" s="74"/>
      <c r="AG1048" s="53">
        <f>P_2_minQ+(AG1045^2*R_dn)-dpdn_minQ</f>
        <v>28.894701867902555</v>
      </c>
      <c r="AH1048" s="45"/>
      <c r="AI1048" s="74"/>
      <c r="AJ1048" s="53">
        <f>P_2_minQ+(AJ1045^2*R_dn)-dpdn_minQ</f>
        <v>32.204104328956731</v>
      </c>
      <c r="AK1048" s="45"/>
      <c r="AL1048" s="74"/>
      <c r="AM1048" s="53">
        <f>P_2_minQ+(AM1045^2*R_dn)-dpdn_minQ</f>
        <v>35.893721702292495</v>
      </c>
      <c r="AN1048" s="45"/>
      <c r="AO1048" s="74"/>
      <c r="AP1048" s="53">
        <f>P_2_minQ+(AP1045^2*R_dn)-dpdn_minQ</f>
        <v>39.802482690151528</v>
      </c>
      <c r="AQ1048" s="45"/>
      <c r="AR1048" s="74"/>
      <c r="AS1048" s="53">
        <f>P_2_minQ+(AS1045^2*R_dn)-dpdn_minQ</f>
        <v>44.274349604749013</v>
      </c>
      <c r="AT1048" s="45"/>
      <c r="AU1048" s="74"/>
    </row>
    <row r="1049" spans="15:47" x14ac:dyDescent="0.25">
      <c r="O1049" s="6" t="s">
        <v>243</v>
      </c>
      <c r="Q1049" s="60"/>
      <c r="R1049" s="53">
        <f>R1047-R1048</f>
        <v>32.258380192971899</v>
      </c>
      <c r="S1049" s="56"/>
      <c r="T1049" s="72"/>
      <c r="U1049" s="64">
        <f>U1047-U1048</f>
        <v>32.057480618248988</v>
      </c>
      <c r="V1049" s="44"/>
      <c r="W1049" s="72"/>
      <c r="X1049" s="64">
        <f>X1047-X1048</f>
        <v>31.096105367812033</v>
      </c>
      <c r="Y1049" s="44"/>
      <c r="Z1049" s="72"/>
      <c r="AA1049" s="64">
        <f>AA1047-AA1048</f>
        <v>28.018474094760617</v>
      </c>
      <c r="AB1049" s="44"/>
      <c r="AC1049" s="72"/>
      <c r="AD1049" s="64">
        <f>AD1047-AD1048</f>
        <v>20.788532980015724</v>
      </c>
      <c r="AE1049" s="44"/>
      <c r="AF1049" s="72"/>
      <c r="AG1049" s="64">
        <f>AG1047-AG1048</f>
        <v>6.8317887925846819</v>
      </c>
      <c r="AH1049" s="44"/>
      <c r="AI1049" s="72"/>
      <c r="AJ1049" s="64">
        <f>AJ1047-AJ1048</f>
        <v>-13.024625973740381</v>
      </c>
      <c r="AK1049" s="44"/>
      <c r="AL1049" s="72"/>
      <c r="AM1049" s="64">
        <f>AM1047-AM1048</f>
        <v>-35.162330213754956</v>
      </c>
      <c r="AN1049" s="44"/>
      <c r="AO1049" s="72"/>
      <c r="AP1049" s="64">
        <f>AP1047-AP1048</f>
        <v>-58.614896140909138</v>
      </c>
      <c r="AQ1049" s="44"/>
      <c r="AR1049" s="72"/>
      <c r="AS1049" s="64">
        <f>AS1047-AS1048</f>
        <v>-85.446097628494059</v>
      </c>
      <c r="AT1049" s="44"/>
      <c r="AU1049" s="72"/>
    </row>
    <row r="1050" spans="15:47" ht="13" x14ac:dyDescent="0.3">
      <c r="O1050" s="6" t="s">
        <v>75</v>
      </c>
      <c r="P1050" s="6">
        <v>3</v>
      </c>
      <c r="Q1050" s="65"/>
      <c r="R1050" s="85">
        <f>(F_LP_h/F_P_h)^2*(R1047-('Valve Sizing'!$V$4*'Valve Sizing'!$G$7))</f>
        <v>46.764478966142342</v>
      </c>
      <c r="S1050" s="58"/>
      <c r="T1050" s="73"/>
      <c r="U1050" s="53">
        <f>(U$29/U$27)^2*(U1047-('Valve Sizing'!$V$4*'Valve Sizing'!$G$7))</f>
        <v>46.613141191516952</v>
      </c>
      <c r="V1050" s="41"/>
      <c r="W1050" s="73"/>
      <c r="X1050" s="53">
        <f>(X$29/X$27)^2*(X1047-('Valve Sizing'!$V$4*'Valve Sizing'!$G$7))</f>
        <v>44.9134415943237</v>
      </c>
      <c r="Y1050" s="41"/>
      <c r="Z1050" s="73"/>
      <c r="AA1050" s="53">
        <f>(AA$29/AA$27)^2*(AA1047-('Valve Sizing'!$V$4*'Valve Sizing'!$G$7))</f>
        <v>40.913433643330876</v>
      </c>
      <c r="AB1050" s="41"/>
      <c r="AC1050" s="73"/>
      <c r="AD1050" s="53">
        <f>(AD$29/AD$27)^2*(AD1047-('Valve Sizing'!$V$4*'Valve Sizing'!$G$7))</f>
        <v>33.835987911928186</v>
      </c>
      <c r="AE1050" s="41"/>
      <c r="AF1050" s="73"/>
      <c r="AG1050" s="53">
        <f>(AG$29/AG$27)^2*(AG1047-('Valve Sizing'!$V$4*'Valve Sizing'!$G$7))</f>
        <v>22.726013727021009</v>
      </c>
      <c r="AH1050" s="41"/>
      <c r="AI1050" s="73"/>
      <c r="AJ1050" s="53">
        <f>(AJ$29/AJ$27)^2*(AJ1047-('Valve Sizing'!$V$4*'Valve Sizing'!$G$7))</f>
        <v>10.838212589605142</v>
      </c>
      <c r="AK1050" s="41"/>
      <c r="AL1050" s="73"/>
      <c r="AM1050" s="53">
        <f>(AM$29/AM$27)^2*(AM1047-('Valve Sizing'!$V$4*'Valve Sizing'!$G$7))</f>
        <v>0.13939511881843289</v>
      </c>
      <c r="AN1050" s="41"/>
      <c r="AO1050" s="73"/>
      <c r="AP1050" s="53">
        <f>(AP$29/AP$27)^2*(AP1047-('Valve Sizing'!$V$4*'Valve Sizing'!$G$7))</f>
        <v>-7.5975415967833149</v>
      </c>
      <c r="AQ1050" s="41"/>
      <c r="AR1050" s="73"/>
      <c r="AS1050" s="53">
        <f>(AS$29/AS$27)^2*(AS1047-('Valve Sizing'!$V$4*'Valve Sizing'!$G$7))</f>
        <v>-15.651897637347856</v>
      </c>
      <c r="AT1050" s="41"/>
      <c r="AU1050" s="73"/>
    </row>
    <row r="1051" spans="15:47" ht="13" x14ac:dyDescent="0.25">
      <c r="O1051" s="1" t="s">
        <v>69</v>
      </c>
      <c r="P1051" s="17">
        <v>7</v>
      </c>
      <c r="Q1051" s="65"/>
      <c r="R1051" s="53">
        <f>(R1045/(N_1*F_P_h))*SQRT('Valve Sizing'!$G$6/R1049)</f>
        <v>0.87105993726759046</v>
      </c>
      <c r="S1051" s="58"/>
      <c r="T1051" s="73"/>
      <c r="U1051" s="64">
        <f>(U1045/(N_1*U$27))*SQRT('Valve Sizing'!$G$6/U1049)</f>
        <v>12.476370650669928</v>
      </c>
      <c r="V1051" s="41"/>
      <c r="W1051" s="73"/>
      <c r="X1051" s="64">
        <f>(X1045/(N_1*X$27))*SQRT('Valve Sizing'!$G$6/X1049)</f>
        <v>30.475827244920396</v>
      </c>
      <c r="Y1051" s="41"/>
      <c r="Z1051" s="73"/>
      <c r="AA1051" s="64">
        <f>(AA1045/(N_1*AA$27))*SQRT('Valve Sizing'!$G$6/AA1049)</f>
        <v>61.654798658835013</v>
      </c>
      <c r="AB1051" s="41"/>
      <c r="AC1051" s="73"/>
      <c r="AD1051" s="64">
        <f>(AD1045/(N_1*AD$27))*SQRT('Valve Sizing'!$G$6/AD1049)</f>
        <v>119.19858340518034</v>
      </c>
      <c r="AE1051" s="41"/>
      <c r="AF1051" s="73"/>
      <c r="AG1051" s="64">
        <f>(AG1045/(N_1*AG$27))*SQRT('Valve Sizing'!$G$6/AG1049)</f>
        <v>316.48560413479066</v>
      </c>
      <c r="AH1051" s="41"/>
      <c r="AI1051" s="73"/>
      <c r="AJ1051" s="64" t="e">
        <f>(AJ1045/(N_1*AJ$27))*SQRT('Valve Sizing'!$G$6/AJ1049)</f>
        <v>#NUM!</v>
      </c>
      <c r="AK1051" s="41"/>
      <c r="AL1051" s="73"/>
      <c r="AM1051" s="64" t="e">
        <f>(AM1045/(N_1*AM$27))*SQRT('Valve Sizing'!$G$6/AM1049)</f>
        <v>#NUM!</v>
      </c>
      <c r="AN1051" s="41"/>
      <c r="AO1051" s="73"/>
      <c r="AP1051" s="64" t="e">
        <f>(AP1045/(N_1*AP$27))*SQRT('Valve Sizing'!$G$6/AP1049)</f>
        <v>#NUM!</v>
      </c>
      <c r="AQ1051" s="41"/>
      <c r="AR1051" s="73"/>
      <c r="AS1051" s="64" t="e">
        <f>(AS1045/(N_1*AS$27))*SQRT('Valve Sizing'!$G$6/AS1049)</f>
        <v>#NUM!</v>
      </c>
      <c r="AT1051" s="41"/>
      <c r="AU1051" s="73"/>
    </row>
    <row r="1052" spans="15:47" ht="13" x14ac:dyDescent="0.3">
      <c r="O1052" s="1" t="s">
        <v>72</v>
      </c>
      <c r="P1052" s="17">
        <v>7</v>
      </c>
      <c r="Q1052" s="65"/>
      <c r="R1052" s="53">
        <f>(R1045/(N_1*F_P_h))*SQRT('Valve Sizing'!$G$6/R1050)</f>
        <v>0.72345457560894499</v>
      </c>
      <c r="S1052" s="56"/>
      <c r="T1052" s="72"/>
      <c r="U1052" s="85">
        <f>(U1045/(N_1*U$27))*SQRT('Valve Sizing'!$G$6/U1050)</f>
        <v>10.346626630665741</v>
      </c>
      <c r="V1052" s="44"/>
      <c r="W1052" s="72"/>
      <c r="X1052" s="85">
        <f>(X1045/(N_1*X$27))*SQRT('Valve Sizing'!$G$6/X1050)</f>
        <v>25.358311658884187</v>
      </c>
      <c r="Y1052" s="44"/>
      <c r="Z1052" s="72"/>
      <c r="AA1052" s="85">
        <f>(AA1045/(N_1*AA$27))*SQRT('Valve Sizing'!$G$6/AA1050)</f>
        <v>51.021845009378659</v>
      </c>
      <c r="AB1052" s="44"/>
      <c r="AC1052" s="72"/>
      <c r="AD1052" s="85">
        <f>(AD1045/(N_1*AD$27))*SQRT('Valve Sizing'!$G$6/AD1050)</f>
        <v>93.431556725106546</v>
      </c>
      <c r="AE1052" s="44"/>
      <c r="AF1052" s="72"/>
      <c r="AG1052" s="85">
        <f>(AG1045/(N_1*AG$27))*SQRT('Valve Sizing'!$G$6/AG1050)</f>
        <v>173.52399733827002</v>
      </c>
      <c r="AH1052" s="44"/>
      <c r="AI1052" s="72"/>
      <c r="AJ1052" s="85">
        <f>(AJ1045/(N_1*AJ$27))*SQRT('Valve Sizing'!$G$6/AJ1050)</f>
        <v>347.51001610877364</v>
      </c>
      <c r="AK1052" s="44"/>
      <c r="AL1052" s="72"/>
      <c r="AM1052" s="85">
        <f>(AM1045/(N_1*AM$27))*SQRT('Valve Sizing'!$G$6/AM1050)</f>
        <v>3967.0579458237121</v>
      </c>
      <c r="AN1052" s="44"/>
      <c r="AO1052" s="72"/>
      <c r="AP1052" s="85" t="e">
        <f>(AP1045/(N_1*AP$27))*SQRT('Valve Sizing'!$G$6/AP1050)</f>
        <v>#NUM!</v>
      </c>
      <c r="AQ1052" s="44"/>
      <c r="AR1052" s="72"/>
      <c r="AS1052" s="85" t="e">
        <f>(AS1045/(N_1*AS$27))*SQRT('Valve Sizing'!$G$6/AS1050)</f>
        <v>#NUM!</v>
      </c>
      <c r="AT1052" s="44"/>
      <c r="AU1052" s="72"/>
    </row>
    <row r="1053" spans="15:47" x14ac:dyDescent="0.25">
      <c r="O1053" s="1" t="s">
        <v>246</v>
      </c>
      <c r="P1053" s="18"/>
      <c r="Q1053" s="65"/>
      <c r="R1053" s="53">
        <f>IF(R1049&lt;R1050,R1051,R1052)</f>
        <v>0.87105993726759046</v>
      </c>
      <c r="S1053" s="49"/>
      <c r="T1053" s="72"/>
      <c r="U1053" s="64">
        <f>IF(U1049&lt;U1050,U1051,U1052)</f>
        <v>12.476370650669928</v>
      </c>
      <c r="V1053" s="44"/>
      <c r="W1053" s="72"/>
      <c r="X1053" s="64">
        <f>IF(X1049&lt;X1050,X1051,X1052)</f>
        <v>30.475827244920396</v>
      </c>
      <c r="Y1053" s="44"/>
      <c r="Z1053" s="72"/>
      <c r="AA1053" s="64">
        <f>IF(AA1049&lt;AA1050,AA1051,AA1052)</f>
        <v>61.654798658835013</v>
      </c>
      <c r="AB1053" s="44"/>
      <c r="AC1053" s="72"/>
      <c r="AD1053" s="64">
        <f>IF(AD1049&lt;AD1050,AD1051,AD1052)</f>
        <v>119.19858340518034</v>
      </c>
      <c r="AE1053" s="44"/>
      <c r="AF1053" s="72"/>
      <c r="AG1053" s="64">
        <f>IF(AG1049&lt;AG1050,AG1051,AG1052)</f>
        <v>316.48560413479066</v>
      </c>
      <c r="AH1053" s="44"/>
      <c r="AI1053" s="72"/>
      <c r="AJ1053" s="64" t="e">
        <f>IF(AJ1049&lt;AJ1050,AJ1051,AJ1052)</f>
        <v>#NUM!</v>
      </c>
      <c r="AK1053" s="44"/>
      <c r="AL1053" s="72"/>
      <c r="AM1053" s="64" t="e">
        <f>IF(AM1049&lt;AM1050,AM1051,AM1052)</f>
        <v>#NUM!</v>
      </c>
      <c r="AN1053" s="44"/>
      <c r="AO1053" s="72"/>
      <c r="AP1053" s="64" t="e">
        <f>IF(AP1049&lt;AP1050,AP1051,AP1052)</f>
        <v>#NUM!</v>
      </c>
      <c r="AQ1053" s="44"/>
      <c r="AR1053" s="72"/>
      <c r="AS1053" s="64" t="e">
        <f>IF(AS1049&lt;AS1050,AS1051,AS1052)</f>
        <v>#NUM!</v>
      </c>
      <c r="AT1053" s="44"/>
      <c r="AU1053" s="72"/>
    </row>
    <row r="1054" spans="15:47" ht="13" x14ac:dyDescent="0.3">
      <c r="O1054" s="7" t="s">
        <v>264</v>
      </c>
      <c r="Q1054" s="61"/>
      <c r="R1054" s="53"/>
      <c r="S1054" s="69">
        <f>IFERROR(ABS(C_h-R1053),Q_max*10)</f>
        <v>4.1289400627324095</v>
      </c>
      <c r="T1054" s="76">
        <f>R1045</f>
        <v>4.9465885636865581</v>
      </c>
      <c r="U1054" s="61"/>
      <c r="V1054" s="69">
        <f>IFERROR(ABS(U$23-U1053),Q_max*10)</f>
        <v>0.4763706506699279</v>
      </c>
      <c r="W1054" s="75">
        <f>U1045</f>
        <v>70.580916292622248</v>
      </c>
      <c r="X1054" s="61"/>
      <c r="Y1054" s="69">
        <f>IFERROR(ABS(X$23-X1053),Q_max*10)</f>
        <v>7.4758272449203957</v>
      </c>
      <c r="Z1054" s="75">
        <f>X1045</f>
        <v>169.42136833716711</v>
      </c>
      <c r="AA1054" s="61"/>
      <c r="AB1054" s="69">
        <f>IFERROR(ABS(AA$23-AA1053),Q_max*10)</f>
        <v>22.654798658835013</v>
      </c>
      <c r="AC1054" s="75">
        <f>AA1045</f>
        <v>323.48748308363002</v>
      </c>
      <c r="AD1054" s="61"/>
      <c r="AE1054" s="69">
        <f>IFERROR(ABS(AD$23-AD1053),Q_max*10)</f>
        <v>58.198583405180344</v>
      </c>
      <c r="AF1054" s="75">
        <f>AD1045</f>
        <v>532.01780864752266</v>
      </c>
      <c r="AG1054" s="61"/>
      <c r="AH1054" s="69">
        <f>IFERROR(ABS(AG$23-AG1053),Q_max*10)</f>
        <v>228.48560413479066</v>
      </c>
      <c r="AI1054" s="75">
        <f>AG1045</f>
        <v>792.10202091837448</v>
      </c>
      <c r="AJ1054" s="61"/>
      <c r="AK1054" s="69">
        <f>IFERROR(ABS(AJ$23-AJ1053),Q_max*10)</f>
        <v>5500</v>
      </c>
      <c r="AL1054" s="75">
        <f>AJ1045</f>
        <v>1057.0632175523108</v>
      </c>
      <c r="AM1054" s="61"/>
      <c r="AN1054" s="69">
        <f>IFERROR(ABS(AM$23-AM1053),Q_max*10)</f>
        <v>5500</v>
      </c>
      <c r="AO1054" s="75">
        <f>AM1045</f>
        <v>1289.818009652681</v>
      </c>
      <c r="AP1054" s="61"/>
      <c r="AQ1054" s="69">
        <f>IFERROR(ABS(AP$23-AP1053),Q_max*10)</f>
        <v>5500</v>
      </c>
      <c r="AR1054" s="75">
        <f>AP1045</f>
        <v>1497.4386672838834</v>
      </c>
      <c r="AS1054" s="61"/>
      <c r="AT1054" s="69">
        <f>IFERROR(ABS(AS$23-AS1053),Q_max*10)</f>
        <v>5500</v>
      </c>
      <c r="AU1054" s="75">
        <f>AS1045</f>
        <v>1704.2248850967676</v>
      </c>
    </row>
    <row r="1055" spans="15:47" ht="14.5" x14ac:dyDescent="0.35">
      <c r="O1055" s="8"/>
      <c r="P1055" s="6"/>
      <c r="Q1055" s="60"/>
      <c r="R1055" s="67"/>
      <c r="S1055" s="58"/>
      <c r="T1055" s="73"/>
      <c r="V1055" s="11"/>
      <c r="W1055" s="38"/>
      <c r="Y1055" s="11"/>
      <c r="Z1055" s="38"/>
      <c r="AB1055" s="11"/>
      <c r="AC1055" s="38"/>
      <c r="AE1055" s="11"/>
      <c r="AF1055" s="38"/>
      <c r="AH1055" s="11"/>
      <c r="AI1055" s="38"/>
      <c r="AK1055" s="11"/>
      <c r="AL1055" s="38"/>
      <c r="AN1055" s="11"/>
      <c r="AO1055" s="38"/>
      <c r="AQ1055" s="11"/>
      <c r="AR1055" s="38"/>
      <c r="AT1055" s="11"/>
      <c r="AU1055" s="38"/>
    </row>
    <row r="1056" spans="15:47" ht="14" x14ac:dyDescent="0.3">
      <c r="O1056" s="8" t="s">
        <v>235</v>
      </c>
      <c r="P1056" s="6"/>
      <c r="Q1056" s="60"/>
      <c r="R1056" s="53">
        <f>R1045*1.02</f>
        <v>5.0455203349602895</v>
      </c>
      <c r="S1056" s="58" t="s">
        <v>238</v>
      </c>
      <c r="T1056" s="73" t="s">
        <v>241</v>
      </c>
      <c r="U1056" s="84">
        <f>U1045*1.01</f>
        <v>71.286725455548478</v>
      </c>
      <c r="V1056" s="58" t="s">
        <v>238</v>
      </c>
      <c r="W1056" s="73" t="s">
        <v>241</v>
      </c>
      <c r="X1056" s="84">
        <f>X1045*1.01</f>
        <v>171.1155820205388</v>
      </c>
      <c r="Y1056" s="58" t="s">
        <v>238</v>
      </c>
      <c r="Z1056" s="73" t="s">
        <v>241</v>
      </c>
      <c r="AA1056" s="84">
        <f>AA1045*1.01</f>
        <v>326.72235791446633</v>
      </c>
      <c r="AB1056" s="58" t="s">
        <v>238</v>
      </c>
      <c r="AC1056" s="73" t="s">
        <v>241</v>
      </c>
      <c r="AD1056" s="84">
        <f>AD1045*1.01</f>
        <v>537.33798673399792</v>
      </c>
      <c r="AE1056" s="58" t="s">
        <v>238</v>
      </c>
      <c r="AF1056" s="73" t="s">
        <v>241</v>
      </c>
      <c r="AG1056" s="84">
        <f>AG1045*1.01</f>
        <v>800.02304112755826</v>
      </c>
      <c r="AH1056" s="58" t="s">
        <v>238</v>
      </c>
      <c r="AI1056" s="73" t="s">
        <v>241</v>
      </c>
      <c r="AJ1056" s="84">
        <f>AJ1045*1.01</f>
        <v>1067.6338497278339</v>
      </c>
      <c r="AK1056" s="58" t="s">
        <v>238</v>
      </c>
      <c r="AL1056" s="73" t="s">
        <v>241</v>
      </c>
      <c r="AM1056" s="84">
        <f>AM1045*1.01</f>
        <v>1302.7161897492078</v>
      </c>
      <c r="AN1056" s="58" t="s">
        <v>238</v>
      </c>
      <c r="AO1056" s="73" t="s">
        <v>241</v>
      </c>
      <c r="AP1056" s="84">
        <f>AP1045*1.01</f>
        <v>1512.4130539567223</v>
      </c>
      <c r="AQ1056" s="58" t="s">
        <v>238</v>
      </c>
      <c r="AR1056" s="73" t="s">
        <v>241</v>
      </c>
      <c r="AS1056" s="84">
        <f>AS1045*1.01</f>
        <v>1721.2671339477354</v>
      </c>
      <c r="AT1056" s="58" t="s">
        <v>238</v>
      </c>
      <c r="AU1056" s="73" t="s">
        <v>241</v>
      </c>
    </row>
    <row r="1057" spans="15:47" ht="13" x14ac:dyDescent="0.25">
      <c r="O1057" s="6"/>
      <c r="P1057" s="6"/>
      <c r="Q1057" s="60"/>
      <c r="R1057" s="70"/>
      <c r="S1057" s="63" t="s">
        <v>250</v>
      </c>
      <c r="T1057" s="71" t="s">
        <v>242</v>
      </c>
      <c r="U1057" s="61"/>
      <c r="V1057" s="63" t="s">
        <v>250</v>
      </c>
      <c r="W1057" s="71" t="s">
        <v>242</v>
      </c>
      <c r="X1057" s="61"/>
      <c r="Y1057" s="63" t="s">
        <v>250</v>
      </c>
      <c r="Z1057" s="71" t="s">
        <v>242</v>
      </c>
      <c r="AA1057" s="61"/>
      <c r="AB1057" s="63" t="s">
        <v>250</v>
      </c>
      <c r="AC1057" s="71" t="s">
        <v>242</v>
      </c>
      <c r="AD1057" s="61"/>
      <c r="AE1057" s="63" t="s">
        <v>250</v>
      </c>
      <c r="AF1057" s="71" t="s">
        <v>242</v>
      </c>
      <c r="AG1057" s="61"/>
      <c r="AH1057" s="63" t="s">
        <v>250</v>
      </c>
      <c r="AI1057" s="71" t="s">
        <v>242</v>
      </c>
      <c r="AJ1057" s="61"/>
      <c r="AK1057" s="63" t="s">
        <v>250</v>
      </c>
      <c r="AL1057" s="71" t="s">
        <v>242</v>
      </c>
      <c r="AM1057" s="61"/>
      <c r="AN1057" s="63" t="s">
        <v>250</v>
      </c>
      <c r="AO1057" s="71" t="s">
        <v>242</v>
      </c>
      <c r="AP1057" s="61"/>
      <c r="AQ1057" s="63" t="s">
        <v>250</v>
      </c>
      <c r="AR1057" s="71" t="s">
        <v>242</v>
      </c>
      <c r="AS1057" s="61"/>
      <c r="AT1057" s="63" t="s">
        <v>250</v>
      </c>
      <c r="AU1057" s="71" t="s">
        <v>242</v>
      </c>
    </row>
    <row r="1058" spans="15:47" ht="13" x14ac:dyDescent="0.3">
      <c r="O1058" s="6" t="s">
        <v>231</v>
      </c>
      <c r="P1058" s="6"/>
      <c r="Q1058" s="60"/>
      <c r="R1058" s="85">
        <f>P_1_minQ-(R1056^2*R_up)+dpup_minQ</f>
        <v>56.915283442234028</v>
      </c>
      <c r="S1058" s="56"/>
      <c r="T1058" s="72"/>
      <c r="U1058" s="53">
        <f>P_1_minQ-(U1056^2*R_up)+dpup_minQ</f>
        <v>56.744518837346341</v>
      </c>
      <c r="V1058" s="44"/>
      <c r="W1058" s="72"/>
      <c r="X1058" s="53">
        <f>P_1_minQ-(X1056^2*R_up)+dpup_minQ</f>
        <v>55.927269759870725</v>
      </c>
      <c r="Y1058" s="44"/>
      <c r="Z1058" s="72"/>
      <c r="AA1058" s="53">
        <f>P_1_minQ-(AA1056^2*R_up)+dpup_minQ</f>
        <v>53.311026708504265</v>
      </c>
      <c r="AB1058" s="44"/>
      <c r="AC1058" s="72"/>
      <c r="AD1058" s="53">
        <f>P_1_minQ-(AD1056^2*R_up)+dpup_minQ</f>
        <v>47.164974265878207</v>
      </c>
      <c r="AE1058" s="44"/>
      <c r="AF1058" s="72"/>
      <c r="AG1058" s="53">
        <f>P_1_minQ-(AG1056^2*R_up)+dpup_minQ</f>
        <v>35.300578644546206</v>
      </c>
      <c r="AH1058" s="44"/>
      <c r="AI1058" s="72"/>
      <c r="AJ1058" s="53">
        <f>P_1_minQ-(AJ1056^2*R_up)+dpup_minQ</f>
        <v>18.420971391939386</v>
      </c>
      <c r="AK1058" s="44"/>
      <c r="AL1058" s="72"/>
      <c r="AM1058" s="53">
        <f>P_1_minQ-(AM1056^2*R_up)+dpup_minQ</f>
        <v>-0.39792202075967686</v>
      </c>
      <c r="AN1058" s="44"/>
      <c r="AO1058" s="72"/>
      <c r="AP1058" s="53">
        <f>P_1_minQ-(AP1056^2*R_up)+dpup_minQ</f>
        <v>-20.334557439334663</v>
      </c>
      <c r="AQ1058" s="44"/>
      <c r="AR1058" s="72"/>
      <c r="AS1058" s="53">
        <f>P_1_minQ-(AS1056^2*R_up)+dpup_minQ</f>
        <v>-43.143314637239165</v>
      </c>
      <c r="AT1058" s="44"/>
      <c r="AU1058" s="72"/>
    </row>
    <row r="1059" spans="15:47" ht="13" x14ac:dyDescent="0.3">
      <c r="O1059" s="6" t="s">
        <v>233</v>
      </c>
      <c r="P1059" s="6"/>
      <c r="Q1059" s="60"/>
      <c r="R1059" s="85">
        <f>P_2_minQ+(R1056^2*R_dn)-dpdn_minQ</f>
        <v>24.656943311553196</v>
      </c>
      <c r="S1059" s="66"/>
      <c r="T1059" s="74"/>
      <c r="U1059" s="53">
        <f>P_2_minQ+(U1056^2*R_dn)-dpdn_minQ</f>
        <v>24.691096232530732</v>
      </c>
      <c r="V1059" s="45"/>
      <c r="W1059" s="74"/>
      <c r="X1059" s="53">
        <f>P_2_minQ+(X1056^2*R_dn)-dpdn_minQ</f>
        <v>24.854546048025856</v>
      </c>
      <c r="Y1059" s="45"/>
      <c r="Z1059" s="74"/>
      <c r="AA1059" s="53">
        <f>P_2_minQ+(AA1056^2*R_dn)-dpdn_minQ</f>
        <v>25.377794658299148</v>
      </c>
      <c r="AB1059" s="45"/>
      <c r="AC1059" s="74"/>
      <c r="AD1059" s="53">
        <f>P_2_minQ+(AD1056^2*R_dn)-dpdn_minQ</f>
        <v>26.60700514682436</v>
      </c>
      <c r="AE1059" s="45"/>
      <c r="AF1059" s="74"/>
      <c r="AG1059" s="53">
        <f>P_2_minQ+(AG1056^2*R_dn)-dpdn_minQ</f>
        <v>28.979884271090757</v>
      </c>
      <c r="AH1059" s="45"/>
      <c r="AI1059" s="74"/>
      <c r="AJ1059" s="53">
        <f>P_2_minQ+(AJ1056^2*R_dn)-dpdn_minQ</f>
        <v>32.355805721612128</v>
      </c>
      <c r="AK1059" s="45"/>
      <c r="AL1059" s="74"/>
      <c r="AM1059" s="53">
        <f>P_2_minQ+(AM1056^2*R_dn)-dpdn_minQ</f>
        <v>36.119584404151936</v>
      </c>
      <c r="AN1059" s="45"/>
      <c r="AO1059" s="74"/>
      <c r="AP1059" s="53">
        <f>P_2_minQ+(AP1056^2*R_dn)-dpdn_minQ</f>
        <v>40.106911487866938</v>
      </c>
      <c r="AQ1059" s="45"/>
      <c r="AR1059" s="74"/>
      <c r="AS1059" s="53">
        <f>P_2_minQ+(AS1056^2*R_dn)-dpdn_minQ</f>
        <v>44.668662927447834</v>
      </c>
      <c r="AT1059" s="45"/>
      <c r="AU1059" s="74"/>
    </row>
    <row r="1060" spans="15:47" x14ac:dyDescent="0.25">
      <c r="O1060" s="6" t="s">
        <v>243</v>
      </c>
      <c r="Q1060" s="60"/>
      <c r="R1060" s="53">
        <f>R1058-R1059</f>
        <v>32.258340130680836</v>
      </c>
      <c r="S1060" s="56"/>
      <c r="T1060" s="72"/>
      <c r="U1060" s="64">
        <f>U1058-U1059</f>
        <v>32.053422604815609</v>
      </c>
      <c r="V1060" s="44"/>
      <c r="W1060" s="72"/>
      <c r="X1060" s="64">
        <f>X1058-X1059</f>
        <v>31.072723711844869</v>
      </c>
      <c r="Y1060" s="44"/>
      <c r="Z1060" s="72"/>
      <c r="AA1060" s="64">
        <f>AA1058-AA1059</f>
        <v>27.933232050205117</v>
      </c>
      <c r="AB1060" s="44"/>
      <c r="AC1060" s="72"/>
      <c r="AD1060" s="64">
        <f>AD1058-AD1059</f>
        <v>20.557969119053848</v>
      </c>
      <c r="AE1060" s="44"/>
      <c r="AF1060" s="72"/>
      <c r="AG1060" s="64">
        <f>AG1058-AG1059</f>
        <v>6.3206943734554493</v>
      </c>
      <c r="AH1060" s="44"/>
      <c r="AI1060" s="72"/>
      <c r="AJ1060" s="64">
        <f>AJ1058-AJ1059</f>
        <v>-13.934834329672743</v>
      </c>
      <c r="AK1060" s="44"/>
      <c r="AL1060" s="72"/>
      <c r="AM1060" s="64">
        <f>AM1058-AM1059</f>
        <v>-36.517506424911616</v>
      </c>
      <c r="AN1060" s="44"/>
      <c r="AO1060" s="72"/>
      <c r="AP1060" s="64">
        <f>AP1058-AP1059</f>
        <v>-60.441468927201598</v>
      </c>
      <c r="AQ1060" s="44"/>
      <c r="AR1060" s="72"/>
      <c r="AS1060" s="64">
        <f>AS1058-AS1059</f>
        <v>-87.811977564686998</v>
      </c>
      <c r="AT1060" s="44"/>
      <c r="AU1060" s="72"/>
    </row>
    <row r="1061" spans="15:47" ht="13" x14ac:dyDescent="0.3">
      <c r="O1061" s="6" t="s">
        <v>75</v>
      </c>
      <c r="P1061" s="6">
        <v>3</v>
      </c>
      <c r="Q1061" s="65"/>
      <c r="R1061" s="85">
        <f>(F_LP_h/F_P_h)^2*(R1058-('Valve Sizing'!$V$4*'Valve Sizing'!$G$7))</f>
        <v>46.764451321409119</v>
      </c>
      <c r="S1061" s="58"/>
      <c r="T1061" s="73"/>
      <c r="U1061" s="53">
        <f>(U$29/U$27)^2*(U1058-('Valve Sizing'!$V$4*'Valve Sizing'!$G$7))</f>
        <v>46.610341747964547</v>
      </c>
      <c r="V1061" s="41"/>
      <c r="W1061" s="73"/>
      <c r="X1061" s="53">
        <f>(X$29/X$27)^2*(X1058-('Valve Sizing'!$V$4*'Valve Sizing'!$G$7))</f>
        <v>44.89767546909134</v>
      </c>
      <c r="Y1061" s="41"/>
      <c r="Z1061" s="73"/>
      <c r="AA1061" s="53">
        <f>(AA$29/AA$27)^2*(AA1058-('Valve Sizing'!$V$4*'Valve Sizing'!$G$7))</f>
        <v>40.858537964018403</v>
      </c>
      <c r="AB1061" s="41"/>
      <c r="AC1061" s="73"/>
      <c r="AD1061" s="53">
        <f>(AD$29/AD$27)^2*(AD1058-('Valve Sizing'!$V$4*'Valve Sizing'!$G$7))</f>
        <v>33.697421451031929</v>
      </c>
      <c r="AE1061" s="41"/>
      <c r="AF1061" s="73"/>
      <c r="AG1061" s="53">
        <f>(AG$29/AG$27)^2*(AG1058-('Valve Sizing'!$V$4*'Valve Sizing'!$G$7))</f>
        <v>22.451707669417985</v>
      </c>
      <c r="AH1061" s="41"/>
      <c r="AI1061" s="73"/>
      <c r="AJ1061" s="53">
        <f>(AJ$29/AJ$27)^2*(AJ1058-('Valve Sizing'!$V$4*'Valve Sizing'!$G$7))</f>
        <v>10.399519213949151</v>
      </c>
      <c r="AK1061" s="41"/>
      <c r="AL1061" s="73"/>
      <c r="AM1061" s="53">
        <f>(AM$29/AM$27)^2*(AM1058-('Valve Sizing'!$V$4*'Valve Sizing'!$G$7))</f>
        <v>-0.40094994321363642</v>
      </c>
      <c r="AN1061" s="41"/>
      <c r="AO1061" s="73"/>
      <c r="AP1061" s="53">
        <f>(AP$29/AP$27)^2*(AP1058-('Valve Sizing'!$V$4*'Valve Sizing'!$G$7))</f>
        <v>-8.1982204497781392</v>
      </c>
      <c r="AQ1061" s="41"/>
      <c r="AR1061" s="73"/>
      <c r="AS1061" s="53">
        <f>(AS$29/AS$27)^2*(AS1058-('Valve Sizing'!$V$4*'Valve Sizing'!$G$7))</f>
        <v>-16.39348426897611</v>
      </c>
      <c r="AT1061" s="41"/>
      <c r="AU1061" s="73"/>
    </row>
    <row r="1062" spans="15:47" ht="13" x14ac:dyDescent="0.25">
      <c r="O1062" s="1" t="s">
        <v>69</v>
      </c>
      <c r="P1062" s="17">
        <v>7</v>
      </c>
      <c r="Q1062" s="65"/>
      <c r="R1062" s="53">
        <f>(R1056/(N_1*F_P_h))*SQRT('Valve Sizing'!$G$6/R1060)</f>
        <v>0.88848168772420044</v>
      </c>
      <c r="S1062" s="58"/>
      <c r="T1062" s="73"/>
      <c r="U1062" s="64">
        <f>(U1056/(N_1*U$27))*SQRT('Valve Sizing'!$G$6/U1060)</f>
        <v>12.60193199359083</v>
      </c>
      <c r="V1062" s="41"/>
      <c r="W1062" s="73"/>
      <c r="X1062" s="64">
        <f>(X1056/(N_1*X$27))*SQRT('Valve Sizing'!$G$6/X1060)</f>
        <v>30.792164253243453</v>
      </c>
      <c r="Y1062" s="41"/>
      <c r="Z1062" s="73"/>
      <c r="AA1062" s="64">
        <f>(AA1056/(N_1*AA$27))*SQRT('Valve Sizing'!$G$6/AA1060)</f>
        <v>62.366288996493346</v>
      </c>
      <c r="AB1062" s="41"/>
      <c r="AC1062" s="73"/>
      <c r="AD1062" s="64">
        <f>(AD1056/(N_1*AD$27))*SQRT('Valve Sizing'!$G$6/AD1060)</f>
        <v>121.06379527399604</v>
      </c>
      <c r="AE1062" s="41"/>
      <c r="AF1062" s="73"/>
      <c r="AG1062" s="64">
        <f>(AG1056/(N_1*AG$27))*SQRT('Valve Sizing'!$G$6/AG1060)</f>
        <v>332.32281204569819</v>
      </c>
      <c r="AH1062" s="41"/>
      <c r="AI1062" s="73"/>
      <c r="AJ1062" s="64" t="e">
        <f>(AJ1056/(N_1*AJ$27))*SQRT('Valve Sizing'!$G$6/AJ1060)</f>
        <v>#NUM!</v>
      </c>
      <c r="AK1062" s="41"/>
      <c r="AL1062" s="73"/>
      <c r="AM1062" s="64" t="e">
        <f>(AM1056/(N_1*AM$27))*SQRT('Valve Sizing'!$G$6/AM1060)</f>
        <v>#NUM!</v>
      </c>
      <c r="AN1062" s="41"/>
      <c r="AO1062" s="73"/>
      <c r="AP1062" s="64" t="e">
        <f>(AP1056/(N_1*AP$27))*SQRT('Valve Sizing'!$G$6/AP1060)</f>
        <v>#NUM!</v>
      </c>
      <c r="AQ1062" s="41"/>
      <c r="AR1062" s="73"/>
      <c r="AS1062" s="64" t="e">
        <f>(AS1056/(N_1*AS$27))*SQRT('Valve Sizing'!$G$6/AS1060)</f>
        <v>#NUM!</v>
      </c>
      <c r="AT1062" s="41"/>
      <c r="AU1062" s="73"/>
    </row>
    <row r="1063" spans="15:47" ht="13" x14ac:dyDescent="0.3">
      <c r="O1063" s="1" t="s">
        <v>72</v>
      </c>
      <c r="P1063" s="17">
        <v>7</v>
      </c>
      <c r="Q1063" s="65"/>
      <c r="R1063" s="53">
        <f>(R1056/(N_1*F_P_h))*SQRT('Valve Sizing'!$G$6/R1061)</f>
        <v>0.73792388523231034</v>
      </c>
      <c r="S1063" s="56"/>
      <c r="T1063" s="72"/>
      <c r="U1063" s="85">
        <f>(U1056/(N_1*U$27))*SQRT('Valve Sizing'!$G$6/U1061)</f>
        <v>10.450406711512681</v>
      </c>
      <c r="V1063" s="44"/>
      <c r="W1063" s="72"/>
      <c r="X1063" s="85">
        <f>(X1056/(N_1*X$27))*SQRT('Valve Sizing'!$G$6/X1061)</f>
        <v>25.616391276607672</v>
      </c>
      <c r="Y1063" s="44"/>
      <c r="Z1063" s="72"/>
      <c r="AA1063" s="85">
        <f>(AA1056/(N_1*AA$27))*SQRT('Valve Sizing'!$G$6/AA1061)</f>
        <v>51.566669911604421</v>
      </c>
      <c r="AB1063" s="44"/>
      <c r="AC1063" s="72"/>
      <c r="AD1063" s="85">
        <f>(AD1056/(N_1*AD$27))*SQRT('Valve Sizing'!$G$6/AD1061)</f>
        <v>94.55969320843603</v>
      </c>
      <c r="AE1063" s="44"/>
      <c r="AF1063" s="72"/>
      <c r="AG1063" s="85">
        <f>(AG1056/(N_1*AG$27))*SQRT('Valve Sizing'!$G$6/AG1061)</f>
        <v>176.32661093995011</v>
      </c>
      <c r="AH1063" s="44"/>
      <c r="AI1063" s="72"/>
      <c r="AJ1063" s="85">
        <f>(AJ1056/(N_1*AJ$27))*SQRT('Valve Sizing'!$G$6/AJ1061)</f>
        <v>358.31162799819708</v>
      </c>
      <c r="AK1063" s="44"/>
      <c r="AL1063" s="72"/>
      <c r="AM1063" s="85" t="e">
        <f>(AM1056/(N_1*AM$27))*SQRT('Valve Sizing'!$G$6/AM1061)</f>
        <v>#NUM!</v>
      </c>
      <c r="AN1063" s="44"/>
      <c r="AO1063" s="72"/>
      <c r="AP1063" s="85" t="e">
        <f>(AP1056/(N_1*AP$27))*SQRT('Valve Sizing'!$G$6/AP1061)</f>
        <v>#NUM!</v>
      </c>
      <c r="AQ1063" s="44"/>
      <c r="AR1063" s="72"/>
      <c r="AS1063" s="85" t="e">
        <f>(AS1056/(N_1*AS$27))*SQRT('Valve Sizing'!$G$6/AS1061)</f>
        <v>#NUM!</v>
      </c>
      <c r="AT1063" s="44"/>
      <c r="AU1063" s="72"/>
    </row>
    <row r="1064" spans="15:47" x14ac:dyDescent="0.25">
      <c r="O1064" s="1" t="s">
        <v>246</v>
      </c>
      <c r="P1064" s="18"/>
      <c r="Q1064" s="65"/>
      <c r="R1064" s="53">
        <f>IF(R1060&lt;R1061,R1062,R1063)</f>
        <v>0.88848168772420044</v>
      </c>
      <c r="S1064" s="49"/>
      <c r="T1064" s="72"/>
      <c r="U1064" s="64">
        <f>IF(U1060&lt;U1061,U1062,U1063)</f>
        <v>12.60193199359083</v>
      </c>
      <c r="V1064" s="44"/>
      <c r="W1064" s="72"/>
      <c r="X1064" s="64">
        <f>IF(X1060&lt;X1061,X1062,X1063)</f>
        <v>30.792164253243453</v>
      </c>
      <c r="Y1064" s="44"/>
      <c r="Z1064" s="72"/>
      <c r="AA1064" s="64">
        <f>IF(AA1060&lt;AA1061,AA1062,AA1063)</f>
        <v>62.366288996493346</v>
      </c>
      <c r="AB1064" s="44"/>
      <c r="AC1064" s="72"/>
      <c r="AD1064" s="64">
        <f>IF(AD1060&lt;AD1061,AD1062,AD1063)</f>
        <v>121.06379527399604</v>
      </c>
      <c r="AE1064" s="44"/>
      <c r="AF1064" s="72"/>
      <c r="AG1064" s="64">
        <f>IF(AG1060&lt;AG1061,AG1062,AG1063)</f>
        <v>332.32281204569819</v>
      </c>
      <c r="AH1064" s="44"/>
      <c r="AI1064" s="72"/>
      <c r="AJ1064" s="64" t="e">
        <f>IF(AJ1060&lt;AJ1061,AJ1062,AJ1063)</f>
        <v>#NUM!</v>
      </c>
      <c r="AK1064" s="44"/>
      <c r="AL1064" s="72"/>
      <c r="AM1064" s="64" t="e">
        <f>IF(AM1060&lt;AM1061,AM1062,AM1063)</f>
        <v>#NUM!</v>
      </c>
      <c r="AN1064" s="44"/>
      <c r="AO1064" s="72"/>
      <c r="AP1064" s="64" t="e">
        <f>IF(AP1060&lt;AP1061,AP1062,AP1063)</f>
        <v>#NUM!</v>
      </c>
      <c r="AQ1064" s="44"/>
      <c r="AR1064" s="72"/>
      <c r="AS1064" s="64" t="e">
        <f>IF(AS1060&lt;AS1061,AS1062,AS1063)</f>
        <v>#NUM!</v>
      </c>
      <c r="AT1064" s="44"/>
      <c r="AU1064" s="72"/>
    </row>
    <row r="1065" spans="15:47" ht="13" x14ac:dyDescent="0.3">
      <c r="O1065" s="7" t="s">
        <v>264</v>
      </c>
      <c r="Q1065" s="61"/>
      <c r="R1065" s="53"/>
      <c r="S1065" s="69">
        <f>IFERROR(ABS(C_h-R1064),Q_max*10)</f>
        <v>4.1115183122757992</v>
      </c>
      <c r="T1065" s="76">
        <f>R1056</f>
        <v>5.0455203349602895</v>
      </c>
      <c r="U1065" s="61"/>
      <c r="V1065" s="69">
        <f>IFERROR(ABS(U$23-U1064),Q_max*10)</f>
        <v>0.60193199359082961</v>
      </c>
      <c r="W1065" s="75">
        <f>U1056</f>
        <v>71.286725455548478</v>
      </c>
      <c r="X1065" s="61"/>
      <c r="Y1065" s="69">
        <f>IFERROR(ABS(X$23-X1064),Q_max*10)</f>
        <v>7.7921642532434525</v>
      </c>
      <c r="Z1065" s="75">
        <f>X1056</f>
        <v>171.1155820205388</v>
      </c>
      <c r="AA1065" s="61"/>
      <c r="AB1065" s="69">
        <f>IFERROR(ABS(AA$23-AA1064),Q_max*10)</f>
        <v>23.366288996493346</v>
      </c>
      <c r="AC1065" s="75">
        <f>AA1056</f>
        <v>326.72235791446633</v>
      </c>
      <c r="AD1065" s="61"/>
      <c r="AE1065" s="69">
        <f>IFERROR(ABS(AD$23-AD1064),Q_max*10)</f>
        <v>60.063795273996035</v>
      </c>
      <c r="AF1065" s="75">
        <f>AD1056</f>
        <v>537.33798673399792</v>
      </c>
      <c r="AG1065" s="61"/>
      <c r="AH1065" s="69">
        <f>IFERROR(ABS(AG$23-AG1064),Q_max*10)</f>
        <v>244.32281204569819</v>
      </c>
      <c r="AI1065" s="75">
        <f>AG1056</f>
        <v>800.02304112755826</v>
      </c>
      <c r="AJ1065" s="61"/>
      <c r="AK1065" s="69">
        <f>IFERROR(ABS(AJ$23-AJ1064),Q_max*10)</f>
        <v>5500</v>
      </c>
      <c r="AL1065" s="75">
        <f>AJ1056</f>
        <v>1067.6338497278339</v>
      </c>
      <c r="AM1065" s="61"/>
      <c r="AN1065" s="69">
        <f>IFERROR(ABS(AM$23-AM1064),Q_max*10)</f>
        <v>5500</v>
      </c>
      <c r="AO1065" s="75">
        <f>AM1056</f>
        <v>1302.7161897492078</v>
      </c>
      <c r="AP1065" s="61"/>
      <c r="AQ1065" s="69">
        <f>IFERROR(ABS(AP$23-AP1064),Q_max*10)</f>
        <v>5500</v>
      </c>
      <c r="AR1065" s="75">
        <f>AP1056</f>
        <v>1512.4130539567223</v>
      </c>
      <c r="AS1065" s="61"/>
      <c r="AT1065" s="69">
        <f>IFERROR(ABS(AS$23-AS1064),Q_max*10)</f>
        <v>5500</v>
      </c>
      <c r="AU1065" s="75">
        <f>AS1056</f>
        <v>1721.2671339477354</v>
      </c>
    </row>
    <row r="1066" spans="15:47" ht="14.5" x14ac:dyDescent="0.35">
      <c r="O1066" s="6"/>
      <c r="P1066" s="6"/>
      <c r="Q1066" s="60"/>
      <c r="R1066" s="67"/>
      <c r="S1066" s="56"/>
      <c r="T1066" s="72"/>
      <c r="V1066" s="11"/>
      <c r="W1066" s="38"/>
      <c r="Y1066" s="11"/>
      <c r="Z1066" s="38"/>
      <c r="AB1066" s="11"/>
      <c r="AC1066" s="38"/>
      <c r="AE1066" s="11"/>
      <c r="AF1066" s="38"/>
      <c r="AH1066" s="11"/>
      <c r="AI1066" s="38"/>
      <c r="AK1066" s="11"/>
      <c r="AL1066" s="38"/>
      <c r="AN1066" s="11"/>
      <c r="AO1066" s="38"/>
      <c r="AQ1066" s="11"/>
      <c r="AR1066" s="38"/>
      <c r="AT1066" s="11"/>
      <c r="AU1066" s="38"/>
    </row>
    <row r="1067" spans="15:47" ht="14" x14ac:dyDescent="0.3">
      <c r="O1067" s="8" t="s">
        <v>235</v>
      </c>
      <c r="P1067" s="6"/>
      <c r="Q1067" s="60"/>
      <c r="R1067" s="53">
        <f>R1056*1.02</f>
        <v>5.1464307416594952</v>
      </c>
      <c r="S1067" s="58" t="s">
        <v>238</v>
      </c>
      <c r="T1067" s="73" t="s">
        <v>241</v>
      </c>
      <c r="U1067" s="84">
        <f>U1056*1.01</f>
        <v>71.999592710103968</v>
      </c>
      <c r="V1067" s="58" t="s">
        <v>238</v>
      </c>
      <c r="W1067" s="73" t="s">
        <v>241</v>
      </c>
      <c r="X1067" s="84">
        <f>X1056*1.01</f>
        <v>172.82673784074419</v>
      </c>
      <c r="Y1067" s="58" t="s">
        <v>238</v>
      </c>
      <c r="Z1067" s="73" t="s">
        <v>241</v>
      </c>
      <c r="AA1067" s="84">
        <f>AA1056*1.01</f>
        <v>329.98958149361101</v>
      </c>
      <c r="AB1067" s="58" t="s">
        <v>238</v>
      </c>
      <c r="AC1067" s="73" t="s">
        <v>241</v>
      </c>
      <c r="AD1067" s="84">
        <f>AD1056*1.01</f>
        <v>542.71136660133789</v>
      </c>
      <c r="AE1067" s="58" t="s">
        <v>238</v>
      </c>
      <c r="AF1067" s="73" t="s">
        <v>241</v>
      </c>
      <c r="AG1067" s="84">
        <f>AG1056*1.01</f>
        <v>808.0232715388338</v>
      </c>
      <c r="AH1067" s="58" t="s">
        <v>238</v>
      </c>
      <c r="AI1067" s="73" t="s">
        <v>241</v>
      </c>
      <c r="AJ1067" s="84">
        <f>AJ1056*1.01</f>
        <v>1078.3101882251121</v>
      </c>
      <c r="AK1067" s="58" t="s">
        <v>238</v>
      </c>
      <c r="AL1067" s="73" t="s">
        <v>241</v>
      </c>
      <c r="AM1067" s="84">
        <f>AM1056*1.01</f>
        <v>1315.7433516466999</v>
      </c>
      <c r="AN1067" s="58" t="s">
        <v>238</v>
      </c>
      <c r="AO1067" s="73" t="s">
        <v>241</v>
      </c>
      <c r="AP1067" s="84">
        <f>AP1056*1.01</f>
        <v>1527.5371844962895</v>
      </c>
      <c r="AQ1067" s="58" t="s">
        <v>238</v>
      </c>
      <c r="AR1067" s="73" t="s">
        <v>241</v>
      </c>
      <c r="AS1067" s="84">
        <f>AS1056*1.01</f>
        <v>1738.4798052872127</v>
      </c>
      <c r="AT1067" s="58" t="s">
        <v>238</v>
      </c>
      <c r="AU1067" s="73" t="s">
        <v>241</v>
      </c>
    </row>
    <row r="1068" spans="15:47" ht="13" x14ac:dyDescent="0.25">
      <c r="O1068" s="6"/>
      <c r="P1068" s="6"/>
      <c r="Q1068" s="60"/>
      <c r="R1068" s="70"/>
      <c r="S1068" s="63" t="s">
        <v>250</v>
      </c>
      <c r="T1068" s="71" t="s">
        <v>242</v>
      </c>
      <c r="U1068" s="61"/>
      <c r="V1068" s="63" t="s">
        <v>250</v>
      </c>
      <c r="W1068" s="71" t="s">
        <v>242</v>
      </c>
      <c r="X1068" s="61"/>
      <c r="Y1068" s="63" t="s">
        <v>250</v>
      </c>
      <c r="Z1068" s="71" t="s">
        <v>242</v>
      </c>
      <c r="AA1068" s="61"/>
      <c r="AB1068" s="63" t="s">
        <v>250</v>
      </c>
      <c r="AC1068" s="71" t="s">
        <v>242</v>
      </c>
      <c r="AD1068" s="61"/>
      <c r="AE1068" s="63" t="s">
        <v>250</v>
      </c>
      <c r="AF1068" s="71" t="s">
        <v>242</v>
      </c>
      <c r="AG1068" s="61"/>
      <c r="AH1068" s="63" t="s">
        <v>250</v>
      </c>
      <c r="AI1068" s="71" t="s">
        <v>242</v>
      </c>
      <c r="AJ1068" s="61"/>
      <c r="AK1068" s="63" t="s">
        <v>250</v>
      </c>
      <c r="AL1068" s="71" t="s">
        <v>242</v>
      </c>
      <c r="AM1068" s="61"/>
      <c r="AN1068" s="63" t="s">
        <v>250</v>
      </c>
      <c r="AO1068" s="71" t="s">
        <v>242</v>
      </c>
      <c r="AP1068" s="61"/>
      <c r="AQ1068" s="63" t="s">
        <v>250</v>
      </c>
      <c r="AR1068" s="71" t="s">
        <v>242</v>
      </c>
      <c r="AS1068" s="61"/>
      <c r="AT1068" s="63" t="s">
        <v>250</v>
      </c>
      <c r="AU1068" s="71" t="s">
        <v>242</v>
      </c>
    </row>
    <row r="1069" spans="15:47" ht="13" x14ac:dyDescent="0.3">
      <c r="O1069" s="6" t="s">
        <v>231</v>
      </c>
      <c r="P1069" s="6"/>
      <c r="Q1069" s="60"/>
      <c r="R1069" s="85">
        <f>P_1_minQ-(R1067^2*R_up)+dpup_minQ</f>
        <v>56.915248708227672</v>
      </c>
      <c r="S1069" s="56"/>
      <c r="T1069" s="72"/>
      <c r="U1069" s="53">
        <f>P_1_minQ-(U1067^2*R_up)+dpup_minQ</f>
        <v>56.741069187760189</v>
      </c>
      <c r="V1069" s="44"/>
      <c r="W1069" s="72"/>
      <c r="X1069" s="53">
        <f>P_1_minQ-(X1067^2*R_up)+dpup_minQ</f>
        <v>55.907393403827314</v>
      </c>
      <c r="Y1069" s="44"/>
      <c r="Z1069" s="72"/>
      <c r="AA1069" s="53">
        <f>P_1_minQ-(AA1067^2*R_up)+dpup_minQ</f>
        <v>53.238563867128384</v>
      </c>
      <c r="AB1069" s="44"/>
      <c r="AC1069" s="72"/>
      <c r="AD1069" s="53">
        <f>P_1_minQ-(AD1067^2*R_up)+dpup_minQ</f>
        <v>46.968975770405542</v>
      </c>
      <c r="AE1069" s="44"/>
      <c r="AF1069" s="72"/>
      <c r="AG1069" s="53">
        <f>P_1_minQ-(AG1067^2*R_up)+dpup_minQ</f>
        <v>34.866105797084764</v>
      </c>
      <c r="AH1069" s="44"/>
      <c r="AI1069" s="72"/>
      <c r="AJ1069" s="53">
        <f>P_1_minQ-(AJ1067^2*R_up)+dpup_minQ</f>
        <v>17.647218438700545</v>
      </c>
      <c r="AK1069" s="44"/>
      <c r="AL1069" s="72"/>
      <c r="AM1069" s="53">
        <f>P_1_minQ-(AM1067^2*R_up)+dpup_minQ</f>
        <v>-1.5499347315937628</v>
      </c>
      <c r="AN1069" s="44"/>
      <c r="AO1069" s="72"/>
      <c r="AP1069" s="53">
        <f>P_1_minQ-(AP1067^2*R_up)+dpup_minQ</f>
        <v>-21.887296522082099</v>
      </c>
      <c r="AQ1069" s="44"/>
      <c r="AR1069" s="72"/>
      <c r="AS1069" s="53">
        <f>P_1_minQ-(AS1067^2*R_up)+dpup_minQ</f>
        <v>-45.154509739664483</v>
      </c>
      <c r="AT1069" s="44"/>
      <c r="AU1069" s="72"/>
    </row>
    <row r="1070" spans="15:47" ht="13" x14ac:dyDescent="0.3">
      <c r="O1070" s="6" t="s">
        <v>233</v>
      </c>
      <c r="P1070" s="6"/>
      <c r="Q1070" s="60"/>
      <c r="R1070" s="85">
        <f>P_2_minQ+(R1067^2*R_dn)-dpdn_minQ</f>
        <v>24.656950258354467</v>
      </c>
      <c r="S1070" s="66"/>
      <c r="T1070" s="74"/>
      <c r="U1070" s="53">
        <f>P_2_minQ+(U1067^2*R_dn)-dpdn_minQ</f>
        <v>24.691786162447965</v>
      </c>
      <c r="V1070" s="45"/>
      <c r="W1070" s="74"/>
      <c r="X1070" s="53">
        <f>P_2_minQ+(X1067^2*R_dn)-dpdn_minQ</f>
        <v>24.858521319234541</v>
      </c>
      <c r="Y1070" s="45"/>
      <c r="Z1070" s="74"/>
      <c r="AA1070" s="53">
        <f>P_2_minQ+(AA1067^2*R_dn)-dpdn_minQ</f>
        <v>25.392287226574325</v>
      </c>
      <c r="AB1070" s="45"/>
      <c r="AC1070" s="74"/>
      <c r="AD1070" s="53">
        <f>P_2_minQ+(AD1067^2*R_dn)-dpdn_minQ</f>
        <v>26.646204845918891</v>
      </c>
      <c r="AE1070" s="45"/>
      <c r="AF1070" s="74"/>
      <c r="AG1070" s="53">
        <f>P_2_minQ+(AG1067^2*R_dn)-dpdn_minQ</f>
        <v>29.066778840583048</v>
      </c>
      <c r="AH1070" s="45"/>
      <c r="AI1070" s="74"/>
      <c r="AJ1070" s="53">
        <f>P_2_minQ+(AJ1067^2*R_dn)-dpdn_minQ</f>
        <v>32.510556312259894</v>
      </c>
      <c r="AK1070" s="45"/>
      <c r="AL1070" s="74"/>
      <c r="AM1070" s="53">
        <f>P_2_minQ+(AM1067^2*R_dn)-dpdn_minQ</f>
        <v>36.349986946318758</v>
      </c>
      <c r="AN1070" s="45"/>
      <c r="AO1070" s="74"/>
      <c r="AP1070" s="53">
        <f>P_2_minQ+(AP1067^2*R_dn)-dpdn_minQ</f>
        <v>40.417459304416425</v>
      </c>
      <c r="AQ1070" s="45"/>
      <c r="AR1070" s="74"/>
      <c r="AS1070" s="53">
        <f>P_2_minQ+(AS1067^2*R_dn)-dpdn_minQ</f>
        <v>45.070901947932896</v>
      </c>
      <c r="AT1070" s="45"/>
      <c r="AU1070" s="74"/>
    </row>
    <row r="1071" spans="15:47" x14ac:dyDescent="0.25">
      <c r="O1071" s="6" t="s">
        <v>243</v>
      </c>
      <c r="Q1071" s="60"/>
      <c r="R1071" s="53">
        <f>R1069-R1070</f>
        <v>32.258298449873209</v>
      </c>
      <c r="S1071" s="56"/>
      <c r="T1071" s="72"/>
      <c r="U1071" s="64">
        <f>U1069-U1070</f>
        <v>32.049283025312221</v>
      </c>
      <c r="V1071" s="44"/>
      <c r="W1071" s="72"/>
      <c r="X1071" s="64">
        <f>X1069-X1070</f>
        <v>31.048872084592773</v>
      </c>
      <c r="Y1071" s="44"/>
      <c r="Z1071" s="72"/>
      <c r="AA1071" s="64">
        <f>AA1069-AA1070</f>
        <v>27.846276640554059</v>
      </c>
      <c r="AB1071" s="44"/>
      <c r="AC1071" s="72"/>
      <c r="AD1071" s="64">
        <f>AD1069-AD1070</f>
        <v>20.322770924486651</v>
      </c>
      <c r="AE1071" s="44"/>
      <c r="AF1071" s="72"/>
      <c r="AG1071" s="64">
        <f>AG1069-AG1070</f>
        <v>5.7993269565017158</v>
      </c>
      <c r="AH1071" s="44"/>
      <c r="AI1071" s="72"/>
      <c r="AJ1071" s="64">
        <f>AJ1069-AJ1070</f>
        <v>-14.863337873559349</v>
      </c>
      <c r="AK1071" s="44"/>
      <c r="AL1071" s="72"/>
      <c r="AM1071" s="64">
        <f>AM1069-AM1070</f>
        <v>-37.899921677912523</v>
      </c>
      <c r="AN1071" s="44"/>
      <c r="AO1071" s="72"/>
      <c r="AP1071" s="64">
        <f>AP1069-AP1070</f>
        <v>-62.304755826498521</v>
      </c>
      <c r="AQ1071" s="44"/>
      <c r="AR1071" s="72"/>
      <c r="AS1071" s="64">
        <f>AS1069-AS1070</f>
        <v>-90.225411687597386</v>
      </c>
      <c r="AT1071" s="44"/>
      <c r="AU1071" s="72"/>
    </row>
    <row r="1072" spans="15:47" ht="13" x14ac:dyDescent="0.3">
      <c r="O1072" s="6" t="s">
        <v>75</v>
      </c>
      <c r="P1072" s="6">
        <v>3</v>
      </c>
      <c r="Q1072" s="65"/>
      <c r="R1072" s="85">
        <f>(F_LP_h/F_P_h)^2*(R1069-('Valve Sizing'!$V$4*'Valve Sizing'!$G$7))</f>
        <v>46.764422559828674</v>
      </c>
      <c r="S1072" s="58"/>
      <c r="T1072" s="73"/>
      <c r="U1072" s="53">
        <f>(U$29/U$27)^2*(U1069-('Valve Sizing'!$V$4*'Valve Sizing'!$G$7))</f>
        <v>46.607486035596736</v>
      </c>
      <c r="V1072" s="41"/>
      <c r="W1072" s="73"/>
      <c r="X1072" s="53">
        <f>(X$29/X$27)^2*(X1069-('Valve Sizing'!$V$4*'Valve Sizing'!$G$7))</f>
        <v>44.88159244474182</v>
      </c>
      <c r="Y1072" s="41"/>
      <c r="Z1072" s="73"/>
      <c r="AA1072" s="53">
        <f>(AA$29/AA$27)^2*(AA1069-('Valve Sizing'!$V$4*'Valve Sizing'!$G$7))</f>
        <v>40.802538881551754</v>
      </c>
      <c r="AB1072" s="41"/>
      <c r="AC1072" s="73"/>
      <c r="AD1072" s="53">
        <f>(AD$29/AD$27)^2*(AD1069-('Valve Sizing'!$V$4*'Valve Sizing'!$G$7))</f>
        <v>33.556069804271658</v>
      </c>
      <c r="AE1072" s="41"/>
      <c r="AF1072" s="73"/>
      <c r="AG1072" s="53">
        <f>(AG$29/AG$27)^2*(AG1069-('Valve Sizing'!$V$4*'Valve Sizing'!$G$7))</f>
        <v>22.171888060057146</v>
      </c>
      <c r="AH1072" s="41"/>
      <c r="AI1072" s="73"/>
      <c r="AJ1072" s="53">
        <f>(AJ$29/AJ$27)^2*(AJ1069-('Valve Sizing'!$V$4*'Valve Sizing'!$G$7))</f>
        <v>9.9520081014424697</v>
      </c>
      <c r="AK1072" s="41"/>
      <c r="AL1072" s="73"/>
      <c r="AM1072" s="53">
        <f>(AM$29/AM$27)^2*(AM1069-('Valve Sizing'!$V$4*'Valve Sizing'!$G$7))</f>
        <v>-0.95215594099254686</v>
      </c>
      <c r="AN1072" s="41"/>
      <c r="AO1072" s="73"/>
      <c r="AP1072" s="53">
        <f>(AP$29/AP$27)^2*(AP1069-('Valve Sizing'!$V$4*'Valve Sizing'!$G$7))</f>
        <v>-8.8109729477181506</v>
      </c>
      <c r="AQ1072" s="41"/>
      <c r="AR1072" s="73"/>
      <c r="AS1072" s="53">
        <f>(AS$29/AS$27)^2*(AS1069-('Valve Sizing'!$V$4*'Valve Sizing'!$G$7))</f>
        <v>-17.149976791900084</v>
      </c>
      <c r="AT1072" s="41"/>
      <c r="AU1072" s="73"/>
    </row>
    <row r="1073" spans="15:47" ht="13" x14ac:dyDescent="0.25">
      <c r="O1073" s="1" t="s">
        <v>69</v>
      </c>
      <c r="P1073" s="17">
        <v>7</v>
      </c>
      <c r="Q1073" s="65"/>
      <c r="R1073" s="53">
        <f>(R1067/(N_1*F_P_h))*SQRT('Valve Sizing'!$G$6/R1071)</f>
        <v>0.90625190696019786</v>
      </c>
      <c r="S1073" s="58"/>
      <c r="T1073" s="73"/>
      <c r="U1073" s="64">
        <f>(U1067/(N_1*U$27))*SQRT('Valve Sizing'!$G$6/U1071)</f>
        <v>12.728773276768472</v>
      </c>
      <c r="V1073" s="41"/>
      <c r="W1073" s="73"/>
      <c r="X1073" s="64">
        <f>(X1067/(N_1*X$27))*SQRT('Valve Sizing'!$G$6/X1071)</f>
        <v>31.112029087292488</v>
      </c>
      <c r="Y1073" s="41"/>
      <c r="Z1073" s="73"/>
      <c r="AA1073" s="64">
        <f>(AA1067/(N_1*AA$27))*SQRT('Valve Sizing'!$G$6/AA1071)</f>
        <v>63.088224409701425</v>
      </c>
      <c r="AB1073" s="41"/>
      <c r="AC1073" s="73"/>
      <c r="AD1073" s="64">
        <f>(AD1067/(N_1*AD$27))*SQRT('Valve Sizing'!$G$6/AD1071)</f>
        <v>122.9799471773145</v>
      </c>
      <c r="AE1073" s="41"/>
      <c r="AF1073" s="73"/>
      <c r="AG1073" s="64">
        <f>(AG1067/(N_1*AG$27))*SQRT('Valve Sizing'!$G$6/AG1071)</f>
        <v>350.40889851973935</v>
      </c>
      <c r="AH1073" s="41"/>
      <c r="AI1073" s="73"/>
      <c r="AJ1073" s="64" t="e">
        <f>(AJ1067/(N_1*AJ$27))*SQRT('Valve Sizing'!$G$6/AJ1071)</f>
        <v>#NUM!</v>
      </c>
      <c r="AK1073" s="41"/>
      <c r="AL1073" s="73"/>
      <c r="AM1073" s="64" t="e">
        <f>(AM1067/(N_1*AM$27))*SQRT('Valve Sizing'!$G$6/AM1071)</f>
        <v>#NUM!</v>
      </c>
      <c r="AN1073" s="41"/>
      <c r="AO1073" s="73"/>
      <c r="AP1073" s="64" t="e">
        <f>(AP1067/(N_1*AP$27))*SQRT('Valve Sizing'!$G$6/AP1071)</f>
        <v>#NUM!</v>
      </c>
      <c r="AQ1073" s="41"/>
      <c r="AR1073" s="73"/>
      <c r="AS1073" s="64" t="e">
        <f>(AS1067/(N_1*AS$27))*SQRT('Valve Sizing'!$G$6/AS1071)</f>
        <v>#NUM!</v>
      </c>
      <c r="AT1073" s="41"/>
      <c r="AU1073" s="73"/>
    </row>
    <row r="1074" spans="15:47" ht="13" x14ac:dyDescent="0.3">
      <c r="O1074" s="1" t="s">
        <v>72</v>
      </c>
      <c r="P1074" s="17">
        <v>7</v>
      </c>
      <c r="Q1074" s="65"/>
      <c r="R1074" s="53">
        <f>(R1067/(N_1*F_P_h))*SQRT('Valve Sizing'!$G$6/R1072)</f>
        <v>0.7526825943985016</v>
      </c>
      <c r="S1074" s="56"/>
      <c r="T1074" s="72"/>
      <c r="U1074" s="85">
        <f>(U1067/(N_1*U$27))*SQRT('Valve Sizing'!$G$6/U1072)</f>
        <v>10.555234131485056</v>
      </c>
      <c r="V1074" s="44"/>
      <c r="W1074" s="72"/>
      <c r="X1074" s="85">
        <f>(X1067/(N_1*X$27))*SQRT('Valve Sizing'!$G$6/X1072)</f>
        <v>25.877190404409937</v>
      </c>
      <c r="Y1074" s="44"/>
      <c r="Z1074" s="72"/>
      <c r="AA1074" s="85">
        <f>(AA1067/(N_1*AA$27))*SQRT('Valve Sizing'!$G$6/AA1072)</f>
        <v>52.118064326766799</v>
      </c>
      <c r="AB1074" s="44"/>
      <c r="AC1074" s="72"/>
      <c r="AD1074" s="85">
        <f>(AD1067/(N_1*AD$27))*SQRT('Valve Sizing'!$G$6/AD1072)</f>
        <v>95.7062320759443</v>
      </c>
      <c r="AE1074" s="44"/>
      <c r="AF1074" s="72"/>
      <c r="AG1074" s="85">
        <f>(AG1067/(N_1*AG$27))*SQRT('Valve Sizing'!$G$6/AG1072)</f>
        <v>179.21014238293574</v>
      </c>
      <c r="AH1074" s="44"/>
      <c r="AI1074" s="72"/>
      <c r="AJ1074" s="85">
        <f>(AJ1067/(N_1*AJ$27))*SQRT('Valve Sizing'!$G$6/AJ1072)</f>
        <v>369.94192012631441</v>
      </c>
      <c r="AK1074" s="44"/>
      <c r="AL1074" s="72"/>
      <c r="AM1074" s="85" t="e">
        <f>(AM1067/(N_1*AM$27))*SQRT('Valve Sizing'!$G$6/AM1072)</f>
        <v>#NUM!</v>
      </c>
      <c r="AN1074" s="44"/>
      <c r="AO1074" s="72"/>
      <c r="AP1074" s="85" t="e">
        <f>(AP1067/(N_1*AP$27))*SQRT('Valve Sizing'!$G$6/AP1072)</f>
        <v>#NUM!</v>
      </c>
      <c r="AQ1074" s="44"/>
      <c r="AR1074" s="72"/>
      <c r="AS1074" s="85" t="e">
        <f>(AS1067/(N_1*AS$27))*SQRT('Valve Sizing'!$G$6/AS1072)</f>
        <v>#NUM!</v>
      </c>
      <c r="AT1074" s="44"/>
      <c r="AU1074" s="72"/>
    </row>
    <row r="1075" spans="15:47" x14ac:dyDescent="0.25">
      <c r="O1075" s="1" t="s">
        <v>246</v>
      </c>
      <c r="P1075" s="18"/>
      <c r="Q1075" s="65"/>
      <c r="R1075" s="53">
        <f>IF(R1071&lt;R1072,R1073,R1074)</f>
        <v>0.90625190696019786</v>
      </c>
      <c r="S1075" s="49"/>
      <c r="T1075" s="72"/>
      <c r="U1075" s="64">
        <f>IF(U1071&lt;U1072,U1073,U1074)</f>
        <v>12.728773276768472</v>
      </c>
      <c r="V1075" s="44"/>
      <c r="W1075" s="72"/>
      <c r="X1075" s="64">
        <f>IF(X1071&lt;X1072,X1073,X1074)</f>
        <v>31.112029087292488</v>
      </c>
      <c r="Y1075" s="44"/>
      <c r="Z1075" s="72"/>
      <c r="AA1075" s="64">
        <f>IF(AA1071&lt;AA1072,AA1073,AA1074)</f>
        <v>63.088224409701425</v>
      </c>
      <c r="AB1075" s="44"/>
      <c r="AC1075" s="72"/>
      <c r="AD1075" s="64">
        <f>IF(AD1071&lt;AD1072,AD1073,AD1074)</f>
        <v>122.9799471773145</v>
      </c>
      <c r="AE1075" s="44"/>
      <c r="AF1075" s="72"/>
      <c r="AG1075" s="64">
        <f>IF(AG1071&lt;AG1072,AG1073,AG1074)</f>
        <v>350.40889851973935</v>
      </c>
      <c r="AH1075" s="44"/>
      <c r="AI1075" s="72"/>
      <c r="AJ1075" s="64" t="e">
        <f>IF(AJ1071&lt;AJ1072,AJ1073,AJ1074)</f>
        <v>#NUM!</v>
      </c>
      <c r="AK1075" s="44"/>
      <c r="AL1075" s="72"/>
      <c r="AM1075" s="64" t="e">
        <f>IF(AM1071&lt;AM1072,AM1073,AM1074)</f>
        <v>#NUM!</v>
      </c>
      <c r="AN1075" s="44"/>
      <c r="AO1075" s="72"/>
      <c r="AP1075" s="64" t="e">
        <f>IF(AP1071&lt;AP1072,AP1073,AP1074)</f>
        <v>#NUM!</v>
      </c>
      <c r="AQ1075" s="44"/>
      <c r="AR1075" s="72"/>
      <c r="AS1075" s="64" t="e">
        <f>IF(AS1071&lt;AS1072,AS1073,AS1074)</f>
        <v>#NUM!</v>
      </c>
      <c r="AT1075" s="44"/>
      <c r="AU1075" s="72"/>
    </row>
    <row r="1076" spans="15:47" ht="13" x14ac:dyDescent="0.3">
      <c r="O1076" s="7" t="s">
        <v>264</v>
      </c>
      <c r="Q1076" s="61"/>
      <c r="R1076" s="53"/>
      <c r="S1076" s="69">
        <f>IFERROR(ABS(C_h-R1075),Q_max*10)</f>
        <v>4.0937480930398022</v>
      </c>
      <c r="T1076" s="76">
        <f>R1067</f>
        <v>5.1464307416594952</v>
      </c>
      <c r="U1076" s="61"/>
      <c r="V1076" s="69">
        <f>IFERROR(ABS(U$23-U1075),Q_max*10)</f>
        <v>0.72877327676847159</v>
      </c>
      <c r="W1076" s="75">
        <f>U1067</f>
        <v>71.999592710103968</v>
      </c>
      <c r="X1076" s="61"/>
      <c r="Y1076" s="69">
        <f>IFERROR(ABS(X$23-X1075),Q_max*10)</f>
        <v>8.1120290872924876</v>
      </c>
      <c r="Z1076" s="75">
        <f>X1067</f>
        <v>172.82673784074419</v>
      </c>
      <c r="AA1076" s="61"/>
      <c r="AB1076" s="69">
        <f>IFERROR(ABS(AA$23-AA1075),Q_max*10)</f>
        <v>24.088224409701425</v>
      </c>
      <c r="AC1076" s="75">
        <f>AA1067</f>
        <v>329.98958149361101</v>
      </c>
      <c r="AD1076" s="61"/>
      <c r="AE1076" s="69">
        <f>IFERROR(ABS(AD$23-AD1075),Q_max*10)</f>
        <v>61.9799471773145</v>
      </c>
      <c r="AF1076" s="75">
        <f>AD1067</f>
        <v>542.71136660133789</v>
      </c>
      <c r="AG1076" s="61"/>
      <c r="AH1076" s="69">
        <f>IFERROR(ABS(AG$23-AG1075),Q_max*10)</f>
        <v>262.40889851973935</v>
      </c>
      <c r="AI1076" s="75">
        <f>AG1067</f>
        <v>808.0232715388338</v>
      </c>
      <c r="AJ1076" s="61"/>
      <c r="AK1076" s="69">
        <f>IFERROR(ABS(AJ$23-AJ1075),Q_max*10)</f>
        <v>5500</v>
      </c>
      <c r="AL1076" s="75">
        <f>AJ1067</f>
        <v>1078.3101882251121</v>
      </c>
      <c r="AM1076" s="61"/>
      <c r="AN1076" s="69">
        <f>IFERROR(ABS(AM$23-AM1075),Q_max*10)</f>
        <v>5500</v>
      </c>
      <c r="AO1076" s="75">
        <f>AM1067</f>
        <v>1315.7433516466999</v>
      </c>
      <c r="AP1076" s="61"/>
      <c r="AQ1076" s="69">
        <f>IFERROR(ABS(AP$23-AP1075),Q_max*10)</f>
        <v>5500</v>
      </c>
      <c r="AR1076" s="75">
        <f>AP1067</f>
        <v>1527.5371844962895</v>
      </c>
      <c r="AS1076" s="61"/>
      <c r="AT1076" s="69">
        <f>IFERROR(ABS(AS$23-AS1075),Q_max*10)</f>
        <v>5500</v>
      </c>
      <c r="AU1076" s="75">
        <f>AS1067</f>
        <v>1738.4798052872127</v>
      </c>
    </row>
    <row r="1077" spans="15:47" ht="14.5" x14ac:dyDescent="0.35">
      <c r="O1077" s="6"/>
      <c r="P1077" s="6"/>
      <c r="Q1077" s="60"/>
      <c r="R1077" s="67"/>
      <c r="S1077" s="56"/>
      <c r="T1077" s="72"/>
      <c r="V1077" s="11"/>
      <c r="W1077" s="38"/>
      <c r="Y1077" s="11"/>
      <c r="Z1077" s="38"/>
      <c r="AB1077" s="11"/>
      <c r="AC1077" s="38"/>
      <c r="AE1077" s="11"/>
      <c r="AF1077" s="38"/>
      <c r="AH1077" s="11"/>
      <c r="AI1077" s="38"/>
      <c r="AK1077" s="11"/>
      <c r="AL1077" s="38"/>
      <c r="AN1077" s="11"/>
      <c r="AO1077" s="38"/>
      <c r="AQ1077" s="11"/>
      <c r="AR1077" s="38"/>
      <c r="AT1077" s="11"/>
      <c r="AU1077" s="38"/>
    </row>
    <row r="1078" spans="15:47" ht="14" x14ac:dyDescent="0.3">
      <c r="O1078" s="8" t="s">
        <v>235</v>
      </c>
      <c r="P1078" s="6"/>
      <c r="Q1078" s="60"/>
      <c r="R1078" s="53">
        <f>R1067*1.02</f>
        <v>5.2493593564926853</v>
      </c>
      <c r="S1078" s="58" t="s">
        <v>238</v>
      </c>
      <c r="T1078" s="73" t="s">
        <v>241</v>
      </c>
      <c r="U1078" s="84">
        <f>U1067*1.01</f>
        <v>72.719588637205007</v>
      </c>
      <c r="V1078" s="58" t="s">
        <v>238</v>
      </c>
      <c r="W1078" s="73" t="s">
        <v>241</v>
      </c>
      <c r="X1078" s="84">
        <f>X1067*1.01</f>
        <v>174.55500521915164</v>
      </c>
      <c r="Y1078" s="58" t="s">
        <v>238</v>
      </c>
      <c r="Z1078" s="73" t="s">
        <v>241</v>
      </c>
      <c r="AA1078" s="84">
        <f>AA1067*1.01</f>
        <v>333.28947730854713</v>
      </c>
      <c r="AB1078" s="58" t="s">
        <v>238</v>
      </c>
      <c r="AC1078" s="73" t="s">
        <v>241</v>
      </c>
      <c r="AD1078" s="84">
        <f>AD1067*1.01</f>
        <v>548.13848026735127</v>
      </c>
      <c r="AE1078" s="58" t="s">
        <v>238</v>
      </c>
      <c r="AF1078" s="73" t="s">
        <v>241</v>
      </c>
      <c r="AG1078" s="84">
        <f>AG1067*1.01</f>
        <v>816.10350425422212</v>
      </c>
      <c r="AH1078" s="58" t="s">
        <v>238</v>
      </c>
      <c r="AI1078" s="73" t="s">
        <v>241</v>
      </c>
      <c r="AJ1078" s="84">
        <f>AJ1067*1.01</f>
        <v>1089.0932901073634</v>
      </c>
      <c r="AK1078" s="58" t="s">
        <v>238</v>
      </c>
      <c r="AL1078" s="73" t="s">
        <v>241</v>
      </c>
      <c r="AM1078" s="84">
        <f>AM1067*1.01</f>
        <v>1328.900785163167</v>
      </c>
      <c r="AN1078" s="58" t="s">
        <v>238</v>
      </c>
      <c r="AO1078" s="73" t="s">
        <v>241</v>
      </c>
      <c r="AP1078" s="84">
        <f>AP1067*1.01</f>
        <v>1542.8125563412523</v>
      </c>
      <c r="AQ1078" s="58" t="s">
        <v>238</v>
      </c>
      <c r="AR1078" s="73" t="s">
        <v>241</v>
      </c>
      <c r="AS1078" s="84">
        <f>AS1067*1.01</f>
        <v>1755.8646033400848</v>
      </c>
      <c r="AT1078" s="58" t="s">
        <v>238</v>
      </c>
      <c r="AU1078" s="73" t="s">
        <v>241</v>
      </c>
    </row>
    <row r="1079" spans="15:47" ht="13" x14ac:dyDescent="0.25">
      <c r="O1079" s="6"/>
      <c r="P1079" s="6"/>
      <c r="Q1079" s="60"/>
      <c r="R1079" s="70"/>
      <c r="S1079" s="63" t="s">
        <v>250</v>
      </c>
      <c r="T1079" s="71" t="s">
        <v>242</v>
      </c>
      <c r="U1079" s="61"/>
      <c r="V1079" s="63" t="s">
        <v>250</v>
      </c>
      <c r="W1079" s="71" t="s">
        <v>242</v>
      </c>
      <c r="X1079" s="61"/>
      <c r="Y1079" s="63" t="s">
        <v>250</v>
      </c>
      <c r="Z1079" s="71" t="s">
        <v>242</v>
      </c>
      <c r="AA1079" s="61"/>
      <c r="AB1079" s="63" t="s">
        <v>250</v>
      </c>
      <c r="AC1079" s="71" t="s">
        <v>242</v>
      </c>
      <c r="AD1079" s="61"/>
      <c r="AE1079" s="63" t="s">
        <v>250</v>
      </c>
      <c r="AF1079" s="71" t="s">
        <v>242</v>
      </c>
      <c r="AG1079" s="61"/>
      <c r="AH1079" s="63" t="s">
        <v>250</v>
      </c>
      <c r="AI1079" s="71" t="s">
        <v>242</v>
      </c>
      <c r="AJ1079" s="61"/>
      <c r="AK1079" s="63" t="s">
        <v>250</v>
      </c>
      <c r="AL1079" s="71" t="s">
        <v>242</v>
      </c>
      <c r="AM1079" s="61"/>
      <c r="AN1079" s="63" t="s">
        <v>250</v>
      </c>
      <c r="AO1079" s="71" t="s">
        <v>242</v>
      </c>
      <c r="AP1079" s="61"/>
      <c r="AQ1079" s="63" t="s">
        <v>250</v>
      </c>
      <c r="AR1079" s="71" t="s">
        <v>242</v>
      </c>
      <c r="AS1079" s="61"/>
      <c r="AT1079" s="63" t="s">
        <v>250</v>
      </c>
      <c r="AU1079" s="71" t="s">
        <v>242</v>
      </c>
    </row>
    <row r="1080" spans="15:47" ht="13" x14ac:dyDescent="0.3">
      <c r="O1080" s="6" t="s">
        <v>231</v>
      </c>
      <c r="P1080" s="6"/>
      <c r="Q1080" s="60"/>
      <c r="R1080" s="85">
        <f>P_1_minQ-(R1078^2*R_up)+dpup_minQ</f>
        <v>56.915212570967455</v>
      </c>
      <c r="S1080" s="56"/>
      <c r="T1080" s="72"/>
      <c r="U1080" s="53">
        <f>P_1_minQ-(U1078^2*R_up)+dpup_minQ</f>
        <v>56.737550200217349</v>
      </c>
      <c r="V1080" s="44"/>
      <c r="W1080" s="72"/>
      <c r="X1080" s="53">
        <f>P_1_minQ-(X1078^2*R_up)+dpup_minQ</f>
        <v>55.887117533027421</v>
      </c>
      <c r="Y1080" s="44"/>
      <c r="Z1080" s="72"/>
      <c r="AA1080" s="53">
        <f>P_1_minQ-(AA1078^2*R_up)+dpup_minQ</f>
        <v>53.164644522640849</v>
      </c>
      <c r="AB1080" s="44"/>
      <c r="AC1080" s="72"/>
      <c r="AD1080" s="53">
        <f>P_1_minQ-(AD1078^2*R_up)+dpup_minQ</f>
        <v>46.769037705173879</v>
      </c>
      <c r="AE1080" s="44"/>
      <c r="AF1080" s="72"/>
      <c r="AG1080" s="53">
        <f>P_1_minQ-(AG1078^2*R_up)+dpup_minQ</f>
        <v>34.422900045389355</v>
      </c>
      <c r="AH1080" s="44"/>
      <c r="AI1080" s="72"/>
      <c r="AJ1080" s="53">
        <f>P_1_minQ-(AJ1078^2*R_up)+dpup_minQ</f>
        <v>16.857913051101601</v>
      </c>
      <c r="AK1080" s="44"/>
      <c r="AL1080" s="72"/>
      <c r="AM1080" s="53">
        <f>P_1_minQ-(AM1078^2*R_up)+dpup_minQ</f>
        <v>-2.7251028979156375</v>
      </c>
      <c r="AN1080" s="44"/>
      <c r="AO1080" s="72"/>
      <c r="AP1080" s="53">
        <f>P_1_minQ-(AP1078^2*R_up)+dpup_minQ</f>
        <v>-23.471245660392771</v>
      </c>
      <c r="AQ1080" s="44"/>
      <c r="AR1080" s="72"/>
      <c r="AS1080" s="53">
        <f>P_1_minQ-(AS1078^2*R_up)+dpup_minQ</f>
        <v>-47.206129863648549</v>
      </c>
      <c r="AT1080" s="44"/>
      <c r="AU1080" s="72"/>
    </row>
    <row r="1081" spans="15:47" ht="13" x14ac:dyDescent="0.3">
      <c r="O1081" s="6" t="s">
        <v>233</v>
      </c>
      <c r="P1081" s="6"/>
      <c r="Q1081" s="60"/>
      <c r="R1081" s="85">
        <f>P_2_minQ+(R1078^2*R_dn)-dpdn_minQ</f>
        <v>24.656957485806508</v>
      </c>
      <c r="S1081" s="66"/>
      <c r="T1081" s="74"/>
      <c r="U1081" s="53">
        <f>P_2_minQ+(U1078^2*R_dn)-dpdn_minQ</f>
        <v>24.692489959956532</v>
      </c>
      <c r="V1081" s="45"/>
      <c r="W1081" s="74"/>
      <c r="X1081" s="53">
        <f>P_2_minQ+(X1078^2*R_dn)-dpdn_minQ</f>
        <v>24.862576493394517</v>
      </c>
      <c r="Y1081" s="45"/>
      <c r="Z1081" s="74"/>
      <c r="AA1081" s="53">
        <f>P_2_minQ+(AA1078^2*R_dn)-dpdn_minQ</f>
        <v>25.407071095471832</v>
      </c>
      <c r="AB1081" s="45"/>
      <c r="AC1081" s="74"/>
      <c r="AD1081" s="53">
        <f>P_2_minQ+(AD1078^2*R_dn)-dpdn_minQ</f>
        <v>26.686192458965227</v>
      </c>
      <c r="AE1081" s="45"/>
      <c r="AF1081" s="74"/>
      <c r="AG1081" s="53">
        <f>P_2_minQ+(AG1078^2*R_dn)-dpdn_minQ</f>
        <v>29.15541999092213</v>
      </c>
      <c r="AH1081" s="45"/>
      <c r="AI1081" s="74"/>
      <c r="AJ1081" s="53">
        <f>P_2_minQ+(AJ1078^2*R_dn)-dpdn_minQ</f>
        <v>32.668417389779684</v>
      </c>
      <c r="AK1081" s="45"/>
      <c r="AL1081" s="74"/>
      <c r="AM1081" s="53">
        <f>P_2_minQ+(AM1078^2*R_dn)-dpdn_minQ</f>
        <v>36.58502057958313</v>
      </c>
      <c r="AN1081" s="45"/>
      <c r="AO1081" s="74"/>
      <c r="AP1081" s="53">
        <f>P_2_minQ+(AP1078^2*R_dn)-dpdn_minQ</f>
        <v>40.73424913207856</v>
      </c>
      <c r="AQ1081" s="45"/>
      <c r="AR1081" s="74"/>
      <c r="AS1081" s="53">
        <f>P_2_minQ+(AS1078^2*R_dn)-dpdn_minQ</f>
        <v>45.481225972729717</v>
      </c>
      <c r="AT1081" s="45"/>
      <c r="AU1081" s="74"/>
    </row>
    <row r="1082" spans="15:47" x14ac:dyDescent="0.25">
      <c r="O1082" s="6" t="s">
        <v>243</v>
      </c>
      <c r="Q1082" s="60"/>
      <c r="R1082" s="53">
        <f>R1080-R1081</f>
        <v>32.258255085160947</v>
      </c>
      <c r="S1082" s="56"/>
      <c r="T1082" s="72"/>
      <c r="U1082" s="64">
        <f>U1080-U1081</f>
        <v>32.045060240260817</v>
      </c>
      <c r="V1082" s="44"/>
      <c r="W1082" s="72"/>
      <c r="X1082" s="64">
        <f>X1080-X1081</f>
        <v>31.024541039632904</v>
      </c>
      <c r="Y1082" s="44"/>
      <c r="Z1082" s="72"/>
      <c r="AA1082" s="64">
        <f>AA1080-AA1081</f>
        <v>27.757573427169017</v>
      </c>
      <c r="AB1082" s="44"/>
      <c r="AC1082" s="72"/>
      <c r="AD1082" s="64">
        <f>AD1080-AD1081</f>
        <v>20.082845246208652</v>
      </c>
      <c r="AE1082" s="44"/>
      <c r="AF1082" s="72"/>
      <c r="AG1082" s="64">
        <f>AG1080-AG1081</f>
        <v>5.2674800544672244</v>
      </c>
      <c r="AH1082" s="44"/>
      <c r="AI1082" s="72"/>
      <c r="AJ1082" s="64">
        <f>AJ1080-AJ1081</f>
        <v>-15.810504338678083</v>
      </c>
      <c r="AK1082" s="44"/>
      <c r="AL1082" s="72"/>
      <c r="AM1082" s="64">
        <f>AM1080-AM1081</f>
        <v>-39.31012347749877</v>
      </c>
      <c r="AN1082" s="44"/>
      <c r="AO1082" s="72"/>
      <c r="AP1082" s="64">
        <f>AP1080-AP1081</f>
        <v>-64.205494792471328</v>
      </c>
      <c r="AQ1082" s="44"/>
      <c r="AR1082" s="72"/>
      <c r="AS1082" s="64">
        <f>AS1080-AS1081</f>
        <v>-92.687355836378259</v>
      </c>
      <c r="AT1082" s="44"/>
      <c r="AU1082" s="72"/>
    </row>
    <row r="1083" spans="15:47" ht="13" x14ac:dyDescent="0.3">
      <c r="O1083" s="6" t="s">
        <v>75</v>
      </c>
      <c r="P1083" s="6">
        <v>3</v>
      </c>
      <c r="Q1083" s="65"/>
      <c r="R1083" s="85">
        <f>(F_LP_h/F_P_h)^2*(R1080-('Valve Sizing'!$V$4*'Valve Sizing'!$G$7))</f>
        <v>46.76439263628037</v>
      </c>
      <c r="S1083" s="58"/>
      <c r="T1083" s="73"/>
      <c r="U1083" s="53">
        <f>(U$29/U$27)^2*(U1080-('Valve Sizing'!$V$4*'Valve Sizing'!$G$7))</f>
        <v>46.604572923410331</v>
      </c>
      <c r="V1083" s="41"/>
      <c r="W1083" s="73"/>
      <c r="X1083" s="53">
        <f>(X$29/X$27)^2*(X1080-('Valve Sizing'!$V$4*'Valve Sizing'!$G$7))</f>
        <v>44.865186151602863</v>
      </c>
      <c r="Y1083" s="41"/>
      <c r="Z1083" s="73"/>
      <c r="AA1083" s="53">
        <f>(AA$29/AA$27)^2*(AA1080-('Valve Sizing'!$V$4*'Valve Sizing'!$G$7))</f>
        <v>40.745414217527525</v>
      </c>
      <c r="AB1083" s="41"/>
      <c r="AC1083" s="73"/>
      <c r="AD1083" s="53">
        <f>(AD$29/AD$27)^2*(AD1080-('Valve Sizing'!$V$4*'Valve Sizing'!$G$7))</f>
        <v>33.41187698941151</v>
      </c>
      <c r="AE1083" s="41"/>
      <c r="AF1083" s="73"/>
      <c r="AG1083" s="53">
        <f>(AG$29/AG$27)^2*(AG1080-('Valve Sizing'!$V$4*'Valve Sizing'!$G$7))</f>
        <v>21.886444076548159</v>
      </c>
      <c r="AH1083" s="41"/>
      <c r="AI1083" s="73"/>
      <c r="AJ1083" s="53">
        <f>(AJ$29/AJ$27)^2*(AJ1080-('Valve Sizing'!$V$4*'Valve Sizing'!$G$7))</f>
        <v>9.4955020155744041</v>
      </c>
      <c r="AK1083" s="41"/>
      <c r="AL1083" s="73"/>
      <c r="AM1083" s="53">
        <f>(AM$29/AM$27)^2*(AM1080-('Valve Sizing'!$V$4*'Valve Sizing'!$G$7))</f>
        <v>-1.5144411793268244</v>
      </c>
      <c r="AN1083" s="41"/>
      <c r="AO1083" s="73"/>
      <c r="AP1083" s="53">
        <f>(AP$29/AP$27)^2*(AP1080-('Valve Sizing'!$V$4*'Valve Sizing'!$G$7))</f>
        <v>-9.4360417708667619</v>
      </c>
      <c r="AQ1083" s="41"/>
      <c r="AR1083" s="73"/>
      <c r="AS1083" s="53">
        <f>(AS$29/AS$27)^2*(AS1080-('Valve Sizing'!$V$4*'Valve Sizing'!$G$7))</f>
        <v>-17.921674814534825</v>
      </c>
      <c r="AT1083" s="41"/>
      <c r="AU1083" s="73"/>
    </row>
    <row r="1084" spans="15:47" ht="13" x14ac:dyDescent="0.25">
      <c r="O1084" s="1" t="s">
        <v>69</v>
      </c>
      <c r="P1084" s="17">
        <v>7</v>
      </c>
      <c r="Q1084" s="65"/>
      <c r="R1084" s="53">
        <f>(R1078/(N_1*F_P_h))*SQRT('Valve Sizing'!$G$6/R1082)</f>
        <v>0.92437756641829616</v>
      </c>
      <c r="S1084" s="58"/>
      <c r="T1084" s="73"/>
      <c r="U1084" s="64">
        <f>(U1078/(N_1*U$27))*SQRT('Valve Sizing'!$G$6/U1082)</f>
        <v>12.856908044827698</v>
      </c>
      <c r="V1084" s="41"/>
      <c r="W1084" s="73"/>
      <c r="X1084" s="64">
        <f>(X1078/(N_1*X$27))*SQRT('Valve Sizing'!$G$6/X1082)</f>
        <v>31.435468790346427</v>
      </c>
      <c r="Y1084" s="41"/>
      <c r="Z1084" s="73"/>
      <c r="AA1084" s="64">
        <f>(AA1078/(N_1*AA$27))*SQRT('Valve Sizing'!$G$6/AA1082)</f>
        <v>63.820837109789544</v>
      </c>
      <c r="AB1084" s="41"/>
      <c r="AC1084" s="73"/>
      <c r="AD1084" s="64">
        <f>(AD1078/(N_1*AD$27))*SQRT('Valve Sizing'!$G$6/AD1082)</f>
        <v>124.94949811704716</v>
      </c>
      <c r="AE1084" s="41"/>
      <c r="AF1084" s="73"/>
      <c r="AG1084" s="64">
        <f>(AG1078/(N_1*AG$27))*SQRT('Valve Sizing'!$G$6/AG1082)</f>
        <v>371.35035840266374</v>
      </c>
      <c r="AH1084" s="41"/>
      <c r="AI1084" s="73"/>
      <c r="AJ1084" s="64" t="e">
        <f>(AJ1078/(N_1*AJ$27))*SQRT('Valve Sizing'!$G$6/AJ1082)</f>
        <v>#NUM!</v>
      </c>
      <c r="AK1084" s="41"/>
      <c r="AL1084" s="73"/>
      <c r="AM1084" s="64" t="e">
        <f>(AM1078/(N_1*AM$27))*SQRT('Valve Sizing'!$G$6/AM1082)</f>
        <v>#NUM!</v>
      </c>
      <c r="AN1084" s="41"/>
      <c r="AO1084" s="73"/>
      <c r="AP1084" s="64" t="e">
        <f>(AP1078/(N_1*AP$27))*SQRT('Valve Sizing'!$G$6/AP1082)</f>
        <v>#NUM!</v>
      </c>
      <c r="AQ1084" s="41"/>
      <c r="AR1084" s="73"/>
      <c r="AS1084" s="64" t="e">
        <f>(AS1078/(N_1*AS$27))*SQRT('Valve Sizing'!$G$6/AS1082)</f>
        <v>#NUM!</v>
      </c>
      <c r="AT1084" s="41"/>
      <c r="AU1084" s="73"/>
    </row>
    <row r="1085" spans="15:47" ht="13" x14ac:dyDescent="0.3">
      <c r="O1085" s="1" t="s">
        <v>72</v>
      </c>
      <c r="P1085" s="17">
        <v>7</v>
      </c>
      <c r="Q1085" s="65"/>
      <c r="R1085" s="53">
        <f>(R1078/(N_1*F_P_h))*SQRT('Valve Sizing'!$G$6/R1083)</f>
        <v>0.76773649191554616</v>
      </c>
      <c r="S1085" s="56"/>
      <c r="T1085" s="72"/>
      <c r="U1085" s="85">
        <f>(U1078/(N_1*U$27))*SQRT('Valve Sizing'!$G$6/U1083)</f>
        <v>10.661119654500245</v>
      </c>
      <c r="V1085" s="44"/>
      <c r="W1085" s="72"/>
      <c r="X1085" s="85">
        <f>(X1078/(N_1*X$27))*SQRT('Valve Sizing'!$G$6/X1083)</f>
        <v>26.140740568645207</v>
      </c>
      <c r="Y1085" s="44"/>
      <c r="Z1085" s="72"/>
      <c r="AA1085" s="85">
        <f>(AA1078/(N_1*AA$27))*SQRT('Valve Sizing'!$G$6/AA1083)</f>
        <v>52.676131893797333</v>
      </c>
      <c r="AB1085" s="44"/>
      <c r="AC1085" s="72"/>
      <c r="AD1085" s="85">
        <f>(AD1078/(N_1*AD$27))*SQRT('Valve Sizing'!$G$6/AD1083)</f>
        <v>96.871650649062758</v>
      </c>
      <c r="AE1085" s="44"/>
      <c r="AF1085" s="72"/>
      <c r="AG1085" s="85">
        <f>(AG1078/(N_1*AG$27))*SQRT('Valve Sizing'!$G$6/AG1083)</f>
        <v>182.17873993793819</v>
      </c>
      <c r="AH1085" s="44"/>
      <c r="AI1085" s="72"/>
      <c r="AJ1085" s="85">
        <f>(AJ1078/(N_1*AJ$27))*SQRT('Valve Sizing'!$G$6/AJ1083)</f>
        <v>382.51750592490771</v>
      </c>
      <c r="AK1085" s="44"/>
      <c r="AL1085" s="72"/>
      <c r="AM1085" s="85" t="e">
        <f>(AM1078/(N_1*AM$27))*SQRT('Valve Sizing'!$G$6/AM1083)</f>
        <v>#NUM!</v>
      </c>
      <c r="AN1085" s="44"/>
      <c r="AO1085" s="72"/>
      <c r="AP1085" s="85" t="e">
        <f>(AP1078/(N_1*AP$27))*SQRT('Valve Sizing'!$G$6/AP1083)</f>
        <v>#NUM!</v>
      </c>
      <c r="AQ1085" s="44"/>
      <c r="AR1085" s="72"/>
      <c r="AS1085" s="85" t="e">
        <f>(AS1078/(N_1*AS$27))*SQRT('Valve Sizing'!$G$6/AS1083)</f>
        <v>#NUM!</v>
      </c>
      <c r="AT1085" s="44"/>
      <c r="AU1085" s="72"/>
    </row>
    <row r="1086" spans="15:47" x14ac:dyDescent="0.25">
      <c r="O1086" s="1" t="s">
        <v>246</v>
      </c>
      <c r="P1086" s="18"/>
      <c r="Q1086" s="65"/>
      <c r="R1086" s="53">
        <f>IF(R1082&lt;R1083,R1084,R1085)</f>
        <v>0.92437756641829616</v>
      </c>
      <c r="S1086" s="49"/>
      <c r="T1086" s="72"/>
      <c r="U1086" s="64">
        <f>IF(U1082&lt;U1083,U1084,U1085)</f>
        <v>12.856908044827698</v>
      </c>
      <c r="V1086" s="44"/>
      <c r="W1086" s="72"/>
      <c r="X1086" s="64">
        <f>IF(X1082&lt;X1083,X1084,X1085)</f>
        <v>31.435468790346427</v>
      </c>
      <c r="Y1086" s="44"/>
      <c r="Z1086" s="72"/>
      <c r="AA1086" s="64">
        <f>IF(AA1082&lt;AA1083,AA1084,AA1085)</f>
        <v>63.820837109789544</v>
      </c>
      <c r="AB1086" s="44"/>
      <c r="AC1086" s="72"/>
      <c r="AD1086" s="64">
        <f>IF(AD1082&lt;AD1083,AD1084,AD1085)</f>
        <v>124.94949811704716</v>
      </c>
      <c r="AE1086" s="44"/>
      <c r="AF1086" s="72"/>
      <c r="AG1086" s="64">
        <f>IF(AG1082&lt;AG1083,AG1084,AG1085)</f>
        <v>371.35035840266374</v>
      </c>
      <c r="AH1086" s="44"/>
      <c r="AI1086" s="72"/>
      <c r="AJ1086" s="64" t="e">
        <f>IF(AJ1082&lt;AJ1083,AJ1084,AJ1085)</f>
        <v>#NUM!</v>
      </c>
      <c r="AK1086" s="44"/>
      <c r="AL1086" s="72"/>
      <c r="AM1086" s="64" t="e">
        <f>IF(AM1082&lt;AM1083,AM1084,AM1085)</f>
        <v>#NUM!</v>
      </c>
      <c r="AN1086" s="44"/>
      <c r="AO1086" s="72"/>
      <c r="AP1086" s="64" t="e">
        <f>IF(AP1082&lt;AP1083,AP1084,AP1085)</f>
        <v>#NUM!</v>
      </c>
      <c r="AQ1086" s="44"/>
      <c r="AR1086" s="72"/>
      <c r="AS1086" s="64" t="e">
        <f>IF(AS1082&lt;AS1083,AS1084,AS1085)</f>
        <v>#NUM!</v>
      </c>
      <c r="AT1086" s="44"/>
      <c r="AU1086" s="72"/>
    </row>
    <row r="1087" spans="15:47" ht="13" x14ac:dyDescent="0.3">
      <c r="O1087" s="7" t="s">
        <v>264</v>
      </c>
      <c r="Q1087" s="61"/>
      <c r="R1087" s="53"/>
      <c r="S1087" s="69">
        <f>IFERROR(ABS(C_h-R1086),Q_max*10)</f>
        <v>4.075622433581704</v>
      </c>
      <c r="T1087" s="76">
        <f>R1078</f>
        <v>5.2493593564926853</v>
      </c>
      <c r="U1087" s="61"/>
      <c r="V1087" s="69">
        <f>IFERROR(ABS(U$23-U1086),Q_max*10)</f>
        <v>0.85690804482769778</v>
      </c>
      <c r="W1087" s="75">
        <f>U1078</f>
        <v>72.719588637205007</v>
      </c>
      <c r="X1087" s="61"/>
      <c r="Y1087" s="69">
        <f>IFERROR(ABS(X$23-X1086),Q_max*10)</f>
        <v>8.4354687903464267</v>
      </c>
      <c r="Z1087" s="75">
        <f>X1078</f>
        <v>174.55500521915164</v>
      </c>
      <c r="AA1087" s="61"/>
      <c r="AB1087" s="69">
        <f>IFERROR(ABS(AA$23-AA1086),Q_max*10)</f>
        <v>24.820837109789544</v>
      </c>
      <c r="AC1087" s="75">
        <f>AA1078</f>
        <v>333.28947730854713</v>
      </c>
      <c r="AD1087" s="61"/>
      <c r="AE1087" s="69">
        <f>IFERROR(ABS(AD$23-AD1086),Q_max*10)</f>
        <v>63.949498117047156</v>
      </c>
      <c r="AF1087" s="75">
        <f>AD1078</f>
        <v>548.13848026735127</v>
      </c>
      <c r="AG1087" s="61"/>
      <c r="AH1087" s="69">
        <f>IFERROR(ABS(AG$23-AG1086),Q_max*10)</f>
        <v>283.35035840266374</v>
      </c>
      <c r="AI1087" s="75">
        <f>AG1078</f>
        <v>816.10350425422212</v>
      </c>
      <c r="AJ1087" s="61"/>
      <c r="AK1087" s="69">
        <f>IFERROR(ABS(AJ$23-AJ1086),Q_max*10)</f>
        <v>5500</v>
      </c>
      <c r="AL1087" s="75">
        <f>AJ1078</f>
        <v>1089.0932901073634</v>
      </c>
      <c r="AM1087" s="61"/>
      <c r="AN1087" s="69">
        <f>IFERROR(ABS(AM$23-AM1086),Q_max*10)</f>
        <v>5500</v>
      </c>
      <c r="AO1087" s="75">
        <f>AM1078</f>
        <v>1328.900785163167</v>
      </c>
      <c r="AP1087" s="61"/>
      <c r="AQ1087" s="69">
        <f>IFERROR(ABS(AP$23-AP1086),Q_max*10)</f>
        <v>5500</v>
      </c>
      <c r="AR1087" s="75">
        <f>AP1078</f>
        <v>1542.8125563412523</v>
      </c>
      <c r="AS1087" s="61"/>
      <c r="AT1087" s="69">
        <f>IFERROR(ABS(AS$23-AS1086),Q_max*10)</f>
        <v>5500</v>
      </c>
      <c r="AU1087" s="75">
        <f>AS1078</f>
        <v>1755.8646033400848</v>
      </c>
    </row>
    <row r="1088" spans="15:47" ht="14.5" x14ac:dyDescent="0.35">
      <c r="O1088" s="6"/>
      <c r="P1088" s="6"/>
      <c r="Q1088" s="60"/>
      <c r="R1088" s="67"/>
      <c r="S1088" s="58"/>
      <c r="T1088" s="73"/>
      <c r="V1088" s="11"/>
      <c r="W1088" s="38"/>
      <c r="Y1088" s="11"/>
      <c r="Z1088" s="38"/>
      <c r="AB1088" s="11"/>
      <c r="AC1088" s="38"/>
      <c r="AE1088" s="11"/>
      <c r="AF1088" s="38"/>
      <c r="AH1088" s="11"/>
      <c r="AI1088" s="38"/>
      <c r="AK1088" s="11"/>
      <c r="AL1088" s="38"/>
      <c r="AN1088" s="11"/>
      <c r="AO1088" s="38"/>
      <c r="AQ1088" s="11"/>
      <c r="AR1088" s="38"/>
      <c r="AT1088" s="11"/>
      <c r="AU1088" s="38"/>
    </row>
    <row r="1089" spans="15:47" ht="14" x14ac:dyDescent="0.3">
      <c r="O1089" s="8" t="s">
        <v>235</v>
      </c>
      <c r="P1089" s="6"/>
      <c r="Q1089" s="60"/>
      <c r="R1089" s="53">
        <f>R1078*1.02</f>
        <v>5.3543465436225395</v>
      </c>
      <c r="S1089" s="58" t="s">
        <v>238</v>
      </c>
      <c r="T1089" s="73" t="s">
        <v>241</v>
      </c>
      <c r="U1089" s="84">
        <f>U1078*1.01</f>
        <v>73.446784523577051</v>
      </c>
      <c r="V1089" s="58" t="s">
        <v>238</v>
      </c>
      <c r="W1089" s="73" t="s">
        <v>241</v>
      </c>
      <c r="X1089" s="84">
        <f>X1078*1.01</f>
        <v>176.30055527134314</v>
      </c>
      <c r="Y1089" s="58" t="s">
        <v>238</v>
      </c>
      <c r="Z1089" s="73" t="s">
        <v>241</v>
      </c>
      <c r="AA1089" s="84">
        <f>AA1078*1.01</f>
        <v>336.62237208163259</v>
      </c>
      <c r="AB1089" s="58" t="s">
        <v>238</v>
      </c>
      <c r="AC1089" s="73" t="s">
        <v>241</v>
      </c>
      <c r="AD1089" s="84">
        <f>AD1078*1.01</f>
        <v>553.61986507002484</v>
      </c>
      <c r="AE1089" s="58" t="s">
        <v>238</v>
      </c>
      <c r="AF1089" s="73" t="s">
        <v>241</v>
      </c>
      <c r="AG1089" s="84">
        <f>AG1078*1.01</f>
        <v>824.26453929676438</v>
      </c>
      <c r="AH1089" s="58" t="s">
        <v>238</v>
      </c>
      <c r="AI1089" s="73" t="s">
        <v>241</v>
      </c>
      <c r="AJ1089" s="84">
        <f>AJ1078*1.01</f>
        <v>1099.9842230084371</v>
      </c>
      <c r="AK1089" s="58" t="s">
        <v>238</v>
      </c>
      <c r="AL1089" s="73" t="s">
        <v>241</v>
      </c>
      <c r="AM1089" s="84">
        <f>AM1078*1.01</f>
        <v>1342.1897930147986</v>
      </c>
      <c r="AN1089" s="58" t="s">
        <v>238</v>
      </c>
      <c r="AO1089" s="73" t="s">
        <v>241</v>
      </c>
      <c r="AP1089" s="84">
        <f>AP1078*1.01</f>
        <v>1558.2406819046648</v>
      </c>
      <c r="AQ1089" s="58" t="s">
        <v>238</v>
      </c>
      <c r="AR1089" s="73" t="s">
        <v>241</v>
      </c>
      <c r="AS1089" s="84">
        <f>AS1078*1.01</f>
        <v>1773.4232493734858</v>
      </c>
      <c r="AT1089" s="58" t="s">
        <v>238</v>
      </c>
      <c r="AU1089" s="73" t="s">
        <v>241</v>
      </c>
    </row>
    <row r="1090" spans="15:47" ht="13" x14ac:dyDescent="0.25">
      <c r="O1090" s="6"/>
      <c r="P1090" s="6"/>
      <c r="Q1090" s="60"/>
      <c r="R1090" s="70"/>
      <c r="S1090" s="63" t="s">
        <v>250</v>
      </c>
      <c r="T1090" s="71" t="s">
        <v>242</v>
      </c>
      <c r="U1090" s="61"/>
      <c r="V1090" s="63" t="s">
        <v>250</v>
      </c>
      <c r="W1090" s="71" t="s">
        <v>242</v>
      </c>
      <c r="X1090" s="61"/>
      <c r="Y1090" s="63" t="s">
        <v>250</v>
      </c>
      <c r="Z1090" s="71" t="s">
        <v>242</v>
      </c>
      <c r="AA1090" s="61"/>
      <c r="AB1090" s="63" t="s">
        <v>250</v>
      </c>
      <c r="AC1090" s="71" t="s">
        <v>242</v>
      </c>
      <c r="AD1090" s="61"/>
      <c r="AE1090" s="63" t="s">
        <v>250</v>
      </c>
      <c r="AF1090" s="71" t="s">
        <v>242</v>
      </c>
      <c r="AG1090" s="61"/>
      <c r="AH1090" s="63" t="s">
        <v>250</v>
      </c>
      <c r="AI1090" s="71" t="s">
        <v>242</v>
      </c>
      <c r="AJ1090" s="61"/>
      <c r="AK1090" s="63" t="s">
        <v>250</v>
      </c>
      <c r="AL1090" s="71" t="s">
        <v>242</v>
      </c>
      <c r="AM1090" s="61"/>
      <c r="AN1090" s="63" t="s">
        <v>250</v>
      </c>
      <c r="AO1090" s="71" t="s">
        <v>242</v>
      </c>
      <c r="AP1090" s="61"/>
      <c r="AQ1090" s="63" t="s">
        <v>250</v>
      </c>
      <c r="AR1090" s="71" t="s">
        <v>242</v>
      </c>
      <c r="AS1090" s="61"/>
      <c r="AT1090" s="63" t="s">
        <v>250</v>
      </c>
      <c r="AU1090" s="71" t="s">
        <v>242</v>
      </c>
    </row>
    <row r="1091" spans="15:47" ht="13" x14ac:dyDescent="0.3">
      <c r="O1091" s="6" t="s">
        <v>231</v>
      </c>
      <c r="P1091" s="6"/>
      <c r="Q1091" s="60"/>
      <c r="R1091" s="85">
        <f>P_1_minQ-(R1089^2*R_up)+dpup_minQ</f>
        <v>56.915174973761928</v>
      </c>
      <c r="S1091" s="56"/>
      <c r="T1091" s="72"/>
      <c r="U1091" s="53">
        <f>P_1_minQ-(U1089^2*R_up)+dpup_minQ</f>
        <v>56.733960481024901</v>
      </c>
      <c r="V1091" s="44"/>
      <c r="W1091" s="72"/>
      <c r="X1091" s="53">
        <f>P_1_minQ-(X1089^2*R_up)+dpup_minQ</f>
        <v>55.866434117224451</v>
      </c>
      <c r="Y1091" s="44"/>
      <c r="Z1091" s="72"/>
      <c r="AA1091" s="53">
        <f>P_1_minQ-(AA1089^2*R_up)+dpup_minQ</f>
        <v>53.089239399329109</v>
      </c>
      <c r="AB1091" s="44"/>
      <c r="AC1091" s="72"/>
      <c r="AD1091" s="53">
        <f>P_1_minQ-(AD1089^2*R_up)+dpup_minQ</f>
        <v>46.565080884831055</v>
      </c>
      <c r="AE1091" s="44"/>
      <c r="AF1091" s="72"/>
      <c r="AG1091" s="53">
        <f>P_1_minQ-(AG1089^2*R_up)+dpup_minQ</f>
        <v>33.970785858084859</v>
      </c>
      <c r="AH1091" s="44"/>
      <c r="AI1091" s="72"/>
      <c r="AJ1091" s="53">
        <f>P_1_minQ-(AJ1089^2*R_up)+dpup_minQ</f>
        <v>16.052742625211916</v>
      </c>
      <c r="AK1091" s="44"/>
      <c r="AL1091" s="72"/>
      <c r="AM1091" s="53">
        <f>P_1_minQ-(AM1089^2*R_up)+dpup_minQ</f>
        <v>-3.9238919443805544</v>
      </c>
      <c r="AN1091" s="44"/>
      <c r="AO1091" s="72"/>
      <c r="AP1091" s="53">
        <f>P_1_minQ-(AP1089^2*R_up)+dpup_minQ</f>
        <v>-25.087032176383477</v>
      </c>
      <c r="AQ1091" s="44"/>
      <c r="AR1091" s="72"/>
      <c r="AS1091" s="53">
        <f>P_1_minQ-(AS1089^2*R_up)+dpup_minQ</f>
        <v>-49.298987552124721</v>
      </c>
      <c r="AT1091" s="44"/>
      <c r="AU1091" s="72"/>
    </row>
    <row r="1092" spans="15:47" ht="13" x14ac:dyDescent="0.3">
      <c r="O1092" s="6" t="s">
        <v>233</v>
      </c>
      <c r="P1092" s="6"/>
      <c r="Q1092" s="60"/>
      <c r="R1092" s="85">
        <f>P_2_minQ+(R1089^2*R_dn)-dpdn_minQ</f>
        <v>24.656965005247613</v>
      </c>
      <c r="S1092" s="66"/>
      <c r="T1092" s="74"/>
      <c r="U1092" s="53">
        <f>P_2_minQ+(U1089^2*R_dn)-dpdn_minQ</f>
        <v>24.69320790379502</v>
      </c>
      <c r="V1092" s="45"/>
      <c r="W1092" s="74"/>
      <c r="X1092" s="53">
        <f>P_2_minQ+(X1089^2*R_dn)-dpdn_minQ</f>
        <v>24.866713176555109</v>
      </c>
      <c r="Y1092" s="45"/>
      <c r="Z1092" s="74"/>
      <c r="AA1092" s="53">
        <f>P_2_minQ+(AA1089^2*R_dn)-dpdn_minQ</f>
        <v>25.422152120134179</v>
      </c>
      <c r="AB1092" s="45"/>
      <c r="AC1092" s="74"/>
      <c r="AD1092" s="53">
        <f>P_2_minQ+(AD1089^2*R_dn)-dpdn_minQ</f>
        <v>26.726983823033791</v>
      </c>
      <c r="AE1092" s="45"/>
      <c r="AF1092" s="74"/>
      <c r="AG1092" s="53">
        <f>P_2_minQ+(AG1089^2*R_dn)-dpdn_minQ</f>
        <v>29.245842828383029</v>
      </c>
      <c r="AH1092" s="45"/>
      <c r="AI1092" s="74"/>
      <c r="AJ1092" s="53">
        <f>P_2_minQ+(AJ1089^2*R_dn)-dpdn_minQ</f>
        <v>32.829451474957622</v>
      </c>
      <c r="AK1092" s="45"/>
      <c r="AL1092" s="74"/>
      <c r="AM1092" s="53">
        <f>P_2_minQ+(AM1089^2*R_dn)-dpdn_minQ</f>
        <v>36.824778388876112</v>
      </c>
      <c r="AN1092" s="45"/>
      <c r="AO1092" s="74"/>
      <c r="AP1092" s="53">
        <f>P_2_minQ+(AP1089^2*R_dn)-dpdn_minQ</f>
        <v>41.057406435276704</v>
      </c>
      <c r="AQ1092" s="45"/>
      <c r="AR1092" s="74"/>
      <c r="AS1092" s="53">
        <f>P_2_minQ+(AS1089^2*R_dn)-dpdn_minQ</f>
        <v>45.899797510424946</v>
      </c>
      <c r="AT1092" s="45"/>
      <c r="AU1092" s="74"/>
    </row>
    <row r="1093" spans="15:47" x14ac:dyDescent="0.25">
      <c r="O1093" s="6" t="s">
        <v>243</v>
      </c>
      <c r="Q1093" s="60"/>
      <c r="R1093" s="53">
        <f>R1091-R1092</f>
        <v>32.258209968514315</v>
      </c>
      <c r="S1093" s="56"/>
      <c r="T1093" s="72"/>
      <c r="U1093" s="64">
        <f>U1091-U1092</f>
        <v>32.040752577229881</v>
      </c>
      <c r="V1093" s="44"/>
      <c r="W1093" s="72"/>
      <c r="X1093" s="64">
        <f>X1091-X1092</f>
        <v>30.999720940669341</v>
      </c>
      <c r="Y1093" s="44"/>
      <c r="Z1093" s="72"/>
      <c r="AA1093" s="64">
        <f>AA1091-AA1092</f>
        <v>27.667087279194931</v>
      </c>
      <c r="AB1093" s="44"/>
      <c r="AC1093" s="72"/>
      <c r="AD1093" s="64">
        <f>AD1091-AD1092</f>
        <v>19.838097061797264</v>
      </c>
      <c r="AE1093" s="44"/>
      <c r="AF1093" s="72"/>
      <c r="AG1093" s="64">
        <f>AG1091-AG1092</f>
        <v>4.72494302970183</v>
      </c>
      <c r="AH1093" s="44"/>
      <c r="AI1093" s="72"/>
      <c r="AJ1093" s="64">
        <f>AJ1091-AJ1092</f>
        <v>-16.776708849745706</v>
      </c>
      <c r="AK1093" s="44"/>
      <c r="AL1093" s="72"/>
      <c r="AM1093" s="64">
        <f>AM1091-AM1092</f>
        <v>-40.748670333256669</v>
      </c>
      <c r="AN1093" s="44"/>
      <c r="AO1093" s="72"/>
      <c r="AP1093" s="64">
        <f>AP1091-AP1092</f>
        <v>-66.144438611660178</v>
      </c>
      <c r="AQ1093" s="44"/>
      <c r="AR1093" s="72"/>
      <c r="AS1093" s="64">
        <f>AS1091-AS1092</f>
        <v>-95.198785062549661</v>
      </c>
      <c r="AT1093" s="44"/>
      <c r="AU1093" s="72"/>
    </row>
    <row r="1094" spans="15:47" ht="13" x14ac:dyDescent="0.3">
      <c r="O1094" s="6" t="s">
        <v>75</v>
      </c>
      <c r="P1094" s="6">
        <v>3</v>
      </c>
      <c r="Q1094" s="65"/>
      <c r="R1094" s="85">
        <f>(F_LP_h/F_P_h)^2*(R1091-('Valve Sizing'!$V$4*'Valve Sizing'!$G$7))</f>
        <v>46.764361503820716</v>
      </c>
      <c r="S1094" s="58"/>
      <c r="T1094" s="73"/>
      <c r="U1094" s="53">
        <f>(U$29/U$27)^2*(U1091-('Valve Sizing'!$V$4*'Valve Sizing'!$G$7))</f>
        <v>46.601601257668982</v>
      </c>
      <c r="V1094" s="41"/>
      <c r="W1094" s="73"/>
      <c r="X1094" s="53">
        <f>(X$29/X$27)^2*(X1091-('Valve Sizing'!$V$4*'Valve Sizing'!$G$7))</f>
        <v>44.84845009197182</v>
      </c>
      <c r="Y1094" s="41"/>
      <c r="Z1094" s="73"/>
      <c r="AA1094" s="53">
        <f>(AA$29/AA$27)^2*(AA1091-('Valve Sizing'!$V$4*'Valve Sizing'!$G$7))</f>
        <v>40.687141347756409</v>
      </c>
      <c r="AB1094" s="41"/>
      <c r="AC1094" s="73"/>
      <c r="AD1094" s="53">
        <f>(AD$29/AD$27)^2*(AD1091-('Valve Sizing'!$V$4*'Valve Sizing'!$G$7))</f>
        <v>33.264785898972676</v>
      </c>
      <c r="AE1094" s="41"/>
      <c r="AF1094" s="73"/>
      <c r="AG1094" s="53">
        <f>(AG$29/AG$27)^2*(AG1091-('Valve Sizing'!$V$4*'Valve Sizing'!$G$7))</f>
        <v>21.595262668970637</v>
      </c>
      <c r="AH1094" s="41"/>
      <c r="AI1094" s="73"/>
      <c r="AJ1094" s="53">
        <f>(AJ$29/AJ$27)^2*(AJ1091-('Valve Sizing'!$V$4*'Valve Sizing'!$G$7))</f>
        <v>9.0298201573803887</v>
      </c>
      <c r="AK1094" s="41"/>
      <c r="AL1094" s="73"/>
      <c r="AM1094" s="53">
        <f>(AM$29/AM$27)^2*(AM1091-('Valve Sizing'!$V$4*'Valve Sizing'!$G$7))</f>
        <v>-2.0880283509516082</v>
      </c>
      <c r="AN1094" s="41"/>
      <c r="AO1094" s="73"/>
      <c r="AP1094" s="53">
        <f>(AP$29/AP$27)^2*(AP1091-('Valve Sizing'!$V$4*'Valve Sizing'!$G$7))</f>
        <v>-10.073674477360656</v>
      </c>
      <c r="AQ1094" s="41"/>
      <c r="AR1094" s="73"/>
      <c r="AS1094" s="53">
        <f>(AS$29/AS$27)^2*(AS1091-('Valve Sizing'!$V$4*'Valve Sizing'!$G$7))</f>
        <v>-18.708883967424537</v>
      </c>
      <c r="AT1094" s="41"/>
      <c r="AU1094" s="73"/>
    </row>
    <row r="1095" spans="15:47" ht="13" x14ac:dyDescent="0.25">
      <c r="O1095" s="1" t="s">
        <v>69</v>
      </c>
      <c r="P1095" s="17">
        <v>7</v>
      </c>
      <c r="Q1095" s="65"/>
      <c r="R1095" s="53">
        <f>(R1089/(N_1*F_P_h))*SQRT('Valve Sizing'!$G$6/R1093)</f>
        <v>0.94286577709659991</v>
      </c>
      <c r="S1095" s="58"/>
      <c r="T1095" s="73"/>
      <c r="U1095" s="64">
        <f>(U1089/(N_1*U$27))*SQRT('Valve Sizing'!$G$6/U1093)</f>
        <v>12.986350000837383</v>
      </c>
      <c r="V1095" s="41"/>
      <c r="W1095" s="73"/>
      <c r="X1095" s="64">
        <f>(X1089/(N_1*X$27))*SQRT('Valve Sizing'!$G$6/X1093)</f>
        <v>31.762531271483333</v>
      </c>
      <c r="Y1095" s="41"/>
      <c r="Z1095" s="73"/>
      <c r="AA1095" s="64">
        <f>(AA1089/(N_1*AA$27))*SQRT('Valve Sizing'!$G$6/AA1093)</f>
        <v>64.564367184631223</v>
      </c>
      <c r="AB1095" s="41"/>
      <c r="AC1095" s="73"/>
      <c r="AD1095" s="64">
        <f>(AD1089/(N_1*AD$27))*SQRT('Valve Sizing'!$G$6/AD1093)</f>
        <v>126.97508296664604</v>
      </c>
      <c r="AE1095" s="41"/>
      <c r="AF1095" s="73"/>
      <c r="AG1095" s="64">
        <f>(AG1089/(N_1*AG$27))*SQRT('Valve Sizing'!$G$6/AG1093)</f>
        <v>396.01203347255284</v>
      </c>
      <c r="AH1095" s="41"/>
      <c r="AI1095" s="73"/>
      <c r="AJ1095" s="64" t="e">
        <f>(AJ1089/(N_1*AJ$27))*SQRT('Valve Sizing'!$G$6/AJ1093)</f>
        <v>#NUM!</v>
      </c>
      <c r="AK1095" s="41"/>
      <c r="AL1095" s="73"/>
      <c r="AM1095" s="64" t="e">
        <f>(AM1089/(N_1*AM$27))*SQRT('Valve Sizing'!$G$6/AM1093)</f>
        <v>#NUM!</v>
      </c>
      <c r="AN1095" s="41"/>
      <c r="AO1095" s="73"/>
      <c r="AP1095" s="64" t="e">
        <f>(AP1089/(N_1*AP$27))*SQRT('Valve Sizing'!$G$6/AP1093)</f>
        <v>#NUM!</v>
      </c>
      <c r="AQ1095" s="41"/>
      <c r="AR1095" s="73"/>
      <c r="AS1095" s="64" t="e">
        <f>(AS1089/(N_1*AS$27))*SQRT('Valve Sizing'!$G$6/AS1093)</f>
        <v>#NUM!</v>
      </c>
      <c r="AT1095" s="41"/>
      <c r="AU1095" s="73"/>
    </row>
    <row r="1096" spans="15:47" ht="13" x14ac:dyDescent="0.3">
      <c r="O1096" s="1" t="s">
        <v>72</v>
      </c>
      <c r="P1096" s="17">
        <v>7</v>
      </c>
      <c r="Q1096" s="65"/>
      <c r="R1096" s="53">
        <f>(R1089/(N_1*F_P_h))*SQRT('Valve Sizing'!$G$6/R1094)</f>
        <v>0.78309148241765147</v>
      </c>
      <c r="S1096" s="56"/>
      <c r="T1096" s="72"/>
      <c r="U1096" s="85">
        <f>(U1089/(N_1*U$27))*SQRT('Valve Sizing'!$G$6/U1094)</f>
        <v>10.768074160995178</v>
      </c>
      <c r="V1096" s="44"/>
      <c r="W1096" s="72"/>
      <c r="X1096" s="85">
        <f>(X1089/(N_1*X$27))*SQRT('Valve Sizing'!$G$6/X1094)</f>
        <v>26.40707374887678</v>
      </c>
      <c r="Y1096" s="44"/>
      <c r="Z1096" s="72"/>
      <c r="AA1096" s="85">
        <f>(AA1089/(N_1*AA$27))*SQRT('Valve Sizing'!$G$6/AA1094)</f>
        <v>53.240978660469452</v>
      </c>
      <c r="AB1096" s="44"/>
      <c r="AC1096" s="72"/>
      <c r="AD1096" s="85">
        <f>(AD1089/(N_1*AD$27))*SQRT('Valve Sizing'!$G$6/AD1094)</f>
        <v>98.056445086987154</v>
      </c>
      <c r="AE1096" s="44"/>
      <c r="AF1096" s="72"/>
      <c r="AG1096" s="85">
        <f>(AG1089/(N_1*AG$27))*SQRT('Valve Sizing'!$G$6/AG1094)</f>
        <v>185.23686644985506</v>
      </c>
      <c r="AH1096" s="44"/>
      <c r="AI1096" s="72"/>
      <c r="AJ1096" s="85">
        <f>(AJ1089/(N_1*AJ$27))*SQRT('Valve Sizing'!$G$6/AJ1094)</f>
        <v>396.17959527417167</v>
      </c>
      <c r="AK1096" s="44"/>
      <c r="AL1096" s="72"/>
      <c r="AM1096" s="85" t="e">
        <f>(AM1089/(N_1*AM$27))*SQRT('Valve Sizing'!$G$6/AM1094)</f>
        <v>#NUM!</v>
      </c>
      <c r="AN1096" s="44"/>
      <c r="AO1096" s="72"/>
      <c r="AP1096" s="85" t="e">
        <f>(AP1089/(N_1*AP$27))*SQRT('Valve Sizing'!$G$6/AP1094)</f>
        <v>#NUM!</v>
      </c>
      <c r="AQ1096" s="44"/>
      <c r="AR1096" s="72"/>
      <c r="AS1096" s="85" t="e">
        <f>(AS1089/(N_1*AS$27))*SQRT('Valve Sizing'!$G$6/AS1094)</f>
        <v>#NUM!</v>
      </c>
      <c r="AT1096" s="44"/>
      <c r="AU1096" s="72"/>
    </row>
    <row r="1097" spans="15:47" x14ac:dyDescent="0.25">
      <c r="O1097" s="1" t="s">
        <v>246</v>
      </c>
      <c r="P1097" s="18"/>
      <c r="Q1097" s="65"/>
      <c r="R1097" s="53">
        <f>IF(R1093&lt;R1094,R1095,R1096)</f>
        <v>0.94286577709659991</v>
      </c>
      <c r="S1097" s="49"/>
      <c r="T1097" s="72"/>
      <c r="U1097" s="64">
        <f>IF(U1093&lt;U1094,U1095,U1096)</f>
        <v>12.986350000837383</v>
      </c>
      <c r="V1097" s="44"/>
      <c r="W1097" s="72"/>
      <c r="X1097" s="64">
        <f>IF(X1093&lt;X1094,X1095,X1096)</f>
        <v>31.762531271483333</v>
      </c>
      <c r="Y1097" s="44"/>
      <c r="Z1097" s="72"/>
      <c r="AA1097" s="64">
        <f>IF(AA1093&lt;AA1094,AA1095,AA1096)</f>
        <v>64.564367184631223</v>
      </c>
      <c r="AB1097" s="44"/>
      <c r="AC1097" s="72"/>
      <c r="AD1097" s="64">
        <f>IF(AD1093&lt;AD1094,AD1095,AD1096)</f>
        <v>126.97508296664604</v>
      </c>
      <c r="AE1097" s="44"/>
      <c r="AF1097" s="72"/>
      <c r="AG1097" s="64">
        <f>IF(AG1093&lt;AG1094,AG1095,AG1096)</f>
        <v>396.01203347255284</v>
      </c>
      <c r="AH1097" s="44"/>
      <c r="AI1097" s="72"/>
      <c r="AJ1097" s="64" t="e">
        <f>IF(AJ1093&lt;AJ1094,AJ1095,AJ1096)</f>
        <v>#NUM!</v>
      </c>
      <c r="AK1097" s="44"/>
      <c r="AL1097" s="72"/>
      <c r="AM1097" s="64" t="e">
        <f>IF(AM1093&lt;AM1094,AM1095,AM1096)</f>
        <v>#NUM!</v>
      </c>
      <c r="AN1097" s="44"/>
      <c r="AO1097" s="72"/>
      <c r="AP1097" s="64" t="e">
        <f>IF(AP1093&lt;AP1094,AP1095,AP1096)</f>
        <v>#NUM!</v>
      </c>
      <c r="AQ1097" s="44"/>
      <c r="AR1097" s="72"/>
      <c r="AS1097" s="64" t="e">
        <f>IF(AS1093&lt;AS1094,AS1095,AS1096)</f>
        <v>#NUM!</v>
      </c>
      <c r="AT1097" s="44"/>
      <c r="AU1097" s="72"/>
    </row>
    <row r="1098" spans="15:47" ht="13" x14ac:dyDescent="0.3">
      <c r="O1098" s="7" t="s">
        <v>264</v>
      </c>
      <c r="Q1098" s="61"/>
      <c r="R1098" s="53"/>
      <c r="S1098" s="69">
        <f>IFERROR(ABS(C_h-R1097),Q_max*10)</f>
        <v>4.0571342229034002</v>
      </c>
      <c r="T1098" s="76">
        <f>R1089</f>
        <v>5.3543465436225395</v>
      </c>
      <c r="U1098" s="61"/>
      <c r="V1098" s="69">
        <f>IFERROR(ABS(U$23-U1097),Q_max*10)</f>
        <v>0.98635000083738333</v>
      </c>
      <c r="W1098" s="75">
        <f>U1089</f>
        <v>73.446784523577051</v>
      </c>
      <c r="X1098" s="61"/>
      <c r="Y1098" s="69">
        <f>IFERROR(ABS(X$23-X1097),Q_max*10)</f>
        <v>8.7625312714833328</v>
      </c>
      <c r="Z1098" s="75">
        <f>X1089</f>
        <v>176.30055527134314</v>
      </c>
      <c r="AA1098" s="61"/>
      <c r="AB1098" s="69">
        <f>IFERROR(ABS(AA$23-AA1097),Q_max*10)</f>
        <v>25.564367184631223</v>
      </c>
      <c r="AC1098" s="75">
        <f>AA1089</f>
        <v>336.62237208163259</v>
      </c>
      <c r="AD1098" s="61"/>
      <c r="AE1098" s="69">
        <f>IFERROR(ABS(AD$23-AD1097),Q_max*10)</f>
        <v>65.975082966646042</v>
      </c>
      <c r="AF1098" s="75">
        <f>AD1089</f>
        <v>553.61986507002484</v>
      </c>
      <c r="AG1098" s="61"/>
      <c r="AH1098" s="69">
        <f>IFERROR(ABS(AG$23-AG1097),Q_max*10)</f>
        <v>308.01203347255284</v>
      </c>
      <c r="AI1098" s="75">
        <f>AG1089</f>
        <v>824.26453929676438</v>
      </c>
      <c r="AJ1098" s="61"/>
      <c r="AK1098" s="69">
        <f>IFERROR(ABS(AJ$23-AJ1097),Q_max*10)</f>
        <v>5500</v>
      </c>
      <c r="AL1098" s="75">
        <f>AJ1089</f>
        <v>1099.9842230084371</v>
      </c>
      <c r="AM1098" s="61"/>
      <c r="AN1098" s="69">
        <f>IFERROR(ABS(AM$23-AM1097),Q_max*10)</f>
        <v>5500</v>
      </c>
      <c r="AO1098" s="75">
        <f>AM1089</f>
        <v>1342.1897930147986</v>
      </c>
      <c r="AP1098" s="61"/>
      <c r="AQ1098" s="69">
        <f>IFERROR(ABS(AP$23-AP1097),Q_max*10)</f>
        <v>5500</v>
      </c>
      <c r="AR1098" s="75">
        <f>AP1089</f>
        <v>1558.2406819046648</v>
      </c>
      <c r="AS1098" s="61"/>
      <c r="AT1098" s="69">
        <f>IFERROR(ABS(AS$23-AS1097),Q_max*10)</f>
        <v>5500</v>
      </c>
      <c r="AU1098" s="75">
        <f>AS1089</f>
        <v>1773.4232493734858</v>
      </c>
    </row>
    <row r="1099" spans="15:47" ht="14.5" x14ac:dyDescent="0.35">
      <c r="O1099" s="8"/>
      <c r="P1099" s="6"/>
      <c r="Q1099" s="60"/>
      <c r="R1099" s="67"/>
      <c r="S1099" s="56"/>
      <c r="T1099" s="72"/>
      <c r="V1099" s="11"/>
      <c r="W1099" s="38"/>
      <c r="Y1099" s="11"/>
      <c r="Z1099" s="38"/>
      <c r="AB1099" s="11"/>
      <c r="AC1099" s="38"/>
      <c r="AE1099" s="11"/>
      <c r="AF1099" s="38"/>
      <c r="AH1099" s="11"/>
      <c r="AI1099" s="38"/>
      <c r="AK1099" s="11"/>
      <c r="AL1099" s="38"/>
      <c r="AN1099" s="11"/>
      <c r="AO1099" s="38"/>
      <c r="AQ1099" s="11"/>
      <c r="AR1099" s="38"/>
      <c r="AT1099" s="11"/>
      <c r="AU1099" s="38"/>
    </row>
    <row r="1100" spans="15:47" ht="14" x14ac:dyDescent="0.3">
      <c r="O1100" s="8" t="s">
        <v>235</v>
      </c>
      <c r="P1100" s="6"/>
      <c r="Q1100" s="60"/>
      <c r="R1100" s="53">
        <f>R1089*1.02</f>
        <v>5.4614334744949904</v>
      </c>
      <c r="S1100" s="58" t="s">
        <v>238</v>
      </c>
      <c r="T1100" s="73" t="s">
        <v>241</v>
      </c>
      <c r="U1100" s="84">
        <f>U1089*1.01</f>
        <v>74.181252368812821</v>
      </c>
      <c r="V1100" s="58" t="s">
        <v>238</v>
      </c>
      <c r="W1100" s="73" t="s">
        <v>241</v>
      </c>
      <c r="X1100" s="84">
        <f>X1089*1.01</f>
        <v>178.06356082405657</v>
      </c>
      <c r="Y1100" s="58" t="s">
        <v>238</v>
      </c>
      <c r="Z1100" s="73" t="s">
        <v>241</v>
      </c>
      <c r="AA1100" s="84">
        <f>AA1089*1.01</f>
        <v>339.98859580244891</v>
      </c>
      <c r="AB1100" s="58" t="s">
        <v>238</v>
      </c>
      <c r="AC1100" s="73" t="s">
        <v>241</v>
      </c>
      <c r="AD1100" s="84">
        <f>AD1089*1.01</f>
        <v>559.15606372072511</v>
      </c>
      <c r="AE1100" s="58" t="s">
        <v>238</v>
      </c>
      <c r="AF1100" s="73" t="s">
        <v>241</v>
      </c>
      <c r="AG1100" s="84">
        <f>AG1089*1.01</f>
        <v>832.50718468973207</v>
      </c>
      <c r="AH1100" s="58" t="s">
        <v>238</v>
      </c>
      <c r="AI1100" s="73" t="s">
        <v>241</v>
      </c>
      <c r="AJ1100" s="84">
        <f>AJ1089*1.01</f>
        <v>1110.9840652385215</v>
      </c>
      <c r="AK1100" s="58" t="s">
        <v>238</v>
      </c>
      <c r="AL1100" s="73" t="s">
        <v>241</v>
      </c>
      <c r="AM1100" s="84">
        <f>AM1089*1.01</f>
        <v>1355.6116909449465</v>
      </c>
      <c r="AN1100" s="58" t="s">
        <v>238</v>
      </c>
      <c r="AO1100" s="73" t="s">
        <v>241</v>
      </c>
      <c r="AP1100" s="84">
        <f>AP1089*1.01</f>
        <v>1573.8230887237114</v>
      </c>
      <c r="AQ1100" s="58" t="s">
        <v>238</v>
      </c>
      <c r="AR1100" s="73" t="s">
        <v>241</v>
      </c>
      <c r="AS1100" s="84">
        <f>AS1089*1.01</f>
        <v>1791.1574818672207</v>
      </c>
      <c r="AT1100" s="58" t="s">
        <v>238</v>
      </c>
      <c r="AU1100" s="73" t="s">
        <v>241</v>
      </c>
    </row>
    <row r="1101" spans="15:47" ht="13" x14ac:dyDescent="0.25">
      <c r="O1101" s="6"/>
      <c r="P1101" s="6"/>
      <c r="Q1101" s="60"/>
      <c r="R1101" s="70"/>
      <c r="S1101" s="63" t="s">
        <v>250</v>
      </c>
      <c r="T1101" s="71" t="s">
        <v>242</v>
      </c>
      <c r="U1101" s="61"/>
      <c r="V1101" s="63" t="s">
        <v>250</v>
      </c>
      <c r="W1101" s="71" t="s">
        <v>242</v>
      </c>
      <c r="X1101" s="61"/>
      <c r="Y1101" s="63" t="s">
        <v>250</v>
      </c>
      <c r="Z1101" s="71" t="s">
        <v>242</v>
      </c>
      <c r="AA1101" s="61"/>
      <c r="AB1101" s="63" t="s">
        <v>250</v>
      </c>
      <c r="AC1101" s="71" t="s">
        <v>242</v>
      </c>
      <c r="AD1101" s="61"/>
      <c r="AE1101" s="63" t="s">
        <v>250</v>
      </c>
      <c r="AF1101" s="71" t="s">
        <v>242</v>
      </c>
      <c r="AG1101" s="61"/>
      <c r="AH1101" s="63" t="s">
        <v>250</v>
      </c>
      <c r="AI1101" s="71" t="s">
        <v>242</v>
      </c>
      <c r="AJ1101" s="61"/>
      <c r="AK1101" s="63" t="s">
        <v>250</v>
      </c>
      <c r="AL1101" s="71" t="s">
        <v>242</v>
      </c>
      <c r="AM1101" s="61"/>
      <c r="AN1101" s="63" t="s">
        <v>250</v>
      </c>
      <c r="AO1101" s="71" t="s">
        <v>242</v>
      </c>
      <c r="AP1101" s="61"/>
      <c r="AQ1101" s="63" t="s">
        <v>250</v>
      </c>
      <c r="AR1101" s="71" t="s">
        <v>242</v>
      </c>
      <c r="AS1101" s="61"/>
      <c r="AT1101" s="63" t="s">
        <v>250</v>
      </c>
      <c r="AU1101" s="71" t="s">
        <v>242</v>
      </c>
    </row>
    <row r="1102" spans="15:47" ht="13" x14ac:dyDescent="0.3">
      <c r="O1102" s="6" t="s">
        <v>231</v>
      </c>
      <c r="P1102" s="6"/>
      <c r="Q1102" s="60"/>
      <c r="R1102" s="85">
        <f>P_1_minQ-(R1100^2*R_up)+dpup_minQ</f>
        <v>56.915135857629302</v>
      </c>
      <c r="S1102" s="56"/>
      <c r="T1102" s="72"/>
      <c r="U1102" s="53">
        <f>P_1_minQ-(U1100^2*R_up)+dpup_minQ</f>
        <v>56.73029860847668</v>
      </c>
      <c r="V1102" s="44"/>
      <c r="W1102" s="72"/>
      <c r="X1102" s="53">
        <f>P_1_minQ-(X1100^2*R_up)+dpup_minQ</f>
        <v>55.845334964763843</v>
      </c>
      <c r="Y1102" s="44"/>
      <c r="Z1102" s="72"/>
      <c r="AA1102" s="53">
        <f>P_1_minQ-(AA1100^2*R_up)+dpup_minQ</f>
        <v>53.012318633038802</v>
      </c>
      <c r="AB1102" s="44"/>
      <c r="AC1102" s="72"/>
      <c r="AD1102" s="53">
        <f>P_1_minQ-(AD1100^2*R_up)+dpup_minQ</f>
        <v>46.357024532399336</v>
      </c>
      <c r="AE1102" s="44"/>
      <c r="AF1102" s="72"/>
      <c r="AG1102" s="53">
        <f>P_1_minQ-(AG1100^2*R_up)+dpup_minQ</f>
        <v>33.509584175615551</v>
      </c>
      <c r="AH1102" s="44"/>
      <c r="AI1102" s="72"/>
      <c r="AJ1102" s="53">
        <f>P_1_minQ-(AJ1100^2*R_up)+dpup_minQ</f>
        <v>15.231388273761855</v>
      </c>
      <c r="AK1102" s="44"/>
      <c r="AL1102" s="72"/>
      <c r="AM1102" s="53">
        <f>P_1_minQ-(AM1100^2*R_up)+dpup_minQ</f>
        <v>-5.1467766506794108</v>
      </c>
      <c r="AN1102" s="44"/>
      <c r="AO1102" s="72"/>
      <c r="AP1102" s="53">
        <f>P_1_minQ-(AP1100^2*R_up)+dpup_minQ</f>
        <v>-26.735296001345592</v>
      </c>
      <c r="AQ1102" s="44"/>
      <c r="AR1102" s="72"/>
      <c r="AS1102" s="53">
        <f>P_1_minQ-(AS1100^2*R_up)+dpup_minQ</f>
        <v>-51.433911680139239</v>
      </c>
      <c r="AT1102" s="44"/>
      <c r="AU1102" s="72"/>
    </row>
    <row r="1103" spans="15:47" ht="13" x14ac:dyDescent="0.3">
      <c r="O1103" s="6" t="s">
        <v>233</v>
      </c>
      <c r="P1103" s="6"/>
      <c r="Q1103" s="60"/>
      <c r="R1103" s="85">
        <f>P_2_minQ+(R1100^2*R_dn)-dpdn_minQ</f>
        <v>24.656972828474142</v>
      </c>
      <c r="S1103" s="66"/>
      <c r="T1103" s="74"/>
      <c r="U1103" s="53">
        <f>P_2_minQ+(U1100^2*R_dn)-dpdn_minQ</f>
        <v>24.693940278304666</v>
      </c>
      <c r="V1103" s="45"/>
      <c r="W1103" s="74"/>
      <c r="X1103" s="53">
        <f>P_2_minQ+(X1100^2*R_dn)-dpdn_minQ</f>
        <v>24.870933007047231</v>
      </c>
      <c r="Y1103" s="45"/>
      <c r="Z1103" s="74"/>
      <c r="AA1103" s="53">
        <f>P_2_minQ+(AA1100^2*R_dn)-dpdn_minQ</f>
        <v>25.43753627339224</v>
      </c>
      <c r="AB1103" s="45"/>
      <c r="AC1103" s="74"/>
      <c r="AD1103" s="53">
        <f>P_2_minQ+(AD1100^2*R_dn)-dpdn_minQ</f>
        <v>26.768595093520133</v>
      </c>
      <c r="AE1103" s="45"/>
      <c r="AF1103" s="74"/>
      <c r="AG1103" s="53">
        <f>P_2_minQ+(AG1100^2*R_dn)-dpdn_minQ</f>
        <v>29.338083164876892</v>
      </c>
      <c r="AH1103" s="45"/>
      <c r="AI1103" s="74"/>
      <c r="AJ1103" s="53">
        <f>P_2_minQ+(AJ1100^2*R_dn)-dpdn_minQ</f>
        <v>32.993722345247633</v>
      </c>
      <c r="AK1103" s="45"/>
      <c r="AL1103" s="74"/>
      <c r="AM1103" s="53">
        <f>P_2_minQ+(AM1100^2*R_dn)-dpdn_minQ</f>
        <v>37.069355330135885</v>
      </c>
      <c r="AN1103" s="45"/>
      <c r="AO1103" s="74"/>
      <c r="AP1103" s="53">
        <f>P_2_minQ+(AP1100^2*R_dn)-dpdn_minQ</f>
        <v>41.387059200269121</v>
      </c>
      <c r="AQ1103" s="45"/>
      <c r="AR1103" s="74"/>
      <c r="AS1103" s="53">
        <f>P_2_minQ+(AS1100^2*R_dn)-dpdn_minQ</f>
        <v>46.326782336027847</v>
      </c>
      <c r="AT1103" s="45"/>
      <c r="AU1103" s="74"/>
    </row>
    <row r="1104" spans="15:47" x14ac:dyDescent="0.25">
      <c r="O1104" s="6" t="s">
        <v>243</v>
      </c>
      <c r="Q1104" s="60"/>
      <c r="R1104" s="53">
        <f>R1102-R1103</f>
        <v>32.258163029155156</v>
      </c>
      <c r="S1104" s="56"/>
      <c r="T1104" s="72"/>
      <c r="U1104" s="64">
        <f>U1102-U1103</f>
        <v>32.036358330172014</v>
      </c>
      <c r="V1104" s="44"/>
      <c r="W1104" s="72"/>
      <c r="X1104" s="64">
        <f>X1102-X1103</f>
        <v>30.974401957716612</v>
      </c>
      <c r="Y1104" s="44"/>
      <c r="Z1104" s="72"/>
      <c r="AA1104" s="64">
        <f>AA1102-AA1103</f>
        <v>27.574782359646562</v>
      </c>
      <c r="AB1104" s="44"/>
      <c r="AC1104" s="72"/>
      <c r="AD1104" s="64">
        <f>AD1102-AD1103</f>
        <v>19.588429438879203</v>
      </c>
      <c r="AE1104" s="44"/>
      <c r="AF1104" s="72"/>
      <c r="AG1104" s="64">
        <f>AG1102-AG1103</f>
        <v>4.171501010738659</v>
      </c>
      <c r="AH1104" s="44"/>
      <c r="AI1104" s="72"/>
      <c r="AJ1104" s="64">
        <f>AJ1102-AJ1103</f>
        <v>-17.762334071485778</v>
      </c>
      <c r="AK1104" s="44"/>
      <c r="AL1104" s="72"/>
      <c r="AM1104" s="64">
        <f>AM1102-AM1103</f>
        <v>-42.216131980815298</v>
      </c>
      <c r="AN1104" s="44"/>
      <c r="AO1104" s="72"/>
      <c r="AP1104" s="64">
        <f>AP1102-AP1103</f>
        <v>-68.12235520161471</v>
      </c>
      <c r="AQ1104" s="44"/>
      <c r="AR1104" s="72"/>
      <c r="AS1104" s="64">
        <f>AS1102-AS1103</f>
        <v>-97.760694016167093</v>
      </c>
      <c r="AT1104" s="44"/>
      <c r="AU1104" s="72"/>
    </row>
    <row r="1105" spans="15:47" ht="13" x14ac:dyDescent="0.3">
      <c r="O1105" s="6" t="s">
        <v>75</v>
      </c>
      <c r="P1105" s="6">
        <v>3</v>
      </c>
      <c r="Q1105" s="65"/>
      <c r="R1105" s="85">
        <f>(F_LP_h/F_P_h)^2*(R1102-('Valve Sizing'!$V$4*'Valve Sizing'!$G$7))</f>
        <v>46.764329113609698</v>
      </c>
      <c r="S1105" s="58"/>
      <c r="T1105" s="73"/>
      <c r="U1105" s="53">
        <f>(U$29/U$27)^2*(U1102-('Valve Sizing'!$V$4*'Valve Sizing'!$G$7))</f>
        <v>46.598569861446229</v>
      </c>
      <c r="V1105" s="41"/>
      <c r="W1105" s="73"/>
      <c r="X1105" s="53">
        <f>(X$29/X$27)^2*(X1102-('Valve Sizing'!$V$4*'Valve Sizing'!$G$7))</f>
        <v>44.83137763754219</v>
      </c>
      <c r="Y1105" s="41"/>
      <c r="Z1105" s="73"/>
      <c r="AA1105" s="53">
        <f>(AA$29/AA$27)^2*(AA1102-('Valve Sizing'!$V$4*'Valve Sizing'!$G$7))</f>
        <v>40.627697193302893</v>
      </c>
      <c r="AB1105" s="41"/>
      <c r="AC1105" s="73"/>
      <c r="AD1105" s="53">
        <f>(AD$29/AD$27)^2*(AD1102-('Valve Sizing'!$V$4*'Valve Sizing'!$G$7))</f>
        <v>33.114738277616013</v>
      </c>
      <c r="AE1105" s="41"/>
      <c r="AF1105" s="73"/>
      <c r="AG1105" s="53">
        <f>(AG$29/AG$27)^2*(AG1102-('Valve Sizing'!$V$4*'Valve Sizing'!$G$7))</f>
        <v>21.29822851510081</v>
      </c>
      <c r="AH1105" s="41"/>
      <c r="AI1105" s="73"/>
      <c r="AJ1105" s="53">
        <f>(AJ$29/AJ$27)^2*(AJ1102-('Valve Sizing'!$V$4*'Valve Sizing'!$G$7))</f>
        <v>8.554778093836676</v>
      </c>
      <c r="AK1105" s="41"/>
      <c r="AL1105" s="73"/>
      <c r="AM1105" s="53">
        <f>(AM$29/AM$27)^2*(AM1102-('Valve Sizing'!$V$4*'Valve Sizing'!$G$7))</f>
        <v>-2.6731446247260475</v>
      </c>
      <c r="AN1105" s="41"/>
      <c r="AO1105" s="73"/>
      <c r="AP1105" s="53">
        <f>(AP$29/AP$27)^2*(AP1102-('Valve Sizing'!$V$4*'Valve Sizing'!$G$7))</f>
        <v>-10.724123601255076</v>
      </c>
      <c r="AQ1105" s="41"/>
      <c r="AR1105" s="73"/>
      <c r="AS1105" s="53">
        <f>(AS$29/AS$27)^2*(AS1102-('Valve Sizing'!$V$4*'Valve Sizing'!$G$7))</f>
        <v>-19.511916024287324</v>
      </c>
      <c r="AT1105" s="41"/>
      <c r="AU1105" s="73"/>
    </row>
    <row r="1106" spans="15:47" ht="13" x14ac:dyDescent="0.25">
      <c r="O1106" s="1" t="s">
        <v>69</v>
      </c>
      <c r="P1106" s="17">
        <v>7</v>
      </c>
      <c r="Q1106" s="65"/>
      <c r="R1106" s="53">
        <f>(R1100/(N_1*F_P_h))*SQRT('Valve Sizing'!$G$6/R1104)</f>
        <v>0.96172379234745831</v>
      </c>
      <c r="S1106" s="58"/>
      <c r="T1106" s="73"/>
      <c r="U1106" s="64">
        <f>(U1100/(N_1*U$27))*SQRT('Valve Sizing'!$G$6/U1104)</f>
        <v>13.117113008613318</v>
      </c>
      <c r="V1106" s="41"/>
      <c r="W1106" s="73"/>
      <c r="X1106" s="64">
        <f>(X1100/(N_1*X$27))*SQRT('Valve Sizing'!$G$6/X1104)</f>
        <v>32.093265328358079</v>
      </c>
      <c r="Y1106" s="41"/>
      <c r="Z1106" s="73"/>
      <c r="AA1106" s="64">
        <f>(AA1100/(N_1*AA$27))*SQRT('Valve Sizing'!$G$6/AA1104)</f>
        <v>65.319062959038831</v>
      </c>
      <c r="AB1106" s="41"/>
      <c r="AC1106" s="73"/>
      <c r="AD1106" s="64">
        <f>(AD1100/(N_1*AD$27))*SQRT('Valve Sizing'!$G$6/AD1104)</f>
        <v>129.05952910913797</v>
      </c>
      <c r="AE1106" s="41"/>
      <c r="AF1106" s="73"/>
      <c r="AG1106" s="64">
        <f>(AG1100/(N_1*AG$27))*SQRT('Valve Sizing'!$G$6/AG1104)</f>
        <v>425.67864971122646</v>
      </c>
      <c r="AH1106" s="41"/>
      <c r="AI1106" s="73"/>
      <c r="AJ1106" s="64" t="e">
        <f>(AJ1100/(N_1*AJ$27))*SQRT('Valve Sizing'!$G$6/AJ1104)</f>
        <v>#NUM!</v>
      </c>
      <c r="AK1106" s="41"/>
      <c r="AL1106" s="73"/>
      <c r="AM1106" s="64" t="e">
        <f>(AM1100/(N_1*AM$27))*SQRT('Valve Sizing'!$G$6/AM1104)</f>
        <v>#NUM!</v>
      </c>
      <c r="AN1106" s="41"/>
      <c r="AO1106" s="73"/>
      <c r="AP1106" s="64" t="e">
        <f>(AP1100/(N_1*AP$27))*SQRT('Valve Sizing'!$G$6/AP1104)</f>
        <v>#NUM!</v>
      </c>
      <c r="AQ1106" s="41"/>
      <c r="AR1106" s="73"/>
      <c r="AS1106" s="64" t="e">
        <f>(AS1100/(N_1*AS$27))*SQRT('Valve Sizing'!$G$6/AS1104)</f>
        <v>#NUM!</v>
      </c>
      <c r="AT1106" s="41"/>
      <c r="AU1106" s="73"/>
    </row>
    <row r="1107" spans="15:47" ht="13" x14ac:dyDescent="0.3">
      <c r="O1107" s="1" t="s">
        <v>72</v>
      </c>
      <c r="P1107" s="17">
        <v>7</v>
      </c>
      <c r="Q1107" s="65"/>
      <c r="R1107" s="53">
        <f>(R1100/(N_1*F_P_h))*SQRT('Valve Sizing'!$G$6/R1105)</f>
        <v>0.79875358868479007</v>
      </c>
      <c r="S1107" s="56"/>
      <c r="T1107" s="72"/>
      <c r="U1107" s="85">
        <f>(U1100/(N_1*U$27))*SQRT('Valve Sizing'!$G$6/U1105)</f>
        <v>10.876108649364578</v>
      </c>
      <c r="V1107" s="44"/>
      <c r="W1107" s="72"/>
      <c r="X1107" s="85">
        <f>(X1100/(N_1*X$27))*SQRT('Valve Sizing'!$G$6/X1105)</f>
        <v>26.676222386943611</v>
      </c>
      <c r="Y1107" s="44"/>
      <c r="Z1107" s="72"/>
      <c r="AA1107" s="85">
        <f>(AA1100/(N_1*AA$27))*SQRT('Valve Sizing'!$G$6/AA1105)</f>
        <v>53.812713162035735</v>
      </c>
      <c r="AB1107" s="44"/>
      <c r="AC1107" s="72"/>
      <c r="AD1107" s="85">
        <f>(AD1100/(N_1*AD$27))*SQRT('Valve Sizing'!$G$6/AD1105)</f>
        <v>99.261131379204016</v>
      </c>
      <c r="AE1107" s="44"/>
      <c r="AF1107" s="72"/>
      <c r="AG1107" s="85">
        <f>(AG1100/(N_1*AG$27))*SQRT('Valve Sizing'!$G$6/AG1105)</f>
        <v>188.38933091213005</v>
      </c>
      <c r="AH1107" s="44"/>
      <c r="AI1107" s="72"/>
      <c r="AJ1107" s="85">
        <f>(AJ1100/(N_1*AJ$27))*SQRT('Valve Sizing'!$G$6/AJ1105)</f>
        <v>411.1011141833402</v>
      </c>
      <c r="AK1107" s="44"/>
      <c r="AL1107" s="72"/>
      <c r="AM1107" s="85" t="e">
        <f>(AM1100/(N_1*AM$27))*SQRT('Valve Sizing'!$G$6/AM1105)</f>
        <v>#NUM!</v>
      </c>
      <c r="AN1107" s="44"/>
      <c r="AO1107" s="72"/>
      <c r="AP1107" s="85" t="e">
        <f>(AP1100/(N_1*AP$27))*SQRT('Valve Sizing'!$G$6/AP1105)</f>
        <v>#NUM!</v>
      </c>
      <c r="AQ1107" s="44"/>
      <c r="AR1107" s="72"/>
      <c r="AS1107" s="85" t="e">
        <f>(AS1100/(N_1*AS$27))*SQRT('Valve Sizing'!$G$6/AS1105)</f>
        <v>#NUM!</v>
      </c>
      <c r="AT1107" s="44"/>
      <c r="AU1107" s="72"/>
    </row>
    <row r="1108" spans="15:47" x14ac:dyDescent="0.25">
      <c r="O1108" s="1" t="s">
        <v>246</v>
      </c>
      <c r="P1108" s="18"/>
      <c r="Q1108" s="65"/>
      <c r="R1108" s="53">
        <f>IF(R1104&lt;R1105,R1106,R1107)</f>
        <v>0.96172379234745831</v>
      </c>
      <c r="S1108" s="49"/>
      <c r="T1108" s="72"/>
      <c r="U1108" s="64">
        <f>IF(U1104&lt;U1105,U1106,U1107)</f>
        <v>13.117113008613318</v>
      </c>
      <c r="V1108" s="44"/>
      <c r="W1108" s="72"/>
      <c r="X1108" s="64">
        <f>IF(X1104&lt;X1105,X1106,X1107)</f>
        <v>32.093265328358079</v>
      </c>
      <c r="Y1108" s="44"/>
      <c r="Z1108" s="72"/>
      <c r="AA1108" s="64">
        <f>IF(AA1104&lt;AA1105,AA1106,AA1107)</f>
        <v>65.319062959038831</v>
      </c>
      <c r="AB1108" s="44"/>
      <c r="AC1108" s="72"/>
      <c r="AD1108" s="64">
        <f>IF(AD1104&lt;AD1105,AD1106,AD1107)</f>
        <v>129.05952910913797</v>
      </c>
      <c r="AE1108" s="44"/>
      <c r="AF1108" s="72"/>
      <c r="AG1108" s="64">
        <f>IF(AG1104&lt;AG1105,AG1106,AG1107)</f>
        <v>425.67864971122646</v>
      </c>
      <c r="AH1108" s="44"/>
      <c r="AI1108" s="72"/>
      <c r="AJ1108" s="64" t="e">
        <f>IF(AJ1104&lt;AJ1105,AJ1106,AJ1107)</f>
        <v>#NUM!</v>
      </c>
      <c r="AK1108" s="44"/>
      <c r="AL1108" s="72"/>
      <c r="AM1108" s="64" t="e">
        <f>IF(AM1104&lt;AM1105,AM1106,AM1107)</f>
        <v>#NUM!</v>
      </c>
      <c r="AN1108" s="44"/>
      <c r="AO1108" s="72"/>
      <c r="AP1108" s="64" t="e">
        <f>IF(AP1104&lt;AP1105,AP1106,AP1107)</f>
        <v>#NUM!</v>
      </c>
      <c r="AQ1108" s="44"/>
      <c r="AR1108" s="72"/>
      <c r="AS1108" s="64" t="e">
        <f>IF(AS1104&lt;AS1105,AS1106,AS1107)</f>
        <v>#NUM!</v>
      </c>
      <c r="AT1108" s="44"/>
      <c r="AU1108" s="72"/>
    </row>
    <row r="1109" spans="15:47" ht="13" x14ac:dyDescent="0.3">
      <c r="O1109" s="7" t="s">
        <v>264</v>
      </c>
      <c r="Q1109" s="61"/>
      <c r="R1109" s="53"/>
      <c r="S1109" s="69">
        <f>IFERROR(ABS(C_h-R1108),Q_max*10)</f>
        <v>4.038276207652542</v>
      </c>
      <c r="T1109" s="76">
        <f>R1100</f>
        <v>5.4614334744949904</v>
      </c>
      <c r="U1109" s="61"/>
      <c r="V1109" s="69">
        <f>IFERROR(ABS(U$23-U1108),Q_max*10)</f>
        <v>1.1171130086133179</v>
      </c>
      <c r="W1109" s="75">
        <f>U1100</f>
        <v>74.181252368812821</v>
      </c>
      <c r="X1109" s="61"/>
      <c r="Y1109" s="69">
        <f>IFERROR(ABS(X$23-X1108),Q_max*10)</f>
        <v>9.0932653283580791</v>
      </c>
      <c r="Z1109" s="75">
        <f>X1100</f>
        <v>178.06356082405657</v>
      </c>
      <c r="AA1109" s="61"/>
      <c r="AB1109" s="69">
        <f>IFERROR(ABS(AA$23-AA1108),Q_max*10)</f>
        <v>26.319062959038831</v>
      </c>
      <c r="AC1109" s="75">
        <f>AA1100</f>
        <v>339.98859580244891</v>
      </c>
      <c r="AD1109" s="61"/>
      <c r="AE1109" s="69">
        <f>IFERROR(ABS(AD$23-AD1108),Q_max*10)</f>
        <v>68.059529109137969</v>
      </c>
      <c r="AF1109" s="75">
        <f>AD1100</f>
        <v>559.15606372072511</v>
      </c>
      <c r="AG1109" s="61"/>
      <c r="AH1109" s="69">
        <f>IFERROR(ABS(AG$23-AG1108),Q_max*10)</f>
        <v>337.67864971122646</v>
      </c>
      <c r="AI1109" s="75">
        <f>AG1100</f>
        <v>832.50718468973207</v>
      </c>
      <c r="AJ1109" s="61"/>
      <c r="AK1109" s="69">
        <f>IFERROR(ABS(AJ$23-AJ1108),Q_max*10)</f>
        <v>5500</v>
      </c>
      <c r="AL1109" s="75">
        <f>AJ1100</f>
        <v>1110.9840652385215</v>
      </c>
      <c r="AM1109" s="61"/>
      <c r="AN1109" s="69">
        <f>IFERROR(ABS(AM$23-AM1108),Q_max*10)</f>
        <v>5500</v>
      </c>
      <c r="AO1109" s="75">
        <f>AM1100</f>
        <v>1355.6116909449465</v>
      </c>
      <c r="AP1109" s="61"/>
      <c r="AQ1109" s="69">
        <f>IFERROR(ABS(AP$23-AP1108),Q_max*10)</f>
        <v>5500</v>
      </c>
      <c r="AR1109" s="75">
        <f>AP1100</f>
        <v>1573.8230887237114</v>
      </c>
      <c r="AS1109" s="61"/>
      <c r="AT1109" s="69">
        <f>IFERROR(ABS(AS$23-AS1108),Q_max*10)</f>
        <v>5500</v>
      </c>
      <c r="AU1109" s="75">
        <f>AS1100</f>
        <v>1791.1574818672207</v>
      </c>
    </row>
    <row r="1110" spans="15:47" ht="14.5" x14ac:dyDescent="0.35">
      <c r="O1110" s="6"/>
      <c r="P1110" s="6"/>
      <c r="Q1110" s="60"/>
      <c r="R1110" s="67"/>
      <c r="S1110" s="66"/>
      <c r="T1110" s="74"/>
      <c r="V1110" s="11"/>
      <c r="W1110" s="38"/>
      <c r="Y1110" s="11"/>
      <c r="Z1110" s="38"/>
      <c r="AB1110" s="11"/>
      <c r="AC1110" s="38"/>
      <c r="AE1110" s="11"/>
      <c r="AF1110" s="38"/>
      <c r="AH1110" s="11"/>
      <c r="AI1110" s="38"/>
      <c r="AK1110" s="11"/>
      <c r="AL1110" s="38"/>
      <c r="AN1110" s="11"/>
      <c r="AO1110" s="38"/>
      <c r="AQ1110" s="11"/>
      <c r="AR1110" s="38"/>
      <c r="AT1110" s="11"/>
      <c r="AU1110" s="38"/>
    </row>
    <row r="1111" spans="15:47" ht="14" x14ac:dyDescent="0.3">
      <c r="O1111" s="8" t="s">
        <v>235</v>
      </c>
      <c r="P1111" s="6"/>
      <c r="Q1111" s="60"/>
      <c r="R1111" s="53">
        <f>R1100*1.02</f>
        <v>5.5706621439848902</v>
      </c>
      <c r="S1111" s="58" t="s">
        <v>238</v>
      </c>
      <c r="T1111" s="73" t="s">
        <v>241</v>
      </c>
      <c r="U1111" s="84">
        <f>U1100*1.01</f>
        <v>74.923064892500946</v>
      </c>
      <c r="V1111" s="58" t="s">
        <v>238</v>
      </c>
      <c r="W1111" s="73" t="s">
        <v>241</v>
      </c>
      <c r="X1111" s="84">
        <f>X1100*1.01</f>
        <v>179.84419643229714</v>
      </c>
      <c r="Y1111" s="58" t="s">
        <v>238</v>
      </c>
      <c r="Z1111" s="73" t="s">
        <v>241</v>
      </c>
      <c r="AA1111" s="84">
        <f>AA1100*1.01</f>
        <v>343.38848176047338</v>
      </c>
      <c r="AB1111" s="58" t="s">
        <v>238</v>
      </c>
      <c r="AC1111" s="73" t="s">
        <v>241</v>
      </c>
      <c r="AD1111" s="84">
        <f>AD1100*1.01</f>
        <v>564.74762435793241</v>
      </c>
      <c r="AE1111" s="58" t="s">
        <v>238</v>
      </c>
      <c r="AF1111" s="73" t="s">
        <v>241</v>
      </c>
      <c r="AG1111" s="84">
        <f>AG1100*1.01</f>
        <v>840.83225653662942</v>
      </c>
      <c r="AH1111" s="58" t="s">
        <v>238</v>
      </c>
      <c r="AI1111" s="73" t="s">
        <v>241</v>
      </c>
      <c r="AJ1111" s="84">
        <f>AJ1100*1.01</f>
        <v>1122.0939058909066</v>
      </c>
      <c r="AK1111" s="58" t="s">
        <v>238</v>
      </c>
      <c r="AL1111" s="73" t="s">
        <v>241</v>
      </c>
      <c r="AM1111" s="84">
        <f>AM1100*1.01</f>
        <v>1369.167807854396</v>
      </c>
      <c r="AN1111" s="58" t="s">
        <v>238</v>
      </c>
      <c r="AO1111" s="73" t="s">
        <v>241</v>
      </c>
      <c r="AP1111" s="84">
        <f>AP1100*1.01</f>
        <v>1589.5613196109484</v>
      </c>
      <c r="AQ1111" s="58" t="s">
        <v>238</v>
      </c>
      <c r="AR1111" s="73" t="s">
        <v>241</v>
      </c>
      <c r="AS1111" s="84">
        <f>AS1100*1.01</f>
        <v>1809.069056685893</v>
      </c>
      <c r="AT1111" s="58" t="s">
        <v>238</v>
      </c>
      <c r="AU1111" s="73" t="s">
        <v>241</v>
      </c>
    </row>
    <row r="1112" spans="15:47" ht="13" x14ac:dyDescent="0.25">
      <c r="O1112" s="6"/>
      <c r="P1112" s="6"/>
      <c r="Q1112" s="60"/>
      <c r="R1112" s="70"/>
      <c r="S1112" s="63" t="s">
        <v>250</v>
      </c>
      <c r="T1112" s="71" t="s">
        <v>242</v>
      </c>
      <c r="U1112" s="61"/>
      <c r="V1112" s="63" t="s">
        <v>250</v>
      </c>
      <c r="W1112" s="71" t="s">
        <v>242</v>
      </c>
      <c r="X1112" s="61"/>
      <c r="Y1112" s="63" t="s">
        <v>250</v>
      </c>
      <c r="Z1112" s="71" t="s">
        <v>242</v>
      </c>
      <c r="AA1112" s="61"/>
      <c r="AB1112" s="63" t="s">
        <v>250</v>
      </c>
      <c r="AC1112" s="71" t="s">
        <v>242</v>
      </c>
      <c r="AD1112" s="61"/>
      <c r="AE1112" s="63" t="s">
        <v>250</v>
      </c>
      <c r="AF1112" s="71" t="s">
        <v>242</v>
      </c>
      <c r="AG1112" s="61"/>
      <c r="AH1112" s="63" t="s">
        <v>250</v>
      </c>
      <c r="AI1112" s="71" t="s">
        <v>242</v>
      </c>
      <c r="AJ1112" s="61"/>
      <c r="AK1112" s="63" t="s">
        <v>250</v>
      </c>
      <c r="AL1112" s="71" t="s">
        <v>242</v>
      </c>
      <c r="AM1112" s="61"/>
      <c r="AN1112" s="63" t="s">
        <v>250</v>
      </c>
      <c r="AO1112" s="71" t="s">
        <v>242</v>
      </c>
      <c r="AP1112" s="61"/>
      <c r="AQ1112" s="63" t="s">
        <v>250</v>
      </c>
      <c r="AR1112" s="71" t="s">
        <v>242</v>
      </c>
      <c r="AS1112" s="61"/>
      <c r="AT1112" s="63" t="s">
        <v>250</v>
      </c>
      <c r="AU1112" s="71" t="s">
        <v>242</v>
      </c>
    </row>
    <row r="1113" spans="15:47" ht="13" x14ac:dyDescent="0.3">
      <c r="O1113" s="6" t="s">
        <v>231</v>
      </c>
      <c r="P1113" s="6"/>
      <c r="Q1113" s="60"/>
      <c r="R1113" s="85">
        <f>P_1_minQ-(R1111^2*R_up)+dpup_minQ</f>
        <v>56.915095161204917</v>
      </c>
      <c r="S1113" s="56"/>
      <c r="T1113" s="72"/>
      <c r="U1113" s="53">
        <f>P_1_minQ-(U1111^2*R_up)+dpup_minQ</f>
        <v>56.726563132290245</v>
      </c>
      <c r="V1113" s="44"/>
      <c r="W1113" s="72"/>
      <c r="X1113" s="53">
        <f>P_1_minQ-(X1111^2*R_up)+dpup_minQ</f>
        <v>55.823811719338785</v>
      </c>
      <c r="Y1113" s="44"/>
      <c r="Z1113" s="72"/>
      <c r="AA1113" s="53">
        <f>P_1_minQ-(AA1111^2*R_up)+dpup_minQ</f>
        <v>52.933851759346069</v>
      </c>
      <c r="AB1113" s="44"/>
      <c r="AC1113" s="72"/>
      <c r="AD1113" s="53">
        <f>P_1_minQ-(AD1111^2*R_up)+dpup_minQ</f>
        <v>46.14478624728374</v>
      </c>
      <c r="AE1113" s="44"/>
      <c r="AF1113" s="72"/>
      <c r="AG1113" s="53">
        <f>P_1_minQ-(AG1111^2*R_up)+dpup_minQ</f>
        <v>33.039112339328597</v>
      </c>
      <c r="AH1113" s="44"/>
      <c r="AI1113" s="72"/>
      <c r="AJ1113" s="53">
        <f>P_1_minQ-(AJ1111^2*R_up)+dpup_minQ</f>
        <v>14.393524699847664</v>
      </c>
      <c r="AK1113" s="44"/>
      <c r="AL1113" s="72"/>
      <c r="AM1113" s="53">
        <f>P_1_minQ-(AM1111^2*R_up)+dpup_minQ</f>
        <v>-6.3942413395748803</v>
      </c>
      <c r="AN1113" s="44"/>
      <c r="AO1113" s="72"/>
      <c r="AP1113" s="53">
        <f>P_1_minQ-(AP1111^2*R_up)+dpup_minQ</f>
        <v>-28.416689929189463</v>
      </c>
      <c r="AQ1113" s="44"/>
      <c r="AR1113" s="72"/>
      <c r="AS1113" s="53">
        <f>P_1_minQ-(AS1111^2*R_up)+dpup_minQ</f>
        <v>-53.61174778312688</v>
      </c>
      <c r="AT1113" s="44"/>
      <c r="AU1113" s="72"/>
    </row>
    <row r="1114" spans="15:47" ht="13" x14ac:dyDescent="0.3">
      <c r="O1114" s="6" t="s">
        <v>233</v>
      </c>
      <c r="P1114" s="6"/>
      <c r="Q1114" s="60"/>
      <c r="R1114" s="85">
        <f>P_2_minQ+(R1111^2*R_dn)-dpdn_minQ</f>
        <v>24.656980967759019</v>
      </c>
      <c r="S1114" s="66"/>
      <c r="T1114" s="74"/>
      <c r="U1114" s="53">
        <f>P_2_minQ+(U1111^2*R_dn)-dpdn_minQ</f>
        <v>24.694687373541953</v>
      </c>
      <c r="V1114" s="45"/>
      <c r="W1114" s="74"/>
      <c r="X1114" s="53">
        <f>P_2_minQ+(X1111^2*R_dn)-dpdn_minQ</f>
        <v>24.875237656132246</v>
      </c>
      <c r="Y1114" s="45"/>
      <c r="Z1114" s="74"/>
      <c r="AA1114" s="53">
        <f>P_2_minQ+(AA1111^2*R_dn)-dpdn_minQ</f>
        <v>25.453229648130787</v>
      </c>
      <c r="AB1114" s="45"/>
      <c r="AC1114" s="74"/>
      <c r="AD1114" s="53">
        <f>P_2_minQ+(AD1111^2*R_dn)-dpdn_minQ</f>
        <v>26.811042750543251</v>
      </c>
      <c r="AE1114" s="45"/>
      <c r="AF1114" s="74"/>
      <c r="AG1114" s="53">
        <f>P_2_minQ+(AG1111^2*R_dn)-dpdn_minQ</f>
        <v>29.432177532134279</v>
      </c>
      <c r="AH1114" s="45"/>
      <c r="AI1114" s="74"/>
      <c r="AJ1114" s="53">
        <f>P_2_minQ+(AJ1111^2*R_dn)-dpdn_minQ</f>
        <v>33.161295060030469</v>
      </c>
      <c r="AK1114" s="45"/>
      <c r="AL1114" s="74"/>
      <c r="AM1114" s="53">
        <f>P_2_minQ+(AM1111^2*R_dn)-dpdn_minQ</f>
        <v>37.31884826791498</v>
      </c>
      <c r="AN1114" s="45"/>
      <c r="AO1114" s="74"/>
      <c r="AP1114" s="53">
        <f>P_2_minQ+(AP1111^2*R_dn)-dpdn_minQ</f>
        <v>41.723337985837894</v>
      </c>
      <c r="AQ1114" s="45"/>
      <c r="AR1114" s="74"/>
      <c r="AS1114" s="53">
        <f>P_2_minQ+(AS1111^2*R_dn)-dpdn_minQ</f>
        <v>46.762349556625381</v>
      </c>
      <c r="AT1114" s="45"/>
      <c r="AU1114" s="74"/>
    </row>
    <row r="1115" spans="15:47" x14ac:dyDescent="0.25">
      <c r="O1115" s="6" t="s">
        <v>243</v>
      </c>
      <c r="Q1115" s="60"/>
      <c r="R1115" s="53">
        <f>R1113-R1114</f>
        <v>32.258114193445898</v>
      </c>
      <c r="S1115" s="56"/>
      <c r="T1115" s="72"/>
      <c r="U1115" s="64">
        <f>U1113-U1114</f>
        <v>32.031875758748292</v>
      </c>
      <c r="V1115" s="44"/>
      <c r="W1115" s="72"/>
      <c r="X1115" s="64">
        <f>X1113-X1114</f>
        <v>30.948574063206539</v>
      </c>
      <c r="Y1115" s="44"/>
      <c r="Z1115" s="72"/>
      <c r="AA1115" s="64">
        <f>AA1113-AA1114</f>
        <v>27.480622111215283</v>
      </c>
      <c r="AB1115" s="44"/>
      <c r="AC1115" s="72"/>
      <c r="AD1115" s="64">
        <f>AD1113-AD1114</f>
        <v>19.333743496740489</v>
      </c>
      <c r="AE1115" s="44"/>
      <c r="AF1115" s="72"/>
      <c r="AG1115" s="64">
        <f>AG1113-AG1114</f>
        <v>3.6069348071943175</v>
      </c>
      <c r="AH1115" s="44"/>
      <c r="AI1115" s="72"/>
      <c r="AJ1115" s="64">
        <f>AJ1113-AJ1114</f>
        <v>-18.767770360182805</v>
      </c>
      <c r="AK1115" s="44"/>
      <c r="AL1115" s="72"/>
      <c r="AM1115" s="64">
        <f>AM1113-AM1114</f>
        <v>-43.713089607489863</v>
      </c>
      <c r="AN1115" s="44"/>
      <c r="AO1115" s="72"/>
      <c r="AP1115" s="64">
        <f>AP1113-AP1114</f>
        <v>-70.14002791502736</v>
      </c>
      <c r="AQ1115" s="44"/>
      <c r="AR1115" s="72"/>
      <c r="AS1115" s="64">
        <f>AS1113-AS1114</f>
        <v>-100.37409733975227</v>
      </c>
      <c r="AT1115" s="44"/>
      <c r="AU1115" s="72"/>
    </row>
    <row r="1116" spans="15:47" ht="13" x14ac:dyDescent="0.3">
      <c r="O1116" s="6" t="s">
        <v>75</v>
      </c>
      <c r="P1116" s="6">
        <v>3</v>
      </c>
      <c r="Q1116" s="65"/>
      <c r="R1116" s="85">
        <f>(F_LP_h/F_P_h)^2*(R1113-('Valve Sizing'!$V$4*'Valve Sizing'!$G$7))</f>
        <v>46.764295414834159</v>
      </c>
      <c r="S1116" s="58"/>
      <c r="T1116" s="73"/>
      <c r="U1116" s="53">
        <f>(U$29/U$27)^2*(U1113-('Valve Sizing'!$V$4*'Valve Sizing'!$G$7))</f>
        <v>46.5954775341594</v>
      </c>
      <c r="V1116" s="41"/>
      <c r="W1116" s="73"/>
      <c r="X1116" s="53">
        <f>(X$29/X$27)^2*(X1113-('Valve Sizing'!$V$4*'Valve Sizing'!$G$7))</f>
        <v>44.813962026778533</v>
      </c>
      <c r="Y1116" s="41"/>
      <c r="Z1116" s="73"/>
      <c r="AA1116" s="53">
        <f>(AA$29/AA$27)^2*(AA1113-('Valve Sizing'!$V$4*'Valve Sizing'!$G$7))</f>
        <v>40.567058211344865</v>
      </c>
      <c r="AB1116" s="41"/>
      <c r="AC1116" s="73"/>
      <c r="AD1116" s="53">
        <f>(AD$29/AD$27)^2*(AD1113-('Valve Sizing'!$V$4*'Valve Sizing'!$G$7))</f>
        <v>32.96167469907008</v>
      </c>
      <c r="AE1116" s="41"/>
      <c r="AF1116" s="73"/>
      <c r="AG1116" s="53">
        <f>(AG$29/AG$27)^2*(AG1113-('Valve Sizing'!$V$4*'Valve Sizing'!$G$7))</f>
        <v>20.995223974738188</v>
      </c>
      <c r="AH1116" s="41"/>
      <c r="AI1116" s="73"/>
      <c r="AJ1116" s="53">
        <f>(AJ$29/AJ$27)^2*(AJ1113-('Valve Sizing'!$V$4*'Valve Sizing'!$G$7))</f>
        <v>8.0701876848157443</v>
      </c>
      <c r="AK1116" s="41"/>
      <c r="AL1116" s="73"/>
      <c r="AM1116" s="53">
        <f>(AM$29/AM$27)^2*(AM1113-('Valve Sizing'!$V$4*'Valve Sizing'!$G$7))</f>
        <v>-3.2700217356033559</v>
      </c>
      <c r="AN1116" s="41"/>
      <c r="AO1116" s="73"/>
      <c r="AP1116" s="53">
        <f>(AP$29/AP$27)^2*(AP1113-('Valve Sizing'!$V$4*'Valve Sizing'!$G$7))</f>
        <v>-11.38764675253978</v>
      </c>
      <c r="AQ1116" s="41"/>
      <c r="AR1116" s="73"/>
      <c r="AS1116" s="53">
        <f>(AS$29/AS$27)^2*(AS1113-('Valve Sizing'!$V$4*'Valve Sizing'!$G$7))</f>
        <v>-20.331089025493061</v>
      </c>
      <c r="AT1116" s="41"/>
      <c r="AU1116" s="73"/>
    </row>
    <row r="1117" spans="15:47" ht="13" x14ac:dyDescent="0.25">
      <c r="O1117" s="1" t="s">
        <v>69</v>
      </c>
      <c r="P1117" s="17">
        <v>7</v>
      </c>
      <c r="Q1117" s="65"/>
      <c r="R1117" s="53">
        <f>(R1111/(N_1*F_P_h))*SQRT('Valve Sizing'!$G$6/R1115)</f>
        <v>0.98095901073277092</v>
      </c>
      <c r="S1117" s="58"/>
      <c r="T1117" s="73"/>
      <c r="U1117" s="64">
        <f>(U1111/(N_1*U$27))*SQRT('Valve Sizing'!$G$6/U1115)</f>
        <v>13.249211095066903</v>
      </c>
      <c r="V1117" s="41"/>
      <c r="W1117" s="73"/>
      <c r="X1117" s="64">
        <f>(X1111/(N_1*X$27))*SQRT('Valve Sizing'!$G$6/X1115)</f>
        <v>32.427720670756742</v>
      </c>
      <c r="Y1117" s="41"/>
      <c r="Z1117" s="73"/>
      <c r="AA1117" s="64">
        <f>(AA1111/(N_1*AA$27))*SQRT('Valve Sizing'!$G$6/AA1115)</f>
        <v>66.085181375609636</v>
      </c>
      <c r="AB1117" s="41"/>
      <c r="AC1117" s="73"/>
      <c r="AD1117" s="64">
        <f>(AD1111/(N_1*AD$27))*SQRT('Valve Sizing'!$G$6/AD1115)</f>
        <v>131.20587504556627</v>
      </c>
      <c r="AE1117" s="41"/>
      <c r="AF1117" s="73"/>
      <c r="AG1117" s="64">
        <f>(AG1111/(N_1*AG$27))*SQRT('Valve Sizing'!$G$6/AG1115)</f>
        <v>462.36001829509303</v>
      </c>
      <c r="AH1117" s="41"/>
      <c r="AI1117" s="73"/>
      <c r="AJ1117" s="64" t="e">
        <f>(AJ1111/(N_1*AJ$27))*SQRT('Valve Sizing'!$G$6/AJ1115)</f>
        <v>#NUM!</v>
      </c>
      <c r="AK1117" s="41"/>
      <c r="AL1117" s="73"/>
      <c r="AM1117" s="64" t="e">
        <f>(AM1111/(N_1*AM$27))*SQRT('Valve Sizing'!$G$6/AM1115)</f>
        <v>#NUM!</v>
      </c>
      <c r="AN1117" s="41"/>
      <c r="AO1117" s="73"/>
      <c r="AP1117" s="64" t="e">
        <f>(AP1111/(N_1*AP$27))*SQRT('Valve Sizing'!$G$6/AP1115)</f>
        <v>#NUM!</v>
      </c>
      <c r="AQ1117" s="41"/>
      <c r="AR1117" s="73"/>
      <c r="AS1117" s="64" t="e">
        <f>(AS1111/(N_1*AS$27))*SQRT('Valve Sizing'!$G$6/AS1115)</f>
        <v>#NUM!</v>
      </c>
      <c r="AT1117" s="41"/>
      <c r="AU1117" s="73"/>
    </row>
    <row r="1118" spans="15:47" ht="13" x14ac:dyDescent="0.3">
      <c r="O1118" s="1" t="s">
        <v>72</v>
      </c>
      <c r="P1118" s="17">
        <v>7</v>
      </c>
      <c r="Q1118" s="65"/>
      <c r="R1118" s="53">
        <f>(R1111/(N_1*F_P_h))*SQRT('Valve Sizing'!$G$6/R1116)</f>
        <v>0.81472895400886503</v>
      </c>
      <c r="S1118" s="56"/>
      <c r="T1118" s="72"/>
      <c r="U1118" s="85">
        <f>(U1111/(N_1*U$27))*SQRT('Valve Sizing'!$G$6/U1116)</f>
        <v>10.985234237422048</v>
      </c>
      <c r="V1118" s="44"/>
      <c r="W1118" s="72"/>
      <c r="X1118" s="85">
        <f>(X1111/(N_1*X$27))*SQRT('Valve Sizing'!$G$6/X1116)</f>
        <v>26.948219396273966</v>
      </c>
      <c r="Y1118" s="44"/>
      <c r="Z1118" s="72"/>
      <c r="AA1118" s="85">
        <f>(AA1111/(N_1*AA$27))*SQRT('Valve Sizing'!$G$6/AA1116)</f>
        <v>54.391446503095061</v>
      </c>
      <c r="AB1118" s="44"/>
      <c r="AC1118" s="72"/>
      <c r="AD1118" s="85">
        <f>(AD1111/(N_1*AD$27))*SQRT('Valve Sizing'!$G$6/AD1116)</f>
        <v>100.48624640289141</v>
      </c>
      <c r="AE1118" s="44"/>
      <c r="AF1118" s="72"/>
      <c r="AG1118" s="85">
        <f>(AG1111/(N_1*AG$27))*SQRT('Valve Sizing'!$G$6/AG1116)</f>
        <v>191.64132401336684</v>
      </c>
      <c r="AH1118" s="44"/>
      <c r="AI1118" s="72"/>
      <c r="AJ1118" s="85">
        <f>(AJ1111/(N_1*AJ$27))*SQRT('Valve Sizing'!$G$6/AJ1116)</f>
        <v>427.49652067214714</v>
      </c>
      <c r="AK1118" s="44"/>
      <c r="AL1118" s="72"/>
      <c r="AM1118" s="85" t="e">
        <f>(AM1111/(N_1*AM$27))*SQRT('Valve Sizing'!$G$6/AM1116)</f>
        <v>#NUM!</v>
      </c>
      <c r="AN1118" s="44"/>
      <c r="AO1118" s="72"/>
      <c r="AP1118" s="85" t="e">
        <f>(AP1111/(N_1*AP$27))*SQRT('Valve Sizing'!$G$6/AP1116)</f>
        <v>#NUM!</v>
      </c>
      <c r="AQ1118" s="44"/>
      <c r="AR1118" s="72"/>
      <c r="AS1118" s="85" t="e">
        <f>(AS1111/(N_1*AS$27))*SQRT('Valve Sizing'!$G$6/AS1116)</f>
        <v>#NUM!</v>
      </c>
      <c r="AT1118" s="44"/>
      <c r="AU1118" s="72"/>
    </row>
    <row r="1119" spans="15:47" x14ac:dyDescent="0.25">
      <c r="O1119" s="1" t="s">
        <v>246</v>
      </c>
      <c r="P1119" s="18"/>
      <c r="Q1119" s="65"/>
      <c r="R1119" s="53">
        <f>IF(R1115&lt;R1116,R1117,R1118)</f>
        <v>0.98095901073277092</v>
      </c>
      <c r="S1119" s="49"/>
      <c r="T1119" s="72"/>
      <c r="U1119" s="64">
        <f>IF(U1115&lt;U1116,U1117,U1118)</f>
        <v>13.249211095066903</v>
      </c>
      <c r="V1119" s="44"/>
      <c r="W1119" s="72"/>
      <c r="X1119" s="64">
        <f>IF(X1115&lt;X1116,X1117,X1118)</f>
        <v>32.427720670756742</v>
      </c>
      <c r="Y1119" s="44"/>
      <c r="Z1119" s="72"/>
      <c r="AA1119" s="64">
        <f>IF(AA1115&lt;AA1116,AA1117,AA1118)</f>
        <v>66.085181375609636</v>
      </c>
      <c r="AB1119" s="44"/>
      <c r="AC1119" s="72"/>
      <c r="AD1119" s="64">
        <f>IF(AD1115&lt;AD1116,AD1117,AD1118)</f>
        <v>131.20587504556627</v>
      </c>
      <c r="AE1119" s="44"/>
      <c r="AF1119" s="72"/>
      <c r="AG1119" s="64">
        <f>IF(AG1115&lt;AG1116,AG1117,AG1118)</f>
        <v>462.36001829509303</v>
      </c>
      <c r="AH1119" s="44"/>
      <c r="AI1119" s="72"/>
      <c r="AJ1119" s="64" t="e">
        <f>IF(AJ1115&lt;AJ1116,AJ1117,AJ1118)</f>
        <v>#NUM!</v>
      </c>
      <c r="AK1119" s="44"/>
      <c r="AL1119" s="72"/>
      <c r="AM1119" s="64" t="e">
        <f>IF(AM1115&lt;AM1116,AM1117,AM1118)</f>
        <v>#NUM!</v>
      </c>
      <c r="AN1119" s="44"/>
      <c r="AO1119" s="72"/>
      <c r="AP1119" s="64" t="e">
        <f>IF(AP1115&lt;AP1116,AP1117,AP1118)</f>
        <v>#NUM!</v>
      </c>
      <c r="AQ1119" s="44"/>
      <c r="AR1119" s="72"/>
      <c r="AS1119" s="64" t="e">
        <f>IF(AS1115&lt;AS1116,AS1117,AS1118)</f>
        <v>#NUM!</v>
      </c>
      <c r="AT1119" s="44"/>
      <c r="AU1119" s="72"/>
    </row>
    <row r="1120" spans="15:47" ht="13" x14ac:dyDescent="0.3">
      <c r="O1120" s="7" t="s">
        <v>264</v>
      </c>
      <c r="Q1120" s="61"/>
      <c r="R1120" s="53"/>
      <c r="S1120" s="69">
        <f>IFERROR(ABS(C_h-R1119),Q_max*10)</f>
        <v>4.0190409892672294</v>
      </c>
      <c r="T1120" s="76">
        <f>R1111</f>
        <v>5.5706621439848902</v>
      </c>
      <c r="U1120" s="61"/>
      <c r="V1120" s="69">
        <f>IFERROR(ABS(U$23-U1119),Q_max*10)</f>
        <v>1.2492110950669026</v>
      </c>
      <c r="W1120" s="75">
        <f>U1111</f>
        <v>74.923064892500946</v>
      </c>
      <c r="X1120" s="61"/>
      <c r="Y1120" s="69">
        <f>IFERROR(ABS(X$23-X1119),Q_max*10)</f>
        <v>9.4277206707567416</v>
      </c>
      <c r="Z1120" s="75">
        <f>X1111</f>
        <v>179.84419643229714</v>
      </c>
      <c r="AA1120" s="61"/>
      <c r="AB1120" s="69">
        <f>IFERROR(ABS(AA$23-AA1119),Q_max*10)</f>
        <v>27.085181375609636</v>
      </c>
      <c r="AC1120" s="75">
        <f>AA1111</f>
        <v>343.38848176047338</v>
      </c>
      <c r="AD1120" s="61"/>
      <c r="AE1120" s="69">
        <f>IFERROR(ABS(AD$23-AD1119),Q_max*10)</f>
        <v>70.205875045566273</v>
      </c>
      <c r="AF1120" s="75">
        <f>AD1111</f>
        <v>564.74762435793241</v>
      </c>
      <c r="AG1120" s="61"/>
      <c r="AH1120" s="69">
        <f>IFERROR(ABS(AG$23-AG1119),Q_max*10)</f>
        <v>374.36001829509303</v>
      </c>
      <c r="AI1120" s="75">
        <f>AG1111</f>
        <v>840.83225653662942</v>
      </c>
      <c r="AJ1120" s="61"/>
      <c r="AK1120" s="69">
        <f>IFERROR(ABS(AJ$23-AJ1119),Q_max*10)</f>
        <v>5500</v>
      </c>
      <c r="AL1120" s="75">
        <f>AJ1111</f>
        <v>1122.0939058909066</v>
      </c>
      <c r="AM1120" s="61"/>
      <c r="AN1120" s="69">
        <f>IFERROR(ABS(AM$23-AM1119),Q_max*10)</f>
        <v>5500</v>
      </c>
      <c r="AO1120" s="75">
        <f>AM1111</f>
        <v>1369.167807854396</v>
      </c>
      <c r="AP1120" s="61"/>
      <c r="AQ1120" s="69">
        <f>IFERROR(ABS(AP$23-AP1119),Q_max*10)</f>
        <v>5500</v>
      </c>
      <c r="AR1120" s="75">
        <f>AP1111</f>
        <v>1589.5613196109484</v>
      </c>
      <c r="AS1120" s="61"/>
      <c r="AT1120" s="69">
        <f>IFERROR(ABS(AS$23-AS1119),Q_max*10)</f>
        <v>5500</v>
      </c>
      <c r="AU1120" s="75">
        <f>AS1111</f>
        <v>1809.069056685893</v>
      </c>
    </row>
    <row r="1121" spans="15:47" ht="14.5" x14ac:dyDescent="0.35">
      <c r="O1121" s="8"/>
      <c r="P1121" s="6"/>
      <c r="Q1121" s="60"/>
      <c r="R1121" s="67"/>
      <c r="S1121" s="56"/>
      <c r="T1121" s="72"/>
      <c r="V1121" s="11"/>
      <c r="W1121" s="38"/>
      <c r="Y1121" s="11"/>
      <c r="Z1121" s="38"/>
      <c r="AB1121" s="11"/>
      <c r="AC1121" s="38"/>
      <c r="AE1121" s="11"/>
      <c r="AF1121" s="38"/>
      <c r="AH1121" s="11"/>
      <c r="AI1121" s="38"/>
      <c r="AK1121" s="11"/>
      <c r="AL1121" s="38"/>
      <c r="AN1121" s="11"/>
      <c r="AO1121" s="38"/>
      <c r="AQ1121" s="11"/>
      <c r="AR1121" s="38"/>
      <c r="AT1121" s="11"/>
      <c r="AU1121" s="38"/>
    </row>
    <row r="1122" spans="15:47" ht="14" x14ac:dyDescent="0.3">
      <c r="O1122" s="8" t="s">
        <v>235</v>
      </c>
      <c r="P1122" s="6"/>
      <c r="Q1122" s="60"/>
      <c r="R1122" s="53">
        <f>R1111*1.02</f>
        <v>5.6820753868645886</v>
      </c>
      <c r="S1122" s="58" t="s">
        <v>238</v>
      </c>
      <c r="T1122" s="73" t="s">
        <v>241</v>
      </c>
      <c r="U1122" s="84">
        <f>U1111*1.01</f>
        <v>75.672295541425953</v>
      </c>
      <c r="V1122" s="58" t="s">
        <v>238</v>
      </c>
      <c r="W1122" s="73" t="s">
        <v>241</v>
      </c>
      <c r="X1122" s="84">
        <f>X1111*1.01</f>
        <v>181.6426383966201</v>
      </c>
      <c r="Y1122" s="58" t="s">
        <v>238</v>
      </c>
      <c r="Z1122" s="73" t="s">
        <v>241</v>
      </c>
      <c r="AA1122" s="84">
        <f>AA1111*1.01</f>
        <v>346.82236657807812</v>
      </c>
      <c r="AB1122" s="58" t="s">
        <v>238</v>
      </c>
      <c r="AC1122" s="73" t="s">
        <v>241</v>
      </c>
      <c r="AD1122" s="84">
        <f>AD1111*1.01</f>
        <v>570.39510060151179</v>
      </c>
      <c r="AE1122" s="58" t="s">
        <v>238</v>
      </c>
      <c r="AF1122" s="73" t="s">
        <v>241</v>
      </c>
      <c r="AG1122" s="84">
        <f>AG1111*1.01</f>
        <v>849.24057910199576</v>
      </c>
      <c r="AH1122" s="58" t="s">
        <v>238</v>
      </c>
      <c r="AI1122" s="73" t="s">
        <v>241</v>
      </c>
      <c r="AJ1122" s="84">
        <f>AJ1111*1.01</f>
        <v>1133.3148449498158</v>
      </c>
      <c r="AK1122" s="58" t="s">
        <v>238</v>
      </c>
      <c r="AL1122" s="73" t="s">
        <v>241</v>
      </c>
      <c r="AM1122" s="84">
        <f>AM1111*1.01</f>
        <v>1382.8594859329398</v>
      </c>
      <c r="AN1122" s="58" t="s">
        <v>238</v>
      </c>
      <c r="AO1122" s="73" t="s">
        <v>241</v>
      </c>
      <c r="AP1122" s="84">
        <f>AP1111*1.01</f>
        <v>1605.4569328070579</v>
      </c>
      <c r="AQ1122" s="58" t="s">
        <v>238</v>
      </c>
      <c r="AR1122" s="73" t="s">
        <v>241</v>
      </c>
      <c r="AS1122" s="84">
        <f>AS1111*1.01</f>
        <v>1827.1597472527519</v>
      </c>
      <c r="AT1122" s="58" t="s">
        <v>238</v>
      </c>
      <c r="AU1122" s="73" t="s">
        <v>241</v>
      </c>
    </row>
    <row r="1123" spans="15:47" ht="13" x14ac:dyDescent="0.25">
      <c r="O1123" s="6"/>
      <c r="P1123" s="6"/>
      <c r="Q1123" s="60"/>
      <c r="R1123" s="70"/>
      <c r="S1123" s="63" t="s">
        <v>250</v>
      </c>
      <c r="T1123" s="71" t="s">
        <v>242</v>
      </c>
      <c r="U1123" s="61"/>
      <c r="V1123" s="63" t="s">
        <v>250</v>
      </c>
      <c r="W1123" s="71" t="s">
        <v>242</v>
      </c>
      <c r="X1123" s="61"/>
      <c r="Y1123" s="63" t="s">
        <v>250</v>
      </c>
      <c r="Z1123" s="71" t="s">
        <v>242</v>
      </c>
      <c r="AA1123" s="61"/>
      <c r="AB1123" s="63" t="s">
        <v>250</v>
      </c>
      <c r="AC1123" s="71" t="s">
        <v>242</v>
      </c>
      <c r="AD1123" s="61"/>
      <c r="AE1123" s="63" t="s">
        <v>250</v>
      </c>
      <c r="AF1123" s="71" t="s">
        <v>242</v>
      </c>
      <c r="AG1123" s="61"/>
      <c r="AH1123" s="63" t="s">
        <v>250</v>
      </c>
      <c r="AI1123" s="71" t="s">
        <v>242</v>
      </c>
      <c r="AJ1123" s="61"/>
      <c r="AK1123" s="63" t="s">
        <v>250</v>
      </c>
      <c r="AL1123" s="71" t="s">
        <v>242</v>
      </c>
      <c r="AM1123" s="61"/>
      <c r="AN1123" s="63" t="s">
        <v>250</v>
      </c>
      <c r="AO1123" s="71" t="s">
        <v>242</v>
      </c>
      <c r="AP1123" s="61"/>
      <c r="AQ1123" s="63" t="s">
        <v>250</v>
      </c>
      <c r="AR1123" s="71" t="s">
        <v>242</v>
      </c>
      <c r="AS1123" s="61"/>
      <c r="AT1123" s="63" t="s">
        <v>250</v>
      </c>
      <c r="AU1123" s="71" t="s">
        <v>242</v>
      </c>
    </row>
    <row r="1124" spans="15:47" ht="13" x14ac:dyDescent="0.3">
      <c r="O1124" s="6" t="s">
        <v>231</v>
      </c>
      <c r="P1124" s="6"/>
      <c r="Q1124" s="60"/>
      <c r="R1124" s="85">
        <f>P_1_minQ-(R1122^2*R_up)+dpup_minQ</f>
        <v>56.915052820644988</v>
      </c>
      <c r="S1124" s="56"/>
      <c r="T1124" s="72"/>
      <c r="U1124" s="53">
        <f>P_1_minQ-(U1122^2*R_up)+dpup_minQ</f>
        <v>56.722752573032459</v>
      </c>
      <c r="V1124" s="44"/>
      <c r="W1124" s="72"/>
      <c r="X1124" s="53">
        <f>P_1_minQ-(X1122^2*R_up)+dpup_minQ</f>
        <v>55.801855856680675</v>
      </c>
      <c r="Y1124" s="44"/>
      <c r="Z1124" s="72"/>
      <c r="AA1124" s="53">
        <f>P_1_minQ-(AA1122^2*R_up)+dpup_minQ</f>
        <v>52.853807701492102</v>
      </c>
      <c r="AB1124" s="44"/>
      <c r="AC1124" s="72"/>
      <c r="AD1124" s="53">
        <f>P_1_minQ-(AD1122^2*R_up)+dpup_minQ</f>
        <v>45.928281972637329</v>
      </c>
      <c r="AE1124" s="44"/>
      <c r="AF1124" s="72"/>
      <c r="AG1124" s="53">
        <f>P_1_minQ-(AG1122^2*R_up)+dpup_minQ</f>
        <v>32.559184019132282</v>
      </c>
      <c r="AH1124" s="44"/>
      <c r="AI1124" s="72"/>
      <c r="AJ1124" s="53">
        <f>P_1_minQ-(AJ1122^2*R_up)+dpup_minQ</f>
        <v>13.538820068097767</v>
      </c>
      <c r="AK1124" s="44"/>
      <c r="AL1124" s="72"/>
      <c r="AM1124" s="53">
        <f>P_1_minQ-(AM1122^2*R_up)+dpup_minQ</f>
        <v>-7.6667800687171495</v>
      </c>
      <c r="AN1124" s="44"/>
      <c r="AO1124" s="72"/>
      <c r="AP1124" s="53">
        <f>P_1_minQ-(AP1122^2*R_up)+dpup_minQ</f>
        <v>-30.131879874982989</v>
      </c>
      <c r="AQ1124" s="44"/>
      <c r="AR1124" s="72"/>
      <c r="AS1124" s="53">
        <f>P_1_minQ-(AS1122^2*R_up)+dpup_minQ</f>
        <v>-55.83335839178455</v>
      </c>
      <c r="AT1124" s="44"/>
      <c r="AU1124" s="72"/>
    </row>
    <row r="1125" spans="15:47" ht="13" x14ac:dyDescent="0.3">
      <c r="O1125" s="6" t="s">
        <v>233</v>
      </c>
      <c r="P1125" s="6"/>
      <c r="Q1125" s="60"/>
      <c r="R1125" s="85">
        <f>P_2_minQ+(R1122^2*R_dn)-dpdn_minQ</f>
        <v>24.656989435871004</v>
      </c>
      <c r="S1125" s="66"/>
      <c r="T1125" s="74"/>
      <c r="U1125" s="53">
        <f>P_2_minQ+(U1122^2*R_dn)-dpdn_minQ</f>
        <v>24.69544948539351</v>
      </c>
      <c r="V1125" s="45"/>
      <c r="W1125" s="74"/>
      <c r="X1125" s="53">
        <f>P_2_minQ+(X1122^2*R_dn)-dpdn_minQ</f>
        <v>24.879628828663868</v>
      </c>
      <c r="Y1125" s="45"/>
      <c r="Z1125" s="74"/>
      <c r="AA1125" s="53">
        <f>P_2_minQ+(AA1122^2*R_dn)-dpdn_minQ</f>
        <v>25.469238459701579</v>
      </c>
      <c r="AB1125" s="45"/>
      <c r="AC1125" s="74"/>
      <c r="AD1125" s="53">
        <f>P_2_minQ+(AD1122^2*R_dn)-dpdn_minQ</f>
        <v>26.854343605472536</v>
      </c>
      <c r="AE1125" s="45"/>
      <c r="AF1125" s="74"/>
      <c r="AG1125" s="53">
        <f>P_2_minQ+(AG1122^2*R_dn)-dpdn_minQ</f>
        <v>29.528163196173544</v>
      </c>
      <c r="AH1125" s="45"/>
      <c r="AI1125" s="74"/>
      <c r="AJ1125" s="53">
        <f>P_2_minQ+(AJ1122^2*R_dn)-dpdn_minQ</f>
        <v>33.332235986380454</v>
      </c>
      <c r="AK1125" s="45"/>
      <c r="AL1125" s="74"/>
      <c r="AM1125" s="53">
        <f>P_2_minQ+(AM1122^2*R_dn)-dpdn_minQ</f>
        <v>37.573356013743435</v>
      </c>
      <c r="AN1125" s="45"/>
      <c r="AO1125" s="74"/>
      <c r="AP1125" s="53">
        <f>P_2_minQ+(AP1122^2*R_dn)-dpdn_minQ</f>
        <v>42.066375974996603</v>
      </c>
      <c r="AQ1125" s="45"/>
      <c r="AR1125" s="74"/>
      <c r="AS1125" s="53">
        <f>P_2_minQ+(AS1122^2*R_dn)-dpdn_minQ</f>
        <v>47.206671678356912</v>
      </c>
      <c r="AT1125" s="45"/>
      <c r="AU1125" s="74"/>
    </row>
    <row r="1126" spans="15:47" x14ac:dyDescent="0.25">
      <c r="O1126" s="6" t="s">
        <v>243</v>
      </c>
      <c r="Q1126" s="60"/>
      <c r="R1126" s="53">
        <f>R1124-R1125</f>
        <v>32.258063384773983</v>
      </c>
      <c r="S1126" s="56"/>
      <c r="T1126" s="72"/>
      <c r="U1126" s="64">
        <f>U1124-U1125</f>
        <v>32.027303087638948</v>
      </c>
      <c r="V1126" s="44"/>
      <c r="W1126" s="72"/>
      <c r="X1126" s="64">
        <f>X1124-X1125</f>
        <v>30.922227028016806</v>
      </c>
      <c r="Y1126" s="44"/>
      <c r="Z1126" s="72"/>
      <c r="AA1126" s="64">
        <f>AA1124-AA1125</f>
        <v>27.384569241790523</v>
      </c>
      <c r="AB1126" s="44"/>
      <c r="AC1126" s="72"/>
      <c r="AD1126" s="64">
        <f>AD1124-AD1125</f>
        <v>19.073938367164793</v>
      </c>
      <c r="AE1126" s="44"/>
      <c r="AF1126" s="72"/>
      <c r="AG1126" s="64">
        <f>AG1124-AG1125</f>
        <v>3.0310208229587374</v>
      </c>
      <c r="AH1126" s="44"/>
      <c r="AI1126" s="72"/>
      <c r="AJ1126" s="64">
        <f>AJ1124-AJ1125</f>
        <v>-19.793415918282687</v>
      </c>
      <c r="AK1126" s="44"/>
      <c r="AL1126" s="72"/>
      <c r="AM1126" s="64">
        <f>AM1124-AM1125</f>
        <v>-45.240136082460587</v>
      </c>
      <c r="AN1126" s="44"/>
      <c r="AO1126" s="72"/>
      <c r="AP1126" s="64">
        <f>AP1124-AP1125</f>
        <v>-72.198255849979589</v>
      </c>
      <c r="AQ1126" s="44"/>
      <c r="AR1126" s="72"/>
      <c r="AS1126" s="64">
        <f>AS1124-AS1125</f>
        <v>-103.04003007014146</v>
      </c>
      <c r="AT1126" s="44"/>
      <c r="AU1126" s="72"/>
    </row>
    <row r="1127" spans="15:47" ht="13" x14ac:dyDescent="0.3">
      <c r="O1127" s="6" t="s">
        <v>75</v>
      </c>
      <c r="P1127" s="6">
        <v>3</v>
      </c>
      <c r="Q1127" s="65"/>
      <c r="R1127" s="85">
        <f>(F_LP_h/F_P_h)^2*(R1124-('Valve Sizing'!$V$4*'Valve Sizing'!$G$7))</f>
        <v>46.764260354628078</v>
      </c>
      <c r="S1127" s="58"/>
      <c r="T1127" s="73"/>
      <c r="U1127" s="53">
        <f>(U$29/U$27)^2*(U1124-('Valve Sizing'!$V$4*'Valve Sizing'!$G$7))</f>
        <v>46.592323051094105</v>
      </c>
      <c r="V1127" s="41"/>
      <c r="W1127" s="73"/>
      <c r="X1127" s="53">
        <f>(X$29/X$27)^2*(X1124-('Valve Sizing'!$V$4*'Valve Sizing'!$G$7))</f>
        <v>44.796196362238518</v>
      </c>
      <c r="Y1127" s="41"/>
      <c r="Z1127" s="73"/>
      <c r="AA1127" s="53">
        <f>(AA$29/AA$27)^2*(AA1124-('Valve Sizing'!$V$4*'Valve Sizing'!$G$7))</f>
        <v>40.50520038584947</v>
      </c>
      <c r="AB1127" s="41"/>
      <c r="AC1127" s="73"/>
      <c r="AD1127" s="53">
        <f>(AD$29/AD$27)^2*(AD1124-('Valve Sizing'!$V$4*'Valve Sizing'!$G$7))</f>
        <v>32.805534542595382</v>
      </c>
      <c r="AE1127" s="41"/>
      <c r="AF1127" s="73"/>
      <c r="AG1127" s="53">
        <f>(AG$29/AG$27)^2*(AG1124-('Valve Sizing'!$V$4*'Valve Sizing'!$G$7))</f>
        <v>20.686129043114288</v>
      </c>
      <c r="AH1127" s="41"/>
      <c r="AI1127" s="73"/>
      <c r="AJ1127" s="53">
        <f>(AJ$29/AJ$27)^2*(AJ1124-('Valve Sizing'!$V$4*'Valve Sizing'!$G$7))</f>
        <v>7.5758570085734735</v>
      </c>
      <c r="AK1127" s="41"/>
      <c r="AL1127" s="73"/>
      <c r="AM1127" s="53">
        <f>(AM$29/AM$27)^2*(AM1124-('Valve Sizing'!$V$4*'Valve Sizing'!$G$7))</f>
        <v>-3.8788960764092986</v>
      </c>
      <c r="AN1127" s="41"/>
      <c r="AO1127" s="73"/>
      <c r="AP1127" s="53">
        <f>(AP$29/AP$27)^2*(AP1124-('Valve Sizing'!$V$4*'Valve Sizing'!$G$7))</f>
        <v>-12.064506719165305</v>
      </c>
      <c r="AQ1127" s="41"/>
      <c r="AR1127" s="73"/>
      <c r="AS1127" s="53">
        <f>(AS$29/AS$27)^2*(AS1124-('Valve Sizing'!$V$4*'Valve Sizing'!$G$7))</f>
        <v>-21.166727404023028</v>
      </c>
      <c r="AT1127" s="41"/>
      <c r="AU1127" s="73"/>
    </row>
    <row r="1128" spans="15:47" ht="13" x14ac:dyDescent="0.25">
      <c r="O1128" s="1" t="s">
        <v>69</v>
      </c>
      <c r="P1128" s="17">
        <v>7</v>
      </c>
      <c r="Q1128" s="65"/>
      <c r="R1128" s="53">
        <f>(R1122/(N_1*F_P_h))*SQRT('Valve Sizing'!$G$6/R1126)</f>
        <v>1.0005789789369037</v>
      </c>
      <c r="S1128" s="58"/>
      <c r="T1128" s="73"/>
      <c r="U1128" s="64">
        <f>(U1122/(N_1*U$27))*SQRT('Valve Sizing'!$G$6/U1126)</f>
        <v>13.382658452601092</v>
      </c>
      <c r="V1128" s="41"/>
      <c r="W1128" s="73"/>
      <c r="X1128" s="64">
        <f>(X1122/(N_1*X$27))*SQRT('Valve Sizing'!$G$6/X1126)</f>
        <v>32.765947944959429</v>
      </c>
      <c r="Y1128" s="41"/>
      <c r="Z1128" s="73"/>
      <c r="AA1128" s="64">
        <f>(AA1122/(N_1*AA$27))*SQRT('Valve Sizing'!$G$6/AA1126)</f>
        <v>66.862988397409183</v>
      </c>
      <c r="AB1128" s="41"/>
      <c r="AC1128" s="73"/>
      <c r="AD1128" s="64">
        <f>(AD1122/(N_1*AD$27))*SQRT('Valve Sizing'!$G$6/AD1126)</f>
        <v>133.41739125616382</v>
      </c>
      <c r="AE1128" s="41"/>
      <c r="AF1128" s="73"/>
      <c r="AG1128" s="64">
        <f>(AG1122/(N_1*AG$27))*SQRT('Valve Sizing'!$G$6/AG1126)</f>
        <v>509.42039992911486</v>
      </c>
      <c r="AH1128" s="41"/>
      <c r="AI1128" s="73"/>
      <c r="AJ1128" s="64" t="e">
        <f>(AJ1122/(N_1*AJ$27))*SQRT('Valve Sizing'!$G$6/AJ1126)</f>
        <v>#NUM!</v>
      </c>
      <c r="AK1128" s="41"/>
      <c r="AL1128" s="73"/>
      <c r="AM1128" s="64" t="e">
        <f>(AM1122/(N_1*AM$27))*SQRT('Valve Sizing'!$G$6/AM1126)</f>
        <v>#NUM!</v>
      </c>
      <c r="AN1128" s="41"/>
      <c r="AO1128" s="73"/>
      <c r="AP1128" s="64" t="e">
        <f>(AP1122/(N_1*AP$27))*SQRT('Valve Sizing'!$G$6/AP1126)</f>
        <v>#NUM!</v>
      </c>
      <c r="AQ1128" s="41"/>
      <c r="AR1128" s="73"/>
      <c r="AS1128" s="64" t="e">
        <f>(AS1122/(N_1*AS$27))*SQRT('Valve Sizing'!$G$6/AS1126)</f>
        <v>#NUM!</v>
      </c>
      <c r="AT1128" s="41"/>
      <c r="AU1128" s="73"/>
    </row>
    <row r="1129" spans="15:47" ht="13" x14ac:dyDescent="0.3">
      <c r="O1129" s="1" t="s">
        <v>72</v>
      </c>
      <c r="P1129" s="17">
        <v>7</v>
      </c>
      <c r="Q1129" s="65"/>
      <c r="R1129" s="53">
        <f>(R1122/(N_1*F_P_h))*SQRT('Valve Sizing'!$G$6/R1127)</f>
        <v>0.83102384460739698</v>
      </c>
      <c r="S1129" s="56"/>
      <c r="T1129" s="72"/>
      <c r="U1129" s="85">
        <f>(U1122/(N_1*U$27))*SQRT('Valve Sizing'!$G$6/U1127)</f>
        <v>11.095462163884537</v>
      </c>
      <c r="V1129" s="44"/>
      <c r="W1129" s="72"/>
      <c r="X1129" s="85">
        <f>(X1122/(N_1*X$27))*SQRT('Valve Sizing'!$G$6/X1127)</f>
        <v>27.223098171454442</v>
      </c>
      <c r="Y1129" s="44"/>
      <c r="Z1129" s="72"/>
      <c r="AA1129" s="85">
        <f>(AA1122/(N_1*AA$27))*SQRT('Valve Sizing'!$G$6/AA1127)</f>
        <v>54.977292442847457</v>
      </c>
      <c r="AB1129" s="44"/>
      <c r="AC1129" s="72"/>
      <c r="AD1129" s="85">
        <f>(AD1122/(N_1*AD$27))*SQRT('Valve Sizing'!$G$6/AD1127)</f>
        <v>101.73234905027348</v>
      </c>
      <c r="AE1129" s="44"/>
      <c r="AF1129" s="72"/>
      <c r="AG1129" s="85">
        <f>(AG1122/(N_1*AG$27))*SQRT('Valve Sizing'!$G$6/AG1127)</f>
        <v>194.99845826160077</v>
      </c>
      <c r="AH1129" s="44"/>
      <c r="AI1129" s="72"/>
      <c r="AJ1129" s="85">
        <f>(AJ1122/(N_1*AJ$27))*SQRT('Valve Sizing'!$G$6/AJ1127)</f>
        <v>445.63561406093339</v>
      </c>
      <c r="AK1129" s="44"/>
      <c r="AL1129" s="72"/>
      <c r="AM1129" s="85" t="e">
        <f>(AM1122/(N_1*AM$27))*SQRT('Valve Sizing'!$G$6/AM1127)</f>
        <v>#NUM!</v>
      </c>
      <c r="AN1129" s="44"/>
      <c r="AO1129" s="72"/>
      <c r="AP1129" s="85" t="e">
        <f>(AP1122/(N_1*AP$27))*SQRT('Valve Sizing'!$G$6/AP1127)</f>
        <v>#NUM!</v>
      </c>
      <c r="AQ1129" s="44"/>
      <c r="AR1129" s="72"/>
      <c r="AS1129" s="85" t="e">
        <f>(AS1122/(N_1*AS$27))*SQRT('Valve Sizing'!$G$6/AS1127)</f>
        <v>#NUM!</v>
      </c>
      <c r="AT1129" s="44"/>
      <c r="AU1129" s="72"/>
    </row>
    <row r="1130" spans="15:47" x14ac:dyDescent="0.25">
      <c r="O1130" s="1" t="s">
        <v>246</v>
      </c>
      <c r="P1130" s="18"/>
      <c r="Q1130" s="65"/>
      <c r="R1130" s="53">
        <f>IF(R1126&lt;R1127,R1128,R1129)</f>
        <v>1.0005789789369037</v>
      </c>
      <c r="S1130" s="49"/>
      <c r="T1130" s="72"/>
      <c r="U1130" s="64">
        <f>IF(U1126&lt;U1127,U1128,U1129)</f>
        <v>13.382658452601092</v>
      </c>
      <c r="V1130" s="44"/>
      <c r="W1130" s="72"/>
      <c r="X1130" s="64">
        <f>IF(X1126&lt;X1127,X1128,X1129)</f>
        <v>32.765947944959429</v>
      </c>
      <c r="Y1130" s="44"/>
      <c r="Z1130" s="72"/>
      <c r="AA1130" s="64">
        <f>IF(AA1126&lt;AA1127,AA1128,AA1129)</f>
        <v>66.862988397409183</v>
      </c>
      <c r="AB1130" s="44"/>
      <c r="AC1130" s="72"/>
      <c r="AD1130" s="64">
        <f>IF(AD1126&lt;AD1127,AD1128,AD1129)</f>
        <v>133.41739125616382</v>
      </c>
      <c r="AE1130" s="44"/>
      <c r="AF1130" s="72"/>
      <c r="AG1130" s="64">
        <f>IF(AG1126&lt;AG1127,AG1128,AG1129)</f>
        <v>509.42039992911486</v>
      </c>
      <c r="AH1130" s="44"/>
      <c r="AI1130" s="72"/>
      <c r="AJ1130" s="64" t="e">
        <f>IF(AJ1126&lt;AJ1127,AJ1128,AJ1129)</f>
        <v>#NUM!</v>
      </c>
      <c r="AK1130" s="44"/>
      <c r="AL1130" s="72"/>
      <c r="AM1130" s="64" t="e">
        <f>IF(AM1126&lt;AM1127,AM1128,AM1129)</f>
        <v>#NUM!</v>
      </c>
      <c r="AN1130" s="44"/>
      <c r="AO1130" s="72"/>
      <c r="AP1130" s="64" t="e">
        <f>IF(AP1126&lt;AP1127,AP1128,AP1129)</f>
        <v>#NUM!</v>
      </c>
      <c r="AQ1130" s="44"/>
      <c r="AR1130" s="72"/>
      <c r="AS1130" s="64" t="e">
        <f>IF(AS1126&lt;AS1127,AS1128,AS1129)</f>
        <v>#NUM!</v>
      </c>
      <c r="AT1130" s="44"/>
      <c r="AU1130" s="72"/>
    </row>
    <row r="1131" spans="15:47" ht="13" x14ac:dyDescent="0.3">
      <c r="O1131" s="7" t="s">
        <v>264</v>
      </c>
      <c r="Q1131" s="61"/>
      <c r="R1131" s="53"/>
      <c r="S1131" s="69">
        <f>IFERROR(ABS(C_h-R1130),Q_max*10)</f>
        <v>3.999421021063096</v>
      </c>
      <c r="T1131" s="76">
        <f>R1122</f>
        <v>5.6820753868645886</v>
      </c>
      <c r="U1131" s="61"/>
      <c r="V1131" s="69">
        <f>IFERROR(ABS(U$23-U1130),Q_max*10)</f>
        <v>1.3826584526010919</v>
      </c>
      <c r="W1131" s="75">
        <f>U1122</f>
        <v>75.672295541425953</v>
      </c>
      <c r="X1131" s="61"/>
      <c r="Y1131" s="69">
        <f>IFERROR(ABS(X$23-X1130),Q_max*10)</f>
        <v>9.7659479449594286</v>
      </c>
      <c r="Z1131" s="75">
        <f>X1122</f>
        <v>181.6426383966201</v>
      </c>
      <c r="AA1131" s="61"/>
      <c r="AB1131" s="69">
        <f>IFERROR(ABS(AA$23-AA1130),Q_max*10)</f>
        <v>27.862988397409183</v>
      </c>
      <c r="AC1131" s="75">
        <f>AA1122</f>
        <v>346.82236657807812</v>
      </c>
      <c r="AD1131" s="61"/>
      <c r="AE1131" s="69">
        <f>IFERROR(ABS(AD$23-AD1130),Q_max*10)</f>
        <v>72.417391256163825</v>
      </c>
      <c r="AF1131" s="75">
        <f>AD1122</f>
        <v>570.39510060151179</v>
      </c>
      <c r="AG1131" s="61"/>
      <c r="AH1131" s="69">
        <f>IFERROR(ABS(AG$23-AG1130),Q_max*10)</f>
        <v>421.42039992911486</v>
      </c>
      <c r="AI1131" s="75">
        <f>AG1122</f>
        <v>849.24057910199576</v>
      </c>
      <c r="AJ1131" s="61"/>
      <c r="AK1131" s="69">
        <f>IFERROR(ABS(AJ$23-AJ1130),Q_max*10)</f>
        <v>5500</v>
      </c>
      <c r="AL1131" s="75">
        <f>AJ1122</f>
        <v>1133.3148449498158</v>
      </c>
      <c r="AM1131" s="61"/>
      <c r="AN1131" s="69">
        <f>IFERROR(ABS(AM$23-AM1130),Q_max*10)</f>
        <v>5500</v>
      </c>
      <c r="AO1131" s="75">
        <f>AM1122</f>
        <v>1382.8594859329398</v>
      </c>
      <c r="AP1131" s="61"/>
      <c r="AQ1131" s="69">
        <f>IFERROR(ABS(AP$23-AP1130),Q_max*10)</f>
        <v>5500</v>
      </c>
      <c r="AR1131" s="75">
        <f>AP1122</f>
        <v>1605.4569328070579</v>
      </c>
      <c r="AS1131" s="61"/>
      <c r="AT1131" s="69">
        <f>IFERROR(ABS(AS$23-AS1130),Q_max*10)</f>
        <v>5500</v>
      </c>
      <c r="AU1131" s="75">
        <f>AS1122</f>
        <v>1827.1597472527519</v>
      </c>
    </row>
    <row r="1132" spans="15:47" ht="14.5" x14ac:dyDescent="0.35">
      <c r="O1132" s="6"/>
      <c r="P1132" s="6"/>
      <c r="Q1132" s="60"/>
      <c r="R1132" s="67"/>
      <c r="S1132" s="58"/>
      <c r="T1132" s="73"/>
      <c r="V1132" s="11"/>
      <c r="W1132" s="38"/>
      <c r="Y1132" s="11"/>
      <c r="Z1132" s="38"/>
      <c r="AB1132" s="11"/>
      <c r="AC1132" s="38"/>
      <c r="AE1132" s="11"/>
      <c r="AF1132" s="38"/>
      <c r="AH1132" s="11"/>
      <c r="AI1132" s="38"/>
      <c r="AK1132" s="11"/>
      <c r="AL1132" s="38"/>
      <c r="AN1132" s="11"/>
      <c r="AO1132" s="38"/>
      <c r="AQ1132" s="11"/>
      <c r="AR1132" s="38"/>
      <c r="AT1132" s="11"/>
      <c r="AU1132" s="38"/>
    </row>
    <row r="1133" spans="15:47" ht="14" x14ac:dyDescent="0.3">
      <c r="O1133" s="8" t="s">
        <v>235</v>
      </c>
      <c r="P1133" s="6"/>
      <c r="Q1133" s="60"/>
      <c r="R1133" s="53">
        <f>R1122*1.02</f>
        <v>5.7957168946018802</v>
      </c>
      <c r="S1133" s="58" t="s">
        <v>238</v>
      </c>
      <c r="T1133" s="73" t="s">
        <v>241</v>
      </c>
      <c r="U1133" s="84">
        <f>U1122*1.01</f>
        <v>76.429018496840214</v>
      </c>
      <c r="V1133" s="58" t="s">
        <v>238</v>
      </c>
      <c r="W1133" s="73" t="s">
        <v>241</v>
      </c>
      <c r="X1133" s="84">
        <f>X1122*1.01</f>
        <v>183.45906478058629</v>
      </c>
      <c r="Y1133" s="58" t="s">
        <v>238</v>
      </c>
      <c r="Z1133" s="73" t="s">
        <v>241</v>
      </c>
      <c r="AA1133" s="84">
        <f>AA1122*1.01</f>
        <v>350.2905902438589</v>
      </c>
      <c r="AB1133" s="58" t="s">
        <v>238</v>
      </c>
      <c r="AC1133" s="73" t="s">
        <v>241</v>
      </c>
      <c r="AD1133" s="84">
        <f>AD1122*1.01</f>
        <v>576.09905160752692</v>
      </c>
      <c r="AE1133" s="58" t="s">
        <v>238</v>
      </c>
      <c r="AF1133" s="73" t="s">
        <v>241</v>
      </c>
      <c r="AG1133" s="84">
        <f>AG1122*1.01</f>
        <v>857.73298489301578</v>
      </c>
      <c r="AH1133" s="58" t="s">
        <v>238</v>
      </c>
      <c r="AI1133" s="73" t="s">
        <v>241</v>
      </c>
      <c r="AJ1133" s="84">
        <f>AJ1122*1.01</f>
        <v>1144.6479933993139</v>
      </c>
      <c r="AK1133" s="58" t="s">
        <v>238</v>
      </c>
      <c r="AL1133" s="73" t="s">
        <v>241</v>
      </c>
      <c r="AM1133" s="84">
        <f>AM1122*1.01</f>
        <v>1396.6880807922691</v>
      </c>
      <c r="AN1133" s="58" t="s">
        <v>238</v>
      </c>
      <c r="AO1133" s="73" t="s">
        <v>241</v>
      </c>
      <c r="AP1133" s="84">
        <f>AP1122*1.01</f>
        <v>1621.5115021351285</v>
      </c>
      <c r="AQ1133" s="58" t="s">
        <v>238</v>
      </c>
      <c r="AR1133" s="73" t="s">
        <v>241</v>
      </c>
      <c r="AS1133" s="84">
        <f>AS1122*1.01</f>
        <v>1845.4313447252794</v>
      </c>
      <c r="AT1133" s="58" t="s">
        <v>238</v>
      </c>
      <c r="AU1133" s="73" t="s">
        <v>241</v>
      </c>
    </row>
    <row r="1134" spans="15:47" ht="13" x14ac:dyDescent="0.25">
      <c r="O1134" s="6"/>
      <c r="P1134" s="6"/>
      <c r="Q1134" s="60"/>
      <c r="R1134" s="70"/>
      <c r="S1134" s="63" t="s">
        <v>250</v>
      </c>
      <c r="T1134" s="71" t="s">
        <v>242</v>
      </c>
      <c r="U1134" s="61"/>
      <c r="V1134" s="63" t="s">
        <v>250</v>
      </c>
      <c r="W1134" s="71" t="s">
        <v>242</v>
      </c>
      <c r="X1134" s="61"/>
      <c r="Y1134" s="63" t="s">
        <v>250</v>
      </c>
      <c r="Z1134" s="71" t="s">
        <v>242</v>
      </c>
      <c r="AA1134" s="61"/>
      <c r="AB1134" s="63" t="s">
        <v>250</v>
      </c>
      <c r="AC1134" s="71" t="s">
        <v>242</v>
      </c>
      <c r="AD1134" s="61"/>
      <c r="AE1134" s="63" t="s">
        <v>250</v>
      </c>
      <c r="AF1134" s="71" t="s">
        <v>242</v>
      </c>
      <c r="AG1134" s="61"/>
      <c r="AH1134" s="63" t="s">
        <v>250</v>
      </c>
      <c r="AI1134" s="71" t="s">
        <v>242</v>
      </c>
      <c r="AJ1134" s="61"/>
      <c r="AK1134" s="63" t="s">
        <v>250</v>
      </c>
      <c r="AL1134" s="71" t="s">
        <v>242</v>
      </c>
      <c r="AM1134" s="61"/>
      <c r="AN1134" s="63" t="s">
        <v>250</v>
      </c>
      <c r="AO1134" s="71" t="s">
        <v>242</v>
      </c>
      <c r="AP1134" s="61"/>
      <c r="AQ1134" s="63" t="s">
        <v>250</v>
      </c>
      <c r="AR1134" s="71" t="s">
        <v>242</v>
      </c>
      <c r="AS1134" s="61"/>
      <c r="AT1134" s="63" t="s">
        <v>250</v>
      </c>
      <c r="AU1134" s="71" t="s">
        <v>242</v>
      </c>
    </row>
    <row r="1135" spans="15:47" ht="13" x14ac:dyDescent="0.3">
      <c r="O1135" s="6" t="s">
        <v>231</v>
      </c>
      <c r="P1135" s="6"/>
      <c r="Q1135" s="60"/>
      <c r="R1135" s="85">
        <f>P_1_minQ-(R1133^2*R_up)+dpup_minQ</f>
        <v>56.91500876952643</v>
      </c>
      <c r="S1135" s="56"/>
      <c r="T1135" s="72"/>
      <c r="U1135" s="53">
        <f>P_1_minQ-(U1133^2*R_up)+dpup_minQ</f>
        <v>56.718865421533593</v>
      </c>
      <c r="V1135" s="44"/>
      <c r="W1135" s="72"/>
      <c r="X1135" s="53">
        <f>P_1_minQ-(X1133^2*R_up)+dpup_minQ</f>
        <v>55.779458681183137</v>
      </c>
      <c r="Y1135" s="44"/>
      <c r="Z1135" s="72"/>
      <c r="AA1135" s="53">
        <f>P_1_minQ-(AA1133^2*R_up)+dpup_minQ</f>
        <v>52.772154758075274</v>
      </c>
      <c r="AB1135" s="44"/>
      <c r="AC1135" s="72"/>
      <c r="AD1135" s="53">
        <f>P_1_minQ-(AD1133^2*R_up)+dpup_minQ</f>
        <v>45.707425962070516</v>
      </c>
      <c r="AE1135" s="44"/>
      <c r="AF1135" s="72"/>
      <c r="AG1135" s="53">
        <f>P_1_minQ-(AG1133^2*R_up)+dpup_minQ</f>
        <v>32.06960913970002</v>
      </c>
      <c r="AH1135" s="44"/>
      <c r="AI1135" s="72"/>
      <c r="AJ1135" s="53">
        <f>P_1_minQ-(AJ1133^2*R_up)+dpup_minQ</f>
        <v>12.666935873249717</v>
      </c>
      <c r="AK1135" s="44"/>
      <c r="AL1135" s="72"/>
      <c r="AM1135" s="53">
        <f>P_1_minQ-(AM1133^2*R_up)+dpup_minQ</f>
        <v>-8.9648968263151723</v>
      </c>
      <c r="AN1135" s="44"/>
      <c r="AO1135" s="72"/>
      <c r="AP1135" s="53">
        <f>P_1_minQ-(AP1133^2*R_up)+dpup_minQ</f>
        <v>-31.881545138686949</v>
      </c>
      <c r="AQ1135" s="44"/>
      <c r="AR1135" s="72"/>
      <c r="AS1135" s="53">
        <f>P_1_minQ-(AS1133^2*R_up)+dpup_minQ</f>
        <v>-58.099623373676231</v>
      </c>
      <c r="AT1135" s="44"/>
      <c r="AU1135" s="72"/>
    </row>
    <row r="1136" spans="15:47" ht="13" x14ac:dyDescent="0.3">
      <c r="O1136" s="6" t="s">
        <v>233</v>
      </c>
      <c r="P1136" s="6"/>
      <c r="Q1136" s="60"/>
      <c r="R1136" s="85">
        <f>P_2_minQ+(R1133^2*R_dn)-dpdn_minQ</f>
        <v>24.656998246094716</v>
      </c>
      <c r="S1136" s="66"/>
      <c r="T1136" s="74"/>
      <c r="U1136" s="53">
        <f>P_2_minQ+(U1133^2*R_dn)-dpdn_minQ</f>
        <v>24.696226915693284</v>
      </c>
      <c r="V1136" s="45"/>
      <c r="W1136" s="74"/>
      <c r="X1136" s="53">
        <f>P_2_minQ+(X1133^2*R_dn)-dpdn_minQ</f>
        <v>24.884108263763373</v>
      </c>
      <c r="Y1136" s="45"/>
      <c r="Z1136" s="74"/>
      <c r="AA1136" s="53">
        <f>P_2_minQ+(AA1133^2*R_dn)-dpdn_minQ</f>
        <v>25.485569048384946</v>
      </c>
      <c r="AB1136" s="45"/>
      <c r="AC1136" s="74"/>
      <c r="AD1136" s="53">
        <f>P_2_minQ+(AD1133^2*R_dn)-dpdn_minQ</f>
        <v>26.898514807585897</v>
      </c>
      <c r="AE1136" s="45"/>
      <c r="AF1136" s="74"/>
      <c r="AG1136" s="53">
        <f>P_2_minQ+(AG1133^2*R_dn)-dpdn_minQ</f>
        <v>29.626078172059998</v>
      </c>
      <c r="AH1136" s="45"/>
      <c r="AI1136" s="74"/>
      <c r="AJ1136" s="53">
        <f>P_2_minQ+(AJ1133^2*R_dn)-dpdn_minQ</f>
        <v>33.506612825350061</v>
      </c>
      <c r="AK1136" s="45"/>
      <c r="AL1136" s="74"/>
      <c r="AM1136" s="53">
        <f>P_2_minQ+(AM1133^2*R_dn)-dpdn_minQ</f>
        <v>37.832979365263043</v>
      </c>
      <c r="AN1136" s="45"/>
      <c r="AO1136" s="74"/>
      <c r="AP1136" s="53">
        <f>P_2_minQ+(AP1133^2*R_dn)-dpdn_minQ</f>
        <v>42.416309027737398</v>
      </c>
      <c r="AQ1136" s="45"/>
      <c r="AR1136" s="74"/>
      <c r="AS1136" s="53">
        <f>P_2_minQ+(AS1133^2*R_dn)-dpdn_minQ</f>
        <v>47.659924674735251</v>
      </c>
      <c r="AT1136" s="45"/>
      <c r="AU1136" s="74"/>
    </row>
    <row r="1137" spans="15:47" x14ac:dyDescent="0.25">
      <c r="O1137" s="6" t="s">
        <v>243</v>
      </c>
      <c r="Q1137" s="60"/>
      <c r="R1137" s="53">
        <f>R1135-R1136</f>
        <v>32.258010523431714</v>
      </c>
      <c r="S1137" s="56"/>
      <c r="T1137" s="72"/>
      <c r="U1137" s="64">
        <f>U1135-U1136</f>
        <v>32.022638505840305</v>
      </c>
      <c r="V1137" s="44"/>
      <c r="W1137" s="72"/>
      <c r="X1137" s="64">
        <f>X1135-X1136</f>
        <v>30.895350417419763</v>
      </c>
      <c r="Y1137" s="44"/>
      <c r="Z1137" s="72"/>
      <c r="AA1137" s="64">
        <f>AA1135-AA1136</f>
        <v>27.286585709690328</v>
      </c>
      <c r="AB1137" s="44"/>
      <c r="AC1137" s="72"/>
      <c r="AD1137" s="64">
        <f>AD1135-AD1136</f>
        <v>18.808911154484619</v>
      </c>
      <c r="AE1137" s="44"/>
      <c r="AF1137" s="72"/>
      <c r="AG1137" s="64">
        <f>AG1135-AG1136</f>
        <v>2.4435309676400223</v>
      </c>
      <c r="AH1137" s="44"/>
      <c r="AI1137" s="72"/>
      <c r="AJ1137" s="64">
        <f>AJ1135-AJ1136</f>
        <v>-20.839676952100344</v>
      </c>
      <c r="AK1137" s="44"/>
      <c r="AL1137" s="72"/>
      <c r="AM1137" s="64">
        <f>AM1135-AM1136</f>
        <v>-46.797876191578212</v>
      </c>
      <c r="AN1137" s="44"/>
      <c r="AO1137" s="72"/>
      <c r="AP1137" s="64">
        <f>AP1135-AP1136</f>
        <v>-74.297854166424344</v>
      </c>
      <c r="AQ1137" s="44"/>
      <c r="AR1137" s="72"/>
      <c r="AS1137" s="64">
        <f>AS1135-AS1136</f>
        <v>-105.75954804841149</v>
      </c>
      <c r="AT1137" s="44"/>
      <c r="AU1137" s="72"/>
    </row>
    <row r="1138" spans="15:47" ht="13" x14ac:dyDescent="0.3">
      <c r="O1138" s="6" t="s">
        <v>75</v>
      </c>
      <c r="P1138" s="6">
        <v>3</v>
      </c>
      <c r="Q1138" s="65"/>
      <c r="R1138" s="85">
        <f>(F_LP_h/F_P_h)^2*(R1135-('Valve Sizing'!$V$4*'Valve Sizing'!$G$7))</f>
        <v>46.764223877989679</v>
      </c>
      <c r="S1138" s="58"/>
      <c r="T1138" s="73"/>
      <c r="U1138" s="53">
        <f>(U$29/U$27)^2*(U1135-('Valve Sizing'!$V$4*'Valve Sizing'!$G$7))</f>
        <v>46.589105162919196</v>
      </c>
      <c r="V1138" s="41"/>
      <c r="W1138" s="73"/>
      <c r="X1138" s="53">
        <f>(X$29/X$27)^2*(X1135-('Valve Sizing'!$V$4*'Valve Sizing'!$G$7))</f>
        <v>44.77807360784125</v>
      </c>
      <c r="Y1138" s="41"/>
      <c r="Z1138" s="73"/>
      <c r="AA1138" s="53">
        <f>(AA$29/AA$27)^2*(AA1135-('Valve Sizing'!$V$4*'Valve Sizing'!$G$7))</f>
        <v>40.442099218061628</v>
      </c>
      <c r="AB1138" s="41"/>
      <c r="AC1138" s="73"/>
      <c r="AD1138" s="53">
        <f>(AD$29/AD$27)^2*(AD1135-('Valve Sizing'!$V$4*'Valve Sizing'!$G$7))</f>
        <v>32.646255968975531</v>
      </c>
      <c r="AE1138" s="41"/>
      <c r="AF1138" s="73"/>
      <c r="AG1138" s="53">
        <f>(AG$29/AG$27)^2*(AG1135-('Valve Sizing'!$V$4*'Valve Sizing'!$G$7))</f>
        <v>20.370821303364743</v>
      </c>
      <c r="AH1138" s="41"/>
      <c r="AI1138" s="73"/>
      <c r="AJ1138" s="53">
        <f>(AJ$29/AJ$27)^2*(AJ1135-('Valve Sizing'!$V$4*'Valve Sizing'!$G$7))</f>
        <v>7.0715902857387452</v>
      </c>
      <c r="AK1138" s="41"/>
      <c r="AL1138" s="73"/>
      <c r="AM1138" s="53">
        <f>(AM$29/AM$27)^2*(AM1135-('Valve Sizing'!$V$4*'Valve Sizing'!$G$7))</f>
        <v>-4.5000087914654374</v>
      </c>
      <c r="AN1138" s="41"/>
      <c r="AO1138" s="73"/>
      <c r="AP1138" s="53">
        <f>(AP$29/AP$27)^2*(AP1135-('Valve Sizing'!$V$4*'Valve Sizing'!$G$7))</f>
        <v>-12.754971571119995</v>
      </c>
      <c r="AQ1138" s="41"/>
      <c r="AR1138" s="73"/>
      <c r="AS1138" s="53">
        <f>(AS$29/AS$27)^2*(AS1135-('Valve Sizing'!$V$4*'Valve Sizing'!$G$7))</f>
        <v>-22.019162113961443</v>
      </c>
      <c r="AT1138" s="41"/>
      <c r="AU1138" s="73"/>
    </row>
    <row r="1139" spans="15:47" ht="13" x14ac:dyDescent="0.25">
      <c r="O1139" s="1" t="s">
        <v>69</v>
      </c>
      <c r="P1139" s="17">
        <v>7</v>
      </c>
      <c r="Q1139" s="65"/>
      <c r="R1139" s="53">
        <f>(R1133/(N_1*F_P_h))*SQRT('Valve Sizing'!$G$6/R1137)</f>
        <v>1.0205913947383949</v>
      </c>
      <c r="S1139" s="58"/>
      <c r="T1139" s="73"/>
      <c r="U1139" s="64">
        <f>(U1133/(N_1*U$27))*SQRT('Valve Sizing'!$G$6/U1137)</f>
        <v>13.517469441554622</v>
      </c>
      <c r="V1139" s="41"/>
      <c r="W1139" s="73"/>
      <c r="X1139" s="64">
        <f>(X1133/(N_1*X$27))*SQRT('Valve Sizing'!$G$6/X1137)</f>
        <v>33.107998758944433</v>
      </c>
      <c r="Y1139" s="41"/>
      <c r="Z1139" s="73"/>
      <c r="AA1139" s="64">
        <f>(AA1133/(N_1*AA$27))*SQRT('Valve Sizing'!$G$6/AA1137)</f>
        <v>67.652759433987896</v>
      </c>
      <c r="AB1139" s="41"/>
      <c r="AC1139" s="73"/>
      <c r="AD1139" s="64">
        <f>(AD1133/(N_1*AD$27))*SQRT('Valve Sizing'!$G$6/AD1137)</f>
        <v>135.69760364435979</v>
      </c>
      <c r="AE1139" s="41"/>
      <c r="AF1139" s="73"/>
      <c r="AG1139" s="64">
        <f>(AG1133/(N_1*AG$27))*SQRT('Valve Sizing'!$G$6/AG1137)</f>
        <v>573.03776270009553</v>
      </c>
      <c r="AH1139" s="41"/>
      <c r="AI1139" s="73"/>
      <c r="AJ1139" s="64" t="e">
        <f>(AJ1133/(N_1*AJ$27))*SQRT('Valve Sizing'!$G$6/AJ1137)</f>
        <v>#NUM!</v>
      </c>
      <c r="AK1139" s="41"/>
      <c r="AL1139" s="73"/>
      <c r="AM1139" s="64" t="e">
        <f>(AM1133/(N_1*AM$27))*SQRT('Valve Sizing'!$G$6/AM1137)</f>
        <v>#NUM!</v>
      </c>
      <c r="AN1139" s="41"/>
      <c r="AO1139" s="73"/>
      <c r="AP1139" s="64" t="e">
        <f>(AP1133/(N_1*AP$27))*SQRT('Valve Sizing'!$G$6/AP1137)</f>
        <v>#NUM!</v>
      </c>
      <c r="AQ1139" s="41"/>
      <c r="AR1139" s="73"/>
      <c r="AS1139" s="64" t="e">
        <f>(AS1133/(N_1*AS$27))*SQRT('Valve Sizing'!$G$6/AS1137)</f>
        <v>#NUM!</v>
      </c>
      <c r="AT1139" s="41"/>
      <c r="AU1139" s="73"/>
    </row>
    <row r="1140" spans="15:47" ht="13" x14ac:dyDescent="0.3">
      <c r="O1140" s="1" t="s">
        <v>72</v>
      </c>
      <c r="P1140" s="17">
        <v>7</v>
      </c>
      <c r="Q1140" s="65"/>
      <c r="R1140" s="53">
        <f>(R1133/(N_1*F_P_h))*SQRT('Valve Sizing'!$G$6/R1138)</f>
        <v>0.84764465208569395</v>
      </c>
      <c r="S1140" s="56"/>
      <c r="T1140" s="72"/>
      <c r="U1140" s="85">
        <f>(U1133/(N_1*U$27))*SQRT('Valve Sizing'!$G$6/U1138)</f>
        <v>11.206803789880665</v>
      </c>
      <c r="V1140" s="44"/>
      <c r="W1140" s="72"/>
      <c r="X1140" s="85">
        <f>(X1133/(N_1*X$27))*SQRT('Valve Sizing'!$G$6/X1138)</f>
        <v>27.500892598062851</v>
      </c>
      <c r="Y1140" s="44"/>
      <c r="Z1140" s="72"/>
      <c r="AA1140" s="85">
        <f>(AA1133/(N_1*AA$27))*SQRT('Valve Sizing'!$G$6/AA1138)</f>
        <v>55.570367483902729</v>
      </c>
      <c r="AB1140" s="44"/>
      <c r="AC1140" s="72"/>
      <c r="AD1140" s="85">
        <f>(AD1133/(N_1*AD$27))*SQRT('Valve Sizing'!$G$6/AD1138)</f>
        <v>103.00002143147283</v>
      </c>
      <c r="AE1140" s="44"/>
      <c r="AF1140" s="72"/>
      <c r="AG1140" s="85">
        <f>(AG1133/(N_1*AG$27))*SQRT('Valve Sizing'!$G$6/AG1138)</f>
        <v>198.46681340076262</v>
      </c>
      <c r="AH1140" s="44"/>
      <c r="AI1140" s="72"/>
      <c r="AJ1140" s="85">
        <f>(AJ1133/(N_1*AJ$27))*SQRT('Valve Sizing'!$G$6/AJ1138)</f>
        <v>465.86341315955286</v>
      </c>
      <c r="AK1140" s="44"/>
      <c r="AL1140" s="72"/>
      <c r="AM1140" s="85" t="e">
        <f>(AM1133/(N_1*AM$27))*SQRT('Valve Sizing'!$G$6/AM1138)</f>
        <v>#NUM!</v>
      </c>
      <c r="AN1140" s="44"/>
      <c r="AO1140" s="72"/>
      <c r="AP1140" s="85" t="e">
        <f>(AP1133/(N_1*AP$27))*SQRT('Valve Sizing'!$G$6/AP1138)</f>
        <v>#NUM!</v>
      </c>
      <c r="AQ1140" s="44"/>
      <c r="AR1140" s="72"/>
      <c r="AS1140" s="85" t="e">
        <f>(AS1133/(N_1*AS$27))*SQRT('Valve Sizing'!$G$6/AS1138)</f>
        <v>#NUM!</v>
      </c>
      <c r="AT1140" s="44"/>
      <c r="AU1140" s="72"/>
    </row>
    <row r="1141" spans="15:47" x14ac:dyDescent="0.25">
      <c r="O1141" s="1" t="s">
        <v>246</v>
      </c>
      <c r="P1141" s="18"/>
      <c r="Q1141" s="65"/>
      <c r="R1141" s="53">
        <f>IF(R1137&lt;R1138,R1139,R1140)</f>
        <v>1.0205913947383949</v>
      </c>
      <c r="S1141" s="49"/>
      <c r="T1141" s="72"/>
      <c r="U1141" s="64">
        <f>IF(U1137&lt;U1138,U1139,U1140)</f>
        <v>13.517469441554622</v>
      </c>
      <c r="V1141" s="44"/>
      <c r="W1141" s="72"/>
      <c r="X1141" s="64">
        <f>IF(X1137&lt;X1138,X1139,X1140)</f>
        <v>33.107998758944433</v>
      </c>
      <c r="Y1141" s="44"/>
      <c r="Z1141" s="72"/>
      <c r="AA1141" s="64">
        <f>IF(AA1137&lt;AA1138,AA1139,AA1140)</f>
        <v>67.652759433987896</v>
      </c>
      <c r="AB1141" s="44"/>
      <c r="AC1141" s="72"/>
      <c r="AD1141" s="64">
        <f>IF(AD1137&lt;AD1138,AD1139,AD1140)</f>
        <v>135.69760364435979</v>
      </c>
      <c r="AE1141" s="44"/>
      <c r="AF1141" s="72"/>
      <c r="AG1141" s="64">
        <f>IF(AG1137&lt;AG1138,AG1139,AG1140)</f>
        <v>573.03776270009553</v>
      </c>
      <c r="AH1141" s="44"/>
      <c r="AI1141" s="72"/>
      <c r="AJ1141" s="64" t="e">
        <f>IF(AJ1137&lt;AJ1138,AJ1139,AJ1140)</f>
        <v>#NUM!</v>
      </c>
      <c r="AK1141" s="44"/>
      <c r="AL1141" s="72"/>
      <c r="AM1141" s="64" t="e">
        <f>IF(AM1137&lt;AM1138,AM1139,AM1140)</f>
        <v>#NUM!</v>
      </c>
      <c r="AN1141" s="44"/>
      <c r="AO1141" s="72"/>
      <c r="AP1141" s="64" t="e">
        <f>IF(AP1137&lt;AP1138,AP1139,AP1140)</f>
        <v>#NUM!</v>
      </c>
      <c r="AQ1141" s="44"/>
      <c r="AR1141" s="72"/>
      <c r="AS1141" s="64" t="e">
        <f>IF(AS1137&lt;AS1138,AS1139,AS1140)</f>
        <v>#NUM!</v>
      </c>
      <c r="AT1141" s="44"/>
      <c r="AU1141" s="72"/>
    </row>
    <row r="1142" spans="15:47" ht="13" x14ac:dyDescent="0.3">
      <c r="O1142" s="7" t="s">
        <v>264</v>
      </c>
      <c r="Q1142" s="61"/>
      <c r="R1142" s="53"/>
      <c r="S1142" s="69">
        <f>IFERROR(ABS(C_h-R1141),Q_max*10)</f>
        <v>3.9794086052616051</v>
      </c>
      <c r="T1142" s="76">
        <f>R1133</f>
        <v>5.7957168946018802</v>
      </c>
      <c r="U1142" s="61"/>
      <c r="V1142" s="69">
        <f>IFERROR(ABS(U$23-U1141),Q_max*10)</f>
        <v>1.5174694415546224</v>
      </c>
      <c r="W1142" s="75">
        <f>U1133</f>
        <v>76.429018496840214</v>
      </c>
      <c r="X1142" s="61"/>
      <c r="Y1142" s="69">
        <f>IFERROR(ABS(X$23-X1141),Q_max*10)</f>
        <v>10.107998758944433</v>
      </c>
      <c r="Z1142" s="75">
        <f>X1133</f>
        <v>183.45906478058629</v>
      </c>
      <c r="AA1142" s="61"/>
      <c r="AB1142" s="69">
        <f>IFERROR(ABS(AA$23-AA1141),Q_max*10)</f>
        <v>28.652759433987896</v>
      </c>
      <c r="AC1142" s="75">
        <f>AA1133</f>
        <v>350.2905902438589</v>
      </c>
      <c r="AD1142" s="61"/>
      <c r="AE1142" s="69">
        <f>IFERROR(ABS(AD$23-AD1141),Q_max*10)</f>
        <v>74.697603644359788</v>
      </c>
      <c r="AF1142" s="75">
        <f>AD1133</f>
        <v>576.09905160752692</v>
      </c>
      <c r="AG1142" s="61"/>
      <c r="AH1142" s="69">
        <f>IFERROR(ABS(AG$23-AG1141),Q_max*10)</f>
        <v>485.03776270009553</v>
      </c>
      <c r="AI1142" s="75">
        <f>AG1133</f>
        <v>857.73298489301578</v>
      </c>
      <c r="AJ1142" s="61"/>
      <c r="AK1142" s="69">
        <f>IFERROR(ABS(AJ$23-AJ1141),Q_max*10)</f>
        <v>5500</v>
      </c>
      <c r="AL1142" s="75">
        <f>AJ1133</f>
        <v>1144.6479933993139</v>
      </c>
      <c r="AM1142" s="61"/>
      <c r="AN1142" s="69">
        <f>IFERROR(ABS(AM$23-AM1141),Q_max*10)</f>
        <v>5500</v>
      </c>
      <c r="AO1142" s="75">
        <f>AM1133</f>
        <v>1396.6880807922691</v>
      </c>
      <c r="AP1142" s="61"/>
      <c r="AQ1142" s="69">
        <f>IFERROR(ABS(AP$23-AP1141),Q_max*10)</f>
        <v>5500</v>
      </c>
      <c r="AR1142" s="75">
        <f>AP1133</f>
        <v>1621.5115021351285</v>
      </c>
      <c r="AS1142" s="61"/>
      <c r="AT1142" s="69">
        <f>IFERROR(ABS(AS$23-AS1141),Q_max*10)</f>
        <v>5500</v>
      </c>
      <c r="AU1142" s="75">
        <f>AS1133</f>
        <v>1845.4313447252794</v>
      </c>
    </row>
    <row r="1143" spans="15:47" ht="14.5" x14ac:dyDescent="0.35">
      <c r="O1143" s="8"/>
      <c r="P1143" s="6"/>
      <c r="Q1143" s="60"/>
      <c r="R1143" s="67"/>
      <c r="S1143" s="56"/>
      <c r="T1143" s="72"/>
      <c r="V1143" s="11"/>
      <c r="W1143" s="38"/>
      <c r="Y1143" s="11"/>
      <c r="Z1143" s="38"/>
      <c r="AB1143" s="11"/>
      <c r="AC1143" s="38"/>
      <c r="AE1143" s="11"/>
      <c r="AF1143" s="38"/>
      <c r="AH1143" s="11"/>
      <c r="AI1143" s="38"/>
      <c r="AK1143" s="11"/>
      <c r="AL1143" s="38"/>
      <c r="AN1143" s="11"/>
      <c r="AO1143" s="38"/>
      <c r="AQ1143" s="11"/>
      <c r="AR1143" s="38"/>
      <c r="AT1143" s="11"/>
      <c r="AU1143" s="38"/>
    </row>
    <row r="1144" spans="15:47" ht="14" x14ac:dyDescent="0.3">
      <c r="O1144" s="8" t="s">
        <v>235</v>
      </c>
      <c r="P1144" s="6"/>
      <c r="Q1144" s="60"/>
      <c r="R1144" s="53">
        <f>R1133*1.02</f>
        <v>5.9116312324939182</v>
      </c>
      <c r="S1144" s="58" t="s">
        <v>238</v>
      </c>
      <c r="T1144" s="73" t="s">
        <v>241</v>
      </c>
      <c r="U1144" s="84">
        <f>U1133*1.01</f>
        <v>77.193308681808617</v>
      </c>
      <c r="V1144" s="58" t="s">
        <v>238</v>
      </c>
      <c r="W1144" s="73" t="s">
        <v>241</v>
      </c>
      <c r="X1144" s="84">
        <f>X1133*1.01</f>
        <v>185.29365542839216</v>
      </c>
      <c r="Y1144" s="58" t="s">
        <v>238</v>
      </c>
      <c r="Z1144" s="73" t="s">
        <v>241</v>
      </c>
      <c r="AA1144" s="84">
        <f>AA1133*1.01</f>
        <v>353.79349614629751</v>
      </c>
      <c r="AB1144" s="58" t="s">
        <v>238</v>
      </c>
      <c r="AC1144" s="73" t="s">
        <v>241</v>
      </c>
      <c r="AD1144" s="84">
        <f>AD1133*1.01</f>
        <v>581.86004212360217</v>
      </c>
      <c r="AE1144" s="58" t="s">
        <v>238</v>
      </c>
      <c r="AF1144" s="73" t="s">
        <v>241</v>
      </c>
      <c r="AG1144" s="84">
        <f>AG1133*1.01</f>
        <v>866.31031474194594</v>
      </c>
      <c r="AH1144" s="58" t="s">
        <v>238</v>
      </c>
      <c r="AI1144" s="73" t="s">
        <v>241</v>
      </c>
      <c r="AJ1144" s="84">
        <f>AJ1133*1.01</f>
        <v>1156.0944733333072</v>
      </c>
      <c r="AK1144" s="58" t="s">
        <v>238</v>
      </c>
      <c r="AL1144" s="73" t="s">
        <v>241</v>
      </c>
      <c r="AM1144" s="84">
        <f>AM1133*1.01</f>
        <v>1410.6549616001919</v>
      </c>
      <c r="AN1144" s="58" t="s">
        <v>238</v>
      </c>
      <c r="AO1144" s="73" t="s">
        <v>241</v>
      </c>
      <c r="AP1144" s="84">
        <f>AP1133*1.01</f>
        <v>1637.7266171564797</v>
      </c>
      <c r="AQ1144" s="58" t="s">
        <v>238</v>
      </c>
      <c r="AR1144" s="73" t="s">
        <v>241</v>
      </c>
      <c r="AS1144" s="84">
        <f>AS1133*1.01</f>
        <v>1863.8856581725322</v>
      </c>
      <c r="AT1144" s="58" t="s">
        <v>238</v>
      </c>
      <c r="AU1144" s="73" t="s">
        <v>241</v>
      </c>
    </row>
    <row r="1145" spans="15:47" ht="13" x14ac:dyDescent="0.25">
      <c r="O1145" s="6"/>
      <c r="P1145" s="6"/>
      <c r="Q1145" s="60"/>
      <c r="R1145" s="70"/>
      <c r="S1145" s="63" t="s">
        <v>250</v>
      </c>
      <c r="T1145" s="71" t="s">
        <v>242</v>
      </c>
      <c r="U1145" s="61"/>
      <c r="V1145" s="63" t="s">
        <v>250</v>
      </c>
      <c r="W1145" s="71" t="s">
        <v>242</v>
      </c>
      <c r="X1145" s="61"/>
      <c r="Y1145" s="63" t="s">
        <v>250</v>
      </c>
      <c r="Z1145" s="71" t="s">
        <v>242</v>
      </c>
      <c r="AA1145" s="61"/>
      <c r="AB1145" s="63" t="s">
        <v>250</v>
      </c>
      <c r="AC1145" s="71" t="s">
        <v>242</v>
      </c>
      <c r="AD1145" s="61"/>
      <c r="AE1145" s="63" t="s">
        <v>250</v>
      </c>
      <c r="AF1145" s="71" t="s">
        <v>242</v>
      </c>
      <c r="AG1145" s="61"/>
      <c r="AH1145" s="63" t="s">
        <v>250</v>
      </c>
      <c r="AI1145" s="71" t="s">
        <v>242</v>
      </c>
      <c r="AJ1145" s="61"/>
      <c r="AK1145" s="63" t="s">
        <v>250</v>
      </c>
      <c r="AL1145" s="71" t="s">
        <v>242</v>
      </c>
      <c r="AM1145" s="61"/>
      <c r="AN1145" s="63" t="s">
        <v>250</v>
      </c>
      <c r="AO1145" s="71" t="s">
        <v>242</v>
      </c>
      <c r="AP1145" s="61"/>
      <c r="AQ1145" s="63" t="s">
        <v>250</v>
      </c>
      <c r="AR1145" s="71" t="s">
        <v>242</v>
      </c>
      <c r="AS1145" s="61"/>
      <c r="AT1145" s="63" t="s">
        <v>250</v>
      </c>
      <c r="AU1145" s="71" t="s">
        <v>242</v>
      </c>
    </row>
    <row r="1146" spans="15:47" ht="13" x14ac:dyDescent="0.3">
      <c r="O1146" s="6" t="s">
        <v>231</v>
      </c>
      <c r="P1146" s="6"/>
      <c r="Q1146" s="60"/>
      <c r="R1146" s="85">
        <f>P_1_minQ-(R1144^2*R_up)+dpup_minQ</f>
        <v>56.91496293874269</v>
      </c>
      <c r="S1146" s="56"/>
      <c r="T1146" s="72"/>
      <c r="U1146" s="53">
        <f>P_1_minQ-(U1144^2*R_up)+dpup_minQ</f>
        <v>56.7149001382896</v>
      </c>
      <c r="V1146" s="44"/>
      <c r="W1146" s="72"/>
      <c r="X1146" s="53">
        <f>P_1_minQ-(X1144^2*R_up)+dpup_minQ</f>
        <v>55.756611322458099</v>
      </c>
      <c r="Y1146" s="44"/>
      <c r="Z1146" s="72"/>
      <c r="AA1146" s="53">
        <f>P_1_minQ-(AA1144^2*R_up)+dpup_minQ</f>
        <v>52.688860590495771</v>
      </c>
      <c r="AB1146" s="44"/>
      <c r="AC1146" s="72"/>
      <c r="AD1146" s="53">
        <f>P_1_minQ-(AD1144^2*R_up)+dpup_minQ</f>
        <v>45.482130745691315</v>
      </c>
      <c r="AE1146" s="44"/>
      <c r="AF1146" s="72"/>
      <c r="AG1146" s="53">
        <f>P_1_minQ-(AG1144^2*R_up)+dpup_minQ</f>
        <v>31.570193805191174</v>
      </c>
      <c r="AH1146" s="44"/>
      <c r="AI1146" s="72"/>
      <c r="AJ1146" s="53">
        <f>P_1_minQ-(AJ1144^2*R_up)+dpup_minQ</f>
        <v>11.777526806085216</v>
      </c>
      <c r="AK1146" s="44"/>
      <c r="AL1146" s="72"/>
      <c r="AM1146" s="53">
        <f>P_1_minQ-(AM1144^2*R_up)+dpup_minQ</f>
        <v>-10.289105730740932</v>
      </c>
      <c r="AN1146" s="44"/>
      <c r="AO1146" s="72"/>
      <c r="AP1146" s="53">
        <f>P_1_minQ-(AP1144^2*R_up)+dpup_minQ</f>
        <v>-33.666378674191371</v>
      </c>
      <c r="AQ1146" s="44"/>
      <c r="AR1146" s="72"/>
      <c r="AS1146" s="53">
        <f>P_1_minQ-(AS1144^2*R_up)+dpup_minQ</f>
        <v>-60.411440281703939</v>
      </c>
      <c r="AT1146" s="44"/>
      <c r="AU1146" s="72"/>
    </row>
    <row r="1147" spans="15:47" ht="13" x14ac:dyDescent="0.3">
      <c r="O1147" s="6" t="s">
        <v>233</v>
      </c>
      <c r="P1147" s="6"/>
      <c r="Q1147" s="60"/>
      <c r="R1147" s="85">
        <f>P_2_minQ+(R1144^2*R_dn)-dpdn_minQ</f>
        <v>24.657007412251463</v>
      </c>
      <c r="S1147" s="66"/>
      <c r="T1147" s="74"/>
      <c r="U1147" s="53">
        <f>P_2_minQ+(U1144^2*R_dn)-dpdn_minQ</f>
        <v>24.69701997234208</v>
      </c>
      <c r="V1147" s="45"/>
      <c r="W1147" s="74"/>
      <c r="X1147" s="53">
        <f>P_2_minQ+(X1144^2*R_dn)-dpdn_minQ</f>
        <v>24.888677735508381</v>
      </c>
      <c r="Y1147" s="45"/>
      <c r="Z1147" s="74"/>
      <c r="AA1147" s="53">
        <f>P_2_minQ+(AA1144^2*R_dn)-dpdn_minQ</f>
        <v>25.502227881900847</v>
      </c>
      <c r="AB1147" s="45"/>
      <c r="AC1147" s="74"/>
      <c r="AD1147" s="53">
        <f>P_2_minQ+(AD1144^2*R_dn)-dpdn_minQ</f>
        <v>26.943573850861739</v>
      </c>
      <c r="AE1147" s="45"/>
      <c r="AF1147" s="74"/>
      <c r="AG1147" s="53">
        <f>P_2_minQ+(AG1144^2*R_dn)-dpdn_minQ</f>
        <v>29.725961238961766</v>
      </c>
      <c r="AH1147" s="45"/>
      <c r="AI1147" s="74"/>
      <c r="AJ1147" s="53">
        <f>P_2_minQ+(AJ1144^2*R_dn)-dpdn_minQ</f>
        <v>33.684494638782965</v>
      </c>
      <c r="AK1147" s="45"/>
      <c r="AL1147" s="74"/>
      <c r="AM1147" s="53">
        <f>P_2_minQ+(AM1144^2*R_dn)-dpdn_minQ</f>
        <v>38.097821146148192</v>
      </c>
      <c r="AN1147" s="45"/>
      <c r="AO1147" s="74"/>
      <c r="AP1147" s="53">
        <f>P_2_minQ+(AP1144^2*R_dn)-dpdn_minQ</f>
        <v>42.773275734838279</v>
      </c>
      <c r="AQ1147" s="45"/>
      <c r="AR1147" s="74"/>
      <c r="AS1147" s="53">
        <f>P_2_minQ+(AS1144^2*R_dn)-dpdn_minQ</f>
        <v>48.122288056340793</v>
      </c>
      <c r="AT1147" s="45"/>
      <c r="AU1147" s="74"/>
    </row>
    <row r="1148" spans="15:47" x14ac:dyDescent="0.25">
      <c r="O1148" s="6" t="s">
        <v>243</v>
      </c>
      <c r="Q1148" s="60"/>
      <c r="R1148" s="53">
        <f>R1146-R1147</f>
        <v>32.25795552649123</v>
      </c>
      <c r="S1148" s="56"/>
      <c r="T1148" s="72"/>
      <c r="U1148" s="64">
        <f>U1146-U1147</f>
        <v>32.017880165947517</v>
      </c>
      <c r="V1148" s="44"/>
      <c r="W1148" s="72"/>
      <c r="X1148" s="64">
        <f>X1146-X1147</f>
        <v>30.867933586949718</v>
      </c>
      <c r="Y1148" s="44"/>
      <c r="Z1148" s="72"/>
      <c r="AA1148" s="64">
        <f>AA1146-AA1147</f>
        <v>27.186632708594924</v>
      </c>
      <c r="AB1148" s="44"/>
      <c r="AC1148" s="72"/>
      <c r="AD1148" s="64">
        <f>AD1146-AD1147</f>
        <v>18.538556894829576</v>
      </c>
      <c r="AE1148" s="44"/>
      <c r="AF1148" s="72"/>
      <c r="AG1148" s="64">
        <f>AG1146-AG1147</f>
        <v>1.8442325662294081</v>
      </c>
      <c r="AH1148" s="44"/>
      <c r="AI1148" s="72"/>
      <c r="AJ1148" s="64">
        <f>AJ1146-AJ1147</f>
        <v>-21.906967832697749</v>
      </c>
      <c r="AK1148" s="44"/>
      <c r="AL1148" s="72"/>
      <c r="AM1148" s="64">
        <f>AM1146-AM1147</f>
        <v>-48.38692687688912</v>
      </c>
      <c r="AN1148" s="44"/>
      <c r="AO1148" s="72"/>
      <c r="AP1148" s="64">
        <f>AP1146-AP1147</f>
        <v>-76.439654409029657</v>
      </c>
      <c r="AQ1148" s="44"/>
      <c r="AR1148" s="72"/>
      <c r="AS1148" s="64">
        <f>AS1146-AS1147</f>
        <v>-108.53372833804474</v>
      </c>
      <c r="AT1148" s="44"/>
      <c r="AU1148" s="72"/>
    </row>
    <row r="1149" spans="15:47" ht="13" x14ac:dyDescent="0.3">
      <c r="O1149" s="6" t="s">
        <v>75</v>
      </c>
      <c r="P1149" s="6">
        <v>3</v>
      </c>
      <c r="Q1149" s="65"/>
      <c r="R1149" s="85">
        <f>(F_LP_h/F_P_h)^2*(R1146-('Valve Sizing'!$V$4*'Valve Sizing'!$G$7))</f>
        <v>46.764185927695081</v>
      </c>
      <c r="S1149" s="58"/>
      <c r="T1149" s="73"/>
      <c r="U1149" s="53">
        <f>(U$29/U$27)^2*(U1146-('Valve Sizing'!$V$4*'Valve Sizing'!$G$7))</f>
        <v>46.585822595191978</v>
      </c>
      <c r="V1149" s="41"/>
      <c r="W1149" s="73"/>
      <c r="X1149" s="53">
        <f>(X$29/X$27)^2*(X1146-('Valve Sizing'!$V$4*'Valve Sizing'!$G$7))</f>
        <v>44.759586586080594</v>
      </c>
      <c r="Y1149" s="41"/>
      <c r="Z1149" s="73"/>
      <c r="AA1149" s="53">
        <f>(AA$29/AA$27)^2*(AA1146-('Valve Sizing'!$V$4*'Valve Sizing'!$G$7))</f>
        <v>40.377729716801248</v>
      </c>
      <c r="AB1149" s="41"/>
      <c r="AC1149" s="73"/>
      <c r="AD1149" s="53">
        <f>(AD$29/AD$27)^2*(AD1146-('Valve Sizing'!$V$4*'Valve Sizing'!$G$7))</f>
        <v>32.483775896025932</v>
      </c>
      <c r="AE1149" s="41"/>
      <c r="AF1149" s="73"/>
      <c r="AG1149" s="53">
        <f>(AG$29/AG$27)^2*(AG1146-('Valve Sizing'!$V$4*'Valve Sizing'!$G$7))</f>
        <v>20.049175878046235</v>
      </c>
      <c r="AH1149" s="41"/>
      <c r="AI1149" s="73"/>
      <c r="AJ1149" s="53">
        <f>(AJ$29/AJ$27)^2*(AJ1146-('Valve Sizing'!$V$4*'Valve Sizing'!$G$7))</f>
        <v>6.5571878017750365</v>
      </c>
      <c r="AK1149" s="41"/>
      <c r="AL1149" s="73"/>
      <c r="AM1149" s="53">
        <f>(AM$29/AM$27)^2*(AM1146-('Valve Sizing'!$V$4*'Valve Sizing'!$G$7))</f>
        <v>-5.133605872094213</v>
      </c>
      <c r="AN1149" s="41"/>
      <c r="AO1149" s="73"/>
      <c r="AP1149" s="53">
        <f>(AP$29/AP$27)^2*(AP1146-('Valve Sizing'!$V$4*'Valve Sizing'!$G$7))</f>
        <v>-13.459314766598983</v>
      </c>
      <c r="AQ1149" s="41"/>
      <c r="AR1149" s="73"/>
      <c r="AS1149" s="53">
        <f>(AS$29/AS$27)^2*(AS1146-('Valve Sizing'!$V$4*'Valve Sizing'!$G$7))</f>
        <v>-22.888730761569622</v>
      </c>
      <c r="AT1149" s="41"/>
      <c r="AU1149" s="73"/>
    </row>
    <row r="1150" spans="15:47" ht="13" x14ac:dyDescent="0.25">
      <c r="O1150" s="1" t="s">
        <v>69</v>
      </c>
      <c r="P1150" s="17">
        <v>7</v>
      </c>
      <c r="Q1150" s="65"/>
      <c r="R1150" s="53">
        <f>(R1144/(N_1*F_P_h))*SQRT('Valve Sizing'!$G$6/R1148)</f>
        <v>1.0410041100416629</v>
      </c>
      <c r="S1150" s="58"/>
      <c r="T1150" s="73"/>
      <c r="U1150" s="64">
        <f>(U1144/(N_1*U$27))*SQRT('Valve Sizing'!$G$6/U1148)</f>
        <v>13.653658592695944</v>
      </c>
      <c r="V1150" s="41"/>
      <c r="W1150" s="73"/>
      <c r="X1150" s="64">
        <f>(X1144/(N_1*X$27))*SQRT('Valve Sizing'!$G$6/X1148)</f>
        <v>33.453925708468347</v>
      </c>
      <c r="Y1150" s="41"/>
      <c r="Z1150" s="73"/>
      <c r="AA1150" s="64">
        <f>(AA1144/(N_1*AA$27))*SQRT('Valve Sizing'!$G$6/AA1148)</f>
        <v>68.454779792347324</v>
      </c>
      <c r="AB1150" s="41"/>
      <c r="AC1150" s="73"/>
      <c r="AD1150" s="64">
        <f>(AD1144/(N_1*AD$27))*SQRT('Valve Sizing'!$G$6/AD1148)</f>
        <v>138.05031995088291</v>
      </c>
      <c r="AE1150" s="41"/>
      <c r="AF1150" s="73"/>
      <c r="AG1150" s="64">
        <f>(AG1144/(N_1*AG$27))*SQRT('Valve Sizing'!$G$6/AG1148)</f>
        <v>666.2016387481948</v>
      </c>
      <c r="AH1150" s="41"/>
      <c r="AI1150" s="73"/>
      <c r="AJ1150" s="64" t="e">
        <f>(AJ1144/(N_1*AJ$27))*SQRT('Valve Sizing'!$G$6/AJ1148)</f>
        <v>#NUM!</v>
      </c>
      <c r="AK1150" s="41"/>
      <c r="AL1150" s="73"/>
      <c r="AM1150" s="64" t="e">
        <f>(AM1144/(N_1*AM$27))*SQRT('Valve Sizing'!$G$6/AM1148)</f>
        <v>#NUM!</v>
      </c>
      <c r="AN1150" s="41"/>
      <c r="AO1150" s="73"/>
      <c r="AP1150" s="64" t="e">
        <f>(AP1144/(N_1*AP$27))*SQRT('Valve Sizing'!$G$6/AP1148)</f>
        <v>#NUM!</v>
      </c>
      <c r="AQ1150" s="41"/>
      <c r="AR1150" s="73"/>
      <c r="AS1150" s="64" t="e">
        <f>(AS1144/(N_1*AS$27))*SQRT('Valve Sizing'!$G$6/AS1148)</f>
        <v>#NUM!</v>
      </c>
      <c r="AT1150" s="41"/>
      <c r="AU1150" s="73"/>
    </row>
    <row r="1151" spans="15:47" ht="13" x14ac:dyDescent="0.3">
      <c r="O1151" s="1" t="s">
        <v>72</v>
      </c>
      <c r="P1151" s="17">
        <v>7</v>
      </c>
      <c r="Q1151" s="65"/>
      <c r="R1151" s="53">
        <f>(R1144/(N_1*F_P_h))*SQRT('Valve Sizing'!$G$6/R1149)</f>
        <v>0.8645978959484929</v>
      </c>
      <c r="S1151" s="56"/>
      <c r="T1151" s="72"/>
      <c r="U1151" s="85">
        <f>(U1144/(N_1*U$27))*SQRT('Valve Sizing'!$G$6/U1149)</f>
        <v>11.319270600483408</v>
      </c>
      <c r="V1151" s="44"/>
      <c r="W1151" s="72"/>
      <c r="X1151" s="85">
        <f>(X1144/(N_1*X$27))*SQRT('Valve Sizing'!$G$6/X1149)</f>
        <v>27.781637062774024</v>
      </c>
      <c r="Y1151" s="44"/>
      <c r="Z1151" s="72"/>
      <c r="AA1151" s="85">
        <f>(AA1144/(N_1*AA$27))*SQRT('Valve Sizing'!$G$6/AA1149)</f>
        <v>56.170790964819069</v>
      </c>
      <c r="AB1151" s="44"/>
      <c r="AC1151" s="72"/>
      <c r="AD1151" s="85">
        <f>(AD1144/(N_1*AD$27))*SQRT('Valve Sizing'!$G$6/AD1149)</f>
        <v>104.28987015892014</v>
      </c>
      <c r="AE1151" s="44"/>
      <c r="AF1151" s="72"/>
      <c r="AG1151" s="85">
        <f>(AG1144/(N_1*AG$27))*SQRT('Valve Sizing'!$G$6/AG1149)</f>
        <v>202.05298796585873</v>
      </c>
      <c r="AH1151" s="44"/>
      <c r="AI1151" s="72"/>
      <c r="AJ1151" s="85">
        <f>(AJ1144/(N_1*AJ$27))*SQRT('Valve Sizing'!$G$6/AJ1149)</f>
        <v>488.62953271365006</v>
      </c>
      <c r="AK1151" s="44"/>
      <c r="AL1151" s="72"/>
      <c r="AM1151" s="85" t="e">
        <f>(AM1144/(N_1*AM$27))*SQRT('Valve Sizing'!$G$6/AM1149)</f>
        <v>#NUM!</v>
      </c>
      <c r="AN1151" s="44"/>
      <c r="AO1151" s="72"/>
      <c r="AP1151" s="85" t="e">
        <f>(AP1144/(N_1*AP$27))*SQRT('Valve Sizing'!$G$6/AP1149)</f>
        <v>#NUM!</v>
      </c>
      <c r="AQ1151" s="44"/>
      <c r="AR1151" s="72"/>
      <c r="AS1151" s="85" t="e">
        <f>(AS1144/(N_1*AS$27))*SQRT('Valve Sizing'!$G$6/AS1149)</f>
        <v>#NUM!</v>
      </c>
      <c r="AT1151" s="44"/>
      <c r="AU1151" s="72"/>
    </row>
    <row r="1152" spans="15:47" x14ac:dyDescent="0.25">
      <c r="O1152" s="1" t="s">
        <v>246</v>
      </c>
      <c r="P1152" s="18"/>
      <c r="Q1152" s="65"/>
      <c r="R1152" s="53">
        <f>IF(R1148&lt;R1149,R1150,R1151)</f>
        <v>1.0410041100416629</v>
      </c>
      <c r="S1152" s="49"/>
      <c r="T1152" s="72"/>
      <c r="U1152" s="64">
        <f>IF(U1148&lt;U1149,U1150,U1151)</f>
        <v>13.653658592695944</v>
      </c>
      <c r="V1152" s="44"/>
      <c r="W1152" s="72"/>
      <c r="X1152" s="64">
        <f>IF(X1148&lt;X1149,X1150,X1151)</f>
        <v>33.453925708468347</v>
      </c>
      <c r="Y1152" s="44"/>
      <c r="Z1152" s="72"/>
      <c r="AA1152" s="64">
        <f>IF(AA1148&lt;AA1149,AA1150,AA1151)</f>
        <v>68.454779792347324</v>
      </c>
      <c r="AB1152" s="44"/>
      <c r="AC1152" s="72"/>
      <c r="AD1152" s="64">
        <f>IF(AD1148&lt;AD1149,AD1150,AD1151)</f>
        <v>138.05031995088291</v>
      </c>
      <c r="AE1152" s="44"/>
      <c r="AF1152" s="72"/>
      <c r="AG1152" s="64">
        <f>IF(AG1148&lt;AG1149,AG1150,AG1151)</f>
        <v>666.2016387481948</v>
      </c>
      <c r="AH1152" s="44"/>
      <c r="AI1152" s="72"/>
      <c r="AJ1152" s="64" t="e">
        <f>IF(AJ1148&lt;AJ1149,AJ1150,AJ1151)</f>
        <v>#NUM!</v>
      </c>
      <c r="AK1152" s="44"/>
      <c r="AL1152" s="72"/>
      <c r="AM1152" s="64" t="e">
        <f>IF(AM1148&lt;AM1149,AM1150,AM1151)</f>
        <v>#NUM!</v>
      </c>
      <c r="AN1152" s="44"/>
      <c r="AO1152" s="72"/>
      <c r="AP1152" s="64" t="e">
        <f>IF(AP1148&lt;AP1149,AP1150,AP1151)</f>
        <v>#NUM!</v>
      </c>
      <c r="AQ1152" s="44"/>
      <c r="AR1152" s="72"/>
      <c r="AS1152" s="64" t="e">
        <f>IF(AS1148&lt;AS1149,AS1150,AS1151)</f>
        <v>#NUM!</v>
      </c>
      <c r="AT1152" s="44"/>
      <c r="AU1152" s="72"/>
    </row>
    <row r="1153" spans="15:47" ht="13" x14ac:dyDescent="0.3">
      <c r="O1153" s="7" t="s">
        <v>264</v>
      </c>
      <c r="Q1153" s="61"/>
      <c r="R1153" s="53"/>
      <c r="S1153" s="69">
        <f>IFERROR(ABS(C_h-R1152),Q_max*10)</f>
        <v>3.9589958899583371</v>
      </c>
      <c r="T1153" s="76">
        <f>R1144</f>
        <v>5.9116312324939182</v>
      </c>
      <c r="U1153" s="61"/>
      <c r="V1153" s="69">
        <f>IFERROR(ABS(U$23-U1152),Q_max*10)</f>
        <v>1.653658592695944</v>
      </c>
      <c r="W1153" s="75">
        <f>U1144</f>
        <v>77.193308681808617</v>
      </c>
      <c r="X1153" s="61"/>
      <c r="Y1153" s="69">
        <f>IFERROR(ABS(X$23-X1152),Q_max*10)</f>
        <v>10.453925708468347</v>
      </c>
      <c r="Z1153" s="75">
        <f>X1144</f>
        <v>185.29365542839216</v>
      </c>
      <c r="AA1153" s="61"/>
      <c r="AB1153" s="69">
        <f>IFERROR(ABS(AA$23-AA1152),Q_max*10)</f>
        <v>29.454779792347324</v>
      </c>
      <c r="AC1153" s="75">
        <f>AA1144</f>
        <v>353.79349614629751</v>
      </c>
      <c r="AD1153" s="61"/>
      <c r="AE1153" s="69">
        <f>IFERROR(ABS(AD$23-AD1152),Q_max*10)</f>
        <v>77.050319950882908</v>
      </c>
      <c r="AF1153" s="75">
        <f>AD1144</f>
        <v>581.86004212360217</v>
      </c>
      <c r="AG1153" s="61"/>
      <c r="AH1153" s="69">
        <f>IFERROR(ABS(AG$23-AG1152),Q_max*10)</f>
        <v>578.2016387481948</v>
      </c>
      <c r="AI1153" s="75">
        <f>AG1144</f>
        <v>866.31031474194594</v>
      </c>
      <c r="AJ1153" s="61"/>
      <c r="AK1153" s="69">
        <f>IFERROR(ABS(AJ$23-AJ1152),Q_max*10)</f>
        <v>5500</v>
      </c>
      <c r="AL1153" s="75">
        <f>AJ1144</f>
        <v>1156.0944733333072</v>
      </c>
      <c r="AM1153" s="61"/>
      <c r="AN1153" s="69">
        <f>IFERROR(ABS(AM$23-AM1152),Q_max*10)</f>
        <v>5500</v>
      </c>
      <c r="AO1153" s="75">
        <f>AM1144</f>
        <v>1410.6549616001919</v>
      </c>
      <c r="AP1153" s="61"/>
      <c r="AQ1153" s="69">
        <f>IFERROR(ABS(AP$23-AP1152),Q_max*10)</f>
        <v>5500</v>
      </c>
      <c r="AR1153" s="75">
        <f>AP1144</f>
        <v>1637.7266171564797</v>
      </c>
      <c r="AS1153" s="61"/>
      <c r="AT1153" s="69">
        <f>IFERROR(ABS(AS$23-AS1152),Q_max*10)</f>
        <v>5500</v>
      </c>
      <c r="AU1153" s="75">
        <f>AS1144</f>
        <v>1863.8856581725322</v>
      </c>
    </row>
    <row r="1154" spans="15:47" ht="14.5" x14ac:dyDescent="0.35">
      <c r="O1154" s="6"/>
      <c r="P1154" s="6"/>
      <c r="Q1154" s="60"/>
      <c r="R1154" s="67"/>
      <c r="S1154" s="56"/>
      <c r="T1154" s="72"/>
      <c r="V1154" s="11"/>
      <c r="W1154" s="38"/>
      <c r="Y1154" s="11"/>
      <c r="Z1154" s="38"/>
      <c r="AB1154" s="11"/>
      <c r="AC1154" s="38"/>
      <c r="AE1154" s="11"/>
      <c r="AF1154" s="38"/>
      <c r="AH1154" s="11"/>
      <c r="AI1154" s="38"/>
      <c r="AK1154" s="11"/>
      <c r="AL1154" s="38"/>
      <c r="AN1154" s="11"/>
      <c r="AO1154" s="38"/>
      <c r="AQ1154" s="11"/>
      <c r="AR1154" s="38"/>
      <c r="AT1154" s="11"/>
      <c r="AU1154" s="38"/>
    </row>
    <row r="1155" spans="15:47" ht="14" x14ac:dyDescent="0.3">
      <c r="O1155" s="8" t="s">
        <v>235</v>
      </c>
      <c r="P1155" s="6"/>
      <c r="Q1155" s="60"/>
      <c r="R1155" s="53">
        <f>R1144*1.02</f>
        <v>6.0298638571437966</v>
      </c>
      <c r="S1155" s="58" t="s">
        <v>238</v>
      </c>
      <c r="T1155" s="73" t="s">
        <v>241</v>
      </c>
      <c r="U1155" s="84">
        <f>U1144*1.01</f>
        <v>77.965241768626697</v>
      </c>
      <c r="V1155" s="58" t="s">
        <v>238</v>
      </c>
      <c r="W1155" s="73" t="s">
        <v>241</v>
      </c>
      <c r="X1155" s="84">
        <f>X1144*1.01</f>
        <v>187.14659198267609</v>
      </c>
      <c r="Y1155" s="58" t="s">
        <v>238</v>
      </c>
      <c r="Z1155" s="73" t="s">
        <v>241</v>
      </c>
      <c r="AA1155" s="84">
        <f>AA1144*1.01</f>
        <v>357.33143110776047</v>
      </c>
      <c r="AB1155" s="58" t="s">
        <v>238</v>
      </c>
      <c r="AC1155" s="73" t="s">
        <v>241</v>
      </c>
      <c r="AD1155" s="84">
        <f>AD1144*1.01</f>
        <v>587.67864254483823</v>
      </c>
      <c r="AE1155" s="58" t="s">
        <v>238</v>
      </c>
      <c r="AF1155" s="73" t="s">
        <v>241</v>
      </c>
      <c r="AG1155" s="84">
        <f>AG1144*1.01</f>
        <v>874.97341788936546</v>
      </c>
      <c r="AH1155" s="58" t="s">
        <v>238</v>
      </c>
      <c r="AI1155" s="73" t="s">
        <v>241</v>
      </c>
      <c r="AJ1155" s="84">
        <f>AJ1144*1.01</f>
        <v>1167.6554180666403</v>
      </c>
      <c r="AK1155" s="58" t="s">
        <v>238</v>
      </c>
      <c r="AL1155" s="73" t="s">
        <v>241</v>
      </c>
      <c r="AM1155" s="84">
        <f>AM1144*1.01</f>
        <v>1424.7615112161939</v>
      </c>
      <c r="AN1155" s="58" t="s">
        <v>238</v>
      </c>
      <c r="AO1155" s="73" t="s">
        <v>241</v>
      </c>
      <c r="AP1155" s="84">
        <f>AP1144*1.01</f>
        <v>1654.1038833280445</v>
      </c>
      <c r="AQ1155" s="58" t="s">
        <v>238</v>
      </c>
      <c r="AR1155" s="73" t="s">
        <v>241</v>
      </c>
      <c r="AS1155" s="84">
        <f>AS1144*1.01</f>
        <v>1882.5245147542576</v>
      </c>
      <c r="AT1155" s="58" t="s">
        <v>238</v>
      </c>
      <c r="AU1155" s="73" t="s">
        <v>241</v>
      </c>
    </row>
    <row r="1156" spans="15:47" ht="13" x14ac:dyDescent="0.25">
      <c r="O1156" s="6"/>
      <c r="P1156" s="6"/>
      <c r="Q1156" s="60"/>
      <c r="R1156" s="70"/>
      <c r="S1156" s="63" t="s">
        <v>250</v>
      </c>
      <c r="T1156" s="71" t="s">
        <v>242</v>
      </c>
      <c r="U1156" s="61"/>
      <c r="V1156" s="63" t="s">
        <v>250</v>
      </c>
      <c r="W1156" s="71" t="s">
        <v>242</v>
      </c>
      <c r="X1156" s="61"/>
      <c r="Y1156" s="63" t="s">
        <v>250</v>
      </c>
      <c r="Z1156" s="71" t="s">
        <v>242</v>
      </c>
      <c r="AA1156" s="61"/>
      <c r="AB1156" s="63" t="s">
        <v>250</v>
      </c>
      <c r="AC1156" s="71" t="s">
        <v>242</v>
      </c>
      <c r="AD1156" s="61"/>
      <c r="AE1156" s="63" t="s">
        <v>250</v>
      </c>
      <c r="AF1156" s="71" t="s">
        <v>242</v>
      </c>
      <c r="AG1156" s="61"/>
      <c r="AH1156" s="63" t="s">
        <v>250</v>
      </c>
      <c r="AI1156" s="71" t="s">
        <v>242</v>
      </c>
      <c r="AJ1156" s="61"/>
      <c r="AK1156" s="63" t="s">
        <v>250</v>
      </c>
      <c r="AL1156" s="71" t="s">
        <v>242</v>
      </c>
      <c r="AM1156" s="61"/>
      <c r="AN1156" s="63" t="s">
        <v>250</v>
      </c>
      <c r="AO1156" s="71" t="s">
        <v>242</v>
      </c>
      <c r="AP1156" s="61"/>
      <c r="AQ1156" s="63" t="s">
        <v>250</v>
      </c>
      <c r="AR1156" s="71" t="s">
        <v>242</v>
      </c>
      <c r="AS1156" s="61"/>
      <c r="AT1156" s="63" t="s">
        <v>250</v>
      </c>
      <c r="AU1156" s="71" t="s">
        <v>242</v>
      </c>
    </row>
    <row r="1157" spans="15:47" ht="13" x14ac:dyDescent="0.3">
      <c r="O1157" s="6" t="s">
        <v>231</v>
      </c>
      <c r="P1157" s="6"/>
      <c r="Q1157" s="60"/>
      <c r="R1157" s="85">
        <f>P_1_minQ-(R1155^2*R_up)+dpup_minQ</f>
        <v>56.914915256395282</v>
      </c>
      <c r="S1157" s="56"/>
      <c r="T1157" s="72"/>
      <c r="U1157" s="53">
        <f>P_1_minQ-(U1155^2*R_up)+dpup_minQ</f>
        <v>56.710855152852403</v>
      </c>
      <c r="V1157" s="44"/>
      <c r="W1157" s="72"/>
      <c r="X1157" s="53">
        <f>P_1_minQ-(X1155^2*R_up)+dpup_minQ</f>
        <v>55.733304731822685</v>
      </c>
      <c r="Y1157" s="44"/>
      <c r="Z1157" s="72"/>
      <c r="AA1157" s="53">
        <f>P_1_minQ-(AA1155^2*R_up)+dpup_minQ</f>
        <v>52.603892210147919</v>
      </c>
      <c r="AB1157" s="44"/>
      <c r="AC1157" s="72"/>
      <c r="AD1157" s="53">
        <f>P_1_minQ-(AD1155^2*R_up)+dpup_minQ</f>
        <v>45.252307095462889</v>
      </c>
      <c r="AE1157" s="44"/>
      <c r="AF1157" s="72"/>
      <c r="AG1157" s="53">
        <f>P_1_minQ-(AG1155^2*R_up)+dpup_minQ</f>
        <v>31.060740222458691</v>
      </c>
      <c r="AH1157" s="44"/>
      <c r="AI1157" s="72"/>
      <c r="AJ1157" s="53">
        <f>P_1_minQ-(AJ1155^2*R_up)+dpup_minQ</f>
        <v>10.870240616670703</v>
      </c>
      <c r="AK1157" s="44"/>
      <c r="AL1157" s="72"/>
      <c r="AM1157" s="53">
        <f>P_1_minQ-(AM1155^2*R_up)+dpup_minQ</f>
        <v>-11.639931234145639</v>
      </c>
      <c r="AN1157" s="44"/>
      <c r="AO1157" s="72"/>
      <c r="AP1157" s="53">
        <f>P_1_minQ-(AP1155^2*R_up)+dpup_minQ</f>
        <v>-35.48708736375945</v>
      </c>
      <c r="AQ1157" s="44"/>
      <c r="AR1157" s="72"/>
      <c r="AS1157" s="53">
        <f>P_1_minQ-(AS1155^2*R_up)+dpup_minQ</f>
        <v>-62.769724709583009</v>
      </c>
      <c r="AT1157" s="44"/>
      <c r="AU1157" s="72"/>
    </row>
    <row r="1158" spans="15:47" ht="13" x14ac:dyDescent="0.3">
      <c r="O1158" s="6" t="s">
        <v>233</v>
      </c>
      <c r="P1158" s="6"/>
      <c r="Q1158" s="60"/>
      <c r="R1158" s="85">
        <f>P_2_minQ+(R1155^2*R_dn)-dpdn_minQ</f>
        <v>24.657016948720944</v>
      </c>
      <c r="S1158" s="66"/>
      <c r="T1158" s="74"/>
      <c r="U1158" s="53">
        <f>P_2_minQ+(U1155^2*R_dn)-dpdn_minQ</f>
        <v>24.697828969429523</v>
      </c>
      <c r="V1158" s="45"/>
      <c r="W1158" s="74"/>
      <c r="X1158" s="53">
        <f>P_2_minQ+(X1155^2*R_dn)-dpdn_minQ</f>
        <v>24.893339053635465</v>
      </c>
      <c r="Y1158" s="45"/>
      <c r="Z1158" s="74"/>
      <c r="AA1158" s="53">
        <f>P_2_minQ+(AA1155^2*R_dn)-dpdn_minQ</f>
        <v>25.519221557970418</v>
      </c>
      <c r="AB1158" s="45"/>
      <c r="AC1158" s="74"/>
      <c r="AD1158" s="53">
        <f>P_2_minQ+(AD1155^2*R_dn)-dpdn_minQ</f>
        <v>26.989538580907421</v>
      </c>
      <c r="AE1158" s="45"/>
      <c r="AF1158" s="74"/>
      <c r="AG1158" s="53">
        <f>P_2_minQ+(AG1155^2*R_dn)-dpdn_minQ</f>
        <v>29.827851955508262</v>
      </c>
      <c r="AH1158" s="45"/>
      <c r="AI1158" s="74"/>
      <c r="AJ1158" s="53">
        <f>P_2_minQ+(AJ1155^2*R_dn)-dpdn_minQ</f>
        <v>33.865951876665861</v>
      </c>
      <c r="AK1158" s="45"/>
      <c r="AL1158" s="74"/>
      <c r="AM1158" s="53">
        <f>P_2_minQ+(AM1155^2*R_dn)-dpdn_minQ</f>
        <v>38.367986246829133</v>
      </c>
      <c r="AN1158" s="45"/>
      <c r="AO1158" s="74"/>
      <c r="AP1158" s="53">
        <f>P_2_minQ+(AP1155^2*R_dn)-dpdn_minQ</f>
        <v>43.137417472751892</v>
      </c>
      <c r="AQ1158" s="45"/>
      <c r="AR1158" s="74"/>
      <c r="AS1158" s="53">
        <f>P_2_minQ+(AS1155^2*R_dn)-dpdn_minQ</f>
        <v>48.593944941916604</v>
      </c>
      <c r="AT1158" s="45"/>
      <c r="AU1158" s="74"/>
    </row>
    <row r="1159" spans="15:47" x14ac:dyDescent="0.25">
      <c r="O1159" s="6" t="s">
        <v>243</v>
      </c>
      <c r="Q1159" s="60"/>
      <c r="R1159" s="53">
        <f>R1157-R1158</f>
        <v>32.257898307674338</v>
      </c>
      <c r="S1159" s="56"/>
      <c r="T1159" s="72"/>
      <c r="U1159" s="64">
        <f>U1157-U1158</f>
        <v>32.01302618342288</v>
      </c>
      <c r="V1159" s="44"/>
      <c r="W1159" s="72"/>
      <c r="X1159" s="64">
        <f>X1157-X1158</f>
        <v>30.83996567818722</v>
      </c>
      <c r="Y1159" s="44"/>
      <c r="Z1159" s="72"/>
      <c r="AA1159" s="64">
        <f>AA1157-AA1158</f>
        <v>27.0846706521775</v>
      </c>
      <c r="AB1159" s="44"/>
      <c r="AC1159" s="72"/>
      <c r="AD1159" s="64">
        <f>AD1157-AD1158</f>
        <v>18.262768514555468</v>
      </c>
      <c r="AE1159" s="44"/>
      <c r="AF1159" s="72"/>
      <c r="AG1159" s="64">
        <f>AG1157-AG1158</f>
        <v>1.2328882669504289</v>
      </c>
      <c r="AH1159" s="44"/>
      <c r="AI1159" s="72"/>
      <c r="AJ1159" s="64">
        <f>AJ1157-AJ1158</f>
        <v>-22.995711259995158</v>
      </c>
      <c r="AK1159" s="44"/>
      <c r="AL1159" s="72"/>
      <c r="AM1159" s="64">
        <f>AM1157-AM1158</f>
        <v>-50.007917480974768</v>
      </c>
      <c r="AN1159" s="44"/>
      <c r="AO1159" s="72"/>
      <c r="AP1159" s="64">
        <f>AP1157-AP1158</f>
        <v>-78.624504836511335</v>
      </c>
      <c r="AQ1159" s="44"/>
      <c r="AR1159" s="72"/>
      <c r="AS1159" s="64">
        <f>AS1157-AS1158</f>
        <v>-111.36366965149961</v>
      </c>
      <c r="AT1159" s="44"/>
      <c r="AU1159" s="72"/>
    </row>
    <row r="1160" spans="15:47" ht="13" x14ac:dyDescent="0.3">
      <c r="O1160" s="6" t="s">
        <v>75</v>
      </c>
      <c r="P1160" s="6">
        <v>3</v>
      </c>
      <c r="Q1160" s="65"/>
      <c r="R1160" s="85">
        <f>(F_LP_h/F_P_h)^2*(R1157-('Valve Sizing'!$V$4*'Valve Sizing'!$G$7))</f>
        <v>46.764146444208585</v>
      </c>
      <c r="S1160" s="58"/>
      <c r="T1160" s="73"/>
      <c r="U1160" s="53">
        <f>(U$29/U$27)^2*(U1157-('Valve Sizing'!$V$4*'Valve Sizing'!$G$7))</f>
        <v>46.582474047853438</v>
      </c>
      <c r="V1160" s="41"/>
      <c r="W1160" s="73"/>
      <c r="X1160" s="53">
        <f>(X$29/X$27)^2*(X1157-('Valve Sizing'!$V$4*'Valve Sizing'!$G$7))</f>
        <v>44.740727975182551</v>
      </c>
      <c r="Y1160" s="41"/>
      <c r="Z1160" s="73"/>
      <c r="AA1160" s="53">
        <f>(AA$29/AA$27)^2*(AA1157-('Valve Sizing'!$V$4*'Valve Sizing'!$G$7))</f>
        <v>40.312066388565533</v>
      </c>
      <c r="AB1160" s="41"/>
      <c r="AC1160" s="73"/>
      <c r="AD1160" s="53">
        <f>(AD$29/AD$27)^2*(AD1157-('Valve Sizing'!$V$4*'Valve Sizing'!$G$7))</f>
        <v>32.318029973610038</v>
      </c>
      <c r="AE1160" s="41"/>
      <c r="AF1160" s="73"/>
      <c r="AG1160" s="53">
        <f>(AG$29/AG$27)^2*(AG1157-('Valve Sizing'!$V$4*'Valve Sizing'!$G$7))</f>
        <v>19.721065379678819</v>
      </c>
      <c r="AH1160" s="41"/>
      <c r="AI1160" s="73"/>
      <c r="AJ1160" s="53">
        <f>(AJ$29/AJ$27)^2*(AJ1157-('Valve Sizing'!$V$4*'Valve Sizing'!$G$7))</f>
        <v>6.0324458278836532</v>
      </c>
      <c r="AK1160" s="41"/>
      <c r="AL1160" s="73"/>
      <c r="AM1160" s="53">
        <f>(AM$29/AM$27)^2*(AM1157-('Valve Sizing'!$V$4*'Valve Sizing'!$G$7))</f>
        <v>-5.7799382540436213</v>
      </c>
      <c r="AN1160" s="41"/>
      <c r="AO1160" s="73"/>
      <c r="AP1160" s="53">
        <f>(AP$29/AP$27)^2*(AP1157-('Valve Sizing'!$V$4*'Valve Sizing'!$G$7))</f>
        <v>-14.177815260307101</v>
      </c>
      <c r="AQ1160" s="41"/>
      <c r="AR1160" s="73"/>
      <c r="AS1160" s="53">
        <f>(AS$29/AS$27)^2*(AS1157-('Valve Sizing'!$V$4*'Valve Sizing'!$G$7))</f>
        <v>-23.775777738994726</v>
      </c>
      <c r="AT1160" s="41"/>
      <c r="AU1160" s="73"/>
    </row>
    <row r="1161" spans="15:47" ht="13" x14ac:dyDescent="0.25">
      <c r="O1161" s="1" t="s">
        <v>69</v>
      </c>
      <c r="P1161" s="17">
        <v>7</v>
      </c>
      <c r="Q1161" s="65"/>
      <c r="R1161" s="53">
        <f>(R1155/(N_1*F_P_h))*SQRT('Valve Sizing'!$G$6/R1159)</f>
        <v>1.0618251339699534</v>
      </c>
      <c r="S1161" s="58"/>
      <c r="T1161" s="73"/>
      <c r="U1161" s="64">
        <f>(U1155/(N_1*U$27))*SQRT('Valve Sizing'!$G$6/U1159)</f>
        <v>13.791240609768163</v>
      </c>
      <c r="V1161" s="41"/>
      <c r="W1161" s="73"/>
      <c r="X1161" s="64">
        <f>(X1155/(N_1*X$27))*SQRT('Valve Sizing'!$G$6/X1159)</f>
        <v>33.803782404058303</v>
      </c>
      <c r="Y1161" s="41"/>
      <c r="Z1161" s="73"/>
      <c r="AA1161" s="64">
        <f>(AA1155/(N_1*AA$27))*SQRT('Valve Sizing'!$G$6/AA1159)</f>
        <v>69.269345154603215</v>
      </c>
      <c r="AB1161" s="41"/>
      <c r="AC1161" s="73"/>
      <c r="AD1161" s="64">
        <f>(AD1155/(N_1*AD$27))*SQRT('Valve Sizing'!$G$6/AD1159)</f>
        <v>140.47965959387454</v>
      </c>
      <c r="AE1161" s="41"/>
      <c r="AF1161" s="73"/>
      <c r="AG1161" s="64">
        <f>(AG1155/(N_1*AG$27))*SQRT('Valve Sizing'!$G$6/AG1159)</f>
        <v>822.94925045930313</v>
      </c>
      <c r="AH1161" s="41"/>
      <c r="AI1161" s="73"/>
      <c r="AJ1161" s="64" t="e">
        <f>(AJ1155/(N_1*AJ$27))*SQRT('Valve Sizing'!$G$6/AJ1159)</f>
        <v>#NUM!</v>
      </c>
      <c r="AK1161" s="41"/>
      <c r="AL1161" s="73"/>
      <c r="AM1161" s="64" t="e">
        <f>(AM1155/(N_1*AM$27))*SQRT('Valve Sizing'!$G$6/AM1159)</f>
        <v>#NUM!</v>
      </c>
      <c r="AN1161" s="41"/>
      <c r="AO1161" s="73"/>
      <c r="AP1161" s="64" t="e">
        <f>(AP1155/(N_1*AP$27))*SQRT('Valve Sizing'!$G$6/AP1159)</f>
        <v>#NUM!</v>
      </c>
      <c r="AQ1161" s="41"/>
      <c r="AR1161" s="73"/>
      <c r="AS1161" s="64" t="e">
        <f>(AS1155/(N_1*AS$27))*SQRT('Valve Sizing'!$G$6/AS1159)</f>
        <v>#NUM!</v>
      </c>
      <c r="AT1161" s="41"/>
      <c r="AU1161" s="73"/>
    </row>
    <row r="1162" spans="15:47" ht="13" x14ac:dyDescent="0.3">
      <c r="O1162" s="1" t="s">
        <v>72</v>
      </c>
      <c r="P1162" s="17">
        <v>7</v>
      </c>
      <c r="Q1162" s="65"/>
      <c r="R1162" s="53">
        <f>(R1155/(N_1*F_P_h))*SQRT('Valve Sizing'!$G$6/R1160)</f>
        <v>0.88189022616206703</v>
      </c>
      <c r="S1162" s="56"/>
      <c r="T1162" s="72"/>
      <c r="U1162" s="85">
        <f>(U1155/(N_1*U$27))*SQRT('Valve Sizing'!$G$6/U1160)</f>
        <v>11.43287420626776</v>
      </c>
      <c r="V1162" s="44"/>
      <c r="W1162" s="72"/>
      <c r="X1162" s="85">
        <f>(X1155/(N_1*X$27))*SQRT('Valve Sizing'!$G$6/X1160)</f>
        <v>28.065366463747527</v>
      </c>
      <c r="Y1162" s="44"/>
      <c r="Z1162" s="72"/>
      <c r="AA1162" s="85">
        <f>(AA1155/(N_1*AA$27))*SQRT('Valve Sizing'!$G$6/AA1160)</f>
        <v>56.778685156557408</v>
      </c>
      <c r="AB1162" s="44"/>
      <c r="AC1162" s="72"/>
      <c r="AD1162" s="85">
        <f>(AD1155/(N_1*AD$27))*SQRT('Valve Sizing'!$G$6/AD1160)</f>
        <v>105.60252771994797</v>
      </c>
      <c r="AE1162" s="44"/>
      <c r="AF1162" s="72"/>
      <c r="AG1162" s="85">
        <f>(AG1155/(N_1*AG$27))*SQRT('Valve Sizing'!$G$6/AG1160)</f>
        <v>205.76415798373259</v>
      </c>
      <c r="AH1162" s="44"/>
      <c r="AI1162" s="72"/>
      <c r="AJ1162" s="85">
        <f>(AJ1155/(N_1*AJ$27))*SQRT('Valve Sizing'!$G$6/AJ1160)</f>
        <v>514.53293833807459</v>
      </c>
      <c r="AK1162" s="44"/>
      <c r="AL1162" s="72"/>
      <c r="AM1162" s="85" t="e">
        <f>(AM1155/(N_1*AM$27))*SQRT('Valve Sizing'!$G$6/AM1160)</f>
        <v>#NUM!</v>
      </c>
      <c r="AN1162" s="44"/>
      <c r="AO1162" s="72"/>
      <c r="AP1162" s="85" t="e">
        <f>(AP1155/(N_1*AP$27))*SQRT('Valve Sizing'!$G$6/AP1160)</f>
        <v>#NUM!</v>
      </c>
      <c r="AQ1162" s="44"/>
      <c r="AR1162" s="72"/>
      <c r="AS1162" s="85" t="e">
        <f>(AS1155/(N_1*AS$27))*SQRT('Valve Sizing'!$G$6/AS1160)</f>
        <v>#NUM!</v>
      </c>
      <c r="AT1162" s="44"/>
      <c r="AU1162" s="72"/>
    </row>
    <row r="1163" spans="15:47" x14ac:dyDescent="0.25">
      <c r="O1163" s="1" t="s">
        <v>246</v>
      </c>
      <c r="P1163" s="18"/>
      <c r="Q1163" s="65"/>
      <c r="R1163" s="53">
        <f>IF(R1159&lt;R1160,R1161,R1162)</f>
        <v>1.0618251339699534</v>
      </c>
      <c r="S1163" s="49"/>
      <c r="T1163" s="72"/>
      <c r="U1163" s="64">
        <f>IF(U1159&lt;U1160,U1161,U1162)</f>
        <v>13.791240609768163</v>
      </c>
      <c r="V1163" s="44"/>
      <c r="W1163" s="72"/>
      <c r="X1163" s="64">
        <f>IF(X1159&lt;X1160,X1161,X1162)</f>
        <v>33.803782404058303</v>
      </c>
      <c r="Y1163" s="44"/>
      <c r="Z1163" s="72"/>
      <c r="AA1163" s="64">
        <f>IF(AA1159&lt;AA1160,AA1161,AA1162)</f>
        <v>69.269345154603215</v>
      </c>
      <c r="AB1163" s="44"/>
      <c r="AC1163" s="72"/>
      <c r="AD1163" s="64">
        <f>IF(AD1159&lt;AD1160,AD1161,AD1162)</f>
        <v>140.47965959387454</v>
      </c>
      <c r="AE1163" s="44"/>
      <c r="AF1163" s="72"/>
      <c r="AG1163" s="64">
        <f>IF(AG1159&lt;AG1160,AG1161,AG1162)</f>
        <v>822.94925045930313</v>
      </c>
      <c r="AH1163" s="44"/>
      <c r="AI1163" s="72"/>
      <c r="AJ1163" s="64" t="e">
        <f>IF(AJ1159&lt;AJ1160,AJ1161,AJ1162)</f>
        <v>#NUM!</v>
      </c>
      <c r="AK1163" s="44"/>
      <c r="AL1163" s="72"/>
      <c r="AM1163" s="64" t="e">
        <f>IF(AM1159&lt;AM1160,AM1161,AM1162)</f>
        <v>#NUM!</v>
      </c>
      <c r="AN1163" s="44"/>
      <c r="AO1163" s="72"/>
      <c r="AP1163" s="64" t="e">
        <f>IF(AP1159&lt;AP1160,AP1161,AP1162)</f>
        <v>#NUM!</v>
      </c>
      <c r="AQ1163" s="44"/>
      <c r="AR1163" s="72"/>
      <c r="AS1163" s="64" t="e">
        <f>IF(AS1159&lt;AS1160,AS1161,AS1162)</f>
        <v>#NUM!</v>
      </c>
      <c r="AT1163" s="44"/>
      <c r="AU1163" s="72"/>
    </row>
    <row r="1164" spans="15:47" ht="13" x14ac:dyDescent="0.3">
      <c r="O1164" s="7" t="s">
        <v>264</v>
      </c>
      <c r="Q1164" s="61"/>
      <c r="R1164" s="53"/>
      <c r="S1164" s="69">
        <f>IFERROR(ABS(C_h-R1163),Q_max*10)</f>
        <v>3.9381748660300469</v>
      </c>
      <c r="T1164" s="76">
        <f>R1155</f>
        <v>6.0298638571437966</v>
      </c>
      <c r="U1164" s="61"/>
      <c r="V1164" s="69">
        <f>IFERROR(ABS(U$23-U1163),Q_max*10)</f>
        <v>1.7912406097681632</v>
      </c>
      <c r="W1164" s="75">
        <f>U1155</f>
        <v>77.965241768626697</v>
      </c>
      <c r="X1164" s="61"/>
      <c r="Y1164" s="69">
        <f>IFERROR(ABS(X$23-X1163),Q_max*10)</f>
        <v>10.803782404058303</v>
      </c>
      <c r="Z1164" s="75">
        <f>X1155</f>
        <v>187.14659198267609</v>
      </c>
      <c r="AA1164" s="61"/>
      <c r="AB1164" s="69">
        <f>IFERROR(ABS(AA$23-AA1163),Q_max*10)</f>
        <v>30.269345154603215</v>
      </c>
      <c r="AC1164" s="75">
        <f>AA1155</f>
        <v>357.33143110776047</v>
      </c>
      <c r="AD1164" s="61"/>
      <c r="AE1164" s="69">
        <f>IFERROR(ABS(AD$23-AD1163),Q_max*10)</f>
        <v>79.479659593874544</v>
      </c>
      <c r="AF1164" s="75">
        <f>AD1155</f>
        <v>587.67864254483823</v>
      </c>
      <c r="AG1164" s="61"/>
      <c r="AH1164" s="69">
        <f>IFERROR(ABS(AG$23-AG1163),Q_max*10)</f>
        <v>734.94925045930313</v>
      </c>
      <c r="AI1164" s="75">
        <f>AG1155</f>
        <v>874.97341788936546</v>
      </c>
      <c r="AJ1164" s="61"/>
      <c r="AK1164" s="69">
        <f>IFERROR(ABS(AJ$23-AJ1163),Q_max*10)</f>
        <v>5500</v>
      </c>
      <c r="AL1164" s="75">
        <f>AJ1155</f>
        <v>1167.6554180666403</v>
      </c>
      <c r="AM1164" s="61"/>
      <c r="AN1164" s="69">
        <f>IFERROR(ABS(AM$23-AM1163),Q_max*10)</f>
        <v>5500</v>
      </c>
      <c r="AO1164" s="75">
        <f>AM1155</f>
        <v>1424.7615112161939</v>
      </c>
      <c r="AP1164" s="61"/>
      <c r="AQ1164" s="69">
        <f>IFERROR(ABS(AP$23-AP1163),Q_max*10)</f>
        <v>5500</v>
      </c>
      <c r="AR1164" s="75">
        <f>AP1155</f>
        <v>1654.1038833280445</v>
      </c>
      <c r="AS1164" s="61"/>
      <c r="AT1164" s="69">
        <f>IFERROR(ABS(AS$23-AS1163),Q_max*10)</f>
        <v>5500</v>
      </c>
      <c r="AU1164" s="75">
        <f>AS1155</f>
        <v>1882.5245147542576</v>
      </c>
    </row>
    <row r="1165" spans="15:47" ht="14.5" x14ac:dyDescent="0.35">
      <c r="O1165" s="6"/>
      <c r="P1165" s="6"/>
      <c r="Q1165" s="60"/>
      <c r="R1165" s="67"/>
      <c r="S1165" s="56"/>
      <c r="T1165" s="72"/>
      <c r="V1165" s="11"/>
      <c r="W1165" s="38"/>
      <c r="Y1165" s="11"/>
      <c r="Z1165" s="38"/>
      <c r="AB1165" s="11"/>
      <c r="AC1165" s="38"/>
      <c r="AE1165" s="11"/>
      <c r="AF1165" s="38"/>
      <c r="AH1165" s="11"/>
      <c r="AI1165" s="38"/>
      <c r="AK1165" s="11"/>
      <c r="AL1165" s="38"/>
      <c r="AN1165" s="11"/>
      <c r="AO1165" s="38"/>
      <c r="AQ1165" s="11"/>
      <c r="AR1165" s="38"/>
      <c r="AT1165" s="11"/>
      <c r="AU1165" s="38"/>
    </row>
    <row r="1166" spans="15:47" ht="14" x14ac:dyDescent="0.3">
      <c r="O1166" s="8" t="s">
        <v>235</v>
      </c>
      <c r="P1166" s="6"/>
      <c r="Q1166" s="60"/>
      <c r="R1166" s="53">
        <f>R1155*1.02</f>
        <v>6.1504611342866724</v>
      </c>
      <c r="S1166" s="58" t="s">
        <v>238</v>
      </c>
      <c r="T1166" s="73" t="s">
        <v>241</v>
      </c>
      <c r="U1166" s="84">
        <f>U1155*1.01</f>
        <v>78.744894186312962</v>
      </c>
      <c r="V1166" s="58" t="s">
        <v>238</v>
      </c>
      <c r="W1166" s="73" t="s">
        <v>241</v>
      </c>
      <c r="X1166" s="84">
        <f>X1155*1.01</f>
        <v>189.01805790250285</v>
      </c>
      <c r="Y1166" s="58" t="s">
        <v>238</v>
      </c>
      <c r="Z1166" s="73" t="s">
        <v>241</v>
      </c>
      <c r="AA1166" s="84">
        <f>AA1155*1.01</f>
        <v>360.90474541883805</v>
      </c>
      <c r="AB1166" s="58" t="s">
        <v>238</v>
      </c>
      <c r="AC1166" s="73" t="s">
        <v>241</v>
      </c>
      <c r="AD1166" s="84">
        <f>AD1155*1.01</f>
        <v>593.55542897028658</v>
      </c>
      <c r="AE1166" s="58" t="s">
        <v>238</v>
      </c>
      <c r="AF1166" s="73" t="s">
        <v>241</v>
      </c>
      <c r="AG1166" s="84">
        <f>AG1155*1.01</f>
        <v>883.72315206825908</v>
      </c>
      <c r="AH1166" s="58" t="s">
        <v>238</v>
      </c>
      <c r="AI1166" s="73" t="s">
        <v>241</v>
      </c>
      <c r="AJ1166" s="84">
        <f>AJ1155*1.01</f>
        <v>1179.3319722473068</v>
      </c>
      <c r="AK1166" s="58" t="s">
        <v>238</v>
      </c>
      <c r="AL1166" s="73" t="s">
        <v>241</v>
      </c>
      <c r="AM1166" s="84">
        <f>AM1155*1.01</f>
        <v>1439.0091263283557</v>
      </c>
      <c r="AN1166" s="58" t="s">
        <v>238</v>
      </c>
      <c r="AO1166" s="73" t="s">
        <v>241</v>
      </c>
      <c r="AP1166" s="84">
        <f>AP1155*1.01</f>
        <v>1670.644922161325</v>
      </c>
      <c r="AQ1166" s="58" t="s">
        <v>238</v>
      </c>
      <c r="AR1166" s="73" t="s">
        <v>241</v>
      </c>
      <c r="AS1166" s="84">
        <f>AS1155*1.01</f>
        <v>1901.3497599018001</v>
      </c>
      <c r="AT1166" s="58" t="s">
        <v>238</v>
      </c>
      <c r="AU1166" s="73" t="s">
        <v>241</v>
      </c>
    </row>
    <row r="1167" spans="15:47" ht="13" x14ac:dyDescent="0.25">
      <c r="O1167" s="6"/>
      <c r="P1167" s="6"/>
      <c r="Q1167" s="60"/>
      <c r="R1167" s="70"/>
      <c r="S1167" s="63" t="s">
        <v>250</v>
      </c>
      <c r="T1167" s="71" t="s">
        <v>242</v>
      </c>
      <c r="U1167" s="61"/>
      <c r="V1167" s="63" t="s">
        <v>250</v>
      </c>
      <c r="W1167" s="71" t="s">
        <v>242</v>
      </c>
      <c r="X1167" s="61"/>
      <c r="Y1167" s="63" t="s">
        <v>250</v>
      </c>
      <c r="Z1167" s="71" t="s">
        <v>242</v>
      </c>
      <c r="AA1167" s="61"/>
      <c r="AB1167" s="63" t="s">
        <v>250</v>
      </c>
      <c r="AC1167" s="71" t="s">
        <v>242</v>
      </c>
      <c r="AD1167" s="61"/>
      <c r="AE1167" s="63" t="s">
        <v>250</v>
      </c>
      <c r="AF1167" s="71" t="s">
        <v>242</v>
      </c>
      <c r="AG1167" s="61"/>
      <c r="AH1167" s="63" t="s">
        <v>250</v>
      </c>
      <c r="AI1167" s="71" t="s">
        <v>242</v>
      </c>
      <c r="AJ1167" s="61"/>
      <c r="AK1167" s="63" t="s">
        <v>250</v>
      </c>
      <c r="AL1167" s="71" t="s">
        <v>242</v>
      </c>
      <c r="AM1167" s="61"/>
      <c r="AN1167" s="63" t="s">
        <v>250</v>
      </c>
      <c r="AO1167" s="71" t="s">
        <v>242</v>
      </c>
      <c r="AP1167" s="61"/>
      <c r="AQ1167" s="63" t="s">
        <v>250</v>
      </c>
      <c r="AR1167" s="71" t="s">
        <v>242</v>
      </c>
      <c r="AS1167" s="61"/>
      <c r="AT1167" s="63" t="s">
        <v>250</v>
      </c>
      <c r="AU1167" s="71" t="s">
        <v>242</v>
      </c>
    </row>
    <row r="1168" spans="15:47" ht="13" x14ac:dyDescent="0.3">
      <c r="O1168" s="6" t="s">
        <v>231</v>
      </c>
      <c r="P1168" s="6"/>
      <c r="Q1168" s="60"/>
      <c r="R1168" s="85">
        <f>P_1_minQ-(R1166^2*R_up)+dpup_minQ</f>
        <v>56.91486564768104</v>
      </c>
      <c r="S1168" s="56"/>
      <c r="T1168" s="72"/>
      <c r="U1168" s="53">
        <f>P_1_minQ-(U1166^2*R_up)+dpup_minQ</f>
        <v>56.706728863207914</v>
      </c>
      <c r="V1168" s="44"/>
      <c r="W1168" s="72"/>
      <c r="X1168" s="53">
        <f>P_1_minQ-(X1166^2*R_up)+dpup_minQ</f>
        <v>55.709529678715505</v>
      </c>
      <c r="Y1168" s="44"/>
      <c r="Z1168" s="72"/>
      <c r="AA1168" s="53">
        <f>P_1_minQ-(AA1166^2*R_up)+dpup_minQ</f>
        <v>52.517215965355071</v>
      </c>
      <c r="AB1168" s="44"/>
      <c r="AC1168" s="72"/>
      <c r="AD1168" s="53">
        <f>P_1_minQ-(AD1166^2*R_up)+dpup_minQ</f>
        <v>45.017863989864878</v>
      </c>
      <c r="AE1168" s="44"/>
      <c r="AF1168" s="72"/>
      <c r="AG1168" s="53">
        <f>P_1_minQ-(AG1166^2*R_up)+dpup_minQ</f>
        <v>30.541046622713296</v>
      </c>
      <c r="AH1168" s="44"/>
      <c r="AI1168" s="72"/>
      <c r="AJ1168" s="53">
        <f>P_1_minQ-(AJ1166^2*R_up)+dpup_minQ</f>
        <v>9.9447179748489596</v>
      </c>
      <c r="AK1168" s="44"/>
      <c r="AL1168" s="72"/>
      <c r="AM1168" s="53">
        <f>P_1_minQ-(AM1166^2*R_up)+dpup_minQ</f>
        <v>-13.017908330168783</v>
      </c>
      <c r="AN1168" s="44"/>
      <c r="AO1168" s="72"/>
      <c r="AP1168" s="53">
        <f>P_1_minQ-(AP1166^2*R_up)+dpup_minQ</f>
        <v>-37.344392297987831</v>
      </c>
      <c r="AQ1168" s="44"/>
      <c r="AR1168" s="72"/>
      <c r="AS1168" s="53">
        <f>P_1_minQ-(AS1166^2*R_up)+dpup_minQ</f>
        <v>-65.175410654462439</v>
      </c>
      <c r="AT1168" s="44"/>
      <c r="AU1168" s="72"/>
    </row>
    <row r="1169" spans="15:47" ht="13" x14ac:dyDescent="0.3">
      <c r="O1169" s="6" t="s">
        <v>233</v>
      </c>
      <c r="P1169" s="6"/>
      <c r="Q1169" s="60"/>
      <c r="R1169" s="85">
        <f>P_2_minQ+(R1166^2*R_dn)-dpdn_minQ</f>
        <v>24.657026870463792</v>
      </c>
      <c r="S1169" s="66"/>
      <c r="T1169" s="74"/>
      <c r="U1169" s="53">
        <f>P_2_minQ+(U1166^2*R_dn)-dpdn_minQ</f>
        <v>24.698654227358418</v>
      </c>
      <c r="V1169" s="45"/>
      <c r="W1169" s="74"/>
      <c r="X1169" s="53">
        <f>P_2_minQ+(X1166^2*R_dn)-dpdn_minQ</f>
        <v>24.898094064256899</v>
      </c>
      <c r="Y1169" s="45"/>
      <c r="Z1169" s="74"/>
      <c r="AA1169" s="53">
        <f>P_2_minQ+(AA1166^2*R_dn)-dpdn_minQ</f>
        <v>25.536556806928989</v>
      </c>
      <c r="AB1169" s="45"/>
      <c r="AC1169" s="74"/>
      <c r="AD1169" s="53">
        <f>P_2_minQ+(AD1166^2*R_dn)-dpdn_minQ</f>
        <v>27.036427202027024</v>
      </c>
      <c r="AE1169" s="45"/>
      <c r="AF1169" s="74"/>
      <c r="AG1169" s="53">
        <f>P_2_minQ+(AG1166^2*R_dn)-dpdn_minQ</f>
        <v>29.931790675457343</v>
      </c>
      <c r="AH1169" s="45"/>
      <c r="AI1169" s="74"/>
      <c r="AJ1169" s="53">
        <f>P_2_minQ+(AJ1166^2*R_dn)-dpdn_minQ</f>
        <v>34.051056405030209</v>
      </c>
      <c r="AK1169" s="45"/>
      <c r="AL1169" s="74"/>
      <c r="AM1169" s="53">
        <f>P_2_minQ+(AM1166^2*R_dn)-dpdn_minQ</f>
        <v>38.643581666033761</v>
      </c>
      <c r="AN1169" s="45"/>
      <c r="AO1169" s="74"/>
      <c r="AP1169" s="53">
        <f>P_2_minQ+(AP1166^2*R_dn)-dpdn_minQ</f>
        <v>43.508878459597568</v>
      </c>
      <c r="AQ1169" s="45"/>
      <c r="AR1169" s="74"/>
      <c r="AS1169" s="53">
        <f>P_2_minQ+(AS1166^2*R_dn)-dpdn_minQ</f>
        <v>49.07508213089249</v>
      </c>
      <c r="AT1169" s="45"/>
      <c r="AU1169" s="74"/>
    </row>
    <row r="1170" spans="15:47" x14ac:dyDescent="0.25">
      <c r="O1170" s="6" t="s">
        <v>243</v>
      </c>
      <c r="Q1170" s="60"/>
      <c r="R1170" s="53">
        <f>R1168-R1169</f>
        <v>32.257838777217245</v>
      </c>
      <c r="S1170" s="56"/>
      <c r="T1170" s="72"/>
      <c r="U1170" s="64">
        <f>U1168-U1169</f>
        <v>32.008074635849496</v>
      </c>
      <c r="V1170" s="44"/>
      <c r="W1170" s="72"/>
      <c r="X1170" s="64">
        <f>X1168-X1169</f>
        <v>30.811435614458606</v>
      </c>
      <c r="Y1170" s="44"/>
      <c r="Z1170" s="72"/>
      <c r="AA1170" s="64">
        <f>AA1168-AA1169</f>
        <v>26.980659158426082</v>
      </c>
      <c r="AB1170" s="44"/>
      <c r="AC1170" s="72"/>
      <c r="AD1170" s="64">
        <f>AD1168-AD1169</f>
        <v>17.981436787837854</v>
      </c>
      <c r="AE1170" s="44"/>
      <c r="AF1170" s="72"/>
      <c r="AG1170" s="64">
        <f>AG1168-AG1169</f>
        <v>0.60925594725595289</v>
      </c>
      <c r="AH1170" s="44"/>
      <c r="AI1170" s="72"/>
      <c r="AJ1170" s="64">
        <f>AJ1168-AJ1169</f>
        <v>-24.10633843018125</v>
      </c>
      <c r="AK1170" s="44"/>
      <c r="AL1170" s="72"/>
      <c r="AM1170" s="64">
        <f>AM1168-AM1169</f>
        <v>-51.661489996202548</v>
      </c>
      <c r="AN1170" s="44"/>
      <c r="AO1170" s="72"/>
      <c r="AP1170" s="64">
        <f>AP1168-AP1169</f>
        <v>-80.853270757585392</v>
      </c>
      <c r="AQ1170" s="44"/>
      <c r="AR1170" s="72"/>
      <c r="AS1170" s="64">
        <f>AS1168-AS1169</f>
        <v>-114.25049278535494</v>
      </c>
      <c r="AT1170" s="44"/>
      <c r="AU1170" s="72"/>
    </row>
    <row r="1171" spans="15:47" ht="13" x14ac:dyDescent="0.3">
      <c r="O1171" s="6" t="s">
        <v>75</v>
      </c>
      <c r="P1171" s="6">
        <v>3</v>
      </c>
      <c r="Q1171" s="65"/>
      <c r="R1171" s="85">
        <f>(F_LP_h/F_P_h)^2*(R1168-('Valve Sizing'!$V$4*'Valve Sizing'!$G$7))</f>
        <v>46.764105365589238</v>
      </c>
      <c r="S1171" s="58"/>
      <c r="T1171" s="73"/>
      <c r="U1171" s="53">
        <f>(U$29/U$27)^2*(U1168-('Valve Sizing'!$V$4*'Valve Sizing'!$G$7))</f>
        <v>46.57905819471339</v>
      </c>
      <c r="V1171" s="41"/>
      <c r="W1171" s="73"/>
      <c r="X1171" s="53">
        <f>(X$29/X$27)^2*(X1168-('Valve Sizing'!$V$4*'Valve Sizing'!$G$7))</f>
        <v>44.72149030620546</v>
      </c>
      <c r="Y1171" s="41"/>
      <c r="Z1171" s="73"/>
      <c r="AA1171" s="53">
        <f>(AA$29/AA$27)^2*(AA1168-('Valve Sizing'!$V$4*'Valve Sizing'!$G$7))</f>
        <v>40.245083227432275</v>
      </c>
      <c r="AB1171" s="41"/>
      <c r="AC1171" s="73"/>
      <c r="AD1171" s="53">
        <f>(AD$29/AD$27)^2*(AD1168-('Valve Sizing'!$V$4*'Valve Sizing'!$G$7))</f>
        <v>32.148952558153596</v>
      </c>
      <c r="AE1171" s="41"/>
      <c r="AF1171" s="73"/>
      <c r="AG1171" s="53">
        <f>(AG$29/AG$27)^2*(AG1168-('Valve Sizing'!$V$4*'Valve Sizing'!$G$7))</f>
        <v>19.386359860294228</v>
      </c>
      <c r="AH1171" s="41"/>
      <c r="AI1171" s="73"/>
      <c r="AJ1171" s="53">
        <f>(AJ$29/AJ$27)^2*(AJ1168-('Valve Sizing'!$V$4*'Valve Sizing'!$G$7))</f>
        <v>5.4971565403170537</v>
      </c>
      <c r="AK1171" s="41"/>
      <c r="AL1171" s="73"/>
      <c r="AM1171" s="53">
        <f>(AM$29/AM$27)^2*(AM1168-('Valve Sizing'!$V$4*'Valve Sizing'!$G$7))</f>
        <v>-6.4392619168702145</v>
      </c>
      <c r="AN1171" s="41"/>
      <c r="AO1171" s="73"/>
      <c r="AP1171" s="53">
        <f>(AP$29/AP$27)^2*(AP1168-('Valve Sizing'!$V$4*'Valve Sizing'!$G$7))</f>
        <v>-14.910757613938749</v>
      </c>
      <c r="AQ1171" s="41"/>
      <c r="AR1171" s="73"/>
      <c r="AS1171" s="53">
        <f>(AS$29/AS$27)^2*(AS1168-('Valve Sizing'!$V$4*'Valve Sizing'!$G$7))</f>
        <v>-24.680654360666072</v>
      </c>
      <c r="AT1171" s="41"/>
      <c r="AU1171" s="73"/>
    </row>
    <row r="1172" spans="15:47" ht="13" x14ac:dyDescent="0.25">
      <c r="O1172" s="1" t="s">
        <v>69</v>
      </c>
      <c r="P1172" s="17">
        <v>7</v>
      </c>
      <c r="Q1172" s="65"/>
      <c r="R1172" s="53">
        <f>(R1166/(N_1*F_P_h))*SQRT('Valve Sizing'!$G$6/R1170)</f>
        <v>1.0830626360207765</v>
      </c>
      <c r="S1172" s="58"/>
      <c r="T1172" s="73"/>
      <c r="U1172" s="64">
        <f>(U1166/(N_1*U$27))*SQRT('Valve Sizing'!$G$6/U1170)</f>
        <v>13.930230372086307</v>
      </c>
      <c r="V1172" s="41"/>
      <c r="W1172" s="73"/>
      <c r="X1172" s="64">
        <f>(X1166/(N_1*X$27))*SQRT('Valve Sizing'!$G$6/X1170)</f>
        <v>34.15762349895428</v>
      </c>
      <c r="Y1172" s="41"/>
      <c r="Z1172" s="73"/>
      <c r="AA1172" s="64">
        <f>(AA1166/(N_1*AA$27))*SQRT('Valve Sizing'!$G$6/AA1170)</f>
        <v>70.096762084234612</v>
      </c>
      <c r="AB1172" s="41"/>
      <c r="AC1172" s="73"/>
      <c r="AD1172" s="64">
        <f>(AD1166/(N_1*AD$27))*SQRT('Valve Sizing'!$G$6/AD1170)</f>
        <v>142.99008747371221</v>
      </c>
      <c r="AE1172" s="41"/>
      <c r="AF1172" s="73"/>
      <c r="AG1172" s="64">
        <f>(AG1166/(N_1*AG$27))*SQRT('Valve Sizing'!$G$6/AG1170)</f>
        <v>1182.3781594088268</v>
      </c>
      <c r="AH1172" s="41"/>
      <c r="AI1172" s="73"/>
      <c r="AJ1172" s="64" t="e">
        <f>(AJ1166/(N_1*AJ$27))*SQRT('Valve Sizing'!$G$6/AJ1170)</f>
        <v>#NUM!</v>
      </c>
      <c r="AK1172" s="41"/>
      <c r="AL1172" s="73"/>
      <c r="AM1172" s="64" t="e">
        <f>(AM1166/(N_1*AM$27))*SQRT('Valve Sizing'!$G$6/AM1170)</f>
        <v>#NUM!</v>
      </c>
      <c r="AN1172" s="41"/>
      <c r="AO1172" s="73"/>
      <c r="AP1172" s="64" t="e">
        <f>(AP1166/(N_1*AP$27))*SQRT('Valve Sizing'!$G$6/AP1170)</f>
        <v>#NUM!</v>
      </c>
      <c r="AQ1172" s="41"/>
      <c r="AR1172" s="73"/>
      <c r="AS1172" s="64" t="e">
        <f>(AS1166/(N_1*AS$27))*SQRT('Valve Sizing'!$G$6/AS1170)</f>
        <v>#NUM!</v>
      </c>
      <c r="AT1172" s="41"/>
      <c r="AU1172" s="73"/>
    </row>
    <row r="1173" spans="15:47" ht="13" x14ac:dyDescent="0.3">
      <c r="O1173" s="1" t="s">
        <v>72</v>
      </c>
      <c r="P1173" s="17">
        <v>7</v>
      </c>
      <c r="Q1173" s="65"/>
      <c r="R1173" s="53">
        <f>(R1166/(N_1*F_P_h))*SQRT('Valve Sizing'!$G$6/R1171)</f>
        <v>0.8995284257678311</v>
      </c>
      <c r="S1173" s="56"/>
      <c r="T1173" s="72"/>
      <c r="U1173" s="85">
        <f>(U1166/(N_1*U$27))*SQRT('Valve Sizing'!$G$6/U1171)</f>
        <v>11.547626344893848</v>
      </c>
      <c r="V1173" s="44"/>
      <c r="W1173" s="72"/>
      <c r="X1173" s="85">
        <f>(X1166/(N_1*X$27))*SQRT('Valve Sizing'!$G$6/X1171)</f>
        <v>28.352116221307107</v>
      </c>
      <c r="Y1173" s="44"/>
      <c r="Z1173" s="72"/>
      <c r="AA1173" s="85">
        <f>(AA1166/(N_1*AA$27))*SQRT('Valve Sizing'!$G$6/AA1171)</f>
        <v>57.394175363048568</v>
      </c>
      <c r="AB1173" s="44"/>
      <c r="AC1173" s="72"/>
      <c r="AD1173" s="85">
        <f>(AD1166/(N_1*AD$27))*SQRT('Valve Sizing'!$G$6/AD1171)</f>
        <v>106.93865394482725</v>
      </c>
      <c r="AE1173" s="44"/>
      <c r="AF1173" s="72"/>
      <c r="AG1173" s="85">
        <f>(AG1166/(N_1*AG$27))*SQRT('Valve Sizing'!$G$6/AG1171)</f>
        <v>209.60814402194438</v>
      </c>
      <c r="AH1173" s="44"/>
      <c r="AI1173" s="72"/>
      <c r="AJ1173" s="85">
        <f>(AJ1166/(N_1*AJ$27))*SQRT('Valve Sizing'!$G$6/AJ1171)</f>
        <v>544.39260691826837</v>
      </c>
      <c r="AK1173" s="44"/>
      <c r="AL1173" s="72"/>
      <c r="AM1173" s="85" t="e">
        <f>(AM1166/(N_1*AM$27))*SQRT('Valve Sizing'!$G$6/AM1171)</f>
        <v>#NUM!</v>
      </c>
      <c r="AN1173" s="44"/>
      <c r="AO1173" s="72"/>
      <c r="AP1173" s="85" t="e">
        <f>(AP1166/(N_1*AP$27))*SQRT('Valve Sizing'!$G$6/AP1171)</f>
        <v>#NUM!</v>
      </c>
      <c r="AQ1173" s="44"/>
      <c r="AR1173" s="72"/>
      <c r="AS1173" s="85" t="e">
        <f>(AS1166/(N_1*AS$27))*SQRT('Valve Sizing'!$G$6/AS1171)</f>
        <v>#NUM!</v>
      </c>
      <c r="AT1173" s="44"/>
      <c r="AU1173" s="72"/>
    </row>
    <row r="1174" spans="15:47" x14ac:dyDescent="0.25">
      <c r="O1174" s="1" t="s">
        <v>246</v>
      </c>
      <c r="P1174" s="18"/>
      <c r="Q1174" s="65"/>
      <c r="R1174" s="53">
        <f>IF(R1170&lt;R1171,R1172,R1173)</f>
        <v>1.0830626360207765</v>
      </c>
      <c r="S1174" s="49"/>
      <c r="T1174" s="72"/>
      <c r="U1174" s="64">
        <f>IF(U1170&lt;U1171,U1172,U1173)</f>
        <v>13.930230372086307</v>
      </c>
      <c r="V1174" s="44"/>
      <c r="W1174" s="72"/>
      <c r="X1174" s="64">
        <f>IF(X1170&lt;X1171,X1172,X1173)</f>
        <v>34.15762349895428</v>
      </c>
      <c r="Y1174" s="44"/>
      <c r="Z1174" s="72"/>
      <c r="AA1174" s="64">
        <f>IF(AA1170&lt;AA1171,AA1172,AA1173)</f>
        <v>70.096762084234612</v>
      </c>
      <c r="AB1174" s="44"/>
      <c r="AC1174" s="72"/>
      <c r="AD1174" s="64">
        <f>IF(AD1170&lt;AD1171,AD1172,AD1173)</f>
        <v>142.99008747371221</v>
      </c>
      <c r="AE1174" s="44"/>
      <c r="AF1174" s="72"/>
      <c r="AG1174" s="64">
        <f>IF(AG1170&lt;AG1171,AG1172,AG1173)</f>
        <v>1182.3781594088268</v>
      </c>
      <c r="AH1174" s="44"/>
      <c r="AI1174" s="72"/>
      <c r="AJ1174" s="64" t="e">
        <f>IF(AJ1170&lt;AJ1171,AJ1172,AJ1173)</f>
        <v>#NUM!</v>
      </c>
      <c r="AK1174" s="44"/>
      <c r="AL1174" s="72"/>
      <c r="AM1174" s="64" t="e">
        <f>IF(AM1170&lt;AM1171,AM1172,AM1173)</f>
        <v>#NUM!</v>
      </c>
      <c r="AN1174" s="44"/>
      <c r="AO1174" s="72"/>
      <c r="AP1174" s="64" t="e">
        <f>IF(AP1170&lt;AP1171,AP1172,AP1173)</f>
        <v>#NUM!</v>
      </c>
      <c r="AQ1174" s="44"/>
      <c r="AR1174" s="72"/>
      <c r="AS1174" s="64" t="e">
        <f>IF(AS1170&lt;AS1171,AS1172,AS1173)</f>
        <v>#NUM!</v>
      </c>
      <c r="AT1174" s="44"/>
      <c r="AU1174" s="72"/>
    </row>
    <row r="1175" spans="15:47" ht="13" x14ac:dyDescent="0.3">
      <c r="O1175" s="7" t="s">
        <v>264</v>
      </c>
      <c r="Q1175" s="61"/>
      <c r="R1175" s="53"/>
      <c r="S1175" s="69">
        <f>IFERROR(ABS(C_h-R1174),Q_max*10)</f>
        <v>3.9169373639792235</v>
      </c>
      <c r="T1175" s="76">
        <f>R1166</f>
        <v>6.1504611342866724</v>
      </c>
      <c r="U1175" s="61"/>
      <c r="V1175" s="69">
        <f>IFERROR(ABS(U$23-U1174),Q_max*10)</f>
        <v>1.9302303720863065</v>
      </c>
      <c r="W1175" s="75">
        <f>U1166</f>
        <v>78.744894186312962</v>
      </c>
      <c r="X1175" s="61"/>
      <c r="Y1175" s="69">
        <f>IFERROR(ABS(X$23-X1174),Q_max*10)</f>
        <v>11.15762349895428</v>
      </c>
      <c r="Z1175" s="75">
        <f>X1166</f>
        <v>189.01805790250285</v>
      </c>
      <c r="AA1175" s="61"/>
      <c r="AB1175" s="69">
        <f>IFERROR(ABS(AA$23-AA1174),Q_max*10)</f>
        <v>31.096762084234612</v>
      </c>
      <c r="AC1175" s="75">
        <f>AA1166</f>
        <v>360.90474541883805</v>
      </c>
      <c r="AD1175" s="61"/>
      <c r="AE1175" s="69">
        <f>IFERROR(ABS(AD$23-AD1174),Q_max*10)</f>
        <v>81.990087473712208</v>
      </c>
      <c r="AF1175" s="75">
        <f>AD1166</f>
        <v>593.55542897028658</v>
      </c>
      <c r="AG1175" s="61"/>
      <c r="AH1175" s="69">
        <f>IFERROR(ABS(AG$23-AG1174),Q_max*10)</f>
        <v>1094.3781594088268</v>
      </c>
      <c r="AI1175" s="75">
        <f>AG1166</f>
        <v>883.72315206825908</v>
      </c>
      <c r="AJ1175" s="61"/>
      <c r="AK1175" s="69">
        <f>IFERROR(ABS(AJ$23-AJ1174),Q_max*10)</f>
        <v>5500</v>
      </c>
      <c r="AL1175" s="75">
        <f>AJ1166</f>
        <v>1179.3319722473068</v>
      </c>
      <c r="AM1175" s="61"/>
      <c r="AN1175" s="69">
        <f>IFERROR(ABS(AM$23-AM1174),Q_max*10)</f>
        <v>5500</v>
      </c>
      <c r="AO1175" s="75">
        <f>AM1166</f>
        <v>1439.0091263283557</v>
      </c>
      <c r="AP1175" s="61"/>
      <c r="AQ1175" s="69">
        <f>IFERROR(ABS(AP$23-AP1174),Q_max*10)</f>
        <v>5500</v>
      </c>
      <c r="AR1175" s="75">
        <f>AP1166</f>
        <v>1670.644922161325</v>
      </c>
      <c r="AS1175" s="61"/>
      <c r="AT1175" s="69">
        <f>IFERROR(ABS(AS$23-AS1174),Q_max*10)</f>
        <v>5500</v>
      </c>
      <c r="AU1175" s="75">
        <f>AS1166</f>
        <v>1901.3497599018001</v>
      </c>
    </row>
    <row r="1176" spans="15:47" ht="14.5" x14ac:dyDescent="0.35">
      <c r="O1176" s="6"/>
      <c r="P1176" s="6"/>
      <c r="Q1176" s="60"/>
      <c r="R1176" s="67"/>
      <c r="S1176" s="58"/>
      <c r="T1176" s="73"/>
      <c r="V1176" s="11"/>
      <c r="W1176" s="38"/>
      <c r="Y1176" s="11"/>
      <c r="Z1176" s="38"/>
      <c r="AB1176" s="11"/>
      <c r="AC1176" s="38"/>
      <c r="AE1176" s="11"/>
      <c r="AF1176" s="38"/>
      <c r="AH1176" s="11"/>
      <c r="AI1176" s="38"/>
      <c r="AK1176" s="11"/>
      <c r="AL1176" s="38"/>
      <c r="AN1176" s="11"/>
      <c r="AO1176" s="38"/>
      <c r="AQ1176" s="11"/>
      <c r="AR1176" s="38"/>
      <c r="AT1176" s="11"/>
      <c r="AU1176" s="38"/>
    </row>
    <row r="1177" spans="15:47" ht="14" x14ac:dyDescent="0.3">
      <c r="O1177" s="8" t="s">
        <v>235</v>
      </c>
      <c r="P1177" s="6"/>
      <c r="Q1177" s="60"/>
      <c r="R1177" s="53">
        <f>R1166*1.02</f>
        <v>6.273470356972406</v>
      </c>
      <c r="S1177" s="58" t="s">
        <v>238</v>
      </c>
      <c r="T1177" s="73" t="s">
        <v>241</v>
      </c>
      <c r="U1177" s="84">
        <f>U1166*1.01</f>
        <v>79.532343128176095</v>
      </c>
      <c r="V1177" s="58" t="s">
        <v>238</v>
      </c>
      <c r="W1177" s="73" t="s">
        <v>241</v>
      </c>
      <c r="X1177" s="84">
        <f>X1166*1.01</f>
        <v>190.90823848152789</v>
      </c>
      <c r="Y1177" s="58" t="s">
        <v>238</v>
      </c>
      <c r="Z1177" s="73" t="s">
        <v>241</v>
      </c>
      <c r="AA1177" s="84">
        <f>AA1166*1.01</f>
        <v>364.51379287302643</v>
      </c>
      <c r="AB1177" s="58" t="s">
        <v>238</v>
      </c>
      <c r="AC1177" s="73" t="s">
        <v>241</v>
      </c>
      <c r="AD1177" s="84">
        <f>AD1166*1.01</f>
        <v>599.49098325998943</v>
      </c>
      <c r="AE1177" s="58" t="s">
        <v>238</v>
      </c>
      <c r="AF1177" s="73" t="s">
        <v>241</v>
      </c>
      <c r="AG1177" s="84">
        <f>AG1166*1.01</f>
        <v>892.5603835889417</v>
      </c>
      <c r="AH1177" s="58" t="s">
        <v>238</v>
      </c>
      <c r="AI1177" s="73" t="s">
        <v>241</v>
      </c>
      <c r="AJ1177" s="84">
        <f>AJ1166*1.01</f>
        <v>1191.1252919697799</v>
      </c>
      <c r="AK1177" s="58" t="s">
        <v>238</v>
      </c>
      <c r="AL1177" s="73" t="s">
        <v>241</v>
      </c>
      <c r="AM1177" s="84">
        <f>AM1166*1.01</f>
        <v>1453.3992175916392</v>
      </c>
      <c r="AN1177" s="58" t="s">
        <v>238</v>
      </c>
      <c r="AO1177" s="73" t="s">
        <v>241</v>
      </c>
      <c r="AP1177" s="84">
        <f>AP1166*1.01</f>
        <v>1687.3513713829382</v>
      </c>
      <c r="AQ1177" s="58" t="s">
        <v>238</v>
      </c>
      <c r="AR1177" s="73" t="s">
        <v>241</v>
      </c>
      <c r="AS1177" s="84">
        <f>AS1166*1.01</f>
        <v>1920.363257500818</v>
      </c>
      <c r="AT1177" s="58" t="s">
        <v>238</v>
      </c>
      <c r="AU1177" s="73" t="s">
        <v>241</v>
      </c>
    </row>
    <row r="1178" spans="15:47" ht="13" x14ac:dyDescent="0.25">
      <c r="O1178" s="6"/>
      <c r="P1178" s="6"/>
      <c r="Q1178" s="60"/>
      <c r="R1178" s="70"/>
      <c r="S1178" s="63" t="s">
        <v>250</v>
      </c>
      <c r="T1178" s="71" t="s">
        <v>242</v>
      </c>
      <c r="U1178" s="61"/>
      <c r="V1178" s="63" t="s">
        <v>250</v>
      </c>
      <c r="W1178" s="71" t="s">
        <v>242</v>
      </c>
      <c r="X1178" s="61"/>
      <c r="Y1178" s="63" t="s">
        <v>250</v>
      </c>
      <c r="Z1178" s="71" t="s">
        <v>242</v>
      </c>
      <c r="AA1178" s="61"/>
      <c r="AB1178" s="63" t="s">
        <v>250</v>
      </c>
      <c r="AC1178" s="71" t="s">
        <v>242</v>
      </c>
      <c r="AD1178" s="61"/>
      <c r="AE1178" s="63" t="s">
        <v>250</v>
      </c>
      <c r="AF1178" s="71" t="s">
        <v>242</v>
      </c>
      <c r="AG1178" s="61"/>
      <c r="AH1178" s="63" t="s">
        <v>250</v>
      </c>
      <c r="AI1178" s="71" t="s">
        <v>242</v>
      </c>
      <c r="AJ1178" s="61"/>
      <c r="AK1178" s="63" t="s">
        <v>250</v>
      </c>
      <c r="AL1178" s="71" t="s">
        <v>242</v>
      </c>
      <c r="AM1178" s="61"/>
      <c r="AN1178" s="63" t="s">
        <v>250</v>
      </c>
      <c r="AO1178" s="71" t="s">
        <v>242</v>
      </c>
      <c r="AP1178" s="61"/>
      <c r="AQ1178" s="63" t="s">
        <v>250</v>
      </c>
      <c r="AR1178" s="71" t="s">
        <v>242</v>
      </c>
      <c r="AS1178" s="61"/>
      <c r="AT1178" s="63" t="s">
        <v>250</v>
      </c>
      <c r="AU1178" s="71" t="s">
        <v>242</v>
      </c>
    </row>
    <row r="1179" spans="15:47" ht="13" x14ac:dyDescent="0.3">
      <c r="O1179" s="6" t="s">
        <v>231</v>
      </c>
      <c r="P1179" s="6"/>
      <c r="Q1179" s="60"/>
      <c r="R1179" s="85">
        <f>P_1_minQ-(R1177^2*R_up)+dpup_minQ</f>
        <v>56.914814034774743</v>
      </c>
      <c r="S1179" s="56"/>
      <c r="T1179" s="72"/>
      <c r="U1179" s="53">
        <f>P_1_minQ-(U1177^2*R_up)+dpup_minQ</f>
        <v>56.702519635141577</v>
      </c>
      <c r="V1179" s="44"/>
      <c r="W1179" s="72"/>
      <c r="X1179" s="53">
        <f>P_1_minQ-(X1177^2*R_up)+dpup_minQ</f>
        <v>55.685276747040866</v>
      </c>
      <c r="Y1179" s="44"/>
      <c r="Z1179" s="72"/>
      <c r="AA1179" s="53">
        <f>P_1_minQ-(AA1177^2*R_up)+dpup_minQ</f>
        <v>52.428797528041891</v>
      </c>
      <c r="AB1179" s="44"/>
      <c r="AC1179" s="72"/>
      <c r="AD1179" s="53">
        <f>P_1_minQ-(AD1177^2*R_up)+dpup_minQ</f>
        <v>44.778708577844341</v>
      </c>
      <c r="AE1179" s="44"/>
      <c r="AF1179" s="72"/>
      <c r="AG1179" s="53">
        <f>P_1_minQ-(AG1177^2*R_up)+dpup_minQ</f>
        <v>30.010907181613014</v>
      </c>
      <c r="AH1179" s="44"/>
      <c r="AI1179" s="72"/>
      <c r="AJ1179" s="53">
        <f>P_1_minQ-(AJ1177^2*R_up)+dpup_minQ</f>
        <v>9.0005923279266007</v>
      </c>
      <c r="AK1179" s="44"/>
      <c r="AL1179" s="72"/>
      <c r="AM1179" s="53">
        <f>P_1_minQ-(AM1177^2*R_up)+dpup_minQ</f>
        <v>-14.42358276582198</v>
      </c>
      <c r="AN1179" s="44"/>
      <c r="AO1179" s="72"/>
      <c r="AP1179" s="53">
        <f>P_1_minQ-(AP1177^2*R_up)+dpup_minQ</f>
        <v>-39.239029061394199</v>
      </c>
      <c r="AQ1179" s="44"/>
      <c r="AR1179" s="72"/>
      <c r="AS1179" s="53">
        <f>P_1_minQ-(AS1177^2*R_up)+dpup_minQ</f>
        <v>-67.629450886833951</v>
      </c>
      <c r="AT1179" s="44"/>
      <c r="AU1179" s="72"/>
    </row>
    <row r="1180" spans="15:47" ht="13" x14ac:dyDescent="0.3">
      <c r="O1180" s="6" t="s">
        <v>233</v>
      </c>
      <c r="P1180" s="6"/>
      <c r="Q1180" s="60"/>
      <c r="R1180" s="85">
        <f>P_2_minQ+(R1177^2*R_dn)-dpdn_minQ</f>
        <v>24.657037193045053</v>
      </c>
      <c r="S1180" s="66"/>
      <c r="T1180" s="74"/>
      <c r="U1180" s="53">
        <f>P_2_minQ+(U1177^2*R_dn)-dpdn_minQ</f>
        <v>24.699496072971687</v>
      </c>
      <c r="V1180" s="45"/>
      <c r="W1180" s="74"/>
      <c r="X1180" s="53">
        <f>P_2_minQ+(X1177^2*R_dn)-dpdn_minQ</f>
        <v>24.902944650591827</v>
      </c>
      <c r="Y1180" s="45"/>
      <c r="Z1180" s="74"/>
      <c r="AA1180" s="53">
        <f>P_2_minQ+(AA1177^2*R_dn)-dpdn_minQ</f>
        <v>25.554240494391625</v>
      </c>
      <c r="AB1180" s="45"/>
      <c r="AC1180" s="74"/>
      <c r="AD1180" s="53">
        <f>P_2_minQ+(AD1177^2*R_dn)-dpdn_minQ</f>
        <v>27.084258284431133</v>
      </c>
      <c r="AE1180" s="45"/>
      <c r="AF1180" s="74"/>
      <c r="AG1180" s="53">
        <f>P_2_minQ+(AG1177^2*R_dn)-dpdn_minQ</f>
        <v>30.037818563677398</v>
      </c>
      <c r="AH1180" s="45"/>
      <c r="AI1180" s="74"/>
      <c r="AJ1180" s="53">
        <f>P_2_minQ+(AJ1177^2*R_dn)-dpdn_minQ</f>
        <v>34.239881534414685</v>
      </c>
      <c r="AK1180" s="45"/>
      <c r="AL1180" s="74"/>
      <c r="AM1180" s="53">
        <f>P_2_minQ+(AM1177^2*R_dn)-dpdn_minQ</f>
        <v>38.924716553164401</v>
      </c>
      <c r="AN1180" s="45"/>
      <c r="AO1180" s="74"/>
      <c r="AP1180" s="53">
        <f>P_2_minQ+(AP1177^2*R_dn)-dpdn_minQ</f>
        <v>43.887805812278842</v>
      </c>
      <c r="AQ1180" s="45"/>
      <c r="AR1180" s="74"/>
      <c r="AS1180" s="53">
        <f>P_2_minQ+(AS1177^2*R_dn)-dpdn_minQ</f>
        <v>49.565890177366796</v>
      </c>
      <c r="AT1180" s="45"/>
      <c r="AU1180" s="74"/>
    </row>
    <row r="1181" spans="15:47" x14ac:dyDescent="0.25">
      <c r="O1181" s="6" t="s">
        <v>243</v>
      </c>
      <c r="Q1181" s="60"/>
      <c r="R1181" s="53">
        <f>R1179-R1180</f>
        <v>32.257776841729694</v>
      </c>
      <c r="S1181" s="56"/>
      <c r="T1181" s="72"/>
      <c r="U1181" s="64">
        <f>U1179-U1180</f>
        <v>32.003023562169886</v>
      </c>
      <c r="V1181" s="44"/>
      <c r="W1181" s="72"/>
      <c r="X1181" s="64">
        <f>X1179-X1180</f>
        <v>30.782332096449039</v>
      </c>
      <c r="Y1181" s="44"/>
      <c r="Z1181" s="72"/>
      <c r="AA1181" s="64">
        <f>AA1179-AA1180</f>
        <v>26.874557033650266</v>
      </c>
      <c r="AB1181" s="44"/>
      <c r="AC1181" s="72"/>
      <c r="AD1181" s="64">
        <f>AD1179-AD1180</f>
        <v>17.694450293413208</v>
      </c>
      <c r="AE1181" s="44"/>
      <c r="AF1181" s="72"/>
      <c r="AG1181" s="64">
        <f>AG1179-AG1180</f>
        <v>-2.6911382064383815E-2</v>
      </c>
      <c r="AH1181" s="44"/>
      <c r="AI1181" s="72"/>
      <c r="AJ1181" s="64">
        <f>AJ1179-AJ1180</f>
        <v>-25.239289206488085</v>
      </c>
      <c r="AK1181" s="44"/>
      <c r="AL1181" s="72"/>
      <c r="AM1181" s="64">
        <f>AM1179-AM1180</f>
        <v>-53.348299318986378</v>
      </c>
      <c r="AN1181" s="44"/>
      <c r="AO1181" s="72"/>
      <c r="AP1181" s="64">
        <f>AP1179-AP1180</f>
        <v>-83.126834873673033</v>
      </c>
      <c r="AQ1181" s="44"/>
      <c r="AR1181" s="72"/>
      <c r="AS1181" s="64">
        <f>AS1179-AS1180</f>
        <v>-117.19534106420075</v>
      </c>
      <c r="AT1181" s="44"/>
      <c r="AU1181" s="72"/>
    </row>
    <row r="1182" spans="15:47" ht="13" x14ac:dyDescent="0.3">
      <c r="O1182" s="6" t="s">
        <v>75</v>
      </c>
      <c r="P1182" s="6">
        <v>3</v>
      </c>
      <c r="Q1182" s="65"/>
      <c r="R1182" s="85">
        <f>(F_LP_h/F_P_h)^2*(R1179-('Valve Sizing'!$V$4*'Valve Sizing'!$G$7))</f>
        <v>46.764062627393663</v>
      </c>
      <c r="S1182" s="58"/>
      <c r="T1182" s="73"/>
      <c r="U1182" s="53">
        <f>(U$29/U$27)^2*(U1179-('Valve Sizing'!$V$4*'Valve Sizing'!$G$7))</f>
        <v>46.575573682925231</v>
      </c>
      <c r="V1182" s="41"/>
      <c r="W1182" s="73"/>
      <c r="X1182" s="53">
        <f>(X$29/X$27)^2*(X1179-('Valve Sizing'!$V$4*'Valve Sizing'!$G$7))</f>
        <v>44.701865960081925</v>
      </c>
      <c r="Y1182" s="41"/>
      <c r="Z1182" s="73"/>
      <c r="AA1182" s="53">
        <f>(AA$29/AA$27)^2*(AA1179-('Valve Sizing'!$V$4*'Valve Sizing'!$G$7))</f>
        <v>40.176753704760245</v>
      </c>
      <c r="AB1182" s="41"/>
      <c r="AC1182" s="73"/>
      <c r="AD1182" s="53">
        <f>(AD$29/AD$27)^2*(AD1179-('Valve Sizing'!$V$4*'Valve Sizing'!$G$7))</f>
        <v>31.976476686646468</v>
      </c>
      <c r="AE1182" s="41"/>
      <c r="AF1182" s="73"/>
      <c r="AG1182" s="53">
        <f>(AG$29/AG$27)^2*(AG1179-('Valve Sizing'!$V$4*'Valve Sizing'!$G$7))</f>
        <v>19.044926759970004</v>
      </c>
      <c r="AH1182" s="41"/>
      <c r="AI1182" s="73"/>
      <c r="AJ1182" s="53">
        <f>(AJ$29/AJ$27)^2*(AJ1179-('Valve Sizing'!$V$4*'Valve Sizing'!$G$7))</f>
        <v>4.9511079380703675</v>
      </c>
      <c r="AK1182" s="41"/>
      <c r="AL1182" s="73"/>
      <c r="AM1182" s="53">
        <f>(AM$29/AM$27)^2*(AM1179-('Valve Sizing'!$V$4*'Valve Sizing'!$G$7))</f>
        <v>-7.1118379853196165</v>
      </c>
      <c r="AN1182" s="41"/>
      <c r="AO1182" s="73"/>
      <c r="AP1182" s="53">
        <f>(AP$29/AP$27)^2*(AP1179-('Valve Sizing'!$V$4*'Valve Sizing'!$G$7))</f>
        <v>-15.65843210887839</v>
      </c>
      <c r="AQ1182" s="41"/>
      <c r="AR1182" s="73"/>
      <c r="AS1182" s="53">
        <f>(AS$29/AS$27)^2*(AS1179-('Valve Sizing'!$V$4*'Valve Sizing'!$G$7))</f>
        <v>-25.603719002433014</v>
      </c>
      <c r="AT1182" s="41"/>
      <c r="AU1182" s="73"/>
    </row>
    <row r="1183" spans="15:47" ht="13" x14ac:dyDescent="0.25">
      <c r="O1183" s="1" t="s">
        <v>69</v>
      </c>
      <c r="P1183" s="17">
        <v>7</v>
      </c>
      <c r="Q1183" s="65"/>
      <c r="R1183" s="53">
        <f>(R1177/(N_1*F_P_h))*SQRT('Valve Sizing'!$G$6/R1181)</f>
        <v>1.1047249492851368</v>
      </c>
      <c r="S1183" s="58"/>
      <c r="T1183" s="73"/>
      <c r="U1183" s="64">
        <f>(U1177/(N_1*U$27))*SQRT('Valve Sizing'!$G$6/U1181)</f>
        <v>14.070642937188405</v>
      </c>
      <c r="V1183" s="41"/>
      <c r="W1183" s="73"/>
      <c r="X1183" s="64">
        <f>(X1177/(N_1*X$27))*SQRT('Valve Sizing'!$G$6/X1181)</f>
        <v>34.515504718041242</v>
      </c>
      <c r="Y1183" s="41"/>
      <c r="Z1183" s="73"/>
      <c r="AA1183" s="64">
        <f>(AA1177/(N_1*AA$27))*SQRT('Valve Sizing'!$G$6/AA1181)</f>
        <v>70.93734856296571</v>
      </c>
      <c r="AB1183" s="41"/>
      <c r="AC1183" s="73"/>
      <c r="AD1183" s="64">
        <f>(AD1177/(N_1*AD$27))*SQRT('Valve Sizing'!$G$6/AD1181)</f>
        <v>145.58645238150345</v>
      </c>
      <c r="AE1183" s="41"/>
      <c r="AF1183" s="73"/>
      <c r="AG1183" s="64" t="e">
        <f>(AG1177/(N_1*AG$27))*SQRT('Valve Sizing'!$G$6/AG1181)</f>
        <v>#NUM!</v>
      </c>
      <c r="AH1183" s="41"/>
      <c r="AI1183" s="73"/>
      <c r="AJ1183" s="64" t="e">
        <f>(AJ1177/(N_1*AJ$27))*SQRT('Valve Sizing'!$G$6/AJ1181)</f>
        <v>#NUM!</v>
      </c>
      <c r="AK1183" s="41"/>
      <c r="AL1183" s="73"/>
      <c r="AM1183" s="64" t="e">
        <f>(AM1177/(N_1*AM$27))*SQRT('Valve Sizing'!$G$6/AM1181)</f>
        <v>#NUM!</v>
      </c>
      <c r="AN1183" s="41"/>
      <c r="AO1183" s="73"/>
      <c r="AP1183" s="64" t="e">
        <f>(AP1177/(N_1*AP$27))*SQRT('Valve Sizing'!$G$6/AP1181)</f>
        <v>#NUM!</v>
      </c>
      <c r="AQ1183" s="41"/>
      <c r="AR1183" s="73"/>
      <c r="AS1183" s="64" t="e">
        <f>(AS1177/(N_1*AS$27))*SQRT('Valve Sizing'!$G$6/AS1181)</f>
        <v>#NUM!</v>
      </c>
      <c r="AT1183" s="41"/>
      <c r="AU1183" s="73"/>
    </row>
    <row r="1184" spans="15:47" ht="13" x14ac:dyDescent="0.3">
      <c r="O1184" s="1" t="s">
        <v>72</v>
      </c>
      <c r="P1184" s="17">
        <v>7</v>
      </c>
      <c r="Q1184" s="65"/>
      <c r="R1184" s="53">
        <f>(R1177/(N_1*F_P_h))*SQRT('Valve Sizing'!$G$6/R1182)</f>
        <v>0.91751941354848532</v>
      </c>
      <c r="S1184" s="56"/>
      <c r="T1184" s="72"/>
      <c r="U1184" s="85">
        <f>(U1177/(N_1*U$27))*SQRT('Valve Sizing'!$G$6/U1182)</f>
        <v>11.66353888271607</v>
      </c>
      <c r="V1184" s="44"/>
      <c r="W1184" s="72"/>
      <c r="X1184" s="85">
        <f>(X1177/(N_1*X$27))*SQRT('Valve Sizing'!$G$6/X1182)</f>
        <v>28.641922288921794</v>
      </c>
      <c r="Y1184" s="44"/>
      <c r="Z1184" s="72"/>
      <c r="AA1184" s="85">
        <f>(AA1177/(N_1*AA$27))*SQRT('Valve Sizing'!$G$6/AA1182)</f>
        <v>58.017390026081138</v>
      </c>
      <c r="AB1184" s="44"/>
      <c r="AC1184" s="72"/>
      <c r="AD1184" s="85">
        <f>(AD1177/(N_1*AD$27))*SQRT('Valve Sizing'!$G$6/AD1182)</f>
        <v>108.29893757820372</v>
      </c>
      <c r="AE1184" s="44"/>
      <c r="AF1184" s="72"/>
      <c r="AG1184" s="85">
        <f>(AG1177/(N_1*AG$27))*SQRT('Valve Sizing'!$G$6/AG1182)</f>
        <v>213.5934880282544</v>
      </c>
      <c r="AH1184" s="44"/>
      <c r="AI1184" s="72"/>
      <c r="AJ1184" s="85">
        <f>(AJ1177/(N_1*AJ$27))*SQRT('Valve Sizing'!$G$6/AJ1182)</f>
        <v>579.36392200213606</v>
      </c>
      <c r="AK1184" s="44"/>
      <c r="AL1184" s="72"/>
      <c r="AM1184" s="85" t="e">
        <f>(AM1177/(N_1*AM$27))*SQRT('Valve Sizing'!$G$6/AM1182)</f>
        <v>#NUM!</v>
      </c>
      <c r="AN1184" s="44"/>
      <c r="AO1184" s="72"/>
      <c r="AP1184" s="85" t="e">
        <f>(AP1177/(N_1*AP$27))*SQRT('Valve Sizing'!$G$6/AP1182)</f>
        <v>#NUM!</v>
      </c>
      <c r="AQ1184" s="44"/>
      <c r="AR1184" s="72"/>
      <c r="AS1184" s="85" t="e">
        <f>(AS1177/(N_1*AS$27))*SQRT('Valve Sizing'!$G$6/AS1182)</f>
        <v>#NUM!</v>
      </c>
      <c r="AT1184" s="44"/>
      <c r="AU1184" s="72"/>
    </row>
    <row r="1185" spans="15:47" x14ac:dyDescent="0.25">
      <c r="O1185" s="1" t="s">
        <v>246</v>
      </c>
      <c r="P1185" s="18"/>
      <c r="Q1185" s="65"/>
      <c r="R1185" s="53">
        <f>IF(R1181&lt;R1182,R1183,R1184)</f>
        <v>1.1047249492851368</v>
      </c>
      <c r="S1185" s="49"/>
      <c r="T1185" s="72"/>
      <c r="U1185" s="64">
        <f>IF(U1181&lt;U1182,U1183,U1184)</f>
        <v>14.070642937188405</v>
      </c>
      <c r="V1185" s="44"/>
      <c r="W1185" s="72"/>
      <c r="X1185" s="64">
        <f>IF(X1181&lt;X1182,X1183,X1184)</f>
        <v>34.515504718041242</v>
      </c>
      <c r="Y1185" s="44"/>
      <c r="Z1185" s="72"/>
      <c r="AA1185" s="64">
        <f>IF(AA1181&lt;AA1182,AA1183,AA1184)</f>
        <v>70.93734856296571</v>
      </c>
      <c r="AB1185" s="44"/>
      <c r="AC1185" s="72"/>
      <c r="AD1185" s="64">
        <f>IF(AD1181&lt;AD1182,AD1183,AD1184)</f>
        <v>145.58645238150345</v>
      </c>
      <c r="AE1185" s="44"/>
      <c r="AF1185" s="72"/>
      <c r="AG1185" s="64" t="e">
        <f>IF(AG1181&lt;AG1182,AG1183,AG1184)</f>
        <v>#NUM!</v>
      </c>
      <c r="AH1185" s="44"/>
      <c r="AI1185" s="72"/>
      <c r="AJ1185" s="64" t="e">
        <f>IF(AJ1181&lt;AJ1182,AJ1183,AJ1184)</f>
        <v>#NUM!</v>
      </c>
      <c r="AK1185" s="44"/>
      <c r="AL1185" s="72"/>
      <c r="AM1185" s="64" t="e">
        <f>IF(AM1181&lt;AM1182,AM1183,AM1184)</f>
        <v>#NUM!</v>
      </c>
      <c r="AN1185" s="44"/>
      <c r="AO1185" s="72"/>
      <c r="AP1185" s="64" t="e">
        <f>IF(AP1181&lt;AP1182,AP1183,AP1184)</f>
        <v>#NUM!</v>
      </c>
      <c r="AQ1185" s="44"/>
      <c r="AR1185" s="72"/>
      <c r="AS1185" s="64" t="e">
        <f>IF(AS1181&lt;AS1182,AS1183,AS1184)</f>
        <v>#NUM!</v>
      </c>
      <c r="AT1185" s="44"/>
      <c r="AU1185" s="72"/>
    </row>
    <row r="1186" spans="15:47" ht="13" x14ac:dyDescent="0.3">
      <c r="O1186" s="7" t="s">
        <v>264</v>
      </c>
      <c r="Q1186" s="61"/>
      <c r="R1186" s="53"/>
      <c r="S1186" s="69">
        <f>IFERROR(ABS(C_h-R1185),Q_max*10)</f>
        <v>3.8952750507148632</v>
      </c>
      <c r="T1186" s="76">
        <f>R1177</f>
        <v>6.273470356972406</v>
      </c>
      <c r="U1186" s="61"/>
      <c r="V1186" s="69">
        <f>IFERROR(ABS(U$23-U1185),Q_max*10)</f>
        <v>2.0706429371884045</v>
      </c>
      <c r="W1186" s="75">
        <f>U1177</f>
        <v>79.532343128176095</v>
      </c>
      <c r="X1186" s="61"/>
      <c r="Y1186" s="69">
        <f>IFERROR(ABS(X$23-X1185),Q_max*10)</f>
        <v>11.515504718041242</v>
      </c>
      <c r="Z1186" s="75">
        <f>X1177</f>
        <v>190.90823848152789</v>
      </c>
      <c r="AA1186" s="61"/>
      <c r="AB1186" s="69">
        <f>IFERROR(ABS(AA$23-AA1185),Q_max*10)</f>
        <v>31.93734856296571</v>
      </c>
      <c r="AC1186" s="75">
        <f>AA1177</f>
        <v>364.51379287302643</v>
      </c>
      <c r="AD1186" s="61"/>
      <c r="AE1186" s="69">
        <f>IFERROR(ABS(AD$23-AD1185),Q_max*10)</f>
        <v>84.586452381503449</v>
      </c>
      <c r="AF1186" s="75">
        <f>AD1177</f>
        <v>599.49098325998943</v>
      </c>
      <c r="AG1186" s="61"/>
      <c r="AH1186" s="69">
        <f>IFERROR(ABS(AG$23-AG1185),Q_max*10)</f>
        <v>5500</v>
      </c>
      <c r="AI1186" s="75">
        <f>AG1177</f>
        <v>892.5603835889417</v>
      </c>
      <c r="AJ1186" s="61"/>
      <c r="AK1186" s="69">
        <f>IFERROR(ABS(AJ$23-AJ1185),Q_max*10)</f>
        <v>5500</v>
      </c>
      <c r="AL1186" s="75">
        <f>AJ1177</f>
        <v>1191.1252919697799</v>
      </c>
      <c r="AM1186" s="61"/>
      <c r="AN1186" s="69">
        <f>IFERROR(ABS(AM$23-AM1185),Q_max*10)</f>
        <v>5500</v>
      </c>
      <c r="AO1186" s="75">
        <f>AM1177</f>
        <v>1453.3992175916392</v>
      </c>
      <c r="AP1186" s="61"/>
      <c r="AQ1186" s="69">
        <f>IFERROR(ABS(AP$23-AP1185),Q_max*10)</f>
        <v>5500</v>
      </c>
      <c r="AR1186" s="75">
        <f>AP1177</f>
        <v>1687.3513713829382</v>
      </c>
      <c r="AS1186" s="61"/>
      <c r="AT1186" s="69">
        <f>IFERROR(ABS(AS$23-AS1185),Q_max*10)</f>
        <v>5500</v>
      </c>
      <c r="AU1186" s="75">
        <f>AS1177</f>
        <v>1920.363257500818</v>
      </c>
    </row>
    <row r="1187" spans="15:47" ht="14.5" x14ac:dyDescent="0.35">
      <c r="O1187" s="8"/>
      <c r="P1187" s="6"/>
      <c r="Q1187" s="60"/>
      <c r="R1187" s="67"/>
      <c r="S1187" s="56"/>
      <c r="T1187" s="72"/>
      <c r="V1187" s="11"/>
      <c r="W1187" s="38"/>
      <c r="Y1187" s="11"/>
      <c r="Z1187" s="38"/>
      <c r="AB1187" s="11"/>
      <c r="AC1187" s="38"/>
      <c r="AE1187" s="11"/>
      <c r="AF1187" s="38"/>
      <c r="AH1187" s="11"/>
      <c r="AI1187" s="38"/>
      <c r="AK1187" s="11"/>
      <c r="AL1187" s="38"/>
      <c r="AN1187" s="11"/>
      <c r="AO1187" s="38"/>
      <c r="AQ1187" s="11"/>
      <c r="AR1187" s="38"/>
      <c r="AT1187" s="11"/>
      <c r="AU1187" s="38"/>
    </row>
    <row r="1188" spans="15:47" ht="14" x14ac:dyDescent="0.3">
      <c r="O1188" s="8" t="s">
        <v>235</v>
      </c>
      <c r="P1188" s="6"/>
      <c r="Q1188" s="60"/>
      <c r="R1188" s="53">
        <f>R1177*1.02</f>
        <v>6.3989397641118542</v>
      </c>
      <c r="S1188" s="58" t="s">
        <v>238</v>
      </c>
      <c r="T1188" s="73" t="s">
        <v>241</v>
      </c>
      <c r="U1188" s="84">
        <f>U1177*1.01</f>
        <v>80.327666559457853</v>
      </c>
      <c r="V1188" s="58" t="s">
        <v>238</v>
      </c>
      <c r="W1188" s="73" t="s">
        <v>241</v>
      </c>
      <c r="X1188" s="84">
        <f>X1177*1.01</f>
        <v>192.81732086634318</v>
      </c>
      <c r="Y1188" s="58" t="s">
        <v>238</v>
      </c>
      <c r="Z1188" s="73" t="s">
        <v>241</v>
      </c>
      <c r="AA1188" s="84">
        <f>AA1177*1.01</f>
        <v>368.1589308017567</v>
      </c>
      <c r="AB1188" s="58" t="s">
        <v>238</v>
      </c>
      <c r="AC1188" s="73" t="s">
        <v>241</v>
      </c>
      <c r="AD1188" s="84">
        <f>AD1177*1.01</f>
        <v>605.48589309258932</v>
      </c>
      <c r="AE1188" s="58" t="s">
        <v>238</v>
      </c>
      <c r="AF1188" s="73" t="s">
        <v>241</v>
      </c>
      <c r="AG1188" s="84">
        <f>AG1177*1.01</f>
        <v>901.48598742483114</v>
      </c>
      <c r="AH1188" s="58" t="s">
        <v>238</v>
      </c>
      <c r="AI1188" s="73" t="s">
        <v>241</v>
      </c>
      <c r="AJ1188" s="84">
        <f>AJ1177*1.01</f>
        <v>1203.0365448894777</v>
      </c>
      <c r="AK1188" s="58" t="s">
        <v>238</v>
      </c>
      <c r="AL1188" s="73" t="s">
        <v>241</v>
      </c>
      <c r="AM1188" s="84">
        <f>AM1177*1.01</f>
        <v>1467.9332097675556</v>
      </c>
      <c r="AN1188" s="58" t="s">
        <v>238</v>
      </c>
      <c r="AO1188" s="73" t="s">
        <v>241</v>
      </c>
      <c r="AP1188" s="84">
        <f>AP1177*1.01</f>
        <v>1704.2248850967676</v>
      </c>
      <c r="AQ1188" s="58" t="s">
        <v>238</v>
      </c>
      <c r="AR1188" s="73" t="s">
        <v>241</v>
      </c>
      <c r="AS1188" s="84">
        <f>AS1177*1.01</f>
        <v>1939.5668900758262</v>
      </c>
      <c r="AT1188" s="58" t="s">
        <v>238</v>
      </c>
      <c r="AU1188" s="73" t="s">
        <v>241</v>
      </c>
    </row>
    <row r="1189" spans="15:47" ht="13" x14ac:dyDescent="0.25">
      <c r="O1189" s="6"/>
      <c r="P1189" s="6"/>
      <c r="Q1189" s="60"/>
      <c r="R1189" s="70"/>
      <c r="S1189" s="63" t="s">
        <v>250</v>
      </c>
      <c r="T1189" s="71" t="s">
        <v>242</v>
      </c>
      <c r="U1189" s="61"/>
      <c r="V1189" s="63" t="s">
        <v>250</v>
      </c>
      <c r="W1189" s="71" t="s">
        <v>242</v>
      </c>
      <c r="X1189" s="61"/>
      <c r="Y1189" s="63" t="s">
        <v>250</v>
      </c>
      <c r="Z1189" s="71" t="s">
        <v>242</v>
      </c>
      <c r="AA1189" s="61"/>
      <c r="AB1189" s="63" t="s">
        <v>250</v>
      </c>
      <c r="AC1189" s="71" t="s">
        <v>242</v>
      </c>
      <c r="AD1189" s="61"/>
      <c r="AE1189" s="63" t="s">
        <v>250</v>
      </c>
      <c r="AF1189" s="71" t="s">
        <v>242</v>
      </c>
      <c r="AG1189" s="61"/>
      <c r="AH1189" s="63" t="s">
        <v>250</v>
      </c>
      <c r="AI1189" s="71" t="s">
        <v>242</v>
      </c>
      <c r="AJ1189" s="61"/>
      <c r="AK1189" s="63" t="s">
        <v>250</v>
      </c>
      <c r="AL1189" s="71" t="s">
        <v>242</v>
      </c>
      <c r="AM1189" s="61"/>
      <c r="AN1189" s="63" t="s">
        <v>250</v>
      </c>
      <c r="AO1189" s="71" t="s">
        <v>242</v>
      </c>
      <c r="AP1189" s="61"/>
      <c r="AQ1189" s="63" t="s">
        <v>250</v>
      </c>
      <c r="AR1189" s="71" t="s">
        <v>242</v>
      </c>
      <c r="AS1189" s="61"/>
      <c r="AT1189" s="63" t="s">
        <v>250</v>
      </c>
      <c r="AU1189" s="71" t="s">
        <v>242</v>
      </c>
    </row>
    <row r="1190" spans="15:47" ht="13" x14ac:dyDescent="0.3">
      <c r="O1190" s="6" t="s">
        <v>231</v>
      </c>
      <c r="P1190" s="6"/>
      <c r="Q1190" s="60"/>
      <c r="R1190" s="85">
        <f>P_1_minQ-(R1188^2*R_up)+dpup_minQ</f>
        <v>56.914760336707033</v>
      </c>
      <c r="S1190" s="56"/>
      <c r="T1190" s="72"/>
      <c r="U1190" s="53">
        <f>P_1_minQ-(U1188^2*R_up)+dpup_minQ</f>
        <v>56.6982258015911</v>
      </c>
      <c r="V1190" s="44"/>
      <c r="W1190" s="72"/>
      <c r="X1190" s="53">
        <f>P_1_minQ-(X1188^2*R_up)+dpup_minQ</f>
        <v>55.660536331439566</v>
      </c>
      <c r="Y1190" s="44"/>
      <c r="Z1190" s="72"/>
      <c r="AA1190" s="53">
        <f>P_1_minQ-(AA1188^2*R_up)+dpup_minQ</f>
        <v>52.338601880138718</v>
      </c>
      <c r="AB1190" s="44"/>
      <c r="AC1190" s="72"/>
      <c r="AD1190" s="53">
        <f>P_1_minQ-(AD1188^2*R_up)+dpup_minQ</f>
        <v>44.534746142042195</v>
      </c>
      <c r="AE1190" s="44"/>
      <c r="AF1190" s="72"/>
      <c r="AG1190" s="53">
        <f>P_1_minQ-(AG1188^2*R_up)+dpup_minQ</f>
        <v>29.470111937746612</v>
      </c>
      <c r="AH1190" s="44"/>
      <c r="AI1190" s="72"/>
      <c r="AJ1190" s="53">
        <f>P_1_minQ-(AJ1188^2*R_up)+dpup_minQ</f>
        <v>8.0374897555011096</v>
      </c>
      <c r="AK1190" s="44"/>
      <c r="AL1190" s="72"/>
      <c r="AM1190" s="53">
        <f>P_1_minQ-(AM1188^2*R_up)+dpup_minQ</f>
        <v>-15.857511257631831</v>
      </c>
      <c r="AN1190" s="44"/>
      <c r="AO1190" s="72"/>
      <c r="AP1190" s="53">
        <f>P_1_minQ-(AP1188^2*R_up)+dpup_minQ</f>
        <v>-41.171748023745046</v>
      </c>
      <c r="AQ1190" s="44"/>
      <c r="AR1190" s="72"/>
      <c r="AS1190" s="53">
        <f>P_1_minQ-(AS1188^2*R_up)+dpup_minQ</f>
        <v>-70.132817327876126</v>
      </c>
      <c r="AT1190" s="44"/>
      <c r="AU1190" s="72"/>
    </row>
    <row r="1191" spans="15:47" ht="13" x14ac:dyDescent="0.3">
      <c r="O1191" s="6" t="s">
        <v>233</v>
      </c>
      <c r="P1191" s="6"/>
      <c r="Q1191" s="60"/>
      <c r="R1191" s="85">
        <f>P_2_minQ+(R1188^2*R_dn)-dpdn_minQ</f>
        <v>24.657047932658596</v>
      </c>
      <c r="S1191" s="66"/>
      <c r="T1191" s="74"/>
      <c r="U1191" s="53">
        <f>P_2_minQ+(U1188^2*R_dn)-dpdn_minQ</f>
        <v>24.700354839681779</v>
      </c>
      <c r="V1191" s="45"/>
      <c r="W1191" s="74"/>
      <c r="X1191" s="53">
        <f>P_2_minQ+(X1188^2*R_dn)-dpdn_minQ</f>
        <v>24.907892733712089</v>
      </c>
      <c r="Y1191" s="45"/>
      <c r="Z1191" s="74"/>
      <c r="AA1191" s="53">
        <f>P_2_minQ+(AA1188^2*R_dn)-dpdn_minQ</f>
        <v>25.572279623972257</v>
      </c>
      <c r="AB1191" s="45"/>
      <c r="AC1191" s="74"/>
      <c r="AD1191" s="53">
        <f>P_2_minQ+(AD1188^2*R_dn)-dpdn_minQ</f>
        <v>27.133050771591563</v>
      </c>
      <c r="AE1191" s="45"/>
      <c r="AF1191" s="74"/>
      <c r="AG1191" s="53">
        <f>P_2_minQ+(AG1188^2*R_dn)-dpdn_minQ</f>
        <v>30.145977612450679</v>
      </c>
      <c r="AH1191" s="45"/>
      <c r="AI1191" s="74"/>
      <c r="AJ1191" s="53">
        <f>P_2_minQ+(AJ1188^2*R_dn)-dpdn_minQ</f>
        <v>34.432502048899785</v>
      </c>
      <c r="AK1191" s="45"/>
      <c r="AL1191" s="74"/>
      <c r="AM1191" s="53">
        <f>P_2_minQ+(AM1188^2*R_dn)-dpdn_minQ</f>
        <v>39.211502251526369</v>
      </c>
      <c r="AN1191" s="45"/>
      <c r="AO1191" s="74"/>
      <c r="AP1191" s="53">
        <f>P_2_minQ+(AP1188^2*R_dn)-dpdn_minQ</f>
        <v>44.274349604749013</v>
      </c>
      <c r="AQ1191" s="45"/>
      <c r="AR1191" s="74"/>
      <c r="AS1191" s="53">
        <f>P_2_minQ+(AS1188^2*R_dn)-dpdn_minQ</f>
        <v>50.066563465575229</v>
      </c>
      <c r="AT1191" s="45"/>
      <c r="AU1191" s="74"/>
    </row>
    <row r="1192" spans="15:47" x14ac:dyDescent="0.25">
      <c r="O1192" s="6" t="s">
        <v>243</v>
      </c>
      <c r="Q1192" s="60"/>
      <c r="R1192" s="53">
        <f>R1190-R1191</f>
        <v>32.257712404048434</v>
      </c>
      <c r="S1192" s="56"/>
      <c r="T1192" s="72"/>
      <c r="U1192" s="64">
        <f>U1190-U1191</f>
        <v>31.997870961909321</v>
      </c>
      <c r="V1192" s="44"/>
      <c r="W1192" s="72"/>
      <c r="X1192" s="64">
        <f>X1190-X1191</f>
        <v>30.752643597727477</v>
      </c>
      <c r="Y1192" s="44"/>
      <c r="Z1192" s="72"/>
      <c r="AA1192" s="64">
        <f>AA1190-AA1191</f>
        <v>26.766322256166461</v>
      </c>
      <c r="AB1192" s="44"/>
      <c r="AC1192" s="72"/>
      <c r="AD1192" s="64">
        <f>AD1190-AD1191</f>
        <v>17.401695370450632</v>
      </c>
      <c r="AE1192" s="44"/>
      <c r="AF1192" s="72"/>
      <c r="AG1192" s="64">
        <f>AG1190-AG1191</f>
        <v>-0.67586567470406678</v>
      </c>
      <c r="AH1192" s="44"/>
      <c r="AI1192" s="72"/>
      <c r="AJ1192" s="64">
        <f>AJ1190-AJ1191</f>
        <v>-26.395012293398675</v>
      </c>
      <c r="AK1192" s="44"/>
      <c r="AL1192" s="72"/>
      <c r="AM1192" s="64">
        <f>AM1190-AM1191</f>
        <v>-55.069013509158196</v>
      </c>
      <c r="AN1192" s="44"/>
      <c r="AO1192" s="72"/>
      <c r="AP1192" s="64">
        <f>AP1190-AP1191</f>
        <v>-85.446097628494059</v>
      </c>
      <c r="AQ1192" s="44"/>
      <c r="AR1192" s="72"/>
      <c r="AS1192" s="64">
        <f>AS1190-AS1191</f>
        <v>-120.19938079345135</v>
      </c>
      <c r="AT1192" s="44"/>
      <c r="AU1192" s="72"/>
    </row>
    <row r="1193" spans="15:47" ht="13" x14ac:dyDescent="0.3">
      <c r="O1193" s="6" t="s">
        <v>75</v>
      </c>
      <c r="P1193" s="6">
        <v>3</v>
      </c>
      <c r="Q1193" s="65"/>
      <c r="R1193" s="85">
        <f>(F_LP_h/F_P_h)^2*(R1190-('Valve Sizing'!$V$4*'Valve Sizing'!$G$7))</f>
        <v>46.764018162574992</v>
      </c>
      <c r="S1193" s="58"/>
      <c r="T1193" s="73"/>
      <c r="U1193" s="53">
        <f>(U$29/U$27)^2*(U1190-('Valve Sizing'!$V$4*'Valve Sizing'!$G$7))</f>
        <v>46.57201913245013</v>
      </c>
      <c r="V1193" s="41"/>
      <c r="W1193" s="73"/>
      <c r="X1193" s="53">
        <f>(X$29/X$27)^2*(X1190-('Valve Sizing'!$V$4*'Valve Sizing'!$G$7))</f>
        <v>44.681847164601308</v>
      </c>
      <c r="Y1193" s="41"/>
      <c r="Z1193" s="73"/>
      <c r="AA1193" s="53">
        <f>(AA$29/AA$27)^2*(AA1190-('Valve Sizing'!$V$4*'Valve Sizing'!$G$7))</f>
        <v>40.107050758682512</v>
      </c>
      <c r="AB1193" s="41"/>
      <c r="AC1193" s="73"/>
      <c r="AD1193" s="53">
        <f>(AD$29/AD$27)^2*(AD1190-('Valve Sizing'!$V$4*'Valve Sizing'!$G$7))</f>
        <v>31.800534050122053</v>
      </c>
      <c r="AE1193" s="41"/>
      <c r="AF1193" s="73"/>
      <c r="AG1193" s="53">
        <f>(AG$29/AG$27)^2*(AG1190-('Valve Sizing'!$V$4*'Valve Sizing'!$G$7))</f>
        <v>18.696630854329257</v>
      </c>
      <c r="AH1193" s="41"/>
      <c r="AI1193" s="73"/>
      <c r="AJ1193" s="53">
        <f>(AJ$29/AJ$27)^2*(AJ1190-('Valve Sizing'!$V$4*'Valve Sizing'!$G$7))</f>
        <v>4.3940837589185255</v>
      </c>
      <c r="AK1193" s="41"/>
      <c r="AL1193" s="73"/>
      <c r="AM1193" s="53">
        <f>(AM$29/AM$27)^2*(AM1190-('Valve Sizing'!$V$4*'Valve Sizing'!$G$7))</f>
        <v>-7.7979328327448645</v>
      </c>
      <c r="AN1193" s="41"/>
      <c r="AO1193" s="73"/>
      <c r="AP1193" s="53">
        <f>(AP$29/AP$27)^2*(AP1190-('Valve Sizing'!$V$4*'Valve Sizing'!$G$7))</f>
        <v>-16.421134861166323</v>
      </c>
      <c r="AQ1193" s="41"/>
      <c r="AR1193" s="73"/>
      <c r="AS1193" s="53">
        <f>(AS$29/AS$27)^2*(AS1190-('Valve Sizing'!$V$4*'Valve Sizing'!$G$7))</f>
        <v>-26.545337243499471</v>
      </c>
      <c r="AT1193" s="41"/>
      <c r="AU1193" s="73"/>
    </row>
    <row r="1194" spans="15:47" ht="13" x14ac:dyDescent="0.25">
      <c r="O1194" s="1" t="s">
        <v>69</v>
      </c>
      <c r="P1194" s="17">
        <v>7</v>
      </c>
      <c r="Q1194" s="65"/>
      <c r="R1194" s="53">
        <f>(R1188/(N_1*F_P_h))*SQRT('Valve Sizing'!$G$6/R1192)</f>
        <v>1.1268205737318655</v>
      </c>
      <c r="S1194" s="58"/>
      <c r="T1194" s="73"/>
      <c r="U1194" s="64">
        <f>(U1188/(N_1*U$27))*SQRT('Valve Sizing'!$G$6/U1192)</f>
        <v>14.212493543541811</v>
      </c>
      <c r="V1194" s="41"/>
      <c r="W1194" s="73"/>
      <c r="X1194" s="64">
        <f>(X1188/(N_1*X$27))*SQRT('Valve Sizing'!$G$6/X1192)</f>
        <v>34.877482887812732</v>
      </c>
      <c r="Y1194" s="41"/>
      <c r="Z1194" s="73"/>
      <c r="AA1194" s="64">
        <f>(AA1188/(N_1*AA$27))*SQRT('Valve Sizing'!$G$6/AA1192)</f>
        <v>71.791434560497677</v>
      </c>
      <c r="AB1194" s="41"/>
      <c r="AC1194" s="73"/>
      <c r="AD1194" s="64">
        <f>(AD1188/(N_1*AD$27))*SQRT('Valve Sizing'!$G$6/AD1192)</f>
        <v>148.27403077216707</v>
      </c>
      <c r="AE1194" s="41"/>
      <c r="AF1194" s="73"/>
      <c r="AG1194" s="64" t="e">
        <f>(AG1188/(N_1*AG$27))*SQRT('Valve Sizing'!$G$6/AG1192)</f>
        <v>#NUM!</v>
      </c>
      <c r="AH1194" s="41"/>
      <c r="AI1194" s="73"/>
      <c r="AJ1194" s="64" t="e">
        <f>(AJ1188/(N_1*AJ$27))*SQRT('Valve Sizing'!$G$6/AJ1192)</f>
        <v>#NUM!</v>
      </c>
      <c r="AK1194" s="41"/>
      <c r="AL1194" s="73"/>
      <c r="AM1194" s="64" t="e">
        <f>(AM1188/(N_1*AM$27))*SQRT('Valve Sizing'!$G$6/AM1192)</f>
        <v>#NUM!</v>
      </c>
      <c r="AN1194" s="41"/>
      <c r="AO1194" s="73"/>
      <c r="AP1194" s="64" t="e">
        <f>(AP1188/(N_1*AP$27))*SQRT('Valve Sizing'!$G$6/AP1192)</f>
        <v>#NUM!</v>
      </c>
      <c r="AQ1194" s="41"/>
      <c r="AR1194" s="73"/>
      <c r="AS1194" s="64" t="e">
        <f>(AS1188/(N_1*AS$27))*SQRT('Valve Sizing'!$G$6/AS1192)</f>
        <v>#NUM!</v>
      </c>
      <c r="AT1194" s="41"/>
      <c r="AU1194" s="73"/>
    </row>
    <row r="1195" spans="15:47" ht="13" x14ac:dyDescent="0.3">
      <c r="O1195" s="1" t="s">
        <v>72</v>
      </c>
      <c r="P1195" s="17">
        <v>7</v>
      </c>
      <c r="Q1195" s="65"/>
      <c r="R1195" s="53">
        <f>(R1188/(N_1*F_P_h))*SQRT('Valve Sizing'!$G$6/R1193)</f>
        <v>0.93587024674776498</v>
      </c>
      <c r="S1195" s="56"/>
      <c r="T1195" s="72"/>
      <c r="U1195" s="85">
        <f>(U1188/(N_1*U$27))*SQRT('Valve Sizing'!$G$6/U1193)</f>
        <v>11.780623816418929</v>
      </c>
      <c r="V1195" s="44"/>
      <c r="W1195" s="72"/>
      <c r="X1195" s="85">
        <f>(X1188/(N_1*X$27))*SQRT('Valve Sizing'!$G$6/X1193)</f>
        <v>28.934821164498914</v>
      </c>
      <c r="Y1195" s="44"/>
      <c r="Z1195" s="72"/>
      <c r="AA1195" s="85">
        <f>(AA1188/(N_1*AA$27))*SQRT('Valve Sizing'!$G$6/AA1193)</f>
        <v>58.648460834731019</v>
      </c>
      <c r="AB1195" s="44"/>
      <c r="AC1195" s="72"/>
      <c r="AD1195" s="85">
        <f>(AD1188/(N_1*AD$27))*SQRT('Valve Sizing'!$G$6/AD1193)</f>
        <v>109.68409796266796</v>
      </c>
      <c r="AE1195" s="44"/>
      <c r="AF1195" s="72"/>
      <c r="AG1195" s="85">
        <f>(AG1188/(N_1*AG$27))*SQRT('Valve Sizing'!$G$6/AG1193)</f>
        <v>217.72954169891736</v>
      </c>
      <c r="AH1195" s="44"/>
      <c r="AI1195" s="72"/>
      <c r="AJ1195" s="85">
        <f>(AJ1188/(N_1*AJ$27))*SQRT('Valve Sizing'!$G$6/AJ1193)</f>
        <v>621.14050796151207</v>
      </c>
      <c r="AK1195" s="44"/>
      <c r="AL1195" s="72"/>
      <c r="AM1195" s="85" t="e">
        <f>(AM1188/(N_1*AM$27))*SQRT('Valve Sizing'!$G$6/AM1193)</f>
        <v>#NUM!</v>
      </c>
      <c r="AN1195" s="44"/>
      <c r="AO1195" s="72"/>
      <c r="AP1195" s="85" t="e">
        <f>(AP1188/(N_1*AP$27))*SQRT('Valve Sizing'!$G$6/AP1193)</f>
        <v>#NUM!</v>
      </c>
      <c r="AQ1195" s="44"/>
      <c r="AR1195" s="72"/>
      <c r="AS1195" s="85" t="e">
        <f>(AS1188/(N_1*AS$27))*SQRT('Valve Sizing'!$G$6/AS1193)</f>
        <v>#NUM!</v>
      </c>
      <c r="AT1195" s="44"/>
      <c r="AU1195" s="72"/>
    </row>
    <row r="1196" spans="15:47" x14ac:dyDescent="0.25">
      <c r="O1196" s="1" t="s">
        <v>246</v>
      </c>
      <c r="P1196" s="18"/>
      <c r="Q1196" s="65"/>
      <c r="R1196" s="53">
        <f>IF(R1192&lt;R1193,R1194,R1195)</f>
        <v>1.1268205737318655</v>
      </c>
      <c r="S1196" s="49"/>
      <c r="T1196" s="72"/>
      <c r="U1196" s="64">
        <f>IF(U1192&lt;U1193,U1194,U1195)</f>
        <v>14.212493543541811</v>
      </c>
      <c r="V1196" s="44"/>
      <c r="W1196" s="72"/>
      <c r="X1196" s="64">
        <f>IF(X1192&lt;X1193,X1194,X1195)</f>
        <v>34.877482887812732</v>
      </c>
      <c r="Y1196" s="44"/>
      <c r="Z1196" s="72"/>
      <c r="AA1196" s="64">
        <f>IF(AA1192&lt;AA1193,AA1194,AA1195)</f>
        <v>71.791434560497677</v>
      </c>
      <c r="AB1196" s="44"/>
      <c r="AC1196" s="72"/>
      <c r="AD1196" s="64">
        <f>IF(AD1192&lt;AD1193,AD1194,AD1195)</f>
        <v>148.27403077216707</v>
      </c>
      <c r="AE1196" s="44"/>
      <c r="AF1196" s="72"/>
      <c r="AG1196" s="64" t="e">
        <f>IF(AG1192&lt;AG1193,AG1194,AG1195)</f>
        <v>#NUM!</v>
      </c>
      <c r="AH1196" s="44"/>
      <c r="AI1196" s="72"/>
      <c r="AJ1196" s="64" t="e">
        <f>IF(AJ1192&lt;AJ1193,AJ1194,AJ1195)</f>
        <v>#NUM!</v>
      </c>
      <c r="AK1196" s="44"/>
      <c r="AL1196" s="72"/>
      <c r="AM1196" s="64" t="e">
        <f>IF(AM1192&lt;AM1193,AM1194,AM1195)</f>
        <v>#NUM!</v>
      </c>
      <c r="AN1196" s="44"/>
      <c r="AO1196" s="72"/>
      <c r="AP1196" s="64" t="e">
        <f>IF(AP1192&lt;AP1193,AP1194,AP1195)</f>
        <v>#NUM!</v>
      </c>
      <c r="AQ1196" s="44"/>
      <c r="AR1196" s="72"/>
      <c r="AS1196" s="64" t="e">
        <f>IF(AS1192&lt;AS1193,AS1194,AS1195)</f>
        <v>#NUM!</v>
      </c>
      <c r="AT1196" s="44"/>
      <c r="AU1196" s="72"/>
    </row>
    <row r="1197" spans="15:47" ht="13" x14ac:dyDescent="0.3">
      <c r="O1197" s="7" t="s">
        <v>264</v>
      </c>
      <c r="Q1197" s="61"/>
      <c r="R1197" s="53"/>
      <c r="S1197" s="69">
        <f>IFERROR(ABS(C_h-R1196),Q_max*10)</f>
        <v>3.8731794262681345</v>
      </c>
      <c r="T1197" s="76">
        <f>R1188</f>
        <v>6.3989397641118542</v>
      </c>
      <c r="U1197" s="61"/>
      <c r="V1197" s="69">
        <f>IFERROR(ABS(U$23-U1196),Q_max*10)</f>
        <v>2.2124935435418109</v>
      </c>
      <c r="W1197" s="75">
        <f>U1188</f>
        <v>80.327666559457853</v>
      </c>
      <c r="X1197" s="61"/>
      <c r="Y1197" s="69">
        <f>IFERROR(ABS(X$23-X1196),Q_max*10)</f>
        <v>11.877482887812732</v>
      </c>
      <c r="Z1197" s="75">
        <f>X1188</f>
        <v>192.81732086634318</v>
      </c>
      <c r="AA1197" s="61"/>
      <c r="AB1197" s="69">
        <f>IFERROR(ABS(AA$23-AA1196),Q_max*10)</f>
        <v>32.791434560497677</v>
      </c>
      <c r="AC1197" s="75">
        <f>AA1188</f>
        <v>368.1589308017567</v>
      </c>
      <c r="AD1197" s="61"/>
      <c r="AE1197" s="69">
        <f>IFERROR(ABS(AD$23-AD1196),Q_max*10)</f>
        <v>87.274030772167066</v>
      </c>
      <c r="AF1197" s="75">
        <f>AD1188</f>
        <v>605.48589309258932</v>
      </c>
      <c r="AG1197" s="61"/>
      <c r="AH1197" s="69">
        <f>IFERROR(ABS(AG$23-AG1196),Q_max*10)</f>
        <v>5500</v>
      </c>
      <c r="AI1197" s="75">
        <f>AG1188</f>
        <v>901.48598742483114</v>
      </c>
      <c r="AJ1197" s="61"/>
      <c r="AK1197" s="69">
        <f>IFERROR(ABS(AJ$23-AJ1196),Q_max*10)</f>
        <v>5500</v>
      </c>
      <c r="AL1197" s="75">
        <f>AJ1188</f>
        <v>1203.0365448894777</v>
      </c>
      <c r="AM1197" s="61"/>
      <c r="AN1197" s="69">
        <f>IFERROR(ABS(AM$23-AM1196),Q_max*10)</f>
        <v>5500</v>
      </c>
      <c r="AO1197" s="75">
        <f>AM1188</f>
        <v>1467.9332097675556</v>
      </c>
      <c r="AP1197" s="61"/>
      <c r="AQ1197" s="69">
        <f>IFERROR(ABS(AP$23-AP1196),Q_max*10)</f>
        <v>5500</v>
      </c>
      <c r="AR1197" s="75">
        <f>AP1188</f>
        <v>1704.2248850967676</v>
      </c>
      <c r="AS1197" s="61"/>
      <c r="AT1197" s="69">
        <f>IFERROR(ABS(AS$23-AS1196),Q_max*10)</f>
        <v>5500</v>
      </c>
      <c r="AU1197" s="75">
        <f>AS1188</f>
        <v>1939.5668900758262</v>
      </c>
    </row>
    <row r="1198" spans="15:47" ht="14.5" x14ac:dyDescent="0.35">
      <c r="O1198" s="6"/>
      <c r="P1198" s="6"/>
      <c r="Q1198" s="60"/>
      <c r="R1198" s="67"/>
      <c r="S1198" s="66"/>
      <c r="T1198" s="74"/>
      <c r="V1198" s="11"/>
      <c r="W1198" s="38"/>
      <c r="Y1198" s="11"/>
      <c r="Z1198" s="38"/>
      <c r="AB1198" s="11"/>
      <c r="AC1198" s="38"/>
      <c r="AE1198" s="11"/>
      <c r="AF1198" s="38"/>
      <c r="AH1198" s="11"/>
      <c r="AI1198" s="38"/>
      <c r="AK1198" s="11"/>
      <c r="AL1198" s="38"/>
      <c r="AN1198" s="11"/>
      <c r="AO1198" s="38"/>
      <c r="AQ1198" s="11"/>
      <c r="AR1198" s="38"/>
      <c r="AT1198" s="11"/>
      <c r="AU1198" s="38"/>
    </row>
    <row r="1199" spans="15:47" ht="14" x14ac:dyDescent="0.3">
      <c r="O1199" s="8" t="s">
        <v>235</v>
      </c>
      <c r="P1199" s="6"/>
      <c r="Q1199" s="60"/>
      <c r="R1199" s="53">
        <f>R1188*1.02</f>
        <v>6.5269185593940913</v>
      </c>
      <c r="S1199" s="58" t="s">
        <v>238</v>
      </c>
      <c r="T1199" s="73" t="s">
        <v>241</v>
      </c>
      <c r="U1199" s="84">
        <f>U1188*1.01</f>
        <v>81.130943225052434</v>
      </c>
      <c r="V1199" s="58" t="s">
        <v>238</v>
      </c>
      <c r="W1199" s="73" t="s">
        <v>241</v>
      </c>
      <c r="X1199" s="84">
        <f>X1188*1.01</f>
        <v>194.7454940750066</v>
      </c>
      <c r="Y1199" s="58" t="s">
        <v>238</v>
      </c>
      <c r="Z1199" s="73" t="s">
        <v>241</v>
      </c>
      <c r="AA1199" s="84">
        <f>AA1188*1.01</f>
        <v>371.84052010977427</v>
      </c>
      <c r="AB1199" s="58" t="s">
        <v>238</v>
      </c>
      <c r="AC1199" s="73" t="s">
        <v>241</v>
      </c>
      <c r="AD1199" s="84">
        <f>AD1188*1.01</f>
        <v>611.54075202351521</v>
      </c>
      <c r="AE1199" s="58" t="s">
        <v>238</v>
      </c>
      <c r="AF1199" s="73" t="s">
        <v>241</v>
      </c>
      <c r="AG1199" s="84">
        <f>AG1188*1.01</f>
        <v>910.50084729907951</v>
      </c>
      <c r="AH1199" s="58" t="s">
        <v>238</v>
      </c>
      <c r="AI1199" s="73" t="s">
        <v>241</v>
      </c>
      <c r="AJ1199" s="84">
        <f>AJ1188*1.01</f>
        <v>1215.0669103383725</v>
      </c>
      <c r="AK1199" s="58" t="s">
        <v>238</v>
      </c>
      <c r="AL1199" s="73" t="s">
        <v>241</v>
      </c>
      <c r="AM1199" s="84">
        <f>AM1188*1.01</f>
        <v>1482.6125418652312</v>
      </c>
      <c r="AN1199" s="58" t="s">
        <v>238</v>
      </c>
      <c r="AO1199" s="73" t="s">
        <v>241</v>
      </c>
      <c r="AP1199" s="84">
        <f>AP1188*1.01</f>
        <v>1721.2671339477354</v>
      </c>
      <c r="AQ1199" s="58" t="s">
        <v>238</v>
      </c>
      <c r="AR1199" s="73" t="s">
        <v>241</v>
      </c>
      <c r="AS1199" s="84">
        <f>AS1188*1.01</f>
        <v>1958.9625589765844</v>
      </c>
      <c r="AT1199" s="58" t="s">
        <v>238</v>
      </c>
      <c r="AU1199" s="73" t="s">
        <v>241</v>
      </c>
    </row>
    <row r="1200" spans="15:47" ht="13" x14ac:dyDescent="0.25">
      <c r="O1200" s="6"/>
      <c r="P1200" s="6"/>
      <c r="Q1200" s="60"/>
      <c r="R1200" s="70"/>
      <c r="S1200" s="63" t="s">
        <v>250</v>
      </c>
      <c r="T1200" s="71" t="s">
        <v>242</v>
      </c>
      <c r="U1200" s="61"/>
      <c r="V1200" s="63" t="s">
        <v>250</v>
      </c>
      <c r="W1200" s="71" t="s">
        <v>242</v>
      </c>
      <c r="X1200" s="61"/>
      <c r="Y1200" s="63" t="s">
        <v>250</v>
      </c>
      <c r="Z1200" s="71" t="s">
        <v>242</v>
      </c>
      <c r="AA1200" s="61"/>
      <c r="AB1200" s="63" t="s">
        <v>250</v>
      </c>
      <c r="AC1200" s="71" t="s">
        <v>242</v>
      </c>
      <c r="AD1200" s="61"/>
      <c r="AE1200" s="63" t="s">
        <v>250</v>
      </c>
      <c r="AF1200" s="71" t="s">
        <v>242</v>
      </c>
      <c r="AG1200" s="61"/>
      <c r="AH1200" s="63" t="s">
        <v>250</v>
      </c>
      <c r="AI1200" s="71" t="s">
        <v>242</v>
      </c>
      <c r="AJ1200" s="61"/>
      <c r="AK1200" s="63" t="s">
        <v>250</v>
      </c>
      <c r="AL1200" s="71" t="s">
        <v>242</v>
      </c>
      <c r="AM1200" s="61"/>
      <c r="AN1200" s="63" t="s">
        <v>250</v>
      </c>
      <c r="AO1200" s="71" t="s">
        <v>242</v>
      </c>
      <c r="AP1200" s="61"/>
      <c r="AQ1200" s="63" t="s">
        <v>250</v>
      </c>
      <c r="AR1200" s="71" t="s">
        <v>242</v>
      </c>
      <c r="AS1200" s="61"/>
      <c r="AT1200" s="63" t="s">
        <v>250</v>
      </c>
      <c r="AU1200" s="71" t="s">
        <v>242</v>
      </c>
    </row>
    <row r="1201" spans="15:47" ht="13" x14ac:dyDescent="0.3">
      <c r="O1201" s="6" t="s">
        <v>231</v>
      </c>
      <c r="P1201" s="6"/>
      <c r="Q1201" s="60"/>
      <c r="R1201" s="85">
        <f>P_1_minQ-(R1199^2*R_up)+dpup_minQ</f>
        <v>56.914704469237385</v>
      </c>
      <c r="S1201" s="56"/>
      <c r="T1201" s="72"/>
      <c r="U1201" s="53">
        <f>P_1_minQ-(U1199^2*R_up)+dpup_minQ</f>
        <v>56.693845661986266</v>
      </c>
      <c r="V1201" s="44"/>
      <c r="W1201" s="72"/>
      <c r="X1201" s="53">
        <f>P_1_minQ-(X1199^2*R_up)+dpup_minQ</f>
        <v>55.635298633484688</v>
      </c>
      <c r="Y1201" s="44"/>
      <c r="Z1201" s="72"/>
      <c r="AA1201" s="53">
        <f>P_1_minQ-(AA1199^2*R_up)+dpup_minQ</f>
        <v>52.246593299712686</v>
      </c>
      <c r="AB1201" s="44"/>
      <c r="AC1201" s="72"/>
      <c r="AD1201" s="53">
        <f>P_1_minQ-(AD1199^2*R_up)+dpup_minQ</f>
        <v>44.28588006128043</v>
      </c>
      <c r="AE1201" s="44"/>
      <c r="AF1201" s="72"/>
      <c r="AG1201" s="53">
        <f>P_1_minQ-(AG1199^2*R_up)+dpup_minQ</f>
        <v>28.918446709478498</v>
      </c>
      <c r="AH1201" s="44"/>
      <c r="AI1201" s="72"/>
      <c r="AJ1201" s="53">
        <f>P_1_minQ-(AJ1199^2*R_up)+dpup_minQ</f>
        <v>7.0550288213698478</v>
      </c>
      <c r="AK1201" s="44"/>
      <c r="AL1201" s="72"/>
      <c r="AM1201" s="53">
        <f>P_1_minQ-(AM1199^2*R_up)+dpup_minQ</f>
        <v>-17.320261712127053</v>
      </c>
      <c r="AN1201" s="44"/>
      <c r="AO1201" s="72"/>
      <c r="AP1201" s="53">
        <f>P_1_minQ-(AP1199^2*R_up)+dpup_minQ</f>
        <v>-43.143314637239165</v>
      </c>
      <c r="AQ1201" s="44"/>
      <c r="AR1201" s="72"/>
      <c r="AS1201" s="53">
        <f>P_1_minQ-(AS1199^2*R_up)+dpup_minQ</f>
        <v>-72.686501434383246</v>
      </c>
      <c r="AT1201" s="44"/>
      <c r="AU1201" s="72"/>
    </row>
    <row r="1202" spans="15:47" ht="13" x14ac:dyDescent="0.3">
      <c r="O1202" s="6" t="s">
        <v>233</v>
      </c>
      <c r="P1202" s="6"/>
      <c r="Q1202" s="60"/>
      <c r="R1202" s="85">
        <f>P_2_minQ+(R1199^2*R_dn)-dpdn_minQ</f>
        <v>24.657059106152523</v>
      </c>
      <c r="S1202" s="66"/>
      <c r="T1202" s="74"/>
      <c r="U1202" s="53">
        <f>P_2_minQ+(U1199^2*R_dn)-dpdn_minQ</f>
        <v>24.701230867602749</v>
      </c>
      <c r="V1202" s="45"/>
      <c r="W1202" s="74"/>
      <c r="X1202" s="53">
        <f>P_2_minQ+(X1199^2*R_dn)-dpdn_minQ</f>
        <v>24.912940273303064</v>
      </c>
      <c r="Y1202" s="45"/>
      <c r="Z1202" s="74"/>
      <c r="AA1202" s="53">
        <f>P_2_minQ+(AA1199^2*R_dn)-dpdn_minQ</f>
        <v>25.590681340057465</v>
      </c>
      <c r="AB1202" s="45"/>
      <c r="AC1202" s="74"/>
      <c r="AD1202" s="53">
        <f>P_2_minQ+(AD1199^2*R_dn)-dpdn_minQ</f>
        <v>27.182823987743916</v>
      </c>
      <c r="AE1202" s="45"/>
      <c r="AF1202" s="74"/>
      <c r="AG1202" s="53">
        <f>P_2_minQ+(AG1199^2*R_dn)-dpdn_minQ</f>
        <v>30.256310658104301</v>
      </c>
      <c r="AH1202" s="45"/>
      <c r="AI1202" s="74"/>
      <c r="AJ1202" s="53">
        <f>P_2_minQ+(AJ1199^2*R_dn)-dpdn_minQ</f>
        <v>34.628994235726033</v>
      </c>
      <c r="AK1202" s="45"/>
      <c r="AL1202" s="74"/>
      <c r="AM1202" s="53">
        <f>P_2_minQ+(AM1199^2*R_dn)-dpdn_minQ</f>
        <v>39.50405234242541</v>
      </c>
      <c r="AN1202" s="45"/>
      <c r="AO1202" s="74"/>
      <c r="AP1202" s="53">
        <f>P_2_minQ+(AP1199^2*R_dn)-dpdn_minQ</f>
        <v>44.668662927447834</v>
      </c>
      <c r="AQ1202" s="45"/>
      <c r="AR1202" s="74"/>
      <c r="AS1202" s="53">
        <f>P_2_minQ+(AS1199^2*R_dn)-dpdn_minQ</f>
        <v>50.57730028687665</v>
      </c>
      <c r="AT1202" s="45"/>
      <c r="AU1202" s="74"/>
    </row>
    <row r="1203" spans="15:47" x14ac:dyDescent="0.25">
      <c r="O1203" s="6" t="s">
        <v>243</v>
      </c>
      <c r="Q1203" s="60"/>
      <c r="R1203" s="53">
        <f>R1201-R1202</f>
        <v>32.257645363084862</v>
      </c>
      <c r="S1203" s="56"/>
      <c r="T1203" s="72"/>
      <c r="U1203" s="64">
        <f>U1201-U1202</f>
        <v>31.992614794383517</v>
      </c>
      <c r="V1203" s="44"/>
      <c r="W1203" s="72"/>
      <c r="X1203" s="64">
        <f>X1201-X1202</f>
        <v>30.722358360181623</v>
      </c>
      <c r="Y1203" s="44"/>
      <c r="Z1203" s="72"/>
      <c r="AA1203" s="64">
        <f>AA1201-AA1202</f>
        <v>26.655911959655221</v>
      </c>
      <c r="AB1203" s="44"/>
      <c r="AC1203" s="72"/>
      <c r="AD1203" s="64">
        <f>AD1201-AD1202</f>
        <v>17.103056073536514</v>
      </c>
      <c r="AE1203" s="44"/>
      <c r="AF1203" s="72"/>
      <c r="AG1203" s="64">
        <f>AG1201-AG1202</f>
        <v>-1.3378639486258024</v>
      </c>
      <c r="AH1203" s="44"/>
      <c r="AI1203" s="72"/>
      <c r="AJ1203" s="64">
        <f>AJ1201-AJ1202</f>
        <v>-27.573965414356184</v>
      </c>
      <c r="AK1203" s="44"/>
      <c r="AL1203" s="72"/>
      <c r="AM1203" s="64">
        <f>AM1201-AM1202</f>
        <v>-56.82431405455246</v>
      </c>
      <c r="AN1203" s="44"/>
      <c r="AO1203" s="72"/>
      <c r="AP1203" s="64">
        <f>AP1201-AP1202</f>
        <v>-87.811977564686998</v>
      </c>
      <c r="AQ1203" s="44"/>
      <c r="AR1203" s="72"/>
      <c r="AS1203" s="64">
        <f>AS1201-AS1202</f>
        <v>-123.2638017212599</v>
      </c>
      <c r="AT1203" s="44"/>
      <c r="AU1203" s="72"/>
    </row>
    <row r="1204" spans="15:47" ht="13" x14ac:dyDescent="0.3">
      <c r="O1204" s="6" t="s">
        <v>75</v>
      </c>
      <c r="P1204" s="6">
        <v>3</v>
      </c>
      <c r="Q1204" s="65"/>
      <c r="R1204" s="85">
        <f>(F_LP_h/F_P_h)^2*(R1201-('Valve Sizing'!$V$4*'Valve Sizing'!$G$7))</f>
        <v>46.763971901377644</v>
      </c>
      <c r="S1204" s="58"/>
      <c r="T1204" s="73"/>
      <c r="U1204" s="53">
        <f>(U$29/U$27)^2*(U1201-('Valve Sizing'!$V$4*'Valve Sizing'!$G$7))</f>
        <v>46.568393135510476</v>
      </c>
      <c r="V1204" s="41"/>
      <c r="W1204" s="73"/>
      <c r="X1204" s="53">
        <f>(X$29/X$27)^2*(X1201-('Valve Sizing'!$V$4*'Valve Sizing'!$G$7))</f>
        <v>44.661425991331534</v>
      </c>
      <c r="Y1204" s="41"/>
      <c r="Z1204" s="73"/>
      <c r="AA1204" s="53">
        <f>(AA$29/AA$27)^2*(AA1201-('Valve Sizing'!$V$4*'Valve Sizing'!$G$7))</f>
        <v>40.03594678338861</v>
      </c>
      <c r="AB1204" s="41"/>
      <c r="AC1204" s="73"/>
      <c r="AD1204" s="53">
        <f>(AD$29/AD$27)^2*(AD1201-('Valve Sizing'!$V$4*'Valve Sizing'!$G$7))</f>
        <v>31.621054966603499</v>
      </c>
      <c r="AE1204" s="41"/>
      <c r="AF1204" s="73"/>
      <c r="AG1204" s="53">
        <f>(AG$29/AG$27)^2*(AG1201-('Valve Sizing'!$V$4*'Valve Sizing'!$G$7))</f>
        <v>18.341334200985134</v>
      </c>
      <c r="AH1204" s="41"/>
      <c r="AI1204" s="73"/>
      <c r="AJ1204" s="53">
        <f>(AJ$29/AJ$27)^2*(AJ1201-('Valve Sizing'!$V$4*'Valve Sizing'!$G$7))</f>
        <v>3.8258633937657218</v>
      </c>
      <c r="AK1204" s="41"/>
      <c r="AL1204" s="73"/>
      <c r="AM1204" s="53">
        <f>(AM$29/AM$27)^2*(AM1201-('Valve Sizing'!$V$4*'Valve Sizing'!$G$7))</f>
        <v>-8.4978181866033555</v>
      </c>
      <c r="AN1204" s="41"/>
      <c r="AO1204" s="73"/>
      <c r="AP1204" s="53">
        <f>(AP$29/AP$27)^2*(AP1201-('Valve Sizing'!$V$4*'Valve Sizing'!$G$7))</f>
        <v>-17.199167938775251</v>
      </c>
      <c r="AQ1204" s="41"/>
      <c r="AR1204" s="73"/>
      <c r="AS1204" s="53">
        <f>(AS$29/AS$27)^2*(AS1201-('Valve Sizing'!$V$4*'Valve Sizing'!$G$7))</f>
        <v>-27.505882011211359</v>
      </c>
      <c r="AT1204" s="41"/>
      <c r="AU1204" s="73"/>
    </row>
    <row r="1205" spans="15:47" ht="13" x14ac:dyDescent="0.25">
      <c r="O1205" s="1" t="s">
        <v>69</v>
      </c>
      <c r="P1205" s="17">
        <v>7</v>
      </c>
      <c r="Q1205" s="65"/>
      <c r="R1205" s="53">
        <f>(R1199/(N_1*F_P_h))*SQRT('Valve Sizing'!$G$6/R1203)</f>
        <v>1.1493581795583978</v>
      </c>
      <c r="S1205" s="58"/>
      <c r="T1205" s="73"/>
      <c r="U1205" s="64">
        <f>(U1199/(N_1*U$27))*SQRT('Valve Sizing'!$G$6/U1203)</f>
        <v>14.355797613306242</v>
      </c>
      <c r="V1205" s="41"/>
      <c r="W1205" s="73"/>
      <c r="X1205" s="64">
        <f>(X1199/(N_1*X$27))*SQRT('Valve Sizing'!$G$6/X1203)</f>
        <v>35.243615967409589</v>
      </c>
      <c r="Y1205" s="41"/>
      <c r="Z1205" s="73"/>
      <c r="AA1205" s="64">
        <f>(AA1199/(N_1*AA$27))*SQRT('Valve Sizing'!$G$6/AA1203)</f>
        <v>72.659362639495058</v>
      </c>
      <c r="AB1205" s="41"/>
      <c r="AC1205" s="73"/>
      <c r="AD1205" s="64">
        <f>(AD1199/(N_1*AD$27))*SQRT('Valve Sizing'!$G$6/AD1203)</f>
        <v>151.05857681206811</v>
      </c>
      <c r="AE1205" s="41"/>
      <c r="AF1205" s="73"/>
      <c r="AG1205" s="64" t="e">
        <f>(AG1199/(N_1*AG$27))*SQRT('Valve Sizing'!$G$6/AG1203)</f>
        <v>#NUM!</v>
      </c>
      <c r="AH1205" s="41"/>
      <c r="AI1205" s="73"/>
      <c r="AJ1205" s="64" t="e">
        <f>(AJ1199/(N_1*AJ$27))*SQRT('Valve Sizing'!$G$6/AJ1203)</f>
        <v>#NUM!</v>
      </c>
      <c r="AK1205" s="41"/>
      <c r="AL1205" s="73"/>
      <c r="AM1205" s="64" t="e">
        <f>(AM1199/(N_1*AM$27))*SQRT('Valve Sizing'!$G$6/AM1203)</f>
        <v>#NUM!</v>
      </c>
      <c r="AN1205" s="41"/>
      <c r="AO1205" s="73"/>
      <c r="AP1205" s="64" t="e">
        <f>(AP1199/(N_1*AP$27))*SQRT('Valve Sizing'!$G$6/AP1203)</f>
        <v>#NUM!</v>
      </c>
      <c r="AQ1205" s="41"/>
      <c r="AR1205" s="73"/>
      <c r="AS1205" s="64" t="e">
        <f>(AS1199/(N_1*AS$27))*SQRT('Valve Sizing'!$G$6/AS1203)</f>
        <v>#NUM!</v>
      </c>
      <c r="AT1205" s="41"/>
      <c r="AU1205" s="73"/>
    </row>
    <row r="1206" spans="15:47" ht="13" x14ac:dyDescent="0.3">
      <c r="O1206" s="1" t="s">
        <v>72</v>
      </c>
      <c r="P1206" s="17">
        <v>7</v>
      </c>
      <c r="Q1206" s="65"/>
      <c r="R1206" s="53">
        <f>(R1199/(N_1*F_P_h))*SQRT('Valve Sizing'!$G$6/R1204)</f>
        <v>0.95458812384488945</v>
      </c>
      <c r="S1206" s="56"/>
      <c r="T1206" s="72"/>
      <c r="U1206" s="85">
        <f>(U1199/(N_1*U$27))*SQRT('Valve Sizing'!$G$6/U1204)</f>
        <v>11.898893274680043</v>
      </c>
      <c r="V1206" s="44"/>
      <c r="W1206" s="72"/>
      <c r="X1206" s="85">
        <f>(X1199/(N_1*X$27))*SQRT('Valve Sizing'!$G$6/X1204)</f>
        <v>29.23084990199991</v>
      </c>
      <c r="Y1206" s="44"/>
      <c r="Z1206" s="72"/>
      <c r="AA1206" s="85">
        <f>(AA1199/(N_1*AA$27))*SQRT('Valve Sizing'!$G$6/AA1204)</f>
        <v>59.287522839565924</v>
      </c>
      <c r="AB1206" s="44"/>
      <c r="AC1206" s="72"/>
      <c r="AD1206" s="85">
        <f>(AD1199/(N_1*AD$27))*SQRT('Valve Sizing'!$G$6/AD1204)</f>
        <v>111.09488684405764</v>
      </c>
      <c r="AE1206" s="44"/>
      <c r="AF1206" s="72"/>
      <c r="AG1206" s="85">
        <f>(AG1199/(N_1*AG$27))*SQRT('Valve Sizing'!$G$6/AG1204)</f>
        <v>222.02656848040917</v>
      </c>
      <c r="AH1206" s="44"/>
      <c r="AI1206" s="72"/>
      <c r="AJ1206" s="85">
        <f>(AJ1199/(N_1*AJ$27))*SQRT('Valve Sizing'!$G$6/AJ1204)</f>
        <v>672.32717063839664</v>
      </c>
      <c r="AK1206" s="44"/>
      <c r="AL1206" s="72"/>
      <c r="AM1206" s="85" t="e">
        <f>(AM1199/(N_1*AM$27))*SQRT('Valve Sizing'!$G$6/AM1204)</f>
        <v>#NUM!</v>
      </c>
      <c r="AN1206" s="44"/>
      <c r="AO1206" s="72"/>
      <c r="AP1206" s="85" t="e">
        <f>(AP1199/(N_1*AP$27))*SQRT('Valve Sizing'!$G$6/AP1204)</f>
        <v>#NUM!</v>
      </c>
      <c r="AQ1206" s="44"/>
      <c r="AR1206" s="72"/>
      <c r="AS1206" s="85" t="e">
        <f>(AS1199/(N_1*AS$27))*SQRT('Valve Sizing'!$G$6/AS1204)</f>
        <v>#NUM!</v>
      </c>
      <c r="AT1206" s="44"/>
      <c r="AU1206" s="72"/>
    </row>
    <row r="1207" spans="15:47" x14ac:dyDescent="0.25">
      <c r="O1207" s="1" t="s">
        <v>246</v>
      </c>
      <c r="P1207" s="18"/>
      <c r="Q1207" s="65"/>
      <c r="R1207" s="53">
        <f>IF(R1203&lt;R1204,R1205,R1206)</f>
        <v>1.1493581795583978</v>
      </c>
      <c r="S1207" s="49"/>
      <c r="T1207" s="72"/>
      <c r="U1207" s="64">
        <f>IF(U1203&lt;U1204,U1205,U1206)</f>
        <v>14.355797613306242</v>
      </c>
      <c r="V1207" s="44"/>
      <c r="W1207" s="72"/>
      <c r="X1207" s="64">
        <f>IF(X1203&lt;X1204,X1205,X1206)</f>
        <v>35.243615967409589</v>
      </c>
      <c r="Y1207" s="44"/>
      <c r="Z1207" s="72"/>
      <c r="AA1207" s="64">
        <f>IF(AA1203&lt;AA1204,AA1205,AA1206)</f>
        <v>72.659362639495058</v>
      </c>
      <c r="AB1207" s="44"/>
      <c r="AC1207" s="72"/>
      <c r="AD1207" s="64">
        <f>IF(AD1203&lt;AD1204,AD1205,AD1206)</f>
        <v>151.05857681206811</v>
      </c>
      <c r="AE1207" s="44"/>
      <c r="AF1207" s="72"/>
      <c r="AG1207" s="64" t="e">
        <f>IF(AG1203&lt;AG1204,AG1205,AG1206)</f>
        <v>#NUM!</v>
      </c>
      <c r="AH1207" s="44"/>
      <c r="AI1207" s="72"/>
      <c r="AJ1207" s="64" t="e">
        <f>IF(AJ1203&lt;AJ1204,AJ1205,AJ1206)</f>
        <v>#NUM!</v>
      </c>
      <c r="AK1207" s="44"/>
      <c r="AL1207" s="72"/>
      <c r="AM1207" s="64" t="e">
        <f>IF(AM1203&lt;AM1204,AM1205,AM1206)</f>
        <v>#NUM!</v>
      </c>
      <c r="AN1207" s="44"/>
      <c r="AO1207" s="72"/>
      <c r="AP1207" s="64" t="e">
        <f>IF(AP1203&lt;AP1204,AP1205,AP1206)</f>
        <v>#NUM!</v>
      </c>
      <c r="AQ1207" s="44"/>
      <c r="AR1207" s="72"/>
      <c r="AS1207" s="64" t="e">
        <f>IF(AS1203&lt;AS1204,AS1205,AS1206)</f>
        <v>#NUM!</v>
      </c>
      <c r="AT1207" s="44"/>
      <c r="AU1207" s="72"/>
    </row>
    <row r="1208" spans="15:47" ht="13" x14ac:dyDescent="0.3">
      <c r="O1208" s="7" t="s">
        <v>264</v>
      </c>
      <c r="Q1208" s="61"/>
      <c r="R1208" s="53"/>
      <c r="S1208" s="69">
        <f>IFERROR(ABS(C_h-R1207),Q_max*10)</f>
        <v>3.8506418204416022</v>
      </c>
      <c r="T1208" s="76">
        <f>R1199</f>
        <v>6.5269185593940913</v>
      </c>
      <c r="U1208" s="61"/>
      <c r="V1208" s="69">
        <f>IFERROR(ABS(U$23-U1207),Q_max*10)</f>
        <v>2.3557976133062422</v>
      </c>
      <c r="W1208" s="75">
        <f>U1199</f>
        <v>81.130943225052434</v>
      </c>
      <c r="X1208" s="61"/>
      <c r="Y1208" s="69">
        <f>IFERROR(ABS(X$23-X1207),Q_max*10)</f>
        <v>12.243615967409589</v>
      </c>
      <c r="Z1208" s="75">
        <f>X1199</f>
        <v>194.7454940750066</v>
      </c>
      <c r="AA1208" s="61"/>
      <c r="AB1208" s="69">
        <f>IFERROR(ABS(AA$23-AA1207),Q_max*10)</f>
        <v>33.659362639495058</v>
      </c>
      <c r="AC1208" s="75">
        <f>AA1199</f>
        <v>371.84052010977427</v>
      </c>
      <c r="AD1208" s="61"/>
      <c r="AE1208" s="69">
        <f>IFERROR(ABS(AD$23-AD1207),Q_max*10)</f>
        <v>90.058576812068111</v>
      </c>
      <c r="AF1208" s="75">
        <f>AD1199</f>
        <v>611.54075202351521</v>
      </c>
      <c r="AG1208" s="61"/>
      <c r="AH1208" s="69">
        <f>IFERROR(ABS(AG$23-AG1207),Q_max*10)</f>
        <v>5500</v>
      </c>
      <c r="AI1208" s="75">
        <f>AG1199</f>
        <v>910.50084729907951</v>
      </c>
      <c r="AJ1208" s="61"/>
      <c r="AK1208" s="69">
        <f>IFERROR(ABS(AJ$23-AJ1207),Q_max*10)</f>
        <v>5500</v>
      </c>
      <c r="AL1208" s="75">
        <f>AJ1199</f>
        <v>1215.0669103383725</v>
      </c>
      <c r="AM1208" s="61"/>
      <c r="AN1208" s="69">
        <f>IFERROR(ABS(AM$23-AM1207),Q_max*10)</f>
        <v>5500</v>
      </c>
      <c r="AO1208" s="75">
        <f>AM1199</f>
        <v>1482.6125418652312</v>
      </c>
      <c r="AP1208" s="61"/>
      <c r="AQ1208" s="69">
        <f>IFERROR(ABS(AP$23-AP1207),Q_max*10)</f>
        <v>5500</v>
      </c>
      <c r="AR1208" s="75">
        <f>AP1199</f>
        <v>1721.2671339477354</v>
      </c>
      <c r="AS1208" s="61"/>
      <c r="AT1208" s="69">
        <f>IFERROR(ABS(AS$23-AS1207),Q_max*10)</f>
        <v>5500</v>
      </c>
      <c r="AU1208" s="75">
        <f>AS1199</f>
        <v>1958.9625589765844</v>
      </c>
    </row>
    <row r="1209" spans="15:47" ht="14.5" x14ac:dyDescent="0.35">
      <c r="O1209" s="6"/>
      <c r="P1209" s="6"/>
      <c r="Q1209" s="60"/>
      <c r="R1209" s="67"/>
      <c r="S1209" s="56"/>
      <c r="T1209" s="72"/>
      <c r="V1209" s="11"/>
      <c r="W1209" s="38"/>
      <c r="Y1209" s="11"/>
      <c r="Z1209" s="38"/>
      <c r="AB1209" s="11"/>
      <c r="AC1209" s="38"/>
      <c r="AE1209" s="11"/>
      <c r="AF1209" s="38"/>
      <c r="AH1209" s="11"/>
      <c r="AI1209" s="38"/>
      <c r="AK1209" s="11"/>
      <c r="AL1209" s="38"/>
      <c r="AN1209" s="11"/>
      <c r="AO1209" s="38"/>
      <c r="AQ1209" s="11"/>
      <c r="AR1209" s="38"/>
      <c r="AT1209" s="11"/>
      <c r="AU1209" s="38"/>
    </row>
    <row r="1210" spans="15:47" ht="14" x14ac:dyDescent="0.3">
      <c r="O1210" s="8" t="s">
        <v>235</v>
      </c>
      <c r="P1210" s="6"/>
      <c r="Q1210" s="60"/>
      <c r="R1210" s="53">
        <f>R1199*1.02</f>
        <v>6.6574569305819731</v>
      </c>
      <c r="S1210" s="58" t="s">
        <v>238</v>
      </c>
      <c r="T1210" s="73" t="s">
        <v>241</v>
      </c>
      <c r="U1210" s="84">
        <f>U1199*1.01</f>
        <v>81.942252657302959</v>
      </c>
      <c r="V1210" s="58" t="s">
        <v>238</v>
      </c>
      <c r="W1210" s="73" t="s">
        <v>241</v>
      </c>
      <c r="X1210" s="84">
        <f>X1199*1.01</f>
        <v>196.69294901575668</v>
      </c>
      <c r="Y1210" s="58" t="s">
        <v>238</v>
      </c>
      <c r="Z1210" s="73" t="s">
        <v>241</v>
      </c>
      <c r="AA1210" s="84">
        <f>AA1199*1.01</f>
        <v>375.55892531087204</v>
      </c>
      <c r="AB1210" s="58" t="s">
        <v>238</v>
      </c>
      <c r="AC1210" s="73" t="s">
        <v>241</v>
      </c>
      <c r="AD1210" s="84">
        <f>AD1199*1.01</f>
        <v>617.65615954375039</v>
      </c>
      <c r="AE1210" s="58" t="s">
        <v>238</v>
      </c>
      <c r="AF1210" s="73" t="s">
        <v>241</v>
      </c>
      <c r="AG1210" s="84">
        <f>AG1199*1.01</f>
        <v>919.6058557720703</v>
      </c>
      <c r="AH1210" s="58" t="s">
        <v>238</v>
      </c>
      <c r="AI1210" s="73" t="s">
        <v>241</v>
      </c>
      <c r="AJ1210" s="84">
        <f>AJ1199*1.01</f>
        <v>1227.2175794417562</v>
      </c>
      <c r="AK1210" s="58" t="s">
        <v>238</v>
      </c>
      <c r="AL1210" s="73" t="s">
        <v>241</v>
      </c>
      <c r="AM1210" s="84">
        <f>AM1199*1.01</f>
        <v>1497.4386672838834</v>
      </c>
      <c r="AN1210" s="58" t="s">
        <v>238</v>
      </c>
      <c r="AO1210" s="73" t="s">
        <v>241</v>
      </c>
      <c r="AP1210" s="84">
        <f>AP1199*1.01</f>
        <v>1738.4798052872127</v>
      </c>
      <c r="AQ1210" s="58" t="s">
        <v>238</v>
      </c>
      <c r="AR1210" s="73" t="s">
        <v>241</v>
      </c>
      <c r="AS1210" s="84">
        <f>AS1199*1.01</f>
        <v>1978.5521845663502</v>
      </c>
      <c r="AT1210" s="58" t="s">
        <v>238</v>
      </c>
      <c r="AU1210" s="73" t="s">
        <v>241</v>
      </c>
    </row>
    <row r="1211" spans="15:47" ht="13" x14ac:dyDescent="0.25">
      <c r="O1211" s="6"/>
      <c r="P1211" s="6"/>
      <c r="Q1211" s="60"/>
      <c r="R1211" s="70"/>
      <c r="S1211" s="63" t="s">
        <v>250</v>
      </c>
      <c r="T1211" s="71" t="s">
        <v>242</v>
      </c>
      <c r="U1211" s="61"/>
      <c r="V1211" s="63" t="s">
        <v>250</v>
      </c>
      <c r="W1211" s="71" t="s">
        <v>242</v>
      </c>
      <c r="X1211" s="61"/>
      <c r="Y1211" s="63" t="s">
        <v>250</v>
      </c>
      <c r="Z1211" s="71" t="s">
        <v>242</v>
      </c>
      <c r="AA1211" s="61"/>
      <c r="AB1211" s="63" t="s">
        <v>250</v>
      </c>
      <c r="AC1211" s="71" t="s">
        <v>242</v>
      </c>
      <c r="AD1211" s="61"/>
      <c r="AE1211" s="63" t="s">
        <v>250</v>
      </c>
      <c r="AF1211" s="71" t="s">
        <v>242</v>
      </c>
      <c r="AG1211" s="61"/>
      <c r="AH1211" s="63" t="s">
        <v>250</v>
      </c>
      <c r="AI1211" s="71" t="s">
        <v>242</v>
      </c>
      <c r="AJ1211" s="61"/>
      <c r="AK1211" s="63" t="s">
        <v>250</v>
      </c>
      <c r="AL1211" s="71" t="s">
        <v>242</v>
      </c>
      <c r="AM1211" s="61"/>
      <c r="AN1211" s="63" t="s">
        <v>250</v>
      </c>
      <c r="AO1211" s="71" t="s">
        <v>242</v>
      </c>
      <c r="AP1211" s="61"/>
      <c r="AQ1211" s="63" t="s">
        <v>250</v>
      </c>
      <c r="AR1211" s="71" t="s">
        <v>242</v>
      </c>
      <c r="AS1211" s="61"/>
      <c r="AT1211" s="63" t="s">
        <v>250</v>
      </c>
      <c r="AU1211" s="71" t="s">
        <v>242</v>
      </c>
    </row>
    <row r="1212" spans="15:47" ht="13" x14ac:dyDescent="0.3">
      <c r="O1212" s="6" t="s">
        <v>231</v>
      </c>
      <c r="P1212" s="6"/>
      <c r="Q1212" s="60"/>
      <c r="R1212" s="85">
        <f>P_1_minQ-(R1210^2*R_up)+dpup_minQ</f>
        <v>56.914646344721966</v>
      </c>
      <c r="S1212" s="56"/>
      <c r="T1212" s="72"/>
      <c r="U1212" s="53">
        <f>P_1_minQ-(U1210^2*R_up)+dpup_minQ</f>
        <v>56.68937748157537</v>
      </c>
      <c r="V1212" s="44"/>
      <c r="W1212" s="72"/>
      <c r="X1212" s="53">
        <f>P_1_minQ-(X1210^2*R_up)+dpup_minQ</f>
        <v>55.609553657800909</v>
      </c>
      <c r="Y1212" s="44"/>
      <c r="Z1212" s="72"/>
      <c r="AA1212" s="53">
        <f>P_1_minQ-(AA1210^2*R_up)+dpup_minQ</f>
        <v>52.152735346820087</v>
      </c>
      <c r="AB1212" s="44"/>
      <c r="AC1212" s="72"/>
      <c r="AD1212" s="53">
        <f>P_1_minQ-(AD1210^2*R_up)+dpup_minQ</f>
        <v>44.032011772295341</v>
      </c>
      <c r="AE1212" s="44"/>
      <c r="AF1212" s="72"/>
      <c r="AG1212" s="53">
        <f>P_1_minQ-(AG1210^2*R_up)+dpup_minQ</f>
        <v>28.355693010122199</v>
      </c>
      <c r="AH1212" s="44"/>
      <c r="AI1212" s="72"/>
      <c r="AJ1212" s="53">
        <f>P_1_minQ-(AJ1210^2*R_up)+dpup_minQ</f>
        <v>6.0528204224625695</v>
      </c>
      <c r="AK1212" s="44"/>
      <c r="AL1212" s="72"/>
      <c r="AM1212" s="53">
        <f>P_1_minQ-(AM1210^2*R_up)+dpup_minQ</f>
        <v>-18.812413450757607</v>
      </c>
      <c r="AN1212" s="44"/>
      <c r="AO1212" s="72"/>
      <c r="AP1212" s="53">
        <f>P_1_minQ-(AP1210^2*R_up)+dpup_minQ</f>
        <v>-45.154509739664483</v>
      </c>
      <c r="AQ1212" s="44"/>
      <c r="AR1212" s="72"/>
      <c r="AS1212" s="53">
        <f>P_1_minQ-(AS1210^2*R_up)+dpup_minQ</f>
        <v>-75.291514591431167</v>
      </c>
      <c r="AT1212" s="44"/>
      <c r="AU1212" s="72"/>
    </row>
    <row r="1213" spans="15:47" ht="13" x14ac:dyDescent="0.3">
      <c r="O1213" s="6" t="s">
        <v>233</v>
      </c>
      <c r="P1213" s="6"/>
      <c r="Q1213" s="60"/>
      <c r="R1213" s="85">
        <f>P_2_minQ+(R1210^2*R_dn)-dpdn_minQ</f>
        <v>24.657070731055608</v>
      </c>
      <c r="S1213" s="66"/>
      <c r="T1213" s="74"/>
      <c r="U1213" s="53">
        <f>P_2_minQ+(U1210^2*R_dn)-dpdn_minQ</f>
        <v>24.702124503684928</v>
      </c>
      <c r="V1213" s="45"/>
      <c r="W1213" s="74"/>
      <c r="X1213" s="53">
        <f>P_2_minQ+(X1210^2*R_dn)-dpdn_minQ</f>
        <v>24.918089268439818</v>
      </c>
      <c r="Y1213" s="45"/>
      <c r="Z1213" s="74"/>
      <c r="AA1213" s="53">
        <f>P_2_minQ+(AA1210^2*R_dn)-dpdn_minQ</f>
        <v>25.609452930635985</v>
      </c>
      <c r="AB1213" s="45"/>
      <c r="AC1213" s="74"/>
      <c r="AD1213" s="53">
        <f>P_2_minQ+(AD1210^2*R_dn)-dpdn_minQ</f>
        <v>27.233597645540932</v>
      </c>
      <c r="AE1213" s="45"/>
      <c r="AF1213" s="74"/>
      <c r="AG1213" s="53">
        <f>P_2_minQ+(AG1210^2*R_dn)-dpdn_minQ</f>
        <v>30.368861397975561</v>
      </c>
      <c r="AH1213" s="45"/>
      <c r="AI1213" s="74"/>
      <c r="AJ1213" s="53">
        <f>P_2_minQ+(AJ1210^2*R_dn)-dpdn_minQ</f>
        <v>34.829435915507489</v>
      </c>
      <c r="AK1213" s="45"/>
      <c r="AL1213" s="74"/>
      <c r="AM1213" s="53">
        <f>P_2_minQ+(AM1210^2*R_dn)-dpdn_minQ</f>
        <v>39.802482690151528</v>
      </c>
      <c r="AN1213" s="45"/>
      <c r="AO1213" s="74"/>
      <c r="AP1213" s="53">
        <f>P_2_minQ+(AP1210^2*R_dn)-dpdn_minQ</f>
        <v>45.070901947932896</v>
      </c>
      <c r="AQ1213" s="45"/>
      <c r="AR1213" s="74"/>
      <c r="AS1213" s="53">
        <f>P_2_minQ+(AS1210^2*R_dn)-dpdn_minQ</f>
        <v>51.098302918286237</v>
      </c>
      <c r="AT1213" s="45"/>
      <c r="AU1213" s="74"/>
    </row>
    <row r="1214" spans="15:47" x14ac:dyDescent="0.25">
      <c r="O1214" s="6" t="s">
        <v>243</v>
      </c>
      <c r="Q1214" s="60"/>
      <c r="R1214" s="53">
        <f>R1212-R1213</f>
        <v>32.257575613666361</v>
      </c>
      <c r="S1214" s="56"/>
      <c r="T1214" s="72"/>
      <c r="U1214" s="64">
        <f>U1212-U1213</f>
        <v>31.987252977890442</v>
      </c>
      <c r="V1214" s="44"/>
      <c r="W1214" s="72"/>
      <c r="X1214" s="64">
        <f>X1212-X1213</f>
        <v>30.691464389361091</v>
      </c>
      <c r="Y1214" s="44"/>
      <c r="Z1214" s="72"/>
      <c r="AA1214" s="64">
        <f>AA1212-AA1213</f>
        <v>26.543282416184102</v>
      </c>
      <c r="AB1214" s="44"/>
      <c r="AC1214" s="72"/>
      <c r="AD1214" s="64">
        <f>AD1212-AD1213</f>
        <v>16.798414126754409</v>
      </c>
      <c r="AE1214" s="44"/>
      <c r="AF1214" s="72"/>
      <c r="AG1214" s="64">
        <f>AG1212-AG1213</f>
        <v>-2.0131683878533622</v>
      </c>
      <c r="AH1214" s="44"/>
      <c r="AI1214" s="72"/>
      <c r="AJ1214" s="64">
        <f>AJ1212-AJ1213</f>
        <v>-28.776615493044918</v>
      </c>
      <c r="AK1214" s="44"/>
      <c r="AL1214" s="72"/>
      <c r="AM1214" s="64">
        <f>AM1212-AM1213</f>
        <v>-58.614896140909138</v>
      </c>
      <c r="AN1214" s="44"/>
      <c r="AO1214" s="72"/>
      <c r="AP1214" s="64">
        <f>AP1212-AP1213</f>
        <v>-90.225411687597386</v>
      </c>
      <c r="AQ1214" s="44"/>
      <c r="AR1214" s="72"/>
      <c r="AS1214" s="64">
        <f>AS1212-AS1213</f>
        <v>-126.3898175097174</v>
      </c>
      <c r="AT1214" s="44"/>
      <c r="AU1214" s="72"/>
    </row>
    <row r="1215" spans="15:47" ht="13" x14ac:dyDescent="0.3">
      <c r="O1215" s="6" t="s">
        <v>75</v>
      </c>
      <c r="P1215" s="6">
        <v>3</v>
      </c>
      <c r="Q1215" s="65"/>
      <c r="R1215" s="85">
        <f>(F_LP_h/F_P_h)^2*(R1212-('Valve Sizing'!$V$4*'Valve Sizing'!$G$7))</f>
        <v>46.763923771227923</v>
      </c>
      <c r="S1215" s="58"/>
      <c r="T1215" s="73"/>
      <c r="U1215" s="53">
        <f>(U$29/U$27)^2*(U1212-('Valve Sizing'!$V$4*'Valve Sizing'!$G$7))</f>
        <v>46.56469425603234</v>
      </c>
      <c r="V1215" s="41"/>
      <c r="W1215" s="73"/>
      <c r="X1215" s="53">
        <f>(X$29/X$27)^2*(X1212-('Valve Sizing'!$V$4*'Valve Sizing'!$G$7))</f>
        <v>44.640594352479035</v>
      </c>
      <c r="Y1215" s="41"/>
      <c r="Z1215" s="73"/>
      <c r="AA1215" s="53">
        <f>(AA$29/AA$27)^2*(AA1212-('Valve Sizing'!$V$4*'Valve Sizing'!$G$7))</f>
        <v>39.963413618191296</v>
      </c>
      <c r="AB1215" s="41"/>
      <c r="AC1215" s="73"/>
      <c r="AD1215" s="53">
        <f>(AD$29/AD$27)^2*(AD1212-('Valve Sizing'!$V$4*'Valve Sizing'!$G$7))</f>
        <v>31.437968353506214</v>
      </c>
      <c r="AE1215" s="41"/>
      <c r="AF1215" s="73"/>
      <c r="AG1215" s="53">
        <f>(AG$29/AG$27)^2*(AG1212-('Valve Sizing'!$V$4*'Valve Sizing'!$G$7))</f>
        <v>17.978896084908794</v>
      </c>
      <c r="AH1215" s="41"/>
      <c r="AI1215" s="73"/>
      <c r="AJ1215" s="53">
        <f>(AJ$29/AJ$27)^2*(AJ1212-('Valve Sizing'!$V$4*'Valve Sizing'!$G$7))</f>
        <v>3.2462217992733597</v>
      </c>
      <c r="AK1215" s="41"/>
      <c r="AL1215" s="73"/>
      <c r="AM1215" s="53">
        <f>(AM$29/AM$27)^2*(AM1212-('Valve Sizing'!$V$4*'Valve Sizing'!$G$7))</f>
        <v>-9.2117712360743909</v>
      </c>
      <c r="AN1215" s="41"/>
      <c r="AO1215" s="73"/>
      <c r="AP1215" s="53">
        <f>(AP$29/AP$27)^2*(AP1212-('Valve Sizing'!$V$4*'Valve Sizing'!$G$7))</f>
        <v>-17.992839481244108</v>
      </c>
      <c r="AQ1215" s="41"/>
      <c r="AR1215" s="73"/>
      <c r="AS1215" s="53">
        <f>(AS$29/AS$27)^2*(AS1212-('Valve Sizing'!$V$4*'Valve Sizing'!$G$7))</f>
        <v>-28.485733728754262</v>
      </c>
      <c r="AT1215" s="41"/>
      <c r="AU1215" s="73"/>
    </row>
    <row r="1216" spans="15:47" ht="13" x14ac:dyDescent="0.25">
      <c r="O1216" s="1" t="s">
        <v>69</v>
      </c>
      <c r="P1216" s="17">
        <v>7</v>
      </c>
      <c r="Q1216" s="65"/>
      <c r="R1216" s="53">
        <f>(R1210/(N_1*F_P_h))*SQRT('Valve Sizing'!$G$6/R1214)</f>
        <v>1.1723466106093827</v>
      </c>
      <c r="S1216" s="58"/>
      <c r="T1216" s="73"/>
      <c r="U1216" s="64">
        <f>(U1210/(N_1*U$27))*SQRT('Valve Sizing'!$G$6/U1214)</f>
        <v>14.500570755155174</v>
      </c>
      <c r="V1216" s="41"/>
      <c r="W1216" s="73"/>
      <c r="X1216" s="64">
        <f>(X1210/(N_1*X$27))*SQRT('Valve Sizing'!$G$6/X1214)</f>
        <v>35.613963080779826</v>
      </c>
      <c r="Y1216" s="41"/>
      <c r="Z1216" s="73"/>
      <c r="AA1216" s="64">
        <f>(AA1210/(N_1*AA$27))*SQRT('Valve Sizing'!$G$6/AA1214)</f>
        <v>73.541488598438121</v>
      </c>
      <c r="AB1216" s="41"/>
      <c r="AC1216" s="73"/>
      <c r="AD1216" s="64">
        <f>(AD1210/(N_1*AD$27))*SQRT('Valve Sizing'!$G$6/AD1214)</f>
        <v>153.9463797942154</v>
      </c>
      <c r="AE1216" s="41"/>
      <c r="AF1216" s="73"/>
      <c r="AG1216" s="64" t="e">
        <f>(AG1210/(N_1*AG$27))*SQRT('Valve Sizing'!$G$6/AG1214)</f>
        <v>#NUM!</v>
      </c>
      <c r="AH1216" s="41"/>
      <c r="AI1216" s="73"/>
      <c r="AJ1216" s="64" t="e">
        <f>(AJ1210/(N_1*AJ$27))*SQRT('Valve Sizing'!$G$6/AJ1214)</f>
        <v>#NUM!</v>
      </c>
      <c r="AK1216" s="41"/>
      <c r="AL1216" s="73"/>
      <c r="AM1216" s="64" t="e">
        <f>(AM1210/(N_1*AM$27))*SQRT('Valve Sizing'!$G$6/AM1214)</f>
        <v>#NUM!</v>
      </c>
      <c r="AN1216" s="41"/>
      <c r="AO1216" s="73"/>
      <c r="AP1216" s="64" t="e">
        <f>(AP1210/(N_1*AP$27))*SQRT('Valve Sizing'!$G$6/AP1214)</f>
        <v>#NUM!</v>
      </c>
      <c r="AQ1216" s="41"/>
      <c r="AR1216" s="73"/>
      <c r="AS1216" s="64" t="e">
        <f>(AS1210/(N_1*AS$27))*SQRT('Valve Sizing'!$G$6/AS1214)</f>
        <v>#NUM!</v>
      </c>
      <c r="AT1216" s="41"/>
      <c r="AU1216" s="73"/>
    </row>
    <row r="1217" spans="15:47" ht="13" x14ac:dyDescent="0.3">
      <c r="O1217" s="1" t="s">
        <v>72</v>
      </c>
      <c r="P1217" s="17">
        <v>7</v>
      </c>
      <c r="Q1217" s="65"/>
      <c r="R1217" s="53">
        <f>(R1210/(N_1*F_P_h))*SQRT('Valve Sizing'!$G$6/R1215)</f>
        <v>0.97368038738481688</v>
      </c>
      <c r="S1217" s="56"/>
      <c r="T1217" s="72"/>
      <c r="U1217" s="85">
        <f>(U1210/(N_1*U$27))*SQRT('Valve Sizing'!$G$6/U1215)</f>
        <v>12.018359519861027</v>
      </c>
      <c r="V1217" s="44"/>
      <c r="W1217" s="72"/>
      <c r="X1217" s="85">
        <f>(X1210/(N_1*X$27))*SQRT('Valve Sizing'!$G$6/X1215)</f>
        <v>29.530046123390218</v>
      </c>
      <c r="Y1217" s="44"/>
      <c r="Z1217" s="72"/>
      <c r="AA1217" s="85">
        <f>(AA1210/(N_1*AA$27))*SQRT('Valve Sizing'!$G$6/AA1215)</f>
        <v>59.934714571872654</v>
      </c>
      <c r="AB1217" s="44"/>
      <c r="AC1217" s="72"/>
      <c r="AD1217" s="85">
        <f>(AD1210/(N_1*AD$27))*SQRT('Valve Sizing'!$G$6/AD1215)</f>
        <v>112.53209030905116</v>
      </c>
      <c r="AE1217" s="44"/>
      <c r="AF1217" s="72"/>
      <c r="AG1217" s="85">
        <f>(AG1210/(N_1*AG$27))*SQRT('Valve Sizing'!$G$6/AG1215)</f>
        <v>226.49586176574061</v>
      </c>
      <c r="AH1217" s="44"/>
      <c r="AI1217" s="72"/>
      <c r="AJ1217" s="85">
        <f>(AJ1210/(N_1*AJ$27))*SQRT('Valve Sizing'!$G$6/AJ1215)</f>
        <v>737.18700520367156</v>
      </c>
      <c r="AK1217" s="44"/>
      <c r="AL1217" s="72"/>
      <c r="AM1217" s="85" t="e">
        <f>(AM1210/(N_1*AM$27))*SQRT('Valve Sizing'!$G$6/AM1215)</f>
        <v>#NUM!</v>
      </c>
      <c r="AN1217" s="44"/>
      <c r="AO1217" s="72"/>
      <c r="AP1217" s="85" t="e">
        <f>(AP1210/(N_1*AP$27))*SQRT('Valve Sizing'!$G$6/AP1215)</f>
        <v>#NUM!</v>
      </c>
      <c r="AQ1217" s="44"/>
      <c r="AR1217" s="72"/>
      <c r="AS1217" s="85" t="e">
        <f>(AS1210/(N_1*AS$27))*SQRT('Valve Sizing'!$G$6/AS1215)</f>
        <v>#NUM!</v>
      </c>
      <c r="AT1217" s="44"/>
      <c r="AU1217" s="72"/>
    </row>
    <row r="1218" spans="15:47" x14ac:dyDescent="0.25">
      <c r="O1218" s="1" t="s">
        <v>246</v>
      </c>
      <c r="P1218" s="18"/>
      <c r="Q1218" s="65"/>
      <c r="R1218" s="53">
        <f>IF(R1214&lt;R1215,R1216,R1217)</f>
        <v>1.1723466106093827</v>
      </c>
      <c r="S1218" s="49"/>
      <c r="T1218" s="72"/>
      <c r="U1218" s="64">
        <f>IF(U1214&lt;U1215,U1216,U1217)</f>
        <v>14.500570755155174</v>
      </c>
      <c r="V1218" s="44"/>
      <c r="W1218" s="72"/>
      <c r="X1218" s="64">
        <f>IF(X1214&lt;X1215,X1216,X1217)</f>
        <v>35.613963080779826</v>
      </c>
      <c r="Y1218" s="44"/>
      <c r="Z1218" s="72"/>
      <c r="AA1218" s="64">
        <f>IF(AA1214&lt;AA1215,AA1216,AA1217)</f>
        <v>73.541488598438121</v>
      </c>
      <c r="AB1218" s="44"/>
      <c r="AC1218" s="72"/>
      <c r="AD1218" s="64">
        <f>IF(AD1214&lt;AD1215,AD1216,AD1217)</f>
        <v>153.9463797942154</v>
      </c>
      <c r="AE1218" s="44"/>
      <c r="AF1218" s="72"/>
      <c r="AG1218" s="64" t="e">
        <f>IF(AG1214&lt;AG1215,AG1216,AG1217)</f>
        <v>#NUM!</v>
      </c>
      <c r="AH1218" s="44"/>
      <c r="AI1218" s="72"/>
      <c r="AJ1218" s="64" t="e">
        <f>IF(AJ1214&lt;AJ1215,AJ1216,AJ1217)</f>
        <v>#NUM!</v>
      </c>
      <c r="AK1218" s="44"/>
      <c r="AL1218" s="72"/>
      <c r="AM1218" s="64" t="e">
        <f>IF(AM1214&lt;AM1215,AM1216,AM1217)</f>
        <v>#NUM!</v>
      </c>
      <c r="AN1218" s="44"/>
      <c r="AO1218" s="72"/>
      <c r="AP1218" s="64" t="e">
        <f>IF(AP1214&lt;AP1215,AP1216,AP1217)</f>
        <v>#NUM!</v>
      </c>
      <c r="AQ1218" s="44"/>
      <c r="AR1218" s="72"/>
      <c r="AS1218" s="64" t="e">
        <f>IF(AS1214&lt;AS1215,AS1216,AS1217)</f>
        <v>#NUM!</v>
      </c>
      <c r="AT1218" s="44"/>
      <c r="AU1218" s="72"/>
    </row>
    <row r="1219" spans="15:47" ht="13" x14ac:dyDescent="0.3">
      <c r="O1219" s="7" t="s">
        <v>264</v>
      </c>
      <c r="Q1219" s="61"/>
      <c r="R1219" s="53"/>
      <c r="S1219" s="69">
        <f>IFERROR(ABS(C_h-R1218),Q_max*10)</f>
        <v>3.8276533893906173</v>
      </c>
      <c r="T1219" s="76">
        <f>R1210</f>
        <v>6.6574569305819731</v>
      </c>
      <c r="U1219" s="61"/>
      <c r="V1219" s="69">
        <f>IFERROR(ABS(U$23-U1218),Q_max*10)</f>
        <v>2.5005707551551737</v>
      </c>
      <c r="W1219" s="75">
        <f>U1210</f>
        <v>81.942252657302959</v>
      </c>
      <c r="X1219" s="61"/>
      <c r="Y1219" s="69">
        <f>IFERROR(ABS(X$23-X1218),Q_max*10)</f>
        <v>12.613963080779826</v>
      </c>
      <c r="Z1219" s="75">
        <f>X1210</f>
        <v>196.69294901575668</v>
      </c>
      <c r="AA1219" s="61"/>
      <c r="AB1219" s="69">
        <f>IFERROR(ABS(AA$23-AA1218),Q_max*10)</f>
        <v>34.541488598438121</v>
      </c>
      <c r="AC1219" s="75">
        <f>AA1210</f>
        <v>375.55892531087204</v>
      </c>
      <c r="AD1219" s="61"/>
      <c r="AE1219" s="69">
        <f>IFERROR(ABS(AD$23-AD1218),Q_max*10)</f>
        <v>92.946379794215403</v>
      </c>
      <c r="AF1219" s="75">
        <f>AD1210</f>
        <v>617.65615954375039</v>
      </c>
      <c r="AG1219" s="61"/>
      <c r="AH1219" s="69">
        <f>IFERROR(ABS(AG$23-AG1218),Q_max*10)</f>
        <v>5500</v>
      </c>
      <c r="AI1219" s="75">
        <f>AG1210</f>
        <v>919.6058557720703</v>
      </c>
      <c r="AJ1219" s="61"/>
      <c r="AK1219" s="69">
        <f>IFERROR(ABS(AJ$23-AJ1218),Q_max*10)</f>
        <v>5500</v>
      </c>
      <c r="AL1219" s="75">
        <f>AJ1210</f>
        <v>1227.2175794417562</v>
      </c>
      <c r="AM1219" s="61"/>
      <c r="AN1219" s="69">
        <f>IFERROR(ABS(AM$23-AM1218),Q_max*10)</f>
        <v>5500</v>
      </c>
      <c r="AO1219" s="75">
        <f>AM1210</f>
        <v>1497.4386672838834</v>
      </c>
      <c r="AP1219" s="61"/>
      <c r="AQ1219" s="69">
        <f>IFERROR(ABS(AP$23-AP1218),Q_max*10)</f>
        <v>5500</v>
      </c>
      <c r="AR1219" s="75">
        <f>AP1210</f>
        <v>1738.4798052872127</v>
      </c>
      <c r="AS1219" s="61"/>
      <c r="AT1219" s="69">
        <f>IFERROR(ABS(AS$23-AS1218),Q_max*10)</f>
        <v>5500</v>
      </c>
      <c r="AU1219" s="75">
        <f>AS1210</f>
        <v>1978.5521845663502</v>
      </c>
    </row>
    <row r="1220" spans="15:47" ht="14.5" x14ac:dyDescent="0.35">
      <c r="O1220" s="8"/>
      <c r="P1220" s="6"/>
      <c r="Q1220" s="60"/>
      <c r="R1220" s="67"/>
      <c r="S1220" s="58"/>
      <c r="T1220" s="73"/>
      <c r="V1220" s="11"/>
      <c r="W1220" s="38"/>
      <c r="Y1220" s="11"/>
      <c r="Z1220" s="38"/>
      <c r="AB1220" s="11"/>
      <c r="AC1220" s="38"/>
      <c r="AE1220" s="11"/>
      <c r="AF1220" s="38"/>
      <c r="AH1220" s="11"/>
      <c r="AI1220" s="38"/>
      <c r="AK1220" s="11"/>
      <c r="AL1220" s="38"/>
      <c r="AN1220" s="11"/>
      <c r="AO1220" s="38"/>
      <c r="AQ1220" s="11"/>
      <c r="AR1220" s="38"/>
      <c r="AT1220" s="11"/>
      <c r="AU1220" s="38"/>
    </row>
    <row r="1221" spans="15:47" ht="14" x14ac:dyDescent="0.3">
      <c r="O1221" s="8" t="s">
        <v>235</v>
      </c>
      <c r="P1221" s="6"/>
      <c r="Q1221" s="60"/>
      <c r="R1221" s="53">
        <f>R1210*1.02</f>
        <v>6.790606069193613</v>
      </c>
      <c r="S1221" s="58" t="s">
        <v>238</v>
      </c>
      <c r="T1221" s="73" t="s">
        <v>241</v>
      </c>
      <c r="U1221" s="84">
        <f>U1210*1.01</f>
        <v>82.761675183875994</v>
      </c>
      <c r="V1221" s="58" t="s">
        <v>238</v>
      </c>
      <c r="W1221" s="73" t="s">
        <v>241</v>
      </c>
      <c r="X1221" s="84">
        <f>X1210*1.01</f>
        <v>198.65987850591426</v>
      </c>
      <c r="Y1221" s="58" t="s">
        <v>238</v>
      </c>
      <c r="Z1221" s="73" t="s">
        <v>241</v>
      </c>
      <c r="AA1221" s="84">
        <f>AA1210*1.01</f>
        <v>379.31451456398077</v>
      </c>
      <c r="AB1221" s="58" t="s">
        <v>238</v>
      </c>
      <c r="AC1221" s="73" t="s">
        <v>241</v>
      </c>
      <c r="AD1221" s="84">
        <f>AD1210*1.01</f>
        <v>623.83272113918792</v>
      </c>
      <c r="AE1221" s="58" t="s">
        <v>238</v>
      </c>
      <c r="AF1221" s="73" t="s">
        <v>241</v>
      </c>
      <c r="AG1221" s="84">
        <f>AG1210*1.01</f>
        <v>928.80191432979097</v>
      </c>
      <c r="AH1221" s="58" t="s">
        <v>238</v>
      </c>
      <c r="AI1221" s="73" t="s">
        <v>241</v>
      </c>
      <c r="AJ1221" s="84">
        <f>AJ1210*1.01</f>
        <v>1239.4897552361738</v>
      </c>
      <c r="AK1221" s="58" t="s">
        <v>238</v>
      </c>
      <c r="AL1221" s="73" t="s">
        <v>241</v>
      </c>
      <c r="AM1221" s="84">
        <f>AM1210*1.01</f>
        <v>1512.4130539567223</v>
      </c>
      <c r="AN1221" s="58" t="s">
        <v>238</v>
      </c>
      <c r="AO1221" s="73" t="s">
        <v>241</v>
      </c>
      <c r="AP1221" s="84">
        <f>AP1210*1.01</f>
        <v>1755.8646033400848</v>
      </c>
      <c r="AQ1221" s="58" t="s">
        <v>238</v>
      </c>
      <c r="AR1221" s="73" t="s">
        <v>241</v>
      </c>
      <c r="AS1221" s="84">
        <f>AS1210*1.01</f>
        <v>1998.3377064120136</v>
      </c>
      <c r="AT1221" s="58" t="s">
        <v>238</v>
      </c>
      <c r="AU1221" s="73" t="s">
        <v>241</v>
      </c>
    </row>
    <row r="1222" spans="15:47" ht="13" x14ac:dyDescent="0.25">
      <c r="O1222" s="6"/>
      <c r="P1222" s="6"/>
      <c r="Q1222" s="60"/>
      <c r="R1222" s="70"/>
      <c r="S1222" s="63" t="s">
        <v>250</v>
      </c>
      <c r="T1222" s="71" t="s">
        <v>242</v>
      </c>
      <c r="U1222" s="61"/>
      <c r="V1222" s="63" t="s">
        <v>250</v>
      </c>
      <c r="W1222" s="71" t="s">
        <v>242</v>
      </c>
      <c r="X1222" s="61"/>
      <c r="Y1222" s="63" t="s">
        <v>250</v>
      </c>
      <c r="Z1222" s="71" t="s">
        <v>242</v>
      </c>
      <c r="AA1222" s="61"/>
      <c r="AB1222" s="63" t="s">
        <v>250</v>
      </c>
      <c r="AC1222" s="71" t="s">
        <v>242</v>
      </c>
      <c r="AD1222" s="61"/>
      <c r="AE1222" s="63" t="s">
        <v>250</v>
      </c>
      <c r="AF1222" s="71" t="s">
        <v>242</v>
      </c>
      <c r="AG1222" s="61"/>
      <c r="AH1222" s="63" t="s">
        <v>250</v>
      </c>
      <c r="AI1222" s="71" t="s">
        <v>242</v>
      </c>
      <c r="AJ1222" s="61"/>
      <c r="AK1222" s="63" t="s">
        <v>250</v>
      </c>
      <c r="AL1222" s="71" t="s">
        <v>242</v>
      </c>
      <c r="AM1222" s="61"/>
      <c r="AN1222" s="63" t="s">
        <v>250</v>
      </c>
      <c r="AO1222" s="71" t="s">
        <v>242</v>
      </c>
      <c r="AP1222" s="61"/>
      <c r="AQ1222" s="63" t="s">
        <v>250</v>
      </c>
      <c r="AR1222" s="71" t="s">
        <v>242</v>
      </c>
      <c r="AS1222" s="61"/>
      <c r="AT1222" s="63" t="s">
        <v>250</v>
      </c>
      <c r="AU1222" s="71" t="s">
        <v>242</v>
      </c>
    </row>
    <row r="1223" spans="15:47" ht="13" x14ac:dyDescent="0.3">
      <c r="O1223" s="6" t="s">
        <v>231</v>
      </c>
      <c r="P1223" s="6"/>
      <c r="Q1223" s="60"/>
      <c r="R1223" s="85">
        <f>P_1_minQ-(R1221^2*R_up)+dpup_minQ</f>
        <v>56.914585871976122</v>
      </c>
      <c r="S1223" s="56"/>
      <c r="T1223" s="72"/>
      <c r="U1223" s="53">
        <f>P_1_minQ-(U1221^2*R_up)+dpup_minQ</f>
        <v>56.684819490738214</v>
      </c>
      <c r="V1223" s="44"/>
      <c r="W1223" s="72"/>
      <c r="X1223" s="53">
        <f>P_1_minQ-(X1221^2*R_up)+dpup_minQ</f>
        <v>55.583291208105891</v>
      </c>
      <c r="Y1223" s="44"/>
      <c r="Z1223" s="72"/>
      <c r="AA1223" s="53">
        <f>P_1_minQ-(AA1221^2*R_up)+dpup_minQ</f>
        <v>52.056990849074353</v>
      </c>
      <c r="AB1223" s="44"/>
      <c r="AC1223" s="72"/>
      <c r="AD1223" s="53">
        <f>P_1_minQ-(AD1221^2*R_up)+dpup_minQ</f>
        <v>43.773040730701659</v>
      </c>
      <c r="AE1223" s="44"/>
      <c r="AF1223" s="72"/>
      <c r="AG1223" s="53">
        <f>P_1_minQ-(AG1221^2*R_up)+dpup_minQ</f>
        <v>27.781627961408837</v>
      </c>
      <c r="AH1223" s="44"/>
      <c r="AI1223" s="72"/>
      <c r="AJ1223" s="53">
        <f>P_1_minQ-(AJ1221^2*R_up)+dpup_minQ</f>
        <v>5.0304676347372519</v>
      </c>
      <c r="AK1223" s="44"/>
      <c r="AL1223" s="72"/>
      <c r="AM1223" s="53">
        <f>P_1_minQ-(AM1221^2*R_up)+dpup_minQ</f>
        <v>-20.334557439334663</v>
      </c>
      <c r="AN1223" s="44"/>
      <c r="AO1223" s="72"/>
      <c r="AP1223" s="53">
        <f>P_1_minQ-(AP1221^2*R_up)+dpup_minQ</f>
        <v>-47.206129863648549</v>
      </c>
      <c r="AQ1223" s="44"/>
      <c r="AR1223" s="72"/>
      <c r="AS1223" s="53">
        <f>P_1_minQ-(AS1221^2*R_up)+dpup_minQ</f>
        <v>-77.948888512935724</v>
      </c>
      <c r="AT1223" s="44"/>
      <c r="AU1223" s="72"/>
    </row>
    <row r="1224" spans="15:47" ht="13" x14ac:dyDescent="0.3">
      <c r="O1224" s="6" t="s">
        <v>233</v>
      </c>
      <c r="P1224" s="6"/>
      <c r="Q1224" s="60"/>
      <c r="R1224" s="85">
        <f>P_2_minQ+(R1221^2*R_dn)-dpdn_minQ</f>
        <v>24.657082825604775</v>
      </c>
      <c r="S1224" s="66"/>
      <c r="T1224" s="74"/>
      <c r="U1224" s="53">
        <f>P_2_minQ+(U1221^2*R_dn)-dpdn_minQ</f>
        <v>24.703036101852359</v>
      </c>
      <c r="V1224" s="45"/>
      <c r="W1224" s="74"/>
      <c r="X1224" s="53">
        <f>P_2_minQ+(X1221^2*R_dn)-dpdn_minQ</f>
        <v>24.923341758378822</v>
      </c>
      <c r="Y1224" s="45"/>
      <c r="Z1224" s="74"/>
      <c r="AA1224" s="53">
        <f>P_2_minQ+(AA1221^2*R_dn)-dpdn_minQ</f>
        <v>25.628601830185129</v>
      </c>
      <c r="AB1224" s="45"/>
      <c r="AC1224" s="74"/>
      <c r="AD1224" s="53">
        <f>P_2_minQ+(AD1221^2*R_dn)-dpdn_minQ</f>
        <v>27.285391853859668</v>
      </c>
      <c r="AE1224" s="45"/>
      <c r="AF1224" s="74"/>
      <c r="AG1224" s="53">
        <f>P_2_minQ+(AG1221^2*R_dn)-dpdn_minQ</f>
        <v>30.483674407718233</v>
      </c>
      <c r="AH1224" s="45"/>
      <c r="AI1224" s="74"/>
      <c r="AJ1224" s="53">
        <f>P_2_minQ+(AJ1221^2*R_dn)-dpdn_minQ</f>
        <v>35.033906473052554</v>
      </c>
      <c r="AK1224" s="45"/>
      <c r="AL1224" s="74"/>
      <c r="AM1224" s="53">
        <f>P_2_minQ+(AM1221^2*R_dn)-dpdn_minQ</f>
        <v>40.106911487866938</v>
      </c>
      <c r="AN1224" s="45"/>
      <c r="AO1224" s="74"/>
      <c r="AP1224" s="53">
        <f>P_2_minQ+(AP1221^2*R_dn)-dpdn_minQ</f>
        <v>45.481225972729717</v>
      </c>
      <c r="AQ1224" s="45"/>
      <c r="AR1224" s="74"/>
      <c r="AS1224" s="53">
        <f>P_2_minQ+(AS1221^2*R_dn)-dpdn_minQ</f>
        <v>51.629777702587148</v>
      </c>
      <c r="AT1224" s="45"/>
      <c r="AU1224" s="74"/>
    </row>
    <row r="1225" spans="15:47" x14ac:dyDescent="0.25">
      <c r="O1225" s="6" t="s">
        <v>243</v>
      </c>
      <c r="Q1225" s="60"/>
      <c r="R1225" s="53">
        <f>R1223-R1224</f>
        <v>32.257503046371347</v>
      </c>
      <c r="S1225" s="56"/>
      <c r="T1225" s="72"/>
      <c r="U1225" s="64">
        <f>U1223-U1224</f>
        <v>31.981783388885855</v>
      </c>
      <c r="V1225" s="44"/>
      <c r="W1225" s="72"/>
      <c r="X1225" s="64">
        <f>X1223-X1224</f>
        <v>30.659949449727069</v>
      </c>
      <c r="Y1225" s="44"/>
      <c r="Z1225" s="72"/>
      <c r="AA1225" s="64">
        <f>AA1223-AA1224</f>
        <v>26.428389018889224</v>
      </c>
      <c r="AB1225" s="44"/>
      <c r="AC1225" s="72"/>
      <c r="AD1225" s="64">
        <f>AD1223-AD1224</f>
        <v>16.487648876841991</v>
      </c>
      <c r="AE1225" s="44"/>
      <c r="AF1225" s="72"/>
      <c r="AG1225" s="64">
        <f>AG1223-AG1224</f>
        <v>-2.7020464463093958</v>
      </c>
      <c r="AH1225" s="44"/>
      <c r="AI1225" s="72"/>
      <c r="AJ1225" s="64">
        <f>AJ1223-AJ1224</f>
        <v>-30.003438838315301</v>
      </c>
      <c r="AK1225" s="44"/>
      <c r="AL1225" s="72"/>
      <c r="AM1225" s="64">
        <f>AM1223-AM1224</f>
        <v>-60.441468927201598</v>
      </c>
      <c r="AN1225" s="44"/>
      <c r="AO1225" s="72"/>
      <c r="AP1225" s="64">
        <f>AP1223-AP1224</f>
        <v>-92.687355836378259</v>
      </c>
      <c r="AQ1225" s="44"/>
      <c r="AR1225" s="72"/>
      <c r="AS1225" s="64">
        <f>AS1223-AS1224</f>
        <v>-129.57866621552287</v>
      </c>
      <c r="AT1225" s="44"/>
      <c r="AU1225" s="72"/>
    </row>
    <row r="1226" spans="15:47" ht="13" x14ac:dyDescent="0.3">
      <c r="O1226" s="6" t="s">
        <v>75</v>
      </c>
      <c r="P1226" s="6">
        <v>3</v>
      </c>
      <c r="Q1226" s="65"/>
      <c r="R1226" s="85">
        <f>(F_LP_h/F_P_h)^2*(R1223-('Valve Sizing'!$V$4*'Valve Sizing'!$G$7))</f>
        <v>46.763873696620152</v>
      </c>
      <c r="S1226" s="58"/>
      <c r="T1226" s="73"/>
      <c r="U1226" s="53">
        <f>(U$29/U$27)^2*(U1223-('Valve Sizing'!$V$4*'Valve Sizing'!$G$7))</f>
        <v>46.560921029076688</v>
      </c>
      <c r="V1226" s="41"/>
      <c r="W1226" s="73"/>
      <c r="X1226" s="53">
        <f>(X$29/X$27)^2*(X1223-('Valve Sizing'!$V$4*'Valve Sizing'!$G$7))</f>
        <v>44.619343997685604</v>
      </c>
      <c r="Y1226" s="41"/>
      <c r="Z1226" s="73"/>
      <c r="AA1226" s="53">
        <f>(AA$29/AA$27)^2*(AA1223-('Valve Sizing'!$V$4*'Valve Sizing'!$G$7))</f>
        <v>39.889422536373523</v>
      </c>
      <c r="AB1226" s="41"/>
      <c r="AC1226" s="73"/>
      <c r="AD1226" s="53">
        <f>(AD$29/AD$27)^2*(AD1223-('Valve Sizing'!$V$4*'Valve Sizing'!$G$7))</f>
        <v>31.25120169948568</v>
      </c>
      <c r="AE1226" s="41"/>
      <c r="AF1226" s="73"/>
      <c r="AG1226" s="53">
        <f>(AG$29/AG$27)^2*(AG1223-('Valve Sizing'!$V$4*'Valve Sizing'!$G$7))</f>
        <v>17.609172962699322</v>
      </c>
      <c r="AH1226" s="41"/>
      <c r="AI1226" s="73"/>
      <c r="AJ1226" s="53">
        <f>(AJ$29/AJ$27)^2*(AJ1223-('Valve Sizing'!$V$4*'Valve Sizing'!$G$7))</f>
        <v>2.6549294087316988</v>
      </c>
      <c r="AK1226" s="41"/>
      <c r="AL1226" s="73"/>
      <c r="AM1226" s="53">
        <f>(AM$29/AM$27)^2*(AM1223-('Valve Sizing'!$V$4*'Valve Sizing'!$G$7))</f>
        <v>-9.9400747418398083</v>
      </c>
      <c r="AN1226" s="41"/>
      <c r="AO1226" s="73"/>
      <c r="AP1226" s="53">
        <f>(AP$29/AP$27)^2*(AP1223-('Valve Sizing'!$V$4*'Valve Sizing'!$G$7))</f>
        <v>-18.802463821716586</v>
      </c>
      <c r="AQ1226" s="41"/>
      <c r="AR1226" s="73"/>
      <c r="AS1226" s="53">
        <f>(AS$29/AS$27)^2*(AS1223-('Valve Sizing'!$V$4*'Valve Sizing'!$G$7))</f>
        <v>-29.48528046581977</v>
      </c>
      <c r="AT1226" s="41"/>
      <c r="AU1226" s="73"/>
    </row>
    <row r="1227" spans="15:47" ht="13" x14ac:dyDescent="0.25">
      <c r="O1227" s="1" t="s">
        <v>69</v>
      </c>
      <c r="P1227" s="17">
        <v>7</v>
      </c>
      <c r="Q1227" s="65"/>
      <c r="R1227" s="53">
        <f>(R1221/(N_1*F_P_h))*SQRT('Valve Sizing'!$G$6/R1225)</f>
        <v>1.1957948878645186</v>
      </c>
      <c r="S1227" s="58"/>
      <c r="T1227" s="73"/>
      <c r="U1227" s="64">
        <f>(U1221/(N_1*U$27))*SQRT('Valve Sizing'!$G$6/U1225)</f>
        <v>14.646828767157094</v>
      </c>
      <c r="V1227" s="41"/>
      <c r="W1227" s="73"/>
      <c r="X1227" s="64">
        <f>(X1221/(N_1*X$27))*SQRT('Valve Sizing'!$G$6/X1225)</f>
        <v>35.988584550007346</v>
      </c>
      <c r="Y1227" s="41"/>
      <c r="Z1227" s="73"/>
      <c r="AA1227" s="64">
        <f>(AA1221/(N_1*AA$27))*SQRT('Valve Sizing'!$G$6/AA1225)</f>
        <v>74.438182155177174</v>
      </c>
      <c r="AB1227" s="41"/>
      <c r="AC1227" s="73"/>
      <c r="AD1227" s="64">
        <f>(AD1221/(N_1*AD$27))*SQRT('Valve Sizing'!$G$6/AD1225)</f>
        <v>156.94433023998204</v>
      </c>
      <c r="AE1227" s="41"/>
      <c r="AF1227" s="73"/>
      <c r="AG1227" s="64" t="e">
        <f>(AG1221/(N_1*AG$27))*SQRT('Valve Sizing'!$G$6/AG1225)</f>
        <v>#NUM!</v>
      </c>
      <c r="AH1227" s="41"/>
      <c r="AI1227" s="73"/>
      <c r="AJ1227" s="64" t="e">
        <f>(AJ1221/(N_1*AJ$27))*SQRT('Valve Sizing'!$G$6/AJ1225)</f>
        <v>#NUM!</v>
      </c>
      <c r="AK1227" s="41"/>
      <c r="AL1227" s="73"/>
      <c r="AM1227" s="64" t="e">
        <f>(AM1221/(N_1*AM$27))*SQRT('Valve Sizing'!$G$6/AM1225)</f>
        <v>#NUM!</v>
      </c>
      <c r="AN1227" s="41"/>
      <c r="AO1227" s="73"/>
      <c r="AP1227" s="64" t="e">
        <f>(AP1221/(N_1*AP$27))*SQRT('Valve Sizing'!$G$6/AP1225)</f>
        <v>#NUM!</v>
      </c>
      <c r="AQ1227" s="41"/>
      <c r="AR1227" s="73"/>
      <c r="AS1227" s="64" t="e">
        <f>(AS1221/(N_1*AS$27))*SQRT('Valve Sizing'!$G$6/AS1225)</f>
        <v>#NUM!</v>
      </c>
      <c r="AT1227" s="41"/>
      <c r="AU1227" s="73"/>
    </row>
    <row r="1228" spans="15:47" ht="13" x14ac:dyDescent="0.3">
      <c r="O1228" s="1" t="s">
        <v>72</v>
      </c>
      <c r="P1228" s="17">
        <v>7</v>
      </c>
      <c r="Q1228" s="65"/>
      <c r="R1228" s="53">
        <f>(R1221/(N_1*F_P_h))*SQRT('Valve Sizing'!$G$6/R1226)</f>
        <v>0.99315452686544636</v>
      </c>
      <c r="S1228" s="56"/>
      <c r="T1228" s="72"/>
      <c r="U1228" s="85">
        <f>(U1221/(N_1*U$27))*SQRT('Valve Sizing'!$G$6/U1226)</f>
        <v>12.13903494972687</v>
      </c>
      <c r="V1228" s="44"/>
      <c r="W1228" s="72"/>
      <c r="X1228" s="85">
        <f>(X1221/(N_1*X$27))*SQRT('Valve Sizing'!$G$6/X1226)</f>
        <v>29.832448030934582</v>
      </c>
      <c r="Y1228" s="44"/>
      <c r="Z1228" s="72"/>
      <c r="AA1228" s="85">
        <f>(AA1221/(N_1*AA$27))*SQRT('Valve Sizing'!$G$6/AA1226)</f>
        <v>60.590178168169395</v>
      </c>
      <c r="AB1228" s="44"/>
      <c r="AC1228" s="72"/>
      <c r="AD1228" s="85">
        <f>(AD1221/(N_1*AD$27))*SQRT('Valve Sizing'!$G$6/AD1226)</f>
        <v>113.99653086668599</v>
      </c>
      <c r="AE1228" s="44"/>
      <c r="AF1228" s="72"/>
      <c r="AG1228" s="85">
        <f>(AG1221/(N_1*AG$27))*SQRT('Valve Sizing'!$G$6/AG1226)</f>
        <v>231.14988241869656</v>
      </c>
      <c r="AH1228" s="44"/>
      <c r="AI1228" s="72"/>
      <c r="AJ1228" s="85">
        <f>(AJ1221/(N_1*AJ$27))*SQRT('Valve Sizing'!$G$6/AJ1226)</f>
        <v>823.30670185657743</v>
      </c>
      <c r="AK1228" s="44"/>
      <c r="AL1228" s="72"/>
      <c r="AM1228" s="85" t="e">
        <f>(AM1221/(N_1*AM$27))*SQRT('Valve Sizing'!$G$6/AM1226)</f>
        <v>#NUM!</v>
      </c>
      <c r="AN1228" s="44"/>
      <c r="AO1228" s="72"/>
      <c r="AP1228" s="85" t="e">
        <f>(AP1221/(N_1*AP$27))*SQRT('Valve Sizing'!$G$6/AP1226)</f>
        <v>#NUM!</v>
      </c>
      <c r="AQ1228" s="44"/>
      <c r="AR1228" s="72"/>
      <c r="AS1228" s="85" t="e">
        <f>(AS1221/(N_1*AS$27))*SQRT('Valve Sizing'!$G$6/AS1226)</f>
        <v>#NUM!</v>
      </c>
      <c r="AT1228" s="44"/>
      <c r="AU1228" s="72"/>
    </row>
    <row r="1229" spans="15:47" x14ac:dyDescent="0.25">
      <c r="O1229" s="1" t="s">
        <v>246</v>
      </c>
      <c r="P1229" s="18"/>
      <c r="Q1229" s="65"/>
      <c r="R1229" s="53">
        <f>IF(R1225&lt;R1226,R1227,R1228)</f>
        <v>1.1957948878645186</v>
      </c>
      <c r="S1229" s="49"/>
      <c r="T1229" s="72"/>
      <c r="U1229" s="64">
        <f>IF(U1225&lt;U1226,U1227,U1228)</f>
        <v>14.646828767157094</v>
      </c>
      <c r="V1229" s="44"/>
      <c r="W1229" s="72"/>
      <c r="X1229" s="64">
        <f>IF(X1225&lt;X1226,X1227,X1228)</f>
        <v>35.988584550007346</v>
      </c>
      <c r="Y1229" s="44"/>
      <c r="Z1229" s="72"/>
      <c r="AA1229" s="64">
        <f>IF(AA1225&lt;AA1226,AA1227,AA1228)</f>
        <v>74.438182155177174</v>
      </c>
      <c r="AB1229" s="44"/>
      <c r="AC1229" s="72"/>
      <c r="AD1229" s="64">
        <f>IF(AD1225&lt;AD1226,AD1227,AD1228)</f>
        <v>156.94433023998204</v>
      </c>
      <c r="AE1229" s="44"/>
      <c r="AF1229" s="72"/>
      <c r="AG1229" s="64" t="e">
        <f>IF(AG1225&lt;AG1226,AG1227,AG1228)</f>
        <v>#NUM!</v>
      </c>
      <c r="AH1229" s="44"/>
      <c r="AI1229" s="72"/>
      <c r="AJ1229" s="64" t="e">
        <f>IF(AJ1225&lt;AJ1226,AJ1227,AJ1228)</f>
        <v>#NUM!</v>
      </c>
      <c r="AK1229" s="44"/>
      <c r="AL1229" s="72"/>
      <c r="AM1229" s="64" t="e">
        <f>IF(AM1225&lt;AM1226,AM1227,AM1228)</f>
        <v>#NUM!</v>
      </c>
      <c r="AN1229" s="44"/>
      <c r="AO1229" s="72"/>
      <c r="AP1229" s="64" t="e">
        <f>IF(AP1225&lt;AP1226,AP1227,AP1228)</f>
        <v>#NUM!</v>
      </c>
      <c r="AQ1229" s="44"/>
      <c r="AR1229" s="72"/>
      <c r="AS1229" s="64" t="e">
        <f>IF(AS1225&lt;AS1226,AS1227,AS1228)</f>
        <v>#NUM!</v>
      </c>
      <c r="AT1229" s="44"/>
      <c r="AU1229" s="72"/>
    </row>
    <row r="1230" spans="15:47" ht="13" x14ac:dyDescent="0.3">
      <c r="O1230" s="7" t="s">
        <v>264</v>
      </c>
      <c r="Q1230" s="61"/>
      <c r="R1230" s="53"/>
      <c r="S1230" s="69">
        <f>IFERROR(ABS(C_h-R1229),Q_max*10)</f>
        <v>3.8042051121354814</v>
      </c>
      <c r="T1230" s="76">
        <f>R1221</f>
        <v>6.790606069193613</v>
      </c>
      <c r="U1230" s="61"/>
      <c r="V1230" s="69">
        <f>IFERROR(ABS(U$23-U1229),Q_max*10)</f>
        <v>2.6468287671570945</v>
      </c>
      <c r="W1230" s="75">
        <f>U1221</f>
        <v>82.761675183875994</v>
      </c>
      <c r="X1230" s="61"/>
      <c r="Y1230" s="69">
        <f>IFERROR(ABS(X$23-X1229),Q_max*10)</f>
        <v>12.988584550007346</v>
      </c>
      <c r="Z1230" s="75">
        <f>X1221</f>
        <v>198.65987850591426</v>
      </c>
      <c r="AA1230" s="61"/>
      <c r="AB1230" s="69">
        <f>IFERROR(ABS(AA$23-AA1229),Q_max*10)</f>
        <v>35.438182155177174</v>
      </c>
      <c r="AC1230" s="75">
        <f>AA1221</f>
        <v>379.31451456398077</v>
      </c>
      <c r="AD1230" s="61"/>
      <c r="AE1230" s="69">
        <f>IFERROR(ABS(AD$23-AD1229),Q_max*10)</f>
        <v>95.944330239982037</v>
      </c>
      <c r="AF1230" s="75">
        <f>AD1221</f>
        <v>623.83272113918792</v>
      </c>
      <c r="AG1230" s="61"/>
      <c r="AH1230" s="69">
        <f>IFERROR(ABS(AG$23-AG1229),Q_max*10)</f>
        <v>5500</v>
      </c>
      <c r="AI1230" s="75">
        <f>AG1221</f>
        <v>928.80191432979097</v>
      </c>
      <c r="AJ1230" s="61"/>
      <c r="AK1230" s="69">
        <f>IFERROR(ABS(AJ$23-AJ1229),Q_max*10)</f>
        <v>5500</v>
      </c>
      <c r="AL1230" s="75">
        <f>AJ1221</f>
        <v>1239.4897552361738</v>
      </c>
      <c r="AM1230" s="61"/>
      <c r="AN1230" s="69">
        <f>IFERROR(ABS(AM$23-AM1229),Q_max*10)</f>
        <v>5500</v>
      </c>
      <c r="AO1230" s="75">
        <f>AM1221</f>
        <v>1512.4130539567223</v>
      </c>
      <c r="AP1230" s="61"/>
      <c r="AQ1230" s="69">
        <f>IFERROR(ABS(AP$23-AP1229),Q_max*10)</f>
        <v>5500</v>
      </c>
      <c r="AR1230" s="75">
        <f>AP1221</f>
        <v>1755.8646033400848</v>
      </c>
      <c r="AS1230" s="61"/>
      <c r="AT1230" s="69">
        <f>IFERROR(ABS(AS$23-AS1229),Q_max*10)</f>
        <v>5500</v>
      </c>
      <c r="AU1230" s="75">
        <f>AS1221</f>
        <v>1998.3377064120136</v>
      </c>
    </row>
    <row r="1231" spans="15:47" ht="14.5" x14ac:dyDescent="0.35">
      <c r="O1231" s="6"/>
      <c r="P1231" s="6"/>
      <c r="Q1231" s="60"/>
      <c r="R1231" s="67"/>
      <c r="S1231" s="56"/>
      <c r="T1231" s="72"/>
      <c r="V1231" s="11"/>
      <c r="W1231" s="38"/>
      <c r="Y1231" s="11"/>
      <c r="Z1231" s="38"/>
      <c r="AB1231" s="11"/>
      <c r="AC1231" s="38"/>
      <c r="AE1231" s="11"/>
      <c r="AF1231" s="38"/>
      <c r="AH1231" s="11"/>
      <c r="AI1231" s="38"/>
      <c r="AK1231" s="11"/>
      <c r="AL1231" s="38"/>
      <c r="AN1231" s="11"/>
      <c r="AO1231" s="38"/>
      <c r="AQ1231" s="11"/>
      <c r="AR1231" s="38"/>
      <c r="AT1231" s="11"/>
      <c r="AU1231" s="38"/>
    </row>
    <row r="1232" spans="15:47" ht="14" x14ac:dyDescent="0.3">
      <c r="O1232" s="8" t="s">
        <v>235</v>
      </c>
      <c r="P1232" s="6"/>
      <c r="Q1232" s="60"/>
      <c r="R1232" s="53">
        <f>R1221*1.02</f>
        <v>6.9264181905774853</v>
      </c>
      <c r="S1232" s="58" t="s">
        <v>238</v>
      </c>
      <c r="T1232" s="73" t="s">
        <v>241</v>
      </c>
      <c r="U1232" s="84">
        <f>U1221*1.01</f>
        <v>83.589291935714755</v>
      </c>
      <c r="V1232" s="58" t="s">
        <v>238</v>
      </c>
      <c r="W1232" s="73" t="s">
        <v>241</v>
      </c>
      <c r="X1232" s="84">
        <f>X1221*1.01</f>
        <v>200.64647729097342</v>
      </c>
      <c r="Y1232" s="58" t="s">
        <v>238</v>
      </c>
      <c r="Z1232" s="73" t="s">
        <v>241</v>
      </c>
      <c r="AA1232" s="84">
        <f>AA1221*1.01</f>
        <v>383.10765970962058</v>
      </c>
      <c r="AB1232" s="58" t="s">
        <v>238</v>
      </c>
      <c r="AC1232" s="73" t="s">
        <v>241</v>
      </c>
      <c r="AD1232" s="84">
        <f>AD1221*1.01</f>
        <v>630.07104835057976</v>
      </c>
      <c r="AE1232" s="58" t="s">
        <v>238</v>
      </c>
      <c r="AF1232" s="73" t="s">
        <v>241</v>
      </c>
      <c r="AG1232" s="84">
        <f>AG1221*1.01</f>
        <v>938.08993347308888</v>
      </c>
      <c r="AH1232" s="58" t="s">
        <v>238</v>
      </c>
      <c r="AI1232" s="73" t="s">
        <v>241</v>
      </c>
      <c r="AJ1232" s="84">
        <f>AJ1221*1.01</f>
        <v>1251.8846527885355</v>
      </c>
      <c r="AK1232" s="58" t="s">
        <v>238</v>
      </c>
      <c r="AL1232" s="73" t="s">
        <v>241</v>
      </c>
      <c r="AM1232" s="84">
        <f>AM1221*1.01</f>
        <v>1527.5371844962895</v>
      </c>
      <c r="AN1232" s="58" t="s">
        <v>238</v>
      </c>
      <c r="AO1232" s="73" t="s">
        <v>241</v>
      </c>
      <c r="AP1232" s="84">
        <f>AP1221*1.01</f>
        <v>1773.4232493734858</v>
      </c>
      <c r="AQ1232" s="58" t="s">
        <v>238</v>
      </c>
      <c r="AR1232" s="73" t="s">
        <v>241</v>
      </c>
      <c r="AS1232" s="84">
        <f>AS1221*1.01</f>
        <v>2018.3210834761337</v>
      </c>
      <c r="AT1232" s="58" t="s">
        <v>238</v>
      </c>
      <c r="AU1232" s="73" t="s">
        <v>241</v>
      </c>
    </row>
    <row r="1233" spans="15:47" ht="13" x14ac:dyDescent="0.25">
      <c r="O1233" s="6"/>
      <c r="P1233" s="6"/>
      <c r="Q1233" s="60"/>
      <c r="R1233" s="70"/>
      <c r="S1233" s="63" t="s">
        <v>250</v>
      </c>
      <c r="T1233" s="71" t="s">
        <v>242</v>
      </c>
      <c r="U1233" s="61"/>
      <c r="V1233" s="63" t="s">
        <v>250</v>
      </c>
      <c r="W1233" s="71" t="s">
        <v>242</v>
      </c>
      <c r="X1233" s="61"/>
      <c r="Y1233" s="63" t="s">
        <v>250</v>
      </c>
      <c r="Z1233" s="71" t="s">
        <v>242</v>
      </c>
      <c r="AA1233" s="61"/>
      <c r="AB1233" s="63" t="s">
        <v>250</v>
      </c>
      <c r="AC1233" s="71" t="s">
        <v>242</v>
      </c>
      <c r="AD1233" s="61"/>
      <c r="AE1233" s="63" t="s">
        <v>250</v>
      </c>
      <c r="AF1233" s="71" t="s">
        <v>242</v>
      </c>
      <c r="AG1233" s="61"/>
      <c r="AH1233" s="63" t="s">
        <v>250</v>
      </c>
      <c r="AI1233" s="71" t="s">
        <v>242</v>
      </c>
      <c r="AJ1233" s="61"/>
      <c r="AK1233" s="63" t="s">
        <v>250</v>
      </c>
      <c r="AL1233" s="71" t="s">
        <v>242</v>
      </c>
      <c r="AM1233" s="61"/>
      <c r="AN1233" s="63" t="s">
        <v>250</v>
      </c>
      <c r="AO1233" s="71" t="s">
        <v>242</v>
      </c>
      <c r="AP1233" s="61"/>
      <c r="AQ1233" s="63" t="s">
        <v>250</v>
      </c>
      <c r="AR1233" s="71" t="s">
        <v>242</v>
      </c>
      <c r="AS1233" s="61"/>
      <c r="AT1233" s="63" t="s">
        <v>250</v>
      </c>
      <c r="AU1233" s="71" t="s">
        <v>242</v>
      </c>
    </row>
    <row r="1234" spans="15:47" ht="13" x14ac:dyDescent="0.3">
      <c r="O1234" s="6" t="s">
        <v>231</v>
      </c>
      <c r="P1234" s="6"/>
      <c r="Q1234" s="60"/>
      <c r="R1234" s="85">
        <f>P_1_minQ-(R1232^2*R_up)+dpup_minQ</f>
        <v>56.91452295613135</v>
      </c>
      <c r="S1234" s="56"/>
      <c r="T1234" s="72"/>
      <c r="U1234" s="53">
        <f>P_1_minQ-(U1232^2*R_up)+dpup_minQ</f>
        <v>56.680169884285235</v>
      </c>
      <c r="V1234" s="44"/>
      <c r="W1234" s="72"/>
      <c r="X1234" s="53">
        <f>P_1_minQ-(X1232^2*R_up)+dpup_minQ</f>
        <v>55.556500883171999</v>
      </c>
      <c r="Y1234" s="44"/>
      <c r="Z1234" s="72"/>
      <c r="AA1234" s="53">
        <f>P_1_minQ-(AA1232^2*R_up)+dpup_minQ</f>
        <v>51.959321886923931</v>
      </c>
      <c r="AB1234" s="44"/>
      <c r="AC1234" s="72"/>
      <c r="AD1234" s="53">
        <f>P_1_minQ-(AD1232^2*R_up)+dpup_minQ</f>
        <v>43.508864371171946</v>
      </c>
      <c r="AE1234" s="44"/>
      <c r="AF1234" s="72"/>
      <c r="AG1234" s="53">
        <f>P_1_minQ-(AG1232^2*R_up)+dpup_minQ</f>
        <v>27.196024205216336</v>
      </c>
      <c r="AH1234" s="44"/>
      <c r="AI1234" s="72"/>
      <c r="AJ1234" s="53">
        <f>P_1_minQ-(AJ1232^2*R_up)+dpup_minQ</f>
        <v>3.9875655559786507</v>
      </c>
      <c r="AK1234" s="44"/>
      <c r="AL1234" s="72"/>
      <c r="AM1234" s="53">
        <f>P_1_minQ-(AM1232^2*R_up)+dpup_minQ</f>
        <v>-21.887296522082099</v>
      </c>
      <c r="AN1234" s="44"/>
      <c r="AO1234" s="72"/>
      <c r="AP1234" s="53">
        <f>P_1_minQ-(AP1232^2*R_up)+dpup_minQ</f>
        <v>-49.298987552124721</v>
      </c>
      <c r="AQ1234" s="44"/>
      <c r="AR1234" s="72"/>
      <c r="AS1234" s="53">
        <f>P_1_minQ-(AS1232^2*R_up)+dpup_minQ</f>
        <v>-80.659675650262557</v>
      </c>
      <c r="AT1234" s="44"/>
      <c r="AU1234" s="72"/>
    </row>
    <row r="1235" spans="15:47" ht="13" x14ac:dyDescent="0.3">
      <c r="O1235" s="6" t="s">
        <v>233</v>
      </c>
      <c r="P1235" s="6"/>
      <c r="Q1235" s="60"/>
      <c r="R1235" s="85">
        <f>P_2_minQ+(R1232^2*R_dn)-dpdn_minQ</f>
        <v>24.657095408773731</v>
      </c>
      <c r="S1235" s="66"/>
      <c r="T1235" s="74"/>
      <c r="U1235" s="53">
        <f>P_2_minQ+(U1232^2*R_dn)-dpdn_minQ</f>
        <v>24.703966023142954</v>
      </c>
      <c r="V1235" s="45"/>
      <c r="W1235" s="74"/>
      <c r="X1235" s="53">
        <f>P_2_minQ+(X1232^2*R_dn)-dpdn_minQ</f>
        <v>24.928699823365601</v>
      </c>
      <c r="Y1235" s="45"/>
      <c r="Z1235" s="74"/>
      <c r="AA1235" s="53">
        <f>P_2_minQ+(AA1232^2*R_dn)-dpdn_minQ</f>
        <v>25.648135622615214</v>
      </c>
      <c r="AB1235" s="45"/>
      <c r="AC1235" s="74"/>
      <c r="AD1235" s="53">
        <f>P_2_minQ+(AD1232^2*R_dn)-dpdn_minQ</f>
        <v>27.338227125765613</v>
      </c>
      <c r="AE1235" s="45"/>
      <c r="AF1235" s="74"/>
      <c r="AG1235" s="53">
        <f>P_2_minQ+(AG1232^2*R_dn)-dpdn_minQ</f>
        <v>30.600795158956732</v>
      </c>
      <c r="AH1235" s="45"/>
      <c r="AI1235" s="74"/>
      <c r="AJ1235" s="53">
        <f>P_2_minQ+(AJ1232^2*R_dn)-dpdn_minQ</f>
        <v>35.242486888804272</v>
      </c>
      <c r="AK1235" s="45"/>
      <c r="AL1235" s="74"/>
      <c r="AM1235" s="53">
        <f>P_2_minQ+(AM1232^2*R_dn)-dpdn_minQ</f>
        <v>40.417459304416425</v>
      </c>
      <c r="AN1235" s="45"/>
      <c r="AO1235" s="74"/>
      <c r="AP1235" s="53">
        <f>P_2_minQ+(AP1232^2*R_dn)-dpdn_minQ</f>
        <v>45.899797510424946</v>
      </c>
      <c r="AQ1235" s="45"/>
      <c r="AR1235" s="74"/>
      <c r="AS1235" s="53">
        <f>P_2_minQ+(AS1232^2*R_dn)-dpdn_minQ</f>
        <v>52.171935130052518</v>
      </c>
      <c r="AT1235" s="45"/>
      <c r="AU1235" s="74"/>
    </row>
    <row r="1236" spans="15:47" x14ac:dyDescent="0.25">
      <c r="O1236" s="6" t="s">
        <v>243</v>
      </c>
      <c r="Q1236" s="60"/>
      <c r="R1236" s="53">
        <f>R1234-R1235</f>
        <v>32.257427547357622</v>
      </c>
      <c r="S1236" s="56"/>
      <c r="T1236" s="72"/>
      <c r="U1236" s="64">
        <f>U1234-U1235</f>
        <v>31.976203861142281</v>
      </c>
      <c r="V1236" s="44"/>
      <c r="W1236" s="72"/>
      <c r="X1236" s="64">
        <f>X1234-X1235</f>
        <v>30.627801059806398</v>
      </c>
      <c r="Y1236" s="44"/>
      <c r="Z1236" s="72"/>
      <c r="AA1236" s="64">
        <f>AA1234-AA1235</f>
        <v>26.311186264308716</v>
      </c>
      <c r="AB1236" s="44"/>
      <c r="AC1236" s="72"/>
      <c r="AD1236" s="64">
        <f>AD1234-AD1235</f>
        <v>16.170637245406333</v>
      </c>
      <c r="AE1236" s="44"/>
      <c r="AF1236" s="72"/>
      <c r="AG1236" s="64">
        <f>AG1234-AG1235</f>
        <v>-3.4047709537403961</v>
      </c>
      <c r="AH1236" s="44"/>
      <c r="AI1236" s="72"/>
      <c r="AJ1236" s="64">
        <f>AJ1234-AJ1235</f>
        <v>-31.254921332825621</v>
      </c>
      <c r="AK1236" s="44"/>
      <c r="AL1236" s="72"/>
      <c r="AM1236" s="64">
        <f>AM1234-AM1235</f>
        <v>-62.304755826498521</v>
      </c>
      <c r="AN1236" s="44"/>
      <c r="AO1236" s="72"/>
      <c r="AP1236" s="64">
        <f>AP1234-AP1235</f>
        <v>-95.198785062549661</v>
      </c>
      <c r="AQ1236" s="44"/>
      <c r="AR1236" s="72"/>
      <c r="AS1236" s="64">
        <f>AS1234-AS1235</f>
        <v>-132.83161078031509</v>
      </c>
      <c r="AT1236" s="44"/>
      <c r="AU1236" s="72"/>
    </row>
    <row r="1237" spans="15:47" ht="13" x14ac:dyDescent="0.3">
      <c r="O1237" s="6" t="s">
        <v>75</v>
      </c>
      <c r="P1237" s="6">
        <v>3</v>
      </c>
      <c r="Q1237" s="65"/>
      <c r="R1237" s="85">
        <f>(F_LP_h/F_P_h)^2*(R1234-('Valve Sizing'!$V$4*'Valve Sizing'!$G$7))</f>
        <v>46.763821598998234</v>
      </c>
      <c r="S1237" s="58"/>
      <c r="T1237" s="73"/>
      <c r="U1237" s="53">
        <f>(U$29/U$27)^2*(U1234-('Valve Sizing'!$V$4*'Valve Sizing'!$G$7))</f>
        <v>46.557071960259236</v>
      </c>
      <c r="V1237" s="41"/>
      <c r="W1237" s="73"/>
      <c r="X1237" s="53">
        <f>(X$29/X$27)^2*(X1234-('Valve Sizing'!$V$4*'Valve Sizing'!$G$7))</f>
        <v>44.597666510760817</v>
      </c>
      <c r="Y1237" s="41"/>
      <c r="Z1237" s="73"/>
      <c r="AA1237" s="53">
        <f>(AA$29/AA$27)^2*(AA1234-('Valve Sizing'!$V$4*'Valve Sizing'!$G$7))</f>
        <v>39.813944233811206</v>
      </c>
      <c r="AB1237" s="41"/>
      <c r="AC1237" s="73"/>
      <c r="AD1237" s="53">
        <f>(AD$29/AD$27)^2*(AD1234-('Valve Sizing'!$V$4*'Valve Sizing'!$G$7))</f>
        <v>31.060681035719334</v>
      </c>
      <c r="AE1237" s="41"/>
      <c r="AF1237" s="73"/>
      <c r="AG1237" s="53">
        <f>(AG$29/AG$27)^2*(AG1234-('Valve Sizing'!$V$4*'Valve Sizing'!$G$7))</f>
        <v>17.232018405733438</v>
      </c>
      <c r="AH1237" s="41"/>
      <c r="AI1237" s="73"/>
      <c r="AJ1237" s="53">
        <f>(AJ$29/AJ$27)^2*(AJ1234-('Valve Sizing'!$V$4*'Valve Sizing'!$G$7))</f>
        <v>2.0517520411401486</v>
      </c>
      <c r="AK1237" s="41"/>
      <c r="AL1237" s="73"/>
      <c r="AM1237" s="53">
        <f>(AM$29/AM$27)^2*(AM1234-('Valve Sizing'!$V$4*'Valve Sizing'!$G$7))</f>
        <v>-10.683017148071102</v>
      </c>
      <c r="AN1237" s="41"/>
      <c r="AO1237" s="73"/>
      <c r="AP1237" s="53">
        <f>(AP$29/AP$27)^2*(AP1234-('Valve Sizing'!$V$4*'Valve Sizing'!$G$7))</f>
        <v>-19.62836161143257</v>
      </c>
      <c r="AQ1237" s="41"/>
      <c r="AR1237" s="73"/>
      <c r="AS1237" s="53">
        <f>(AS$29/AS$27)^2*(AS1234-('Valve Sizing'!$V$4*'Valve Sizing'!$G$7))</f>
        <v>-30.504918092300301</v>
      </c>
      <c r="AT1237" s="41"/>
      <c r="AU1237" s="73"/>
    </row>
    <row r="1238" spans="15:47" ht="13" x14ac:dyDescent="0.25">
      <c r="O1238" s="1" t="s">
        <v>69</v>
      </c>
      <c r="P1238" s="17">
        <v>7</v>
      </c>
      <c r="Q1238" s="65"/>
      <c r="R1238" s="53">
        <f>(R1232/(N_1*F_P_h))*SQRT('Valve Sizing'!$G$6/R1236)</f>
        <v>1.2197122129970595</v>
      </c>
      <c r="S1238" s="58"/>
      <c r="T1238" s="73"/>
      <c r="U1238" s="64">
        <f>(U1232/(N_1*U$27))*SQRT('Valve Sizing'!$G$6/U1236)</f>
        <v>14.794587639718365</v>
      </c>
      <c r="V1238" s="41"/>
      <c r="W1238" s="73"/>
      <c r="X1238" s="64">
        <f>(X1232/(N_1*X$27))*SQRT('Valve Sizing'!$G$6/X1236)</f>
        <v>36.367541929860387</v>
      </c>
      <c r="Y1238" s="41"/>
      <c r="Z1238" s="73"/>
      <c r="AA1238" s="64">
        <f>(AA1232/(N_1*AA$27))*SQRT('Valve Sizing'!$G$6/AA1236)</f>
        <v>75.349827674275147</v>
      </c>
      <c r="AB1238" s="41"/>
      <c r="AC1238" s="73"/>
      <c r="AD1238" s="64">
        <f>(AD1232/(N_1*AD$27))*SQRT('Valve Sizing'!$G$6/AD1236)</f>
        <v>160.05999628673322</v>
      </c>
      <c r="AE1238" s="41"/>
      <c r="AF1238" s="73"/>
      <c r="AG1238" s="64" t="e">
        <f>(AG1232/(N_1*AG$27))*SQRT('Valve Sizing'!$G$6/AG1236)</f>
        <v>#NUM!</v>
      </c>
      <c r="AH1238" s="41"/>
      <c r="AI1238" s="73"/>
      <c r="AJ1238" s="64" t="e">
        <f>(AJ1232/(N_1*AJ$27))*SQRT('Valve Sizing'!$G$6/AJ1236)</f>
        <v>#NUM!</v>
      </c>
      <c r="AK1238" s="41"/>
      <c r="AL1238" s="73"/>
      <c r="AM1238" s="64" t="e">
        <f>(AM1232/(N_1*AM$27))*SQRT('Valve Sizing'!$G$6/AM1236)</f>
        <v>#NUM!</v>
      </c>
      <c r="AN1238" s="41"/>
      <c r="AO1238" s="73"/>
      <c r="AP1238" s="64" t="e">
        <f>(AP1232/(N_1*AP$27))*SQRT('Valve Sizing'!$G$6/AP1236)</f>
        <v>#NUM!</v>
      </c>
      <c r="AQ1238" s="41"/>
      <c r="AR1238" s="73"/>
      <c r="AS1238" s="64" t="e">
        <f>(AS1232/(N_1*AS$27))*SQRT('Valve Sizing'!$G$6/AS1236)</f>
        <v>#NUM!</v>
      </c>
      <c r="AT1238" s="41"/>
      <c r="AU1238" s="73"/>
    </row>
    <row r="1239" spans="15:47" ht="13" x14ac:dyDescent="0.3">
      <c r="O1239" s="1" t="s">
        <v>72</v>
      </c>
      <c r="P1239" s="17">
        <v>7</v>
      </c>
      <c r="Q1239" s="65"/>
      <c r="R1239" s="53">
        <f>(R1232/(N_1*F_P_h))*SQRT('Valve Sizing'!$G$6/R1237)</f>
        <v>1.0130181816829225</v>
      </c>
      <c r="S1239" s="56"/>
      <c r="T1239" s="72"/>
      <c r="U1239" s="85">
        <f>(U1232/(N_1*U$27))*SQRT('Valve Sizing'!$G$6/U1237)</f>
        <v>12.260932099194449</v>
      </c>
      <c r="V1239" s="44"/>
      <c r="W1239" s="72"/>
      <c r="X1239" s="85">
        <f>(X1232/(N_1*X$27))*SQRT('Valve Sizing'!$G$6/X1237)</f>
        <v>30.138094419850304</v>
      </c>
      <c r="Y1239" s="44"/>
      <c r="Z1239" s="72"/>
      <c r="AA1239" s="85">
        <f>(AA1232/(N_1*AA$27))*SQRT('Valve Sizing'!$G$6/AA1237)</f>
        <v>61.254059500281969</v>
      </c>
      <c r="AB1239" s="44"/>
      <c r="AC1239" s="72"/>
      <c r="AD1239" s="85">
        <f>(AD1232/(N_1*AD$27))*SQRT('Valve Sizing'!$G$6/AD1237)</f>
        <v>115.48906968663331</v>
      </c>
      <c r="AE1239" s="44"/>
      <c r="AF1239" s="72"/>
      <c r="AG1239" s="85">
        <f>(AG1232/(N_1*AG$27))*SQRT('Valve Sizing'!$G$6/AG1237)</f>
        <v>236.00241948093654</v>
      </c>
      <c r="AH1239" s="44"/>
      <c r="AI1239" s="72"/>
      <c r="AJ1239" s="85">
        <f>(AJ1232/(N_1*AJ$27))*SQRT('Valve Sizing'!$G$6/AJ1237)</f>
        <v>945.90403153811121</v>
      </c>
      <c r="AK1239" s="44"/>
      <c r="AL1239" s="72"/>
      <c r="AM1239" s="85" t="e">
        <f>(AM1232/(N_1*AM$27))*SQRT('Valve Sizing'!$G$6/AM1237)</f>
        <v>#NUM!</v>
      </c>
      <c r="AN1239" s="44"/>
      <c r="AO1239" s="72"/>
      <c r="AP1239" s="85" t="e">
        <f>(AP1232/(N_1*AP$27))*SQRT('Valve Sizing'!$G$6/AP1237)</f>
        <v>#NUM!</v>
      </c>
      <c r="AQ1239" s="44"/>
      <c r="AR1239" s="72"/>
      <c r="AS1239" s="85" t="e">
        <f>(AS1232/(N_1*AS$27))*SQRT('Valve Sizing'!$G$6/AS1237)</f>
        <v>#NUM!</v>
      </c>
      <c r="AT1239" s="44"/>
      <c r="AU1239" s="72"/>
    </row>
    <row r="1240" spans="15:47" x14ac:dyDescent="0.25">
      <c r="O1240" s="1" t="s">
        <v>246</v>
      </c>
      <c r="P1240" s="18"/>
      <c r="Q1240" s="65"/>
      <c r="R1240" s="53">
        <f>IF(R1236&lt;R1237,R1238,R1239)</f>
        <v>1.2197122129970595</v>
      </c>
      <c r="S1240" s="49"/>
      <c r="T1240" s="72"/>
      <c r="U1240" s="64">
        <f>IF(U1236&lt;U1237,U1238,U1239)</f>
        <v>14.794587639718365</v>
      </c>
      <c r="V1240" s="44"/>
      <c r="W1240" s="72"/>
      <c r="X1240" s="64">
        <f>IF(X1236&lt;X1237,X1238,X1239)</f>
        <v>36.367541929860387</v>
      </c>
      <c r="Y1240" s="44"/>
      <c r="Z1240" s="72"/>
      <c r="AA1240" s="64">
        <f>IF(AA1236&lt;AA1237,AA1238,AA1239)</f>
        <v>75.349827674275147</v>
      </c>
      <c r="AB1240" s="44"/>
      <c r="AC1240" s="72"/>
      <c r="AD1240" s="64">
        <f>IF(AD1236&lt;AD1237,AD1238,AD1239)</f>
        <v>160.05999628673322</v>
      </c>
      <c r="AE1240" s="44"/>
      <c r="AF1240" s="72"/>
      <c r="AG1240" s="64" t="e">
        <f>IF(AG1236&lt;AG1237,AG1238,AG1239)</f>
        <v>#NUM!</v>
      </c>
      <c r="AH1240" s="44"/>
      <c r="AI1240" s="72"/>
      <c r="AJ1240" s="64" t="e">
        <f>IF(AJ1236&lt;AJ1237,AJ1238,AJ1239)</f>
        <v>#NUM!</v>
      </c>
      <c r="AK1240" s="44"/>
      <c r="AL1240" s="72"/>
      <c r="AM1240" s="64" t="e">
        <f>IF(AM1236&lt;AM1237,AM1238,AM1239)</f>
        <v>#NUM!</v>
      </c>
      <c r="AN1240" s="44"/>
      <c r="AO1240" s="72"/>
      <c r="AP1240" s="64" t="e">
        <f>IF(AP1236&lt;AP1237,AP1238,AP1239)</f>
        <v>#NUM!</v>
      </c>
      <c r="AQ1240" s="44"/>
      <c r="AR1240" s="72"/>
      <c r="AS1240" s="64" t="e">
        <f>IF(AS1236&lt;AS1237,AS1238,AS1239)</f>
        <v>#NUM!</v>
      </c>
      <c r="AT1240" s="44"/>
      <c r="AU1240" s="72"/>
    </row>
    <row r="1241" spans="15:47" ht="13" x14ac:dyDescent="0.3">
      <c r="O1241" s="7" t="s">
        <v>264</v>
      </c>
      <c r="Q1241" s="61"/>
      <c r="R1241" s="53"/>
      <c r="S1241" s="69">
        <f>IFERROR(ABS(C_h-R1240),Q_max*10)</f>
        <v>3.7802877870029405</v>
      </c>
      <c r="T1241" s="76">
        <f>R1232</f>
        <v>6.9264181905774853</v>
      </c>
      <c r="U1241" s="61"/>
      <c r="V1241" s="69">
        <f>IFERROR(ABS(U$23-U1240),Q_max*10)</f>
        <v>2.7945876397183653</v>
      </c>
      <c r="W1241" s="75">
        <f>U1232</f>
        <v>83.589291935714755</v>
      </c>
      <c r="X1241" s="61"/>
      <c r="Y1241" s="69">
        <f>IFERROR(ABS(X$23-X1240),Q_max*10)</f>
        <v>13.367541929860387</v>
      </c>
      <c r="Z1241" s="75">
        <f>X1232</f>
        <v>200.64647729097342</v>
      </c>
      <c r="AA1241" s="61"/>
      <c r="AB1241" s="69">
        <f>IFERROR(ABS(AA$23-AA1240),Q_max*10)</f>
        <v>36.349827674275147</v>
      </c>
      <c r="AC1241" s="75">
        <f>AA1232</f>
        <v>383.10765970962058</v>
      </c>
      <c r="AD1241" s="61"/>
      <c r="AE1241" s="69">
        <f>IFERROR(ABS(AD$23-AD1240),Q_max*10)</f>
        <v>99.059996286733224</v>
      </c>
      <c r="AF1241" s="75">
        <f>AD1232</f>
        <v>630.07104835057976</v>
      </c>
      <c r="AG1241" s="61"/>
      <c r="AH1241" s="69">
        <f>IFERROR(ABS(AG$23-AG1240),Q_max*10)</f>
        <v>5500</v>
      </c>
      <c r="AI1241" s="75">
        <f>AG1232</f>
        <v>938.08993347308888</v>
      </c>
      <c r="AJ1241" s="61"/>
      <c r="AK1241" s="69">
        <f>IFERROR(ABS(AJ$23-AJ1240),Q_max*10)</f>
        <v>5500</v>
      </c>
      <c r="AL1241" s="75">
        <f>AJ1232</f>
        <v>1251.8846527885355</v>
      </c>
      <c r="AM1241" s="61"/>
      <c r="AN1241" s="69">
        <f>IFERROR(ABS(AM$23-AM1240),Q_max*10)</f>
        <v>5500</v>
      </c>
      <c r="AO1241" s="75">
        <f>AM1232</f>
        <v>1527.5371844962895</v>
      </c>
      <c r="AP1241" s="61"/>
      <c r="AQ1241" s="69">
        <f>IFERROR(ABS(AP$23-AP1240),Q_max*10)</f>
        <v>5500</v>
      </c>
      <c r="AR1241" s="75">
        <f>AP1232</f>
        <v>1773.4232493734858</v>
      </c>
      <c r="AS1241" s="61"/>
      <c r="AT1241" s="69">
        <f>IFERROR(ABS(AS$23-AS1240),Q_max*10)</f>
        <v>5500</v>
      </c>
      <c r="AU1241" s="75">
        <f>AS1232</f>
        <v>2018.3210834761337</v>
      </c>
    </row>
    <row r="1242" spans="15:47" ht="14.5" x14ac:dyDescent="0.35">
      <c r="O1242" s="8"/>
      <c r="P1242" s="6"/>
      <c r="Q1242" s="60"/>
      <c r="R1242" s="67"/>
      <c r="S1242" s="56"/>
      <c r="T1242" s="72"/>
      <c r="V1242" s="11"/>
      <c r="W1242" s="38"/>
      <c r="Y1242" s="11"/>
      <c r="Z1242" s="38"/>
      <c r="AB1242" s="11"/>
      <c r="AC1242" s="38"/>
      <c r="AE1242" s="11"/>
      <c r="AF1242" s="38"/>
      <c r="AH1242" s="11"/>
      <c r="AI1242" s="38"/>
      <c r="AK1242" s="11"/>
      <c r="AL1242" s="38"/>
      <c r="AN1242" s="11"/>
      <c r="AO1242" s="38"/>
      <c r="AQ1242" s="11"/>
      <c r="AR1242" s="38"/>
      <c r="AT1242" s="11"/>
      <c r="AU1242" s="38"/>
    </row>
    <row r="1243" spans="15:47" ht="14" x14ac:dyDescent="0.3">
      <c r="O1243" s="8" t="s">
        <v>235</v>
      </c>
      <c r="P1243" s="6"/>
      <c r="Q1243" s="60"/>
      <c r="R1243" s="53">
        <f>R1232*1.02</f>
        <v>7.0649465543890351</v>
      </c>
      <c r="S1243" s="58" t="s">
        <v>238</v>
      </c>
      <c r="T1243" s="73" t="s">
        <v>241</v>
      </c>
      <c r="U1243" s="84">
        <f>U1232*1.01</f>
        <v>84.425184855071905</v>
      </c>
      <c r="V1243" s="58" t="s">
        <v>238</v>
      </c>
      <c r="W1243" s="73" t="s">
        <v>241</v>
      </c>
      <c r="X1243" s="84">
        <f>X1232*1.01</f>
        <v>202.65294206388316</v>
      </c>
      <c r="Y1243" s="58" t="s">
        <v>238</v>
      </c>
      <c r="Z1243" s="73" t="s">
        <v>241</v>
      </c>
      <c r="AA1243" s="84">
        <f>AA1232*1.01</f>
        <v>386.93873630671681</v>
      </c>
      <c r="AB1243" s="58" t="s">
        <v>238</v>
      </c>
      <c r="AC1243" s="73" t="s">
        <v>241</v>
      </c>
      <c r="AD1243" s="84">
        <f>AD1232*1.01</f>
        <v>636.37175883408554</v>
      </c>
      <c r="AE1243" s="58" t="s">
        <v>238</v>
      </c>
      <c r="AF1243" s="73" t="s">
        <v>241</v>
      </c>
      <c r="AG1243" s="84">
        <f>AG1232*1.01</f>
        <v>947.47083280781976</v>
      </c>
      <c r="AH1243" s="58" t="s">
        <v>238</v>
      </c>
      <c r="AI1243" s="73" t="s">
        <v>241</v>
      </c>
      <c r="AJ1243" s="84">
        <f>AJ1232*1.01</f>
        <v>1264.4034993164209</v>
      </c>
      <c r="AK1243" s="58" t="s">
        <v>238</v>
      </c>
      <c r="AL1243" s="73" t="s">
        <v>241</v>
      </c>
      <c r="AM1243" s="84">
        <f>AM1232*1.01</f>
        <v>1542.8125563412523</v>
      </c>
      <c r="AN1243" s="58" t="s">
        <v>238</v>
      </c>
      <c r="AO1243" s="73" t="s">
        <v>241</v>
      </c>
      <c r="AP1243" s="84">
        <f>AP1232*1.01</f>
        <v>1791.1574818672207</v>
      </c>
      <c r="AQ1243" s="58" t="s">
        <v>238</v>
      </c>
      <c r="AR1243" s="73" t="s">
        <v>241</v>
      </c>
      <c r="AS1243" s="84">
        <f>AS1232*1.01</f>
        <v>2038.5042943108951</v>
      </c>
      <c r="AT1243" s="58" t="s">
        <v>238</v>
      </c>
      <c r="AU1243" s="73" t="s">
        <v>241</v>
      </c>
    </row>
    <row r="1244" spans="15:47" ht="13" x14ac:dyDescent="0.25">
      <c r="O1244" s="6"/>
      <c r="P1244" s="6"/>
      <c r="Q1244" s="60"/>
      <c r="R1244" s="70"/>
      <c r="S1244" s="63" t="s">
        <v>250</v>
      </c>
      <c r="T1244" s="71" t="s">
        <v>242</v>
      </c>
      <c r="U1244" s="61"/>
      <c r="V1244" s="63" t="s">
        <v>250</v>
      </c>
      <c r="W1244" s="71" t="s">
        <v>242</v>
      </c>
      <c r="X1244" s="61"/>
      <c r="Y1244" s="63" t="s">
        <v>250</v>
      </c>
      <c r="Z1244" s="71" t="s">
        <v>242</v>
      </c>
      <c r="AA1244" s="61"/>
      <c r="AB1244" s="63" t="s">
        <v>250</v>
      </c>
      <c r="AC1244" s="71" t="s">
        <v>242</v>
      </c>
      <c r="AD1244" s="61"/>
      <c r="AE1244" s="63" t="s">
        <v>250</v>
      </c>
      <c r="AF1244" s="71" t="s">
        <v>242</v>
      </c>
      <c r="AG1244" s="61"/>
      <c r="AH1244" s="63" t="s">
        <v>250</v>
      </c>
      <c r="AI1244" s="71" t="s">
        <v>242</v>
      </c>
      <c r="AJ1244" s="61"/>
      <c r="AK1244" s="63" t="s">
        <v>250</v>
      </c>
      <c r="AL1244" s="71" t="s">
        <v>242</v>
      </c>
      <c r="AM1244" s="61"/>
      <c r="AN1244" s="63" t="s">
        <v>250</v>
      </c>
      <c r="AO1244" s="71" t="s">
        <v>242</v>
      </c>
      <c r="AP1244" s="61"/>
      <c r="AQ1244" s="63" t="s">
        <v>250</v>
      </c>
      <c r="AR1244" s="71" t="s">
        <v>242</v>
      </c>
      <c r="AS1244" s="61"/>
      <c r="AT1244" s="63" t="s">
        <v>250</v>
      </c>
      <c r="AU1244" s="71" t="s">
        <v>242</v>
      </c>
    </row>
    <row r="1245" spans="15:47" ht="13" x14ac:dyDescent="0.3">
      <c r="O1245" s="6" t="s">
        <v>231</v>
      </c>
      <c r="P1245" s="6"/>
      <c r="Q1245" s="60"/>
      <c r="R1245" s="85">
        <f>P_1_minQ-(R1243^2*R_up)+dpup_minQ</f>
        <v>56.914457498486442</v>
      </c>
      <c r="S1245" s="56"/>
      <c r="T1245" s="72"/>
      <c r="U1245" s="53">
        <f>P_1_minQ-(U1243^2*R_up)+dpup_minQ</f>
        <v>56.675426820742551</v>
      </c>
      <c r="V1245" s="44"/>
      <c r="W1245" s="72"/>
      <c r="X1245" s="53">
        <f>P_1_minQ-(X1243^2*R_up)+dpup_minQ</f>
        <v>55.529172072706935</v>
      </c>
      <c r="Y1245" s="44"/>
      <c r="Z1245" s="72"/>
      <c r="AA1245" s="53">
        <f>P_1_minQ-(AA1243^2*R_up)+dpup_minQ</f>
        <v>51.859689778634284</v>
      </c>
      <c r="AB1245" s="44"/>
      <c r="AC1245" s="72"/>
      <c r="AD1245" s="53">
        <f>P_1_minQ-(AD1243^2*R_up)+dpup_minQ</f>
        <v>43.239378066815682</v>
      </c>
      <c r="AE1245" s="44"/>
      <c r="AF1245" s="72"/>
      <c r="AG1245" s="53">
        <f>P_1_minQ-(AG1243^2*R_up)+dpup_minQ</f>
        <v>26.598649813524368</v>
      </c>
      <c r="AH1245" s="44"/>
      <c r="AI1245" s="72"/>
      <c r="AJ1245" s="53">
        <f>P_1_minQ-(AJ1243^2*R_up)+dpup_minQ</f>
        <v>2.9237011454369961</v>
      </c>
      <c r="AK1245" s="44"/>
      <c r="AL1245" s="72"/>
      <c r="AM1245" s="53">
        <f>P_1_minQ-(AM1243^2*R_up)+dpup_minQ</f>
        <v>-23.471245660392771</v>
      </c>
      <c r="AN1245" s="44"/>
      <c r="AO1245" s="72"/>
      <c r="AP1245" s="53">
        <f>P_1_minQ-(AP1243^2*R_up)+dpup_minQ</f>
        <v>-51.433911680139239</v>
      </c>
      <c r="AQ1245" s="44"/>
      <c r="AR1245" s="72"/>
      <c r="AS1245" s="53">
        <f>P_1_minQ-(AS1243^2*R_up)+dpup_minQ</f>
        <v>-83.424949609049662</v>
      </c>
      <c r="AT1245" s="44"/>
      <c r="AU1245" s="72"/>
    </row>
    <row r="1246" spans="15:47" ht="13" x14ac:dyDescent="0.3">
      <c r="O1246" s="6" t="s">
        <v>233</v>
      </c>
      <c r="P1246" s="6"/>
      <c r="Q1246" s="60"/>
      <c r="R1246" s="85">
        <f>P_2_minQ+(R1243^2*R_dn)-dpdn_minQ</f>
        <v>24.657108500302712</v>
      </c>
      <c r="S1246" s="66"/>
      <c r="T1246" s="74"/>
      <c r="U1246" s="53">
        <f>P_2_minQ+(U1243^2*R_dn)-dpdn_minQ</f>
        <v>24.704914635851491</v>
      </c>
      <c r="V1246" s="45"/>
      <c r="W1246" s="74"/>
      <c r="X1246" s="53">
        <f>P_2_minQ+(X1243^2*R_dn)-dpdn_minQ</f>
        <v>24.934165585458615</v>
      </c>
      <c r="Y1246" s="45"/>
      <c r="Z1246" s="74"/>
      <c r="AA1246" s="53">
        <f>P_2_minQ+(AA1243^2*R_dn)-dpdn_minQ</f>
        <v>25.668062044273146</v>
      </c>
      <c r="AB1246" s="45"/>
      <c r="AC1246" s="74"/>
      <c r="AD1246" s="53">
        <f>P_2_minQ+(AD1243^2*R_dn)-dpdn_minQ</f>
        <v>27.392124386636866</v>
      </c>
      <c r="AE1246" s="45"/>
      <c r="AF1246" s="74"/>
      <c r="AG1246" s="53">
        <f>P_2_minQ+(AG1243^2*R_dn)-dpdn_minQ</f>
        <v>30.720270037295126</v>
      </c>
      <c r="AH1246" s="45"/>
      <c r="AI1246" s="74"/>
      <c r="AJ1246" s="53">
        <f>P_2_minQ+(AJ1243^2*R_dn)-dpdn_minQ</f>
        <v>35.455259770912605</v>
      </c>
      <c r="AK1246" s="45"/>
      <c r="AL1246" s="74"/>
      <c r="AM1246" s="53">
        <f>P_2_minQ+(AM1243^2*R_dn)-dpdn_minQ</f>
        <v>40.73424913207856</v>
      </c>
      <c r="AN1246" s="45"/>
      <c r="AO1246" s="74"/>
      <c r="AP1246" s="53">
        <f>P_2_minQ+(AP1243^2*R_dn)-dpdn_minQ</f>
        <v>46.326782336027847</v>
      </c>
      <c r="AQ1246" s="45"/>
      <c r="AR1246" s="74"/>
      <c r="AS1246" s="53">
        <f>P_2_minQ+(AS1243^2*R_dn)-dpdn_minQ</f>
        <v>52.724989921809936</v>
      </c>
      <c r="AT1246" s="45"/>
      <c r="AU1246" s="74"/>
    </row>
    <row r="1247" spans="15:47" x14ac:dyDescent="0.25">
      <c r="O1247" s="6" t="s">
        <v>243</v>
      </c>
      <c r="Q1247" s="60"/>
      <c r="R1247" s="53">
        <f>R1245-R1246</f>
        <v>32.25734899818373</v>
      </c>
      <c r="S1247" s="56"/>
      <c r="T1247" s="72"/>
      <c r="U1247" s="64">
        <f>U1245-U1246</f>
        <v>31.97051218489106</v>
      </c>
      <c r="V1247" s="44"/>
      <c r="W1247" s="72"/>
      <c r="X1247" s="64">
        <f>X1245-X1246</f>
        <v>30.59500648724832</v>
      </c>
      <c r="Y1247" s="44"/>
      <c r="Z1247" s="72"/>
      <c r="AA1247" s="64">
        <f>AA1245-AA1246</f>
        <v>26.191627734361138</v>
      </c>
      <c r="AB1247" s="44"/>
      <c r="AC1247" s="72"/>
      <c r="AD1247" s="64">
        <f>AD1245-AD1246</f>
        <v>15.847253680178817</v>
      </c>
      <c r="AE1247" s="44"/>
      <c r="AF1247" s="72"/>
      <c r="AG1247" s="64">
        <f>AG1245-AG1246</f>
        <v>-4.1216202237707584</v>
      </c>
      <c r="AH1247" s="44"/>
      <c r="AI1247" s="72"/>
      <c r="AJ1247" s="64">
        <f>AJ1245-AJ1246</f>
        <v>-32.531558625475611</v>
      </c>
      <c r="AK1247" s="44"/>
      <c r="AL1247" s="72"/>
      <c r="AM1247" s="64">
        <f>AM1245-AM1246</f>
        <v>-64.205494792471328</v>
      </c>
      <c r="AN1247" s="44"/>
      <c r="AO1247" s="72"/>
      <c r="AP1247" s="64">
        <f>AP1245-AP1246</f>
        <v>-97.760694016167093</v>
      </c>
      <c r="AQ1247" s="44"/>
      <c r="AR1247" s="72"/>
      <c r="AS1247" s="64">
        <f>AS1245-AS1246</f>
        <v>-136.1499395308596</v>
      </c>
      <c r="AT1247" s="44"/>
      <c r="AU1247" s="72"/>
    </row>
    <row r="1248" spans="15:47" ht="13" x14ac:dyDescent="0.3">
      <c r="O1248" s="6" t="s">
        <v>75</v>
      </c>
      <c r="P1248" s="6">
        <v>3</v>
      </c>
      <c r="Q1248" s="65"/>
      <c r="R1248" s="85">
        <f>(F_LP_h/F_P_h)^2*(R1245-('Valve Sizing'!$V$4*'Valve Sizing'!$G$7))</f>
        <v>46.763767396632382</v>
      </c>
      <c r="S1248" s="58"/>
      <c r="T1248" s="73"/>
      <c r="U1248" s="53">
        <f>(U$29/U$27)^2*(U1245-('Valve Sizing'!$V$4*'Valve Sizing'!$G$7))</f>
        <v>46.553145525158548</v>
      </c>
      <c r="V1248" s="41"/>
      <c r="W1248" s="73"/>
      <c r="X1248" s="53">
        <f>(X$29/X$27)^2*(X1245-('Valve Sizing'!$V$4*'Valve Sizing'!$G$7))</f>
        <v>44.575553306348844</v>
      </c>
      <c r="Y1248" s="41"/>
      <c r="Z1248" s="73"/>
      <c r="AA1248" s="53">
        <f>(AA$29/AA$27)^2*(AA1245-('Valve Sizing'!$V$4*'Valve Sizing'!$G$7))</f>
        <v>39.736948817367391</v>
      </c>
      <c r="AB1248" s="41"/>
      <c r="AC1248" s="73"/>
      <c r="AD1248" s="53">
        <f>(AD$29/AD$27)^2*(AD1245-('Valve Sizing'!$V$4*'Valve Sizing'!$G$7))</f>
        <v>30.866330906611278</v>
      </c>
      <c r="AE1248" s="41"/>
      <c r="AF1248" s="73"/>
      <c r="AG1248" s="53">
        <f>(AG$29/AG$27)^2*(AG1245-('Valve Sizing'!$V$4*'Valve Sizing'!$G$7))</f>
        <v>16.847283042172542</v>
      </c>
      <c r="AH1248" s="41"/>
      <c r="AI1248" s="73"/>
      <c r="AJ1248" s="53">
        <f>(AJ$29/AJ$27)^2*(AJ1245-('Valve Sizing'!$V$4*'Valve Sizing'!$G$7))</f>
        <v>1.4364508084600045</v>
      </c>
      <c r="AK1248" s="41"/>
      <c r="AL1248" s="73"/>
      <c r="AM1248" s="53">
        <f>(AM$29/AM$27)^2*(AM1245-('Valve Sizing'!$V$4*'Valve Sizing'!$G$7))</f>
        <v>-11.44089269666765</v>
      </c>
      <c r="AN1248" s="41"/>
      <c r="AO1248" s="73"/>
      <c r="AP1248" s="53">
        <f>(AP$29/AP$27)^2*(AP1245-('Valve Sizing'!$V$4*'Valve Sizing'!$G$7))</f>
        <v>-20.470859946721838</v>
      </c>
      <c r="AQ1248" s="41"/>
      <c r="AR1248" s="73"/>
      <c r="AS1248" s="53">
        <f>(AS$29/AS$27)^2*(AS1245-('Valve Sizing'!$V$4*'Valve Sizing'!$G$7))</f>
        <v>-31.545050435073097</v>
      </c>
      <c r="AT1248" s="41"/>
      <c r="AU1248" s="73"/>
    </row>
    <row r="1249" spans="15:47" ht="13" x14ac:dyDescent="0.25">
      <c r="O1249" s="1" t="s">
        <v>69</v>
      </c>
      <c r="P1249" s="17">
        <v>7</v>
      </c>
      <c r="Q1249" s="65"/>
      <c r="R1249" s="53">
        <f>(R1243/(N_1*F_P_h))*SQRT('Valve Sizing'!$G$6/R1247)</f>
        <v>1.2441079720044614</v>
      </c>
      <c r="S1249" s="58"/>
      <c r="T1249" s="73"/>
      <c r="U1249" s="64">
        <f>(U1243/(N_1*U$27))*SQRT('Valve Sizing'!$G$6/U1247)</f>
        <v>14.943863558589342</v>
      </c>
      <c r="V1249" s="41"/>
      <c r="W1249" s="73"/>
      <c r="X1249" s="64">
        <f>(X1243/(N_1*X$27))*SQRT('Valve Sizing'!$G$6/X1247)</f>
        <v>36.750898043612438</v>
      </c>
      <c r="Y1249" s="41"/>
      <c r="Z1249" s="73"/>
      <c r="AA1249" s="64">
        <f>(AA1243/(N_1*AA$27))*SQRT('Valve Sizing'!$G$6/AA1247)</f>
        <v>76.276824941496017</v>
      </c>
      <c r="AB1249" s="41"/>
      <c r="AC1249" s="73"/>
      <c r="AD1249" s="64">
        <f>(AD1243/(N_1*AD$27))*SQRT('Valve Sizing'!$G$6/AD1247)</f>
        <v>163.30171231075028</v>
      </c>
      <c r="AE1249" s="41"/>
      <c r="AF1249" s="73"/>
      <c r="AG1249" s="64" t="e">
        <f>(AG1243/(N_1*AG$27))*SQRT('Valve Sizing'!$G$6/AG1247)</f>
        <v>#NUM!</v>
      </c>
      <c r="AH1249" s="41"/>
      <c r="AI1249" s="73"/>
      <c r="AJ1249" s="64" t="e">
        <f>(AJ1243/(N_1*AJ$27))*SQRT('Valve Sizing'!$G$6/AJ1247)</f>
        <v>#NUM!</v>
      </c>
      <c r="AK1249" s="41"/>
      <c r="AL1249" s="73"/>
      <c r="AM1249" s="64" t="e">
        <f>(AM1243/(N_1*AM$27))*SQRT('Valve Sizing'!$G$6/AM1247)</f>
        <v>#NUM!</v>
      </c>
      <c r="AN1249" s="41"/>
      <c r="AO1249" s="73"/>
      <c r="AP1249" s="64" t="e">
        <f>(AP1243/(N_1*AP$27))*SQRT('Valve Sizing'!$G$6/AP1247)</f>
        <v>#NUM!</v>
      </c>
      <c r="AQ1249" s="41"/>
      <c r="AR1249" s="73"/>
      <c r="AS1249" s="64" t="e">
        <f>(AS1243/(N_1*AS$27))*SQRT('Valve Sizing'!$G$6/AS1247)</f>
        <v>#NUM!</v>
      </c>
      <c r="AT1249" s="41"/>
      <c r="AU1249" s="73"/>
    </row>
    <row r="1250" spans="15:47" ht="13" x14ac:dyDescent="0.3">
      <c r="O1250" s="1" t="s">
        <v>72</v>
      </c>
      <c r="P1250" s="17">
        <v>7</v>
      </c>
      <c r="Q1250" s="65"/>
      <c r="R1250" s="53">
        <f>(R1243/(N_1*F_P_h))*SQRT('Valve Sizing'!$G$6/R1248)</f>
        <v>1.0332791441362292</v>
      </c>
      <c r="S1250" s="56"/>
      <c r="T1250" s="72"/>
      <c r="U1250" s="85">
        <f>(U1243/(N_1*U$27))*SQRT('Valve Sizing'!$G$6/U1248)</f>
        <v>12.38406364211083</v>
      </c>
      <c r="V1250" s="44"/>
      <c r="W1250" s="72"/>
      <c r="X1250" s="85">
        <f>(X1243/(N_1*X$27))*SQRT('Valve Sizing'!$G$6/X1248)</f>
        <v>30.447024691330665</v>
      </c>
      <c r="Y1250" s="44"/>
      <c r="Z1250" s="72"/>
      <c r="AA1250" s="85">
        <f>(AA1243/(N_1*AA$27))*SQRT('Valve Sizing'!$G$6/AA1248)</f>
        <v>61.926508311278972</v>
      </c>
      <c r="AB1250" s="44"/>
      <c r="AC1250" s="72"/>
      <c r="AD1250" s="85">
        <f>(AD1243/(N_1*AD$27))*SQRT('Valve Sizing'!$G$6/AD1248)</f>
        <v>117.01060900840037</v>
      </c>
      <c r="AE1250" s="44"/>
      <c r="AF1250" s="72"/>
      <c r="AG1250" s="85">
        <f>(AG1243/(N_1*AG$27))*SQRT('Valve Sizing'!$G$6/AG1248)</f>
        <v>241.0687788329048</v>
      </c>
      <c r="AH1250" s="44"/>
      <c r="AI1250" s="72"/>
      <c r="AJ1250" s="85">
        <f>(AJ1243/(N_1*AJ$27))*SQRT('Valve Sizing'!$G$6/AJ1248)</f>
        <v>1141.7880892797621</v>
      </c>
      <c r="AK1250" s="44"/>
      <c r="AL1250" s="72"/>
      <c r="AM1250" s="85" t="e">
        <f>(AM1243/(N_1*AM$27))*SQRT('Valve Sizing'!$G$6/AM1248)</f>
        <v>#NUM!</v>
      </c>
      <c r="AN1250" s="44"/>
      <c r="AO1250" s="72"/>
      <c r="AP1250" s="85" t="e">
        <f>(AP1243/(N_1*AP$27))*SQRT('Valve Sizing'!$G$6/AP1248)</f>
        <v>#NUM!</v>
      </c>
      <c r="AQ1250" s="44"/>
      <c r="AR1250" s="72"/>
      <c r="AS1250" s="85" t="e">
        <f>(AS1243/(N_1*AS$27))*SQRT('Valve Sizing'!$G$6/AS1248)</f>
        <v>#NUM!</v>
      </c>
      <c r="AT1250" s="44"/>
      <c r="AU1250" s="72"/>
    </row>
    <row r="1251" spans="15:47" x14ac:dyDescent="0.25">
      <c r="O1251" s="1" t="s">
        <v>246</v>
      </c>
      <c r="P1251" s="18"/>
      <c r="Q1251" s="65"/>
      <c r="R1251" s="53">
        <f>IF(R1247&lt;R1248,R1249,R1250)</f>
        <v>1.2441079720044614</v>
      </c>
      <c r="S1251" s="49"/>
      <c r="T1251" s="72"/>
      <c r="U1251" s="64">
        <f>IF(U1247&lt;U1248,U1249,U1250)</f>
        <v>14.943863558589342</v>
      </c>
      <c r="V1251" s="44"/>
      <c r="W1251" s="72"/>
      <c r="X1251" s="64">
        <f>IF(X1247&lt;X1248,X1249,X1250)</f>
        <v>36.750898043612438</v>
      </c>
      <c r="Y1251" s="44"/>
      <c r="Z1251" s="72"/>
      <c r="AA1251" s="64">
        <f>IF(AA1247&lt;AA1248,AA1249,AA1250)</f>
        <v>76.276824941496017</v>
      </c>
      <c r="AB1251" s="44"/>
      <c r="AC1251" s="72"/>
      <c r="AD1251" s="64">
        <f>IF(AD1247&lt;AD1248,AD1249,AD1250)</f>
        <v>163.30171231075028</v>
      </c>
      <c r="AE1251" s="44"/>
      <c r="AF1251" s="72"/>
      <c r="AG1251" s="64" t="e">
        <f>IF(AG1247&lt;AG1248,AG1249,AG1250)</f>
        <v>#NUM!</v>
      </c>
      <c r="AH1251" s="44"/>
      <c r="AI1251" s="72"/>
      <c r="AJ1251" s="64" t="e">
        <f>IF(AJ1247&lt;AJ1248,AJ1249,AJ1250)</f>
        <v>#NUM!</v>
      </c>
      <c r="AK1251" s="44"/>
      <c r="AL1251" s="72"/>
      <c r="AM1251" s="64" t="e">
        <f>IF(AM1247&lt;AM1248,AM1249,AM1250)</f>
        <v>#NUM!</v>
      </c>
      <c r="AN1251" s="44"/>
      <c r="AO1251" s="72"/>
      <c r="AP1251" s="64" t="e">
        <f>IF(AP1247&lt;AP1248,AP1249,AP1250)</f>
        <v>#NUM!</v>
      </c>
      <c r="AQ1251" s="44"/>
      <c r="AR1251" s="72"/>
      <c r="AS1251" s="64" t="e">
        <f>IF(AS1247&lt;AS1248,AS1249,AS1250)</f>
        <v>#NUM!</v>
      </c>
      <c r="AT1251" s="44"/>
      <c r="AU1251" s="72"/>
    </row>
    <row r="1252" spans="15:47" ht="13" x14ac:dyDescent="0.3">
      <c r="O1252" s="7" t="s">
        <v>264</v>
      </c>
      <c r="Q1252" s="61"/>
      <c r="R1252" s="53"/>
      <c r="S1252" s="69">
        <f>IFERROR(ABS(C_h-R1251),Q_max*10)</f>
        <v>3.7558920279955386</v>
      </c>
      <c r="T1252" s="76">
        <f>R1243</f>
        <v>7.0649465543890351</v>
      </c>
      <c r="U1252" s="61"/>
      <c r="V1252" s="69">
        <f>IFERROR(ABS(U$23-U1251),Q_max*10)</f>
        <v>2.9438635585893422</v>
      </c>
      <c r="W1252" s="75">
        <f>U1243</f>
        <v>84.425184855071905</v>
      </c>
      <c r="X1252" s="61"/>
      <c r="Y1252" s="69">
        <f>IFERROR(ABS(X$23-X1251),Q_max*10)</f>
        <v>13.750898043612438</v>
      </c>
      <c r="Z1252" s="75">
        <f>X1243</f>
        <v>202.65294206388316</v>
      </c>
      <c r="AA1252" s="61"/>
      <c r="AB1252" s="69">
        <f>IFERROR(ABS(AA$23-AA1251),Q_max*10)</f>
        <v>37.276824941496017</v>
      </c>
      <c r="AC1252" s="75">
        <f>AA1243</f>
        <v>386.93873630671681</v>
      </c>
      <c r="AD1252" s="61"/>
      <c r="AE1252" s="69">
        <f>IFERROR(ABS(AD$23-AD1251),Q_max*10)</f>
        <v>102.30171231075028</v>
      </c>
      <c r="AF1252" s="75">
        <f>AD1243</f>
        <v>636.37175883408554</v>
      </c>
      <c r="AG1252" s="61"/>
      <c r="AH1252" s="69">
        <f>IFERROR(ABS(AG$23-AG1251),Q_max*10)</f>
        <v>5500</v>
      </c>
      <c r="AI1252" s="75">
        <f>AG1243</f>
        <v>947.47083280781976</v>
      </c>
      <c r="AJ1252" s="61"/>
      <c r="AK1252" s="69">
        <f>IFERROR(ABS(AJ$23-AJ1251),Q_max*10)</f>
        <v>5500</v>
      </c>
      <c r="AL1252" s="75">
        <f>AJ1243</f>
        <v>1264.4034993164209</v>
      </c>
      <c r="AM1252" s="61"/>
      <c r="AN1252" s="69">
        <f>IFERROR(ABS(AM$23-AM1251),Q_max*10)</f>
        <v>5500</v>
      </c>
      <c r="AO1252" s="75">
        <f>AM1243</f>
        <v>1542.8125563412523</v>
      </c>
      <c r="AP1252" s="61"/>
      <c r="AQ1252" s="69">
        <f>IFERROR(ABS(AP$23-AP1251),Q_max*10)</f>
        <v>5500</v>
      </c>
      <c r="AR1252" s="75">
        <f>AP1243</f>
        <v>1791.1574818672207</v>
      </c>
      <c r="AS1252" s="61"/>
      <c r="AT1252" s="69">
        <f>IFERROR(ABS(AS$23-AS1251),Q_max*10)</f>
        <v>5500</v>
      </c>
      <c r="AU1252" s="75">
        <f>AS1243</f>
        <v>2038.5042943108951</v>
      </c>
    </row>
    <row r="1253" spans="15:47" ht="14.5" x14ac:dyDescent="0.35">
      <c r="O1253" s="6"/>
      <c r="P1253" s="6"/>
      <c r="Q1253" s="60"/>
      <c r="R1253" s="67"/>
      <c r="S1253" s="56"/>
      <c r="T1253" s="72"/>
      <c r="V1253" s="11"/>
      <c r="W1253" s="38"/>
      <c r="Y1253" s="11"/>
      <c r="Z1253" s="38"/>
      <c r="AB1253" s="11"/>
      <c r="AC1253" s="38"/>
      <c r="AE1253" s="11"/>
      <c r="AF1253" s="38"/>
      <c r="AH1253" s="11"/>
      <c r="AI1253" s="38"/>
      <c r="AK1253" s="11"/>
      <c r="AL1253" s="38"/>
      <c r="AN1253" s="11"/>
      <c r="AO1253" s="38"/>
      <c r="AQ1253" s="11"/>
      <c r="AR1253" s="38"/>
      <c r="AT1253" s="11"/>
      <c r="AU1253" s="38"/>
    </row>
    <row r="1254" spans="15:47" ht="14" x14ac:dyDescent="0.3">
      <c r="O1254" s="8" t="s">
        <v>235</v>
      </c>
      <c r="P1254" s="6"/>
      <c r="Q1254" s="60"/>
      <c r="R1254" s="53">
        <f>R1243*1.02</f>
        <v>7.2062454854768161</v>
      </c>
      <c r="S1254" s="58" t="s">
        <v>238</v>
      </c>
      <c r="T1254" s="73" t="s">
        <v>241</v>
      </c>
      <c r="U1254" s="84">
        <f>U1243*1.01</f>
        <v>85.269436703622631</v>
      </c>
      <c r="V1254" s="58" t="s">
        <v>238</v>
      </c>
      <c r="W1254" s="73" t="s">
        <v>241</v>
      </c>
      <c r="X1254" s="84">
        <f>X1243*1.01</f>
        <v>204.679471484522</v>
      </c>
      <c r="Y1254" s="58" t="s">
        <v>238</v>
      </c>
      <c r="Z1254" s="73" t="s">
        <v>241</v>
      </c>
      <c r="AA1254" s="84">
        <f>AA1243*1.01</f>
        <v>390.80812366978398</v>
      </c>
      <c r="AB1254" s="58" t="s">
        <v>238</v>
      </c>
      <c r="AC1254" s="73" t="s">
        <v>241</v>
      </c>
      <c r="AD1254" s="84">
        <f>AD1243*1.01</f>
        <v>642.73547642242636</v>
      </c>
      <c r="AE1254" s="58" t="s">
        <v>238</v>
      </c>
      <c r="AF1254" s="73" t="s">
        <v>241</v>
      </c>
      <c r="AG1254" s="84">
        <f>AG1243*1.01</f>
        <v>956.945541135898</v>
      </c>
      <c r="AH1254" s="58" t="s">
        <v>238</v>
      </c>
      <c r="AI1254" s="73" t="s">
        <v>241</v>
      </c>
      <c r="AJ1254" s="84">
        <f>AJ1243*1.01</f>
        <v>1277.0475343095852</v>
      </c>
      <c r="AK1254" s="58" t="s">
        <v>238</v>
      </c>
      <c r="AL1254" s="73" t="s">
        <v>241</v>
      </c>
      <c r="AM1254" s="84">
        <f>AM1243*1.01</f>
        <v>1558.2406819046648</v>
      </c>
      <c r="AN1254" s="58" t="s">
        <v>238</v>
      </c>
      <c r="AO1254" s="73" t="s">
        <v>241</v>
      </c>
      <c r="AP1254" s="84">
        <f>AP1243*1.01</f>
        <v>1809.069056685893</v>
      </c>
      <c r="AQ1254" s="58" t="s">
        <v>238</v>
      </c>
      <c r="AR1254" s="73" t="s">
        <v>241</v>
      </c>
      <c r="AS1254" s="84">
        <f>AS1243*1.01</f>
        <v>2058.8893372540042</v>
      </c>
      <c r="AT1254" s="58" t="s">
        <v>238</v>
      </c>
      <c r="AU1254" s="73" t="s">
        <v>241</v>
      </c>
    </row>
    <row r="1255" spans="15:47" ht="13" x14ac:dyDescent="0.25">
      <c r="O1255" s="6"/>
      <c r="P1255" s="6"/>
      <c r="Q1255" s="60"/>
      <c r="R1255" s="70"/>
      <c r="S1255" s="63" t="s">
        <v>250</v>
      </c>
      <c r="T1255" s="71" t="s">
        <v>242</v>
      </c>
      <c r="U1255" s="61"/>
      <c r="V1255" s="63" t="s">
        <v>250</v>
      </c>
      <c r="W1255" s="71" t="s">
        <v>242</v>
      </c>
      <c r="X1255" s="61"/>
      <c r="Y1255" s="63" t="s">
        <v>250</v>
      </c>
      <c r="Z1255" s="71" t="s">
        <v>242</v>
      </c>
      <c r="AA1255" s="61"/>
      <c r="AB1255" s="63" t="s">
        <v>250</v>
      </c>
      <c r="AC1255" s="71" t="s">
        <v>242</v>
      </c>
      <c r="AD1255" s="61"/>
      <c r="AE1255" s="63" t="s">
        <v>250</v>
      </c>
      <c r="AF1255" s="71" t="s">
        <v>242</v>
      </c>
      <c r="AG1255" s="61"/>
      <c r="AH1255" s="63" t="s">
        <v>250</v>
      </c>
      <c r="AI1255" s="71" t="s">
        <v>242</v>
      </c>
      <c r="AJ1255" s="61"/>
      <c r="AK1255" s="63" t="s">
        <v>250</v>
      </c>
      <c r="AL1255" s="71" t="s">
        <v>242</v>
      </c>
      <c r="AM1255" s="61"/>
      <c r="AN1255" s="63" t="s">
        <v>250</v>
      </c>
      <c r="AO1255" s="71" t="s">
        <v>242</v>
      </c>
      <c r="AP1255" s="61"/>
      <c r="AQ1255" s="63" t="s">
        <v>250</v>
      </c>
      <c r="AR1255" s="71" t="s">
        <v>242</v>
      </c>
      <c r="AS1255" s="61"/>
      <c r="AT1255" s="63" t="s">
        <v>250</v>
      </c>
      <c r="AU1255" s="71" t="s">
        <v>242</v>
      </c>
    </row>
    <row r="1256" spans="15:47" ht="13" x14ac:dyDescent="0.3">
      <c r="O1256" s="6" t="s">
        <v>231</v>
      </c>
      <c r="P1256" s="6"/>
      <c r="Q1256" s="60"/>
      <c r="R1256" s="85">
        <f>P_1_minQ-(R1254^2*R_up)+dpup_minQ</f>
        <v>56.914389396352689</v>
      </c>
      <c r="S1256" s="56"/>
      <c r="T1256" s="72"/>
      <c r="U1256" s="53">
        <f>P_1_minQ-(U1254^2*R_up)+dpup_minQ</f>
        <v>56.670588421622661</v>
      </c>
      <c r="V1256" s="44"/>
      <c r="W1256" s="72"/>
      <c r="X1256" s="53">
        <f>P_1_minQ-(X1254^2*R_up)+dpup_minQ</f>
        <v>55.501293953151531</v>
      </c>
      <c r="Y1256" s="44"/>
      <c r="Z1256" s="72"/>
      <c r="AA1256" s="53">
        <f>P_1_minQ-(AA1254^2*R_up)+dpup_minQ</f>
        <v>51.758055064968012</v>
      </c>
      <c r="AB1256" s="44"/>
      <c r="AC1256" s="72"/>
      <c r="AD1256" s="53">
        <f>P_1_minQ-(AD1254^2*R_up)+dpup_minQ</f>
        <v>42.964475087741867</v>
      </c>
      <c r="AE1256" s="44"/>
      <c r="AF1256" s="72"/>
      <c r="AG1256" s="53">
        <f>P_1_minQ-(AG1254^2*R_up)+dpup_minQ</f>
        <v>25.989268196559387</v>
      </c>
      <c r="AH1256" s="44"/>
      <c r="AI1256" s="72"/>
      <c r="AJ1256" s="53">
        <f>P_1_minQ-(AJ1254^2*R_up)+dpup_minQ</f>
        <v>1.838453060243455</v>
      </c>
      <c r="AK1256" s="44"/>
      <c r="AL1256" s="72"/>
      <c r="AM1256" s="53">
        <f>P_1_minQ-(AM1254^2*R_up)+dpup_minQ</f>
        <v>-25.087032176383477</v>
      </c>
      <c r="AN1256" s="44"/>
      <c r="AO1256" s="72"/>
      <c r="AP1256" s="53">
        <f>P_1_minQ-(AP1254^2*R_up)+dpup_minQ</f>
        <v>-53.61174778312688</v>
      </c>
      <c r="AQ1256" s="44"/>
      <c r="AR1256" s="72"/>
      <c r="AS1256" s="53">
        <f>P_1_minQ-(AS1254^2*R_up)+dpup_minQ</f>
        <v>-86.245805574408422</v>
      </c>
      <c r="AT1256" s="44"/>
      <c r="AU1256" s="72"/>
    </row>
    <row r="1257" spans="15:47" ht="13" x14ac:dyDescent="0.3">
      <c r="O1257" s="6" t="s">
        <v>233</v>
      </c>
      <c r="P1257" s="6"/>
      <c r="Q1257" s="60"/>
      <c r="R1257" s="85">
        <f>P_2_minQ+(R1254^2*R_dn)-dpdn_minQ</f>
        <v>24.657122120729465</v>
      </c>
      <c r="S1257" s="66"/>
      <c r="T1257" s="74"/>
      <c r="U1257" s="53">
        <f>P_2_minQ+(U1254^2*R_dn)-dpdn_minQ</f>
        <v>24.705882315675471</v>
      </c>
      <c r="V1257" s="45"/>
      <c r="W1257" s="74"/>
      <c r="X1257" s="53">
        <f>P_2_minQ+(X1254^2*R_dn)-dpdn_minQ</f>
        <v>24.939741209369696</v>
      </c>
      <c r="Y1257" s="45"/>
      <c r="Z1257" s="74"/>
      <c r="AA1257" s="53">
        <f>P_2_minQ+(AA1254^2*R_dn)-dpdn_minQ</f>
        <v>25.688388987006398</v>
      </c>
      <c r="AB1257" s="45"/>
      <c r="AC1257" s="74"/>
      <c r="AD1257" s="53">
        <f>P_2_minQ+(AD1254^2*R_dn)-dpdn_minQ</f>
        <v>27.447104982451627</v>
      </c>
      <c r="AE1257" s="45"/>
      <c r="AF1257" s="74"/>
      <c r="AG1257" s="53">
        <f>P_2_minQ+(AG1254^2*R_dn)-dpdn_minQ</f>
        <v>30.842146360688123</v>
      </c>
      <c r="AH1257" s="45"/>
      <c r="AI1257" s="74"/>
      <c r="AJ1257" s="53">
        <f>P_2_minQ+(AJ1254^2*R_dn)-dpdn_minQ</f>
        <v>35.672309387951316</v>
      </c>
      <c r="AK1257" s="45"/>
      <c r="AL1257" s="74"/>
      <c r="AM1257" s="53">
        <f>P_2_minQ+(AM1254^2*R_dn)-dpdn_minQ</f>
        <v>41.057406435276704</v>
      </c>
      <c r="AN1257" s="45"/>
      <c r="AO1257" s="74"/>
      <c r="AP1257" s="53">
        <f>P_2_minQ+(AP1254^2*R_dn)-dpdn_minQ</f>
        <v>46.762349556625381</v>
      </c>
      <c r="AQ1257" s="45"/>
      <c r="AR1257" s="74"/>
      <c r="AS1257" s="53">
        <f>P_2_minQ+(AS1254^2*R_dn)-dpdn_minQ</f>
        <v>53.289161114881686</v>
      </c>
      <c r="AT1257" s="45"/>
      <c r="AU1257" s="74"/>
    </row>
    <row r="1258" spans="15:47" x14ac:dyDescent="0.25">
      <c r="O1258" s="6" t="s">
        <v>243</v>
      </c>
      <c r="Q1258" s="60"/>
      <c r="R1258" s="53">
        <f>R1256-R1257</f>
        <v>32.257267275623221</v>
      </c>
      <c r="S1258" s="56"/>
      <c r="T1258" s="72"/>
      <c r="U1258" s="64">
        <f>U1256-U1257</f>
        <v>31.96470610594719</v>
      </c>
      <c r="V1258" s="44"/>
      <c r="W1258" s="72"/>
      <c r="X1258" s="64">
        <f>X1256-X1257</f>
        <v>30.561552743781835</v>
      </c>
      <c r="Y1258" s="44"/>
      <c r="Z1258" s="72"/>
      <c r="AA1258" s="64">
        <f>AA1256-AA1257</f>
        <v>26.069666077961614</v>
      </c>
      <c r="AB1258" s="44"/>
      <c r="AC1258" s="72"/>
      <c r="AD1258" s="64">
        <f>AD1256-AD1257</f>
        <v>15.51737010529024</v>
      </c>
      <c r="AE1258" s="44"/>
      <c r="AF1258" s="72"/>
      <c r="AG1258" s="64">
        <f>AG1256-AG1257</f>
        <v>-4.852878164128736</v>
      </c>
      <c r="AH1258" s="44"/>
      <c r="AI1258" s="72"/>
      <c r="AJ1258" s="64">
        <f>AJ1256-AJ1257</f>
        <v>-33.833856327707863</v>
      </c>
      <c r="AK1258" s="44"/>
      <c r="AL1258" s="72"/>
      <c r="AM1258" s="64">
        <f>AM1256-AM1257</f>
        <v>-66.144438611660178</v>
      </c>
      <c r="AN1258" s="44"/>
      <c r="AO1258" s="72"/>
      <c r="AP1258" s="64">
        <f>AP1256-AP1257</f>
        <v>-100.37409733975227</v>
      </c>
      <c r="AQ1258" s="44"/>
      <c r="AR1258" s="72"/>
      <c r="AS1258" s="64">
        <f>AS1256-AS1257</f>
        <v>-139.53496668929012</v>
      </c>
      <c r="AT1258" s="44"/>
      <c r="AU1258" s="72"/>
    </row>
    <row r="1259" spans="15:47" ht="13" x14ac:dyDescent="0.3">
      <c r="O1259" s="6" t="s">
        <v>75</v>
      </c>
      <c r="P1259" s="6">
        <v>3</v>
      </c>
      <c r="Q1259" s="65"/>
      <c r="R1259" s="85">
        <f>(F_LP_h/F_P_h)^2*(R1256-('Valve Sizing'!$V$4*'Valve Sizing'!$G$7))</f>
        <v>46.763711004490958</v>
      </c>
      <c r="S1259" s="58"/>
      <c r="T1259" s="73"/>
      <c r="U1259" s="53">
        <f>(U$29/U$27)^2*(U1256-('Valve Sizing'!$V$4*'Valve Sizing'!$G$7))</f>
        <v>46.549140168712334</v>
      </c>
      <c r="V1259" s="41"/>
      <c r="W1259" s="73"/>
      <c r="X1259" s="53">
        <f>(X$29/X$27)^2*(X1256-('Valve Sizing'!$V$4*'Valve Sizing'!$G$7))</f>
        <v>44.552995626528201</v>
      </c>
      <c r="Y1259" s="41"/>
      <c r="Z1259" s="73"/>
      <c r="AA1259" s="53">
        <f>(AA$29/AA$27)^2*(AA1256-('Valve Sizing'!$V$4*'Valve Sizing'!$G$7))</f>
        <v>39.658405793053056</v>
      </c>
      <c r="AB1259" s="41"/>
      <c r="AC1259" s="73"/>
      <c r="AD1259" s="53">
        <f>(AD$29/AD$27)^2*(AD1256-('Valve Sizing'!$V$4*'Valve Sizing'!$G$7))</f>
        <v>30.668074339908163</v>
      </c>
      <c r="AE1259" s="41"/>
      <c r="AF1259" s="73"/>
      <c r="AG1259" s="53">
        <f>(AG$29/AG$27)^2*(AG1256-('Valve Sizing'!$V$4*'Valve Sizing'!$G$7))</f>
        <v>16.454814497804069</v>
      </c>
      <c r="AH1259" s="41"/>
      <c r="AI1259" s="73"/>
      <c r="AJ1259" s="53">
        <f>(AJ$29/AJ$27)^2*(AJ1256-('Valve Sizing'!$V$4*'Valve Sizing'!$G$7))</f>
        <v>0.80878202100298979</v>
      </c>
      <c r="AK1259" s="41"/>
      <c r="AL1259" s="73"/>
      <c r="AM1259" s="53">
        <f>(AM$29/AM$27)^2*(AM1256-('Valve Sizing'!$V$4*'Valve Sizing'!$G$7))</f>
        <v>-12.214001543790982</v>
      </c>
      <c r="AN1259" s="41"/>
      <c r="AO1259" s="73"/>
      <c r="AP1259" s="53">
        <f>(AP$29/AP$27)^2*(AP1256-('Valve Sizing'!$V$4*'Valve Sizing'!$G$7))</f>
        <v>-21.330292498550431</v>
      </c>
      <c r="AQ1259" s="41"/>
      <c r="AR1259" s="73"/>
      <c r="AS1259" s="53">
        <f>(AS$29/AS$27)^2*(AS1256-('Valve Sizing'!$V$4*'Valve Sizing'!$G$7))</f>
        <v>-32.606089437935637</v>
      </c>
      <c r="AT1259" s="41"/>
      <c r="AU1259" s="73"/>
    </row>
    <row r="1260" spans="15:47" ht="13" x14ac:dyDescent="0.25">
      <c r="O1260" s="1" t="s">
        <v>69</v>
      </c>
      <c r="P1260" s="17">
        <v>7</v>
      </c>
      <c r="Q1260" s="65"/>
      <c r="R1260" s="53">
        <f>(R1254/(N_1*F_P_h))*SQRT('Valve Sizing'!$G$6/R1258)</f>
        <v>1.2689917389126637</v>
      </c>
      <c r="S1260" s="58"/>
      <c r="T1260" s="73"/>
      <c r="U1260" s="64">
        <f>(U1254/(N_1*U$27))*SQRT('Valve Sizing'!$G$6/U1258)</f>
        <v>15.094672907935552</v>
      </c>
      <c r="V1260" s="41"/>
      <c r="W1260" s="73"/>
      <c r="X1260" s="64">
        <f>(X1254/(N_1*X$27))*SQRT('Valve Sizing'!$G$6/X1258)</f>
        <v>37.138717020191294</v>
      </c>
      <c r="Y1260" s="41"/>
      <c r="Z1260" s="73"/>
      <c r="AA1260" s="64">
        <f>(AA1254/(N_1*AA$27))*SQRT('Valve Sizing'!$G$6/AA1258)</f>
        <v>77.219589989100442</v>
      </c>
      <c r="AB1260" s="41"/>
      <c r="AC1260" s="73"/>
      <c r="AD1260" s="64">
        <f>(AD1254/(N_1*AD$27))*SQRT('Valve Sizing'!$G$6/AD1258)</f>
        <v>166.67868217431848</v>
      </c>
      <c r="AE1260" s="41"/>
      <c r="AF1260" s="73"/>
      <c r="AG1260" s="64" t="e">
        <f>(AG1254/(N_1*AG$27))*SQRT('Valve Sizing'!$G$6/AG1258)</f>
        <v>#NUM!</v>
      </c>
      <c r="AH1260" s="41"/>
      <c r="AI1260" s="73"/>
      <c r="AJ1260" s="64" t="e">
        <f>(AJ1254/(N_1*AJ$27))*SQRT('Valve Sizing'!$G$6/AJ1258)</f>
        <v>#NUM!</v>
      </c>
      <c r="AK1260" s="41"/>
      <c r="AL1260" s="73"/>
      <c r="AM1260" s="64" t="e">
        <f>(AM1254/(N_1*AM$27))*SQRT('Valve Sizing'!$G$6/AM1258)</f>
        <v>#NUM!</v>
      </c>
      <c r="AN1260" s="41"/>
      <c r="AO1260" s="73"/>
      <c r="AP1260" s="64" t="e">
        <f>(AP1254/(N_1*AP$27))*SQRT('Valve Sizing'!$G$6/AP1258)</f>
        <v>#NUM!</v>
      </c>
      <c r="AQ1260" s="41"/>
      <c r="AR1260" s="73"/>
      <c r="AS1260" s="64" t="e">
        <f>(AS1254/(N_1*AS$27))*SQRT('Valve Sizing'!$G$6/AS1258)</f>
        <v>#NUM!</v>
      </c>
      <c r="AT1260" s="41"/>
      <c r="AU1260" s="73"/>
    </row>
    <row r="1261" spans="15:47" ht="13" x14ac:dyDescent="0.3">
      <c r="O1261" s="1" t="s">
        <v>72</v>
      </c>
      <c r="P1261" s="17">
        <v>7</v>
      </c>
      <c r="Q1261" s="65"/>
      <c r="R1261" s="53">
        <f>(R1254/(N_1*F_P_h))*SQRT('Valve Sizing'!$G$6/R1259)</f>
        <v>1.0539453624922828</v>
      </c>
      <c r="S1261" s="56"/>
      <c r="T1261" s="72"/>
      <c r="U1261" s="85">
        <f>(U1254/(N_1*U$27))*SQRT('Valve Sizing'!$G$6/U1259)</f>
        <v>12.508442393062111</v>
      </c>
      <c r="V1261" s="44"/>
      <c r="W1261" s="72"/>
      <c r="X1261" s="85">
        <f>(X1254/(N_1*X$27))*SQRT('Valve Sizing'!$G$6/X1259)</f>
        <v>30.759278865951917</v>
      </c>
      <c r="Y1261" s="44"/>
      <c r="Z1261" s="72"/>
      <c r="AA1261" s="85">
        <f>(AA1254/(N_1*AA$27))*SQRT('Valve Sizing'!$G$6/AA1259)</f>
        <v>62.607678357580184</v>
      </c>
      <c r="AB1261" s="44"/>
      <c r="AC1261" s="72"/>
      <c r="AD1261" s="85">
        <f>(AD1254/(N_1*AD$27))*SQRT('Valve Sizing'!$G$6/AD1259)</f>
        <v>118.56209473713376</v>
      </c>
      <c r="AE1261" s="44"/>
      <c r="AF1261" s="72"/>
      <c r="AG1261" s="85">
        <f>(AG1254/(N_1*AG$27))*SQRT('Valve Sizing'!$G$6/AG1259)</f>
        <v>246.36600575042041</v>
      </c>
      <c r="AH1261" s="44"/>
      <c r="AI1261" s="72"/>
      <c r="AJ1261" s="85">
        <f>(AJ1254/(N_1*AJ$27))*SQRT('Valve Sizing'!$G$6/AJ1259)</f>
        <v>1536.8678191474739</v>
      </c>
      <c r="AK1261" s="44"/>
      <c r="AL1261" s="72"/>
      <c r="AM1261" s="85" t="e">
        <f>(AM1254/(N_1*AM$27))*SQRT('Valve Sizing'!$G$6/AM1259)</f>
        <v>#NUM!</v>
      </c>
      <c r="AN1261" s="44"/>
      <c r="AO1261" s="72"/>
      <c r="AP1261" s="85" t="e">
        <f>(AP1254/(N_1*AP$27))*SQRT('Valve Sizing'!$G$6/AP1259)</f>
        <v>#NUM!</v>
      </c>
      <c r="AQ1261" s="44"/>
      <c r="AR1261" s="72"/>
      <c r="AS1261" s="85" t="e">
        <f>(AS1254/(N_1*AS$27))*SQRT('Valve Sizing'!$G$6/AS1259)</f>
        <v>#NUM!</v>
      </c>
      <c r="AT1261" s="44"/>
      <c r="AU1261" s="72"/>
    </row>
    <row r="1262" spans="15:47" x14ac:dyDescent="0.25">
      <c r="O1262" s="1" t="s">
        <v>246</v>
      </c>
      <c r="P1262" s="18"/>
      <c r="Q1262" s="65"/>
      <c r="R1262" s="53">
        <f>IF(R1258&lt;R1259,R1260,R1261)</f>
        <v>1.2689917389126637</v>
      </c>
      <c r="S1262" s="49"/>
      <c r="T1262" s="72"/>
      <c r="U1262" s="64">
        <f>IF(U1258&lt;U1259,U1260,U1261)</f>
        <v>15.094672907935552</v>
      </c>
      <c r="V1262" s="44"/>
      <c r="W1262" s="72"/>
      <c r="X1262" s="64">
        <f>IF(X1258&lt;X1259,X1260,X1261)</f>
        <v>37.138717020191294</v>
      </c>
      <c r="Y1262" s="44"/>
      <c r="Z1262" s="72"/>
      <c r="AA1262" s="64">
        <f>IF(AA1258&lt;AA1259,AA1260,AA1261)</f>
        <v>77.219589989100442</v>
      </c>
      <c r="AB1262" s="44"/>
      <c r="AC1262" s="72"/>
      <c r="AD1262" s="64">
        <f>IF(AD1258&lt;AD1259,AD1260,AD1261)</f>
        <v>166.67868217431848</v>
      </c>
      <c r="AE1262" s="44"/>
      <c r="AF1262" s="72"/>
      <c r="AG1262" s="64" t="e">
        <f>IF(AG1258&lt;AG1259,AG1260,AG1261)</f>
        <v>#NUM!</v>
      </c>
      <c r="AH1262" s="44"/>
      <c r="AI1262" s="72"/>
      <c r="AJ1262" s="64" t="e">
        <f>IF(AJ1258&lt;AJ1259,AJ1260,AJ1261)</f>
        <v>#NUM!</v>
      </c>
      <c r="AK1262" s="44"/>
      <c r="AL1262" s="72"/>
      <c r="AM1262" s="64" t="e">
        <f>IF(AM1258&lt;AM1259,AM1260,AM1261)</f>
        <v>#NUM!</v>
      </c>
      <c r="AN1262" s="44"/>
      <c r="AO1262" s="72"/>
      <c r="AP1262" s="64" t="e">
        <f>IF(AP1258&lt;AP1259,AP1260,AP1261)</f>
        <v>#NUM!</v>
      </c>
      <c r="AQ1262" s="44"/>
      <c r="AR1262" s="72"/>
      <c r="AS1262" s="64" t="e">
        <f>IF(AS1258&lt;AS1259,AS1260,AS1261)</f>
        <v>#NUM!</v>
      </c>
      <c r="AT1262" s="44"/>
      <c r="AU1262" s="72"/>
    </row>
    <row r="1263" spans="15:47" ht="13" x14ac:dyDescent="0.3">
      <c r="O1263" s="7" t="s">
        <v>264</v>
      </c>
      <c r="Q1263" s="61"/>
      <c r="R1263" s="53"/>
      <c r="S1263" s="69">
        <f>IFERROR(ABS(C_h-R1262),Q_max*10)</f>
        <v>3.7310082610873363</v>
      </c>
      <c r="T1263" s="76">
        <f>R1254</f>
        <v>7.2062454854768161</v>
      </c>
      <c r="U1263" s="61"/>
      <c r="V1263" s="69">
        <f>IFERROR(ABS(U$23-U1262),Q_max*10)</f>
        <v>3.0946729079355517</v>
      </c>
      <c r="W1263" s="75">
        <f>U1254</f>
        <v>85.269436703622631</v>
      </c>
      <c r="X1263" s="61"/>
      <c r="Y1263" s="69">
        <f>IFERROR(ABS(X$23-X1262),Q_max*10)</f>
        <v>14.138717020191294</v>
      </c>
      <c r="Z1263" s="75">
        <f>X1254</f>
        <v>204.679471484522</v>
      </c>
      <c r="AA1263" s="61"/>
      <c r="AB1263" s="69">
        <f>IFERROR(ABS(AA$23-AA1262),Q_max*10)</f>
        <v>38.219589989100442</v>
      </c>
      <c r="AC1263" s="75">
        <f>AA1254</f>
        <v>390.80812366978398</v>
      </c>
      <c r="AD1263" s="61"/>
      <c r="AE1263" s="69">
        <f>IFERROR(ABS(AD$23-AD1262),Q_max*10)</f>
        <v>105.67868217431848</v>
      </c>
      <c r="AF1263" s="75">
        <f>AD1254</f>
        <v>642.73547642242636</v>
      </c>
      <c r="AG1263" s="61"/>
      <c r="AH1263" s="69">
        <f>IFERROR(ABS(AG$23-AG1262),Q_max*10)</f>
        <v>5500</v>
      </c>
      <c r="AI1263" s="75">
        <f>AG1254</f>
        <v>956.945541135898</v>
      </c>
      <c r="AJ1263" s="61"/>
      <c r="AK1263" s="69">
        <f>IFERROR(ABS(AJ$23-AJ1262),Q_max*10)</f>
        <v>5500</v>
      </c>
      <c r="AL1263" s="75">
        <f>AJ1254</f>
        <v>1277.0475343095852</v>
      </c>
      <c r="AM1263" s="61"/>
      <c r="AN1263" s="69">
        <f>IFERROR(ABS(AM$23-AM1262),Q_max*10)</f>
        <v>5500</v>
      </c>
      <c r="AO1263" s="75">
        <f>AM1254</f>
        <v>1558.2406819046648</v>
      </c>
      <c r="AP1263" s="61"/>
      <c r="AQ1263" s="69">
        <f>IFERROR(ABS(AP$23-AP1262),Q_max*10)</f>
        <v>5500</v>
      </c>
      <c r="AR1263" s="75">
        <f>AP1254</f>
        <v>1809.069056685893</v>
      </c>
      <c r="AS1263" s="61"/>
      <c r="AT1263" s="69">
        <f>IFERROR(ABS(AS$23-AS1262),Q_max*10)</f>
        <v>5500</v>
      </c>
      <c r="AU1263" s="75">
        <f>AS1254</f>
        <v>2058.8893372540042</v>
      </c>
    </row>
    <row r="1264" spans="15:47" ht="14.5" x14ac:dyDescent="0.35">
      <c r="O1264" s="8"/>
      <c r="P1264" s="6"/>
      <c r="Q1264" s="60"/>
      <c r="R1264" s="67"/>
      <c r="S1264" s="58"/>
      <c r="T1264" s="73"/>
      <c r="V1264" s="11"/>
      <c r="W1264" s="38"/>
      <c r="Y1264" s="11"/>
      <c r="Z1264" s="38"/>
      <c r="AB1264" s="11"/>
      <c r="AC1264" s="38"/>
      <c r="AE1264" s="11"/>
      <c r="AF1264" s="38"/>
      <c r="AH1264" s="11"/>
      <c r="AI1264" s="38"/>
      <c r="AK1264" s="11"/>
      <c r="AL1264" s="38"/>
      <c r="AN1264" s="11"/>
      <c r="AO1264" s="38"/>
      <c r="AQ1264" s="11"/>
      <c r="AR1264" s="38"/>
      <c r="AT1264" s="11"/>
      <c r="AU1264" s="38"/>
    </row>
    <row r="1265" spans="15:47" ht="14" x14ac:dyDescent="0.3">
      <c r="O1265" s="8" t="s">
        <v>235</v>
      </c>
      <c r="P1265" s="6"/>
      <c r="Q1265" s="60"/>
      <c r="R1265" s="53">
        <f>R1254*1.02</f>
        <v>7.3503703951863528</v>
      </c>
      <c r="S1265" s="58" t="s">
        <v>238</v>
      </c>
      <c r="T1265" s="73" t="s">
        <v>241</v>
      </c>
      <c r="U1265" s="84">
        <f>U1254*1.01</f>
        <v>86.122131070658853</v>
      </c>
      <c r="V1265" s="58" t="s">
        <v>238</v>
      </c>
      <c r="W1265" s="73" t="s">
        <v>241</v>
      </c>
      <c r="X1265" s="84">
        <f>X1254*1.01</f>
        <v>206.72626619936722</v>
      </c>
      <c r="Y1265" s="58" t="s">
        <v>238</v>
      </c>
      <c r="Z1265" s="73" t="s">
        <v>241</v>
      </c>
      <c r="AA1265" s="84">
        <f>AA1254*1.01</f>
        <v>394.71620490648183</v>
      </c>
      <c r="AB1265" s="58" t="s">
        <v>238</v>
      </c>
      <c r="AC1265" s="73" t="s">
        <v>241</v>
      </c>
      <c r="AD1265" s="84">
        <f>AD1254*1.01</f>
        <v>649.16283118665058</v>
      </c>
      <c r="AE1265" s="58" t="s">
        <v>238</v>
      </c>
      <c r="AF1265" s="73" t="s">
        <v>241</v>
      </c>
      <c r="AG1265" s="84">
        <f>AG1254*1.01</f>
        <v>966.51499654725694</v>
      </c>
      <c r="AH1265" s="58" t="s">
        <v>238</v>
      </c>
      <c r="AI1265" s="73" t="s">
        <v>241</v>
      </c>
      <c r="AJ1265" s="84">
        <f>AJ1254*1.01</f>
        <v>1289.818009652681</v>
      </c>
      <c r="AK1265" s="58" t="s">
        <v>238</v>
      </c>
      <c r="AL1265" s="73" t="s">
        <v>241</v>
      </c>
      <c r="AM1265" s="84">
        <f>AM1254*1.01</f>
        <v>1573.8230887237114</v>
      </c>
      <c r="AN1265" s="58" t="s">
        <v>238</v>
      </c>
      <c r="AO1265" s="73" t="s">
        <v>241</v>
      </c>
      <c r="AP1265" s="84">
        <f>AP1254*1.01</f>
        <v>1827.1597472527519</v>
      </c>
      <c r="AQ1265" s="58" t="s">
        <v>238</v>
      </c>
      <c r="AR1265" s="73" t="s">
        <v>241</v>
      </c>
      <c r="AS1265" s="84">
        <f>AS1254*1.01</f>
        <v>2079.4782306265442</v>
      </c>
      <c r="AT1265" s="58" t="s">
        <v>238</v>
      </c>
      <c r="AU1265" s="73" t="s">
        <v>241</v>
      </c>
    </row>
    <row r="1266" spans="15:47" ht="13" x14ac:dyDescent="0.25">
      <c r="O1266" s="6"/>
      <c r="P1266" s="6"/>
      <c r="Q1266" s="60"/>
      <c r="R1266" s="70"/>
      <c r="S1266" s="63" t="s">
        <v>250</v>
      </c>
      <c r="T1266" s="71" t="s">
        <v>242</v>
      </c>
      <c r="U1266" s="61"/>
      <c r="V1266" s="63" t="s">
        <v>250</v>
      </c>
      <c r="W1266" s="71" t="s">
        <v>242</v>
      </c>
      <c r="X1266" s="61"/>
      <c r="Y1266" s="63" t="s">
        <v>250</v>
      </c>
      <c r="Z1266" s="71" t="s">
        <v>242</v>
      </c>
      <c r="AA1266" s="61"/>
      <c r="AB1266" s="63" t="s">
        <v>250</v>
      </c>
      <c r="AC1266" s="71" t="s">
        <v>242</v>
      </c>
      <c r="AD1266" s="61"/>
      <c r="AE1266" s="63" t="s">
        <v>250</v>
      </c>
      <c r="AF1266" s="71" t="s">
        <v>242</v>
      </c>
      <c r="AG1266" s="61"/>
      <c r="AH1266" s="63" t="s">
        <v>250</v>
      </c>
      <c r="AI1266" s="71" t="s">
        <v>242</v>
      </c>
      <c r="AJ1266" s="61"/>
      <c r="AK1266" s="63" t="s">
        <v>250</v>
      </c>
      <c r="AL1266" s="71" t="s">
        <v>242</v>
      </c>
      <c r="AM1266" s="61"/>
      <c r="AN1266" s="63" t="s">
        <v>250</v>
      </c>
      <c r="AO1266" s="71" t="s">
        <v>242</v>
      </c>
      <c r="AP1266" s="61"/>
      <c r="AQ1266" s="63" t="s">
        <v>250</v>
      </c>
      <c r="AR1266" s="71" t="s">
        <v>242</v>
      </c>
      <c r="AS1266" s="61"/>
      <c r="AT1266" s="63" t="s">
        <v>250</v>
      </c>
      <c r="AU1266" s="71" t="s">
        <v>242</v>
      </c>
    </row>
    <row r="1267" spans="15:47" ht="13" x14ac:dyDescent="0.3">
      <c r="O1267" s="6" t="s">
        <v>231</v>
      </c>
      <c r="P1267" s="6"/>
      <c r="Q1267" s="60"/>
      <c r="R1267" s="85">
        <f>P_1_minQ-(R1265^2*R_up)+dpup_minQ</f>
        <v>56.914318542892723</v>
      </c>
      <c r="S1267" s="56"/>
      <c r="T1267" s="72"/>
      <c r="U1267" s="53">
        <f>P_1_minQ-(U1265^2*R_up)+dpup_minQ</f>
        <v>56.665652770680452</v>
      </c>
      <c r="V1267" s="44"/>
      <c r="W1267" s="72"/>
      <c r="X1267" s="53">
        <f>P_1_minQ-(X1265^2*R_up)+dpup_minQ</f>
        <v>55.472855483393054</v>
      </c>
      <c r="Y1267" s="44"/>
      <c r="Z1267" s="72"/>
      <c r="AA1267" s="53">
        <f>P_1_minQ-(AA1265^2*R_up)+dpup_minQ</f>
        <v>51.65437749355705</v>
      </c>
      <c r="AB1267" s="44"/>
      <c r="AC1267" s="72"/>
      <c r="AD1267" s="53">
        <f>P_1_minQ-(AD1265^2*R_up)+dpup_minQ</f>
        <v>42.684046558788658</v>
      </c>
      <c r="AE1267" s="44"/>
      <c r="AF1267" s="72"/>
      <c r="AG1267" s="53">
        <f>P_1_minQ-(AG1265^2*R_up)+dpup_minQ</f>
        <v>25.367638009093412</v>
      </c>
      <c r="AH1267" s="44"/>
      <c r="AI1267" s="72"/>
      <c r="AJ1267" s="53">
        <f>P_1_minQ-(AJ1265^2*R_up)+dpup_minQ</f>
        <v>0.73139148853754243</v>
      </c>
      <c r="AK1267" s="44"/>
      <c r="AL1267" s="72"/>
      <c r="AM1267" s="53">
        <f>P_1_minQ-(AM1265^2*R_up)+dpup_minQ</f>
        <v>-26.735296001345592</v>
      </c>
      <c r="AN1267" s="44"/>
      <c r="AO1267" s="72"/>
      <c r="AP1267" s="53">
        <f>P_1_minQ-(AP1265^2*R_up)+dpup_minQ</f>
        <v>-55.83335839178455</v>
      </c>
      <c r="AQ1267" s="44"/>
      <c r="AR1267" s="72"/>
      <c r="AS1267" s="53">
        <f>P_1_minQ-(AS1265^2*R_up)+dpup_minQ</f>
        <v>-89.123360744670805</v>
      </c>
      <c r="AT1267" s="44"/>
      <c r="AU1267" s="72"/>
    </row>
    <row r="1268" spans="15:47" ht="13" x14ac:dyDescent="0.3">
      <c r="O1268" s="6" t="s">
        <v>233</v>
      </c>
      <c r="P1268" s="6"/>
      <c r="Q1268" s="60"/>
      <c r="R1268" s="85">
        <f>P_2_minQ+(R1265^2*R_dn)-dpdn_minQ</f>
        <v>24.657136291421455</v>
      </c>
      <c r="S1268" s="66"/>
      <c r="T1268" s="74"/>
      <c r="U1268" s="53">
        <f>P_2_minQ+(U1265^2*R_dn)-dpdn_minQ</f>
        <v>24.706869445863909</v>
      </c>
      <c r="V1268" s="45"/>
      <c r="W1268" s="74"/>
      <c r="X1268" s="53">
        <f>P_2_minQ+(X1265^2*R_dn)-dpdn_minQ</f>
        <v>24.945428903321389</v>
      </c>
      <c r="Y1268" s="45"/>
      <c r="Z1268" s="74"/>
      <c r="AA1268" s="53">
        <f>P_2_minQ+(AA1265^2*R_dn)-dpdn_minQ</f>
        <v>25.709124501288592</v>
      </c>
      <c r="AB1268" s="45"/>
      <c r="AC1268" s="74"/>
      <c r="AD1268" s="53">
        <f>P_2_minQ+(AD1265^2*R_dn)-dpdn_minQ</f>
        <v>27.50319068824227</v>
      </c>
      <c r="AE1268" s="45"/>
      <c r="AF1268" s="74"/>
      <c r="AG1268" s="53">
        <f>P_2_minQ+(AG1265^2*R_dn)-dpdn_minQ</f>
        <v>30.96647239818132</v>
      </c>
      <c r="AH1268" s="45"/>
      <c r="AI1268" s="74"/>
      <c r="AJ1268" s="53">
        <f>P_2_minQ+(AJ1265^2*R_dn)-dpdn_minQ</f>
        <v>35.893721702292495</v>
      </c>
      <c r="AK1268" s="45"/>
      <c r="AL1268" s="74"/>
      <c r="AM1268" s="53">
        <f>P_2_minQ+(AM1265^2*R_dn)-dpdn_minQ</f>
        <v>41.387059200269121</v>
      </c>
      <c r="AN1268" s="45"/>
      <c r="AO1268" s="74"/>
      <c r="AP1268" s="53">
        <f>P_2_minQ+(AP1265^2*R_dn)-dpdn_minQ</f>
        <v>47.206671678356912</v>
      </c>
      <c r="AQ1268" s="45"/>
      <c r="AR1268" s="74"/>
      <c r="AS1268" s="53">
        <f>P_2_minQ+(AS1265^2*R_dn)-dpdn_minQ</f>
        <v>53.864672148934169</v>
      </c>
      <c r="AT1268" s="45"/>
      <c r="AU1268" s="74"/>
    </row>
    <row r="1269" spans="15:47" x14ac:dyDescent="0.25">
      <c r="O1269" s="6" t="s">
        <v>243</v>
      </c>
      <c r="Q1269" s="60"/>
      <c r="R1269" s="53">
        <f>R1267-R1268</f>
        <v>32.257182251471264</v>
      </c>
      <c r="S1269" s="56"/>
      <c r="T1269" s="72"/>
      <c r="U1269" s="64">
        <f>U1267-U1268</f>
        <v>31.958783324816544</v>
      </c>
      <c r="V1269" s="44"/>
      <c r="W1269" s="72"/>
      <c r="X1269" s="64">
        <f>X1267-X1268</f>
        <v>30.527426580071666</v>
      </c>
      <c r="Y1269" s="44"/>
      <c r="Z1269" s="72"/>
      <c r="AA1269" s="64">
        <f>AA1267-AA1268</f>
        <v>25.945252992268458</v>
      </c>
      <c r="AB1269" s="44"/>
      <c r="AC1269" s="72"/>
      <c r="AD1269" s="64">
        <f>AD1267-AD1268</f>
        <v>15.180855870546388</v>
      </c>
      <c r="AE1269" s="44"/>
      <c r="AF1269" s="72"/>
      <c r="AG1269" s="64">
        <f>AG1267-AG1268</f>
        <v>-5.5988343890879086</v>
      </c>
      <c r="AH1269" s="44"/>
      <c r="AI1269" s="72"/>
      <c r="AJ1269" s="64">
        <f>AJ1267-AJ1268</f>
        <v>-35.162330213754956</v>
      </c>
      <c r="AK1269" s="44"/>
      <c r="AL1269" s="72"/>
      <c r="AM1269" s="64">
        <f>AM1267-AM1268</f>
        <v>-68.12235520161471</v>
      </c>
      <c r="AN1269" s="44"/>
      <c r="AO1269" s="72"/>
      <c r="AP1269" s="64">
        <f>AP1267-AP1268</f>
        <v>-103.04003007014146</v>
      </c>
      <c r="AQ1269" s="44"/>
      <c r="AR1269" s="72"/>
      <c r="AS1269" s="64">
        <f>AS1267-AS1268</f>
        <v>-142.98803289360498</v>
      </c>
      <c r="AT1269" s="44"/>
      <c r="AU1269" s="72"/>
    </row>
    <row r="1270" spans="15:47" ht="13" x14ac:dyDescent="0.3">
      <c r="O1270" s="6" t="s">
        <v>75</v>
      </c>
      <c r="P1270" s="6">
        <v>3</v>
      </c>
      <c r="Q1270" s="65"/>
      <c r="R1270" s="85">
        <f>(F_LP_h/F_P_h)^2*(R1267-('Valve Sizing'!$V$4*'Valve Sizing'!$G$7))</f>
        <v>46.763652334107014</v>
      </c>
      <c r="S1270" s="58"/>
      <c r="T1270" s="73"/>
      <c r="U1270" s="53">
        <f>(U$29/U$27)^2*(U1267-('Valve Sizing'!$V$4*'Valve Sizing'!$G$7))</f>
        <v>46.54505430460155</v>
      </c>
      <c r="V1270" s="41"/>
      <c r="W1270" s="73"/>
      <c r="X1270" s="53">
        <f>(X$29/X$27)^2*(X1267-('Valve Sizing'!$V$4*'Valve Sizing'!$G$7))</f>
        <v>44.529984537343154</v>
      </c>
      <c r="Y1270" s="41"/>
      <c r="Z1270" s="73"/>
      <c r="AA1270" s="53">
        <f>(AA$29/AA$27)^2*(AA1267-('Valve Sizing'!$V$4*'Valve Sizing'!$G$7))</f>
        <v>39.578284053950007</v>
      </c>
      <c r="AB1270" s="41"/>
      <c r="AC1270" s="73"/>
      <c r="AD1270" s="53">
        <f>(AD$29/AD$27)^2*(AD1267-('Valve Sizing'!$V$4*'Valve Sizing'!$G$7))</f>
        <v>30.465832816214306</v>
      </c>
      <c r="AE1270" s="41"/>
      <c r="AF1270" s="73"/>
      <c r="AG1270" s="53">
        <f>(AG$29/AG$27)^2*(AG1267-('Valve Sizing'!$V$4*'Valve Sizing'!$G$7))</f>
        <v>16.05445733569379</v>
      </c>
      <c r="AH1270" s="41"/>
      <c r="AI1270" s="73"/>
      <c r="AJ1270" s="53">
        <f>(AJ$29/AJ$27)^2*(AJ1267-('Valve Sizing'!$V$4*'Valve Sizing'!$G$7))</f>
        <v>0.16849709091810008</v>
      </c>
      <c r="AK1270" s="41"/>
      <c r="AL1270" s="73"/>
      <c r="AM1270" s="53">
        <f>(AM$29/AM$27)^2*(AM1267-('Valve Sizing'!$V$4*'Valve Sizing'!$G$7))</f>
        <v>-13.002649878741494</v>
      </c>
      <c r="AN1270" s="41"/>
      <c r="AO1270" s="73"/>
      <c r="AP1270" s="53">
        <f>(AP$29/AP$27)^2*(AP1267-('Valve Sizing'!$V$4*'Valve Sizing'!$G$7))</f>
        <v>-22.20699964467077</v>
      </c>
      <c r="AQ1270" s="41"/>
      <c r="AR1270" s="73"/>
      <c r="AS1270" s="53">
        <f>(AS$29/AS$27)^2*(AS1267-('Valve Sizing'!$V$4*'Valve Sizing'!$G$7))</f>
        <v>-33.688455324755679</v>
      </c>
      <c r="AT1270" s="41"/>
      <c r="AU1270" s="73"/>
    </row>
    <row r="1271" spans="15:47" ht="13" x14ac:dyDescent="0.25">
      <c r="O1271" s="1" t="s">
        <v>69</v>
      </c>
      <c r="P1271" s="17">
        <v>7</v>
      </c>
      <c r="Q1271" s="65"/>
      <c r="R1271" s="53">
        <f>(R1265/(N_1*F_P_h))*SQRT('Valve Sizing'!$G$6/R1269)</f>
        <v>1.294373279555552</v>
      </c>
      <c r="S1271" s="58"/>
      <c r="T1271" s="73"/>
      <c r="U1271" s="64">
        <f>(U1265/(N_1*U$27))*SQRT('Valve Sizing'!$G$6/U1269)</f>
        <v>15.247032273475735</v>
      </c>
      <c r="V1271" s="41"/>
      <c r="W1271" s="73"/>
      <c r="X1271" s="64">
        <f>(X1265/(N_1*X$27))*SQRT('Valve Sizing'!$G$6/X1269)</f>
        <v>37.53106433271477</v>
      </c>
      <c r="Y1271" s="41"/>
      <c r="Z1271" s="73"/>
      <c r="AA1271" s="64">
        <f>(AA1265/(N_1*AA$27))*SQRT('Valve Sizing'!$G$6/AA1269)</f>
        <v>78.178555975940228</v>
      </c>
      <c r="AB1271" s="41"/>
      <c r="AC1271" s="73"/>
      <c r="AD1271" s="64">
        <f>(AD1265/(N_1*AD$27))*SQRT('Valve Sizing'!$G$6/AD1269)</f>
        <v>170.20110004115921</v>
      </c>
      <c r="AE1271" s="41"/>
      <c r="AF1271" s="73"/>
      <c r="AG1271" s="64" t="e">
        <f>(AG1265/(N_1*AG$27))*SQRT('Valve Sizing'!$G$6/AG1269)</f>
        <v>#NUM!</v>
      </c>
      <c r="AH1271" s="41"/>
      <c r="AI1271" s="73"/>
      <c r="AJ1271" s="64" t="e">
        <f>(AJ1265/(N_1*AJ$27))*SQRT('Valve Sizing'!$G$6/AJ1269)</f>
        <v>#NUM!</v>
      </c>
      <c r="AK1271" s="41"/>
      <c r="AL1271" s="73"/>
      <c r="AM1271" s="64" t="e">
        <f>(AM1265/(N_1*AM$27))*SQRT('Valve Sizing'!$G$6/AM1269)</f>
        <v>#NUM!</v>
      </c>
      <c r="AN1271" s="41"/>
      <c r="AO1271" s="73"/>
      <c r="AP1271" s="64" t="e">
        <f>(AP1265/(N_1*AP$27))*SQRT('Valve Sizing'!$G$6/AP1269)</f>
        <v>#NUM!</v>
      </c>
      <c r="AQ1271" s="41"/>
      <c r="AR1271" s="73"/>
      <c r="AS1271" s="64" t="e">
        <f>(AS1265/(N_1*AS$27))*SQRT('Valve Sizing'!$G$6/AS1269)</f>
        <v>#NUM!</v>
      </c>
      <c r="AT1271" s="41"/>
      <c r="AU1271" s="73"/>
    </row>
    <row r="1272" spans="15:47" ht="13" x14ac:dyDescent="0.3">
      <c r="O1272" s="1" t="s">
        <v>72</v>
      </c>
      <c r="P1272" s="17">
        <v>7</v>
      </c>
      <c r="Q1272" s="65"/>
      <c r="R1272" s="53">
        <f>(R1265/(N_1*F_P_h))*SQRT('Valve Sizing'!$G$6/R1270)</f>
        <v>1.0750249441127531</v>
      </c>
      <c r="S1272" s="56"/>
      <c r="T1272" s="72"/>
      <c r="U1272" s="85">
        <f>(U1265/(N_1*U$27))*SQRT('Valve Sizing'!$G$6/U1270)</f>
        <v>12.634081309213444</v>
      </c>
      <c r="V1272" s="44"/>
      <c r="W1272" s="72"/>
      <c r="X1272" s="85">
        <f>(X1265/(N_1*X$27))*SQRT('Valve Sizing'!$G$6/X1270)</f>
        <v>31.074897597477285</v>
      </c>
      <c r="Y1272" s="44"/>
      <c r="Z1272" s="72"/>
      <c r="AA1272" s="85">
        <f>(AA1265/(N_1*AA$27))*SQRT('Valve Sizing'!$G$6/AA1270)</f>
        <v>63.297727557571299</v>
      </c>
      <c r="AB1272" s="44"/>
      <c r="AC1272" s="72"/>
      <c r="AD1272" s="85">
        <f>(AD1265/(N_1*AD$27))*SQRT('Valve Sizing'!$G$6/AD1270)</f>
        <v>120.14451924338195</v>
      </c>
      <c r="AE1272" s="44"/>
      <c r="AF1272" s="72"/>
      <c r="AG1272" s="85">
        <f>(AG1265/(N_1*AG$27))*SQRT('Valve Sizing'!$G$6/AG1270)</f>
        <v>251.91314880663941</v>
      </c>
      <c r="AH1272" s="44"/>
      <c r="AI1272" s="72"/>
      <c r="AJ1272" s="85">
        <f>(AJ1265/(N_1*AJ$27))*SQRT('Valve Sizing'!$G$6/AJ1270)</f>
        <v>3400.7713347150889</v>
      </c>
      <c r="AK1272" s="44"/>
      <c r="AL1272" s="72"/>
      <c r="AM1272" s="85" t="e">
        <f>(AM1265/(N_1*AM$27))*SQRT('Valve Sizing'!$G$6/AM1270)</f>
        <v>#NUM!</v>
      </c>
      <c r="AN1272" s="44"/>
      <c r="AO1272" s="72"/>
      <c r="AP1272" s="85" t="e">
        <f>(AP1265/(N_1*AP$27))*SQRT('Valve Sizing'!$G$6/AP1270)</f>
        <v>#NUM!</v>
      </c>
      <c r="AQ1272" s="44"/>
      <c r="AR1272" s="72"/>
      <c r="AS1272" s="85" t="e">
        <f>(AS1265/(N_1*AS$27))*SQRT('Valve Sizing'!$G$6/AS1270)</f>
        <v>#NUM!</v>
      </c>
      <c r="AT1272" s="44"/>
      <c r="AU1272" s="72"/>
    </row>
    <row r="1273" spans="15:47" x14ac:dyDescent="0.25">
      <c r="O1273" s="1" t="s">
        <v>246</v>
      </c>
      <c r="P1273" s="18"/>
      <c r="Q1273" s="65"/>
      <c r="R1273" s="53">
        <f>IF(R1269&lt;R1270,R1271,R1272)</f>
        <v>1.294373279555552</v>
      </c>
      <c r="S1273" s="49"/>
      <c r="T1273" s="72"/>
      <c r="U1273" s="64">
        <f>IF(U1269&lt;U1270,U1271,U1272)</f>
        <v>15.247032273475735</v>
      </c>
      <c r="V1273" s="44"/>
      <c r="W1273" s="72"/>
      <c r="X1273" s="64">
        <f>IF(X1269&lt;X1270,X1271,X1272)</f>
        <v>37.53106433271477</v>
      </c>
      <c r="Y1273" s="44"/>
      <c r="Z1273" s="72"/>
      <c r="AA1273" s="64">
        <f>IF(AA1269&lt;AA1270,AA1271,AA1272)</f>
        <v>78.178555975940228</v>
      </c>
      <c r="AB1273" s="44"/>
      <c r="AC1273" s="72"/>
      <c r="AD1273" s="64">
        <f>IF(AD1269&lt;AD1270,AD1271,AD1272)</f>
        <v>170.20110004115921</v>
      </c>
      <c r="AE1273" s="44"/>
      <c r="AF1273" s="72"/>
      <c r="AG1273" s="64" t="e">
        <f>IF(AG1269&lt;AG1270,AG1271,AG1272)</f>
        <v>#NUM!</v>
      </c>
      <c r="AH1273" s="44"/>
      <c r="AI1273" s="72"/>
      <c r="AJ1273" s="64" t="e">
        <f>IF(AJ1269&lt;AJ1270,AJ1271,AJ1272)</f>
        <v>#NUM!</v>
      </c>
      <c r="AK1273" s="44"/>
      <c r="AL1273" s="72"/>
      <c r="AM1273" s="64" t="e">
        <f>IF(AM1269&lt;AM1270,AM1271,AM1272)</f>
        <v>#NUM!</v>
      </c>
      <c r="AN1273" s="44"/>
      <c r="AO1273" s="72"/>
      <c r="AP1273" s="64" t="e">
        <f>IF(AP1269&lt;AP1270,AP1271,AP1272)</f>
        <v>#NUM!</v>
      </c>
      <c r="AQ1273" s="44"/>
      <c r="AR1273" s="72"/>
      <c r="AS1273" s="64" t="e">
        <f>IF(AS1269&lt;AS1270,AS1271,AS1272)</f>
        <v>#NUM!</v>
      </c>
      <c r="AT1273" s="44"/>
      <c r="AU1273" s="72"/>
    </row>
    <row r="1274" spans="15:47" ht="13" x14ac:dyDescent="0.3">
      <c r="O1274" s="7" t="s">
        <v>264</v>
      </c>
      <c r="Q1274" s="61"/>
      <c r="R1274" s="53"/>
      <c r="S1274" s="69">
        <f>IFERROR(ABS(C_h-R1273),Q_max*10)</f>
        <v>3.7056267204444477</v>
      </c>
      <c r="T1274" s="76">
        <f>R1265</f>
        <v>7.3503703951863528</v>
      </c>
      <c r="U1274" s="61"/>
      <c r="V1274" s="69">
        <f>IFERROR(ABS(U$23-U1273),Q_max*10)</f>
        <v>3.2470322734757353</v>
      </c>
      <c r="W1274" s="75">
        <f>U1265</f>
        <v>86.122131070658853</v>
      </c>
      <c r="X1274" s="61"/>
      <c r="Y1274" s="69">
        <f>IFERROR(ABS(X$23-X1273),Q_max*10)</f>
        <v>14.53106433271477</v>
      </c>
      <c r="Z1274" s="75">
        <f>X1265</f>
        <v>206.72626619936722</v>
      </c>
      <c r="AA1274" s="61"/>
      <c r="AB1274" s="69">
        <f>IFERROR(ABS(AA$23-AA1273),Q_max*10)</f>
        <v>39.178555975940228</v>
      </c>
      <c r="AC1274" s="75">
        <f>AA1265</f>
        <v>394.71620490648183</v>
      </c>
      <c r="AD1274" s="61"/>
      <c r="AE1274" s="69">
        <f>IFERROR(ABS(AD$23-AD1273),Q_max*10)</f>
        <v>109.20110004115921</v>
      </c>
      <c r="AF1274" s="75">
        <f>AD1265</f>
        <v>649.16283118665058</v>
      </c>
      <c r="AG1274" s="61"/>
      <c r="AH1274" s="69">
        <f>IFERROR(ABS(AG$23-AG1273),Q_max*10)</f>
        <v>5500</v>
      </c>
      <c r="AI1274" s="75">
        <f>AG1265</f>
        <v>966.51499654725694</v>
      </c>
      <c r="AJ1274" s="61"/>
      <c r="AK1274" s="69">
        <f>IFERROR(ABS(AJ$23-AJ1273),Q_max*10)</f>
        <v>5500</v>
      </c>
      <c r="AL1274" s="75">
        <f>AJ1265</f>
        <v>1289.818009652681</v>
      </c>
      <c r="AM1274" s="61"/>
      <c r="AN1274" s="69">
        <f>IFERROR(ABS(AM$23-AM1273),Q_max*10)</f>
        <v>5500</v>
      </c>
      <c r="AO1274" s="75">
        <f>AM1265</f>
        <v>1573.8230887237114</v>
      </c>
      <c r="AP1274" s="61"/>
      <c r="AQ1274" s="69">
        <f>IFERROR(ABS(AP$23-AP1273),Q_max*10)</f>
        <v>5500</v>
      </c>
      <c r="AR1274" s="75">
        <f>AP1265</f>
        <v>1827.1597472527519</v>
      </c>
      <c r="AS1274" s="61"/>
      <c r="AT1274" s="69">
        <f>IFERROR(ABS(AS$23-AS1273),Q_max*10)</f>
        <v>5500</v>
      </c>
      <c r="AU1274" s="75">
        <f>AS1265</f>
        <v>2079.4782306265442</v>
      </c>
    </row>
    <row r="1275" spans="15:47" ht="14.5" x14ac:dyDescent="0.35">
      <c r="O1275" s="6"/>
      <c r="P1275" s="6"/>
      <c r="Q1275" s="60"/>
      <c r="R1275" s="67"/>
      <c r="S1275" s="56"/>
      <c r="T1275" s="72"/>
      <c r="V1275" s="11"/>
      <c r="W1275" s="38"/>
      <c r="Y1275" s="11"/>
      <c r="Z1275" s="38"/>
      <c r="AB1275" s="11"/>
      <c r="AC1275" s="38"/>
      <c r="AE1275" s="11"/>
      <c r="AF1275" s="38"/>
      <c r="AH1275" s="11"/>
      <c r="AI1275" s="38"/>
      <c r="AK1275" s="11"/>
      <c r="AL1275" s="38"/>
      <c r="AN1275" s="11"/>
      <c r="AO1275" s="38"/>
      <c r="AQ1275" s="11"/>
      <c r="AR1275" s="38"/>
      <c r="AT1275" s="11"/>
      <c r="AU1275" s="38"/>
    </row>
    <row r="1276" spans="15:47" ht="14" x14ac:dyDescent="0.3">
      <c r="O1276" s="8" t="s">
        <v>235</v>
      </c>
      <c r="P1276" s="6"/>
      <c r="Q1276" s="60"/>
      <c r="R1276" s="53">
        <f>R1265*1.02</f>
        <v>7.49737780309008</v>
      </c>
      <c r="S1276" s="58" t="s">
        <v>238</v>
      </c>
      <c r="T1276" s="73" t="s">
        <v>241</v>
      </c>
      <c r="U1276" s="84">
        <f>U1265*1.01</f>
        <v>86.983352381365435</v>
      </c>
      <c r="V1276" s="58" t="s">
        <v>238</v>
      </c>
      <c r="W1276" s="73" t="s">
        <v>241</v>
      </c>
      <c r="X1276" s="84">
        <f>X1265*1.01</f>
        <v>208.7935288613609</v>
      </c>
      <c r="Y1276" s="58" t="s">
        <v>238</v>
      </c>
      <c r="Z1276" s="73" t="s">
        <v>241</v>
      </c>
      <c r="AA1276" s="84">
        <f>AA1265*1.01</f>
        <v>398.66336695554668</v>
      </c>
      <c r="AB1276" s="58" t="s">
        <v>238</v>
      </c>
      <c r="AC1276" s="73" t="s">
        <v>241</v>
      </c>
      <c r="AD1276" s="84">
        <f>AD1265*1.01</f>
        <v>655.6544594985171</v>
      </c>
      <c r="AE1276" s="58" t="s">
        <v>238</v>
      </c>
      <c r="AF1276" s="73" t="s">
        <v>241</v>
      </c>
      <c r="AG1276" s="84">
        <f>AG1265*1.01</f>
        <v>976.18014651272949</v>
      </c>
      <c r="AH1276" s="58" t="s">
        <v>238</v>
      </c>
      <c r="AI1276" s="73" t="s">
        <v>241</v>
      </c>
      <c r="AJ1276" s="84">
        <f>AJ1265*1.01</f>
        <v>1302.7161897492078</v>
      </c>
      <c r="AK1276" s="58" t="s">
        <v>238</v>
      </c>
      <c r="AL1276" s="73" t="s">
        <v>241</v>
      </c>
      <c r="AM1276" s="84">
        <f>AM1265*1.01</f>
        <v>1589.5613196109484</v>
      </c>
      <c r="AN1276" s="58" t="s">
        <v>238</v>
      </c>
      <c r="AO1276" s="73" t="s">
        <v>241</v>
      </c>
      <c r="AP1276" s="84">
        <f>AP1265*1.01</f>
        <v>1845.4313447252794</v>
      </c>
      <c r="AQ1276" s="58" t="s">
        <v>238</v>
      </c>
      <c r="AR1276" s="73" t="s">
        <v>241</v>
      </c>
      <c r="AS1276" s="84">
        <f>AS1265*1.01</f>
        <v>2100.2730129328097</v>
      </c>
      <c r="AT1276" s="58" t="s">
        <v>238</v>
      </c>
      <c r="AU1276" s="73" t="s">
        <v>241</v>
      </c>
    </row>
    <row r="1277" spans="15:47" ht="13" x14ac:dyDescent="0.25">
      <c r="O1277" s="6"/>
      <c r="P1277" s="6"/>
      <c r="Q1277" s="60"/>
      <c r="R1277" s="70"/>
      <c r="S1277" s="63" t="s">
        <v>250</v>
      </c>
      <c r="T1277" s="71" t="s">
        <v>242</v>
      </c>
      <c r="U1277" s="61"/>
      <c r="V1277" s="63" t="s">
        <v>250</v>
      </c>
      <c r="W1277" s="71" t="s">
        <v>242</v>
      </c>
      <c r="X1277" s="61"/>
      <c r="Y1277" s="63" t="s">
        <v>250</v>
      </c>
      <c r="Z1277" s="71" t="s">
        <v>242</v>
      </c>
      <c r="AA1277" s="61"/>
      <c r="AB1277" s="63" t="s">
        <v>250</v>
      </c>
      <c r="AC1277" s="71" t="s">
        <v>242</v>
      </c>
      <c r="AD1277" s="61"/>
      <c r="AE1277" s="63" t="s">
        <v>250</v>
      </c>
      <c r="AF1277" s="71" t="s">
        <v>242</v>
      </c>
      <c r="AG1277" s="61"/>
      <c r="AH1277" s="63" t="s">
        <v>250</v>
      </c>
      <c r="AI1277" s="71" t="s">
        <v>242</v>
      </c>
      <c r="AJ1277" s="61"/>
      <c r="AK1277" s="63" t="s">
        <v>250</v>
      </c>
      <c r="AL1277" s="71" t="s">
        <v>242</v>
      </c>
      <c r="AM1277" s="61"/>
      <c r="AN1277" s="63" t="s">
        <v>250</v>
      </c>
      <c r="AO1277" s="71" t="s">
        <v>242</v>
      </c>
      <c r="AP1277" s="61"/>
      <c r="AQ1277" s="63" t="s">
        <v>250</v>
      </c>
      <c r="AR1277" s="71" t="s">
        <v>242</v>
      </c>
      <c r="AS1277" s="61"/>
      <c r="AT1277" s="63" t="s">
        <v>250</v>
      </c>
      <c r="AU1277" s="71" t="s">
        <v>242</v>
      </c>
    </row>
    <row r="1278" spans="15:47" ht="13" x14ac:dyDescent="0.3">
      <c r="O1278" s="6" t="s">
        <v>231</v>
      </c>
      <c r="P1278" s="6"/>
      <c r="Q1278" s="60"/>
      <c r="R1278" s="85">
        <f>P_1_minQ-(R1276^2*R_up)+dpup_minQ</f>
        <v>56.914244826952981</v>
      </c>
      <c r="S1278" s="56"/>
      <c r="T1278" s="72"/>
      <c r="U1278" s="53">
        <f>P_1_minQ-(U1276^2*R_up)+dpup_minQ</f>
        <v>56.660617913154312</v>
      </c>
      <c r="V1278" s="44"/>
      <c r="W1278" s="72"/>
      <c r="X1278" s="53">
        <f>P_1_minQ-(X1276^2*R_up)+dpup_minQ</f>
        <v>55.443845400392433</v>
      </c>
      <c r="Y1278" s="44"/>
      <c r="Z1278" s="72"/>
      <c r="AA1278" s="53">
        <f>P_1_minQ-(AA1276^2*R_up)+dpup_minQ</f>
        <v>51.548616002960728</v>
      </c>
      <c r="AB1278" s="44"/>
      <c r="AC1278" s="72"/>
      <c r="AD1278" s="53">
        <f>P_1_minQ-(AD1276^2*R_up)+dpup_minQ</f>
        <v>42.397981416403489</v>
      </c>
      <c r="AE1278" s="44"/>
      <c r="AF1278" s="72"/>
      <c r="AG1278" s="53">
        <f>P_1_minQ-(AG1276^2*R_up)+dpup_minQ</f>
        <v>24.733513054859369</v>
      </c>
      <c r="AH1278" s="44"/>
      <c r="AI1278" s="72"/>
      <c r="AJ1278" s="53">
        <f>P_1_minQ-(AJ1276^2*R_up)+dpup_minQ</f>
        <v>-0.39792202075967686</v>
      </c>
      <c r="AK1278" s="44"/>
      <c r="AL1278" s="72"/>
      <c r="AM1278" s="53">
        <f>P_1_minQ-(AM1276^2*R_up)+dpup_minQ</f>
        <v>-28.416689929189463</v>
      </c>
      <c r="AN1278" s="44"/>
      <c r="AO1278" s="72"/>
      <c r="AP1278" s="53">
        <f>P_1_minQ-(AP1276^2*R_up)+dpup_minQ</f>
        <v>-58.099623373676231</v>
      </c>
      <c r="AQ1278" s="44"/>
      <c r="AR1278" s="72"/>
      <c r="AS1278" s="53">
        <f>P_1_minQ-(AS1276^2*R_up)+dpup_minQ</f>
        <v>-92.058754773855526</v>
      </c>
      <c r="AT1278" s="44"/>
      <c r="AU1278" s="72"/>
    </row>
    <row r="1279" spans="15:47" ht="13" x14ac:dyDescent="0.3">
      <c r="O1279" s="6" t="s">
        <v>233</v>
      </c>
      <c r="P1279" s="6"/>
      <c r="Q1279" s="60"/>
      <c r="R1279" s="85">
        <f>P_2_minQ+(R1276^2*R_dn)-dpdn_minQ</f>
        <v>24.657151034609406</v>
      </c>
      <c r="S1279" s="66"/>
      <c r="T1279" s="74"/>
      <c r="U1279" s="53">
        <f>P_2_minQ+(U1276^2*R_dn)-dpdn_minQ</f>
        <v>24.707876417369139</v>
      </c>
      <c r="V1279" s="45"/>
      <c r="W1279" s="74"/>
      <c r="X1279" s="53">
        <f>P_2_minQ+(X1276^2*R_dn)-dpdn_minQ</f>
        <v>24.951230919921514</v>
      </c>
      <c r="Y1279" s="45"/>
      <c r="Z1279" s="74"/>
      <c r="AA1279" s="53">
        <f>P_2_minQ+(AA1276^2*R_dn)-dpdn_minQ</f>
        <v>25.730276799407857</v>
      </c>
      <c r="AB1279" s="45"/>
      <c r="AC1279" s="74"/>
      <c r="AD1279" s="53">
        <f>P_2_minQ+(AD1276^2*R_dn)-dpdn_minQ</f>
        <v>27.560403716719303</v>
      </c>
      <c r="AE1279" s="45"/>
      <c r="AF1279" s="74"/>
      <c r="AG1279" s="53">
        <f>P_2_minQ+(AG1276^2*R_dn)-dpdn_minQ</f>
        <v>31.093297389028127</v>
      </c>
      <c r="AH1279" s="45"/>
      <c r="AI1279" s="74"/>
      <c r="AJ1279" s="53">
        <f>P_2_minQ+(AJ1276^2*R_dn)-dpdn_minQ</f>
        <v>36.119584404151936</v>
      </c>
      <c r="AK1279" s="45"/>
      <c r="AL1279" s="74"/>
      <c r="AM1279" s="53">
        <f>P_2_minQ+(AM1276^2*R_dn)-dpdn_minQ</f>
        <v>41.723337985837894</v>
      </c>
      <c r="AN1279" s="45"/>
      <c r="AO1279" s="74"/>
      <c r="AP1279" s="53">
        <f>P_2_minQ+(AP1276^2*R_dn)-dpdn_minQ</f>
        <v>47.659924674735251</v>
      </c>
      <c r="AQ1279" s="45"/>
      <c r="AR1279" s="74"/>
      <c r="AS1279" s="53">
        <f>P_2_minQ+(AS1276^2*R_dn)-dpdn_minQ</f>
        <v>54.451750954771107</v>
      </c>
      <c r="AT1279" s="45"/>
      <c r="AU1279" s="74"/>
    </row>
    <row r="1280" spans="15:47" x14ac:dyDescent="0.25">
      <c r="O1280" s="6" t="s">
        <v>243</v>
      </c>
      <c r="Q1280" s="60"/>
      <c r="R1280" s="53">
        <f>R1278-R1279</f>
        <v>32.257093792343575</v>
      </c>
      <c r="S1280" s="56"/>
      <c r="T1280" s="72"/>
      <c r="U1280" s="64">
        <f>U1278-U1279</f>
        <v>31.952741495785173</v>
      </c>
      <c r="V1280" s="44"/>
      <c r="W1280" s="72"/>
      <c r="X1280" s="64">
        <f>X1278-X1279</f>
        <v>30.49261448047092</v>
      </c>
      <c r="Y1280" s="44"/>
      <c r="Z1280" s="72"/>
      <c r="AA1280" s="64">
        <f>AA1278-AA1279</f>
        <v>25.81833920355287</v>
      </c>
      <c r="AB1280" s="44"/>
      <c r="AC1280" s="72"/>
      <c r="AD1280" s="64">
        <f>AD1278-AD1279</f>
        <v>14.837577699684186</v>
      </c>
      <c r="AE1280" s="44"/>
      <c r="AF1280" s="72"/>
      <c r="AG1280" s="64">
        <f>AG1278-AG1279</f>
        <v>-6.3597843341687579</v>
      </c>
      <c r="AH1280" s="44"/>
      <c r="AI1280" s="72"/>
      <c r="AJ1280" s="64">
        <f>AJ1278-AJ1279</f>
        <v>-36.517506424911616</v>
      </c>
      <c r="AK1280" s="44"/>
      <c r="AL1280" s="72"/>
      <c r="AM1280" s="64">
        <f>AM1278-AM1279</f>
        <v>-70.14002791502736</v>
      </c>
      <c r="AN1280" s="44"/>
      <c r="AO1280" s="72"/>
      <c r="AP1280" s="64">
        <f>AP1278-AP1279</f>
        <v>-105.75954804841149</v>
      </c>
      <c r="AQ1280" s="44"/>
      <c r="AR1280" s="72"/>
      <c r="AS1280" s="64">
        <f>AS1278-AS1279</f>
        <v>-146.51050572862664</v>
      </c>
      <c r="AT1280" s="44"/>
      <c r="AU1280" s="72"/>
    </row>
    <row r="1281" spans="15:47" ht="13" x14ac:dyDescent="0.3">
      <c r="O1281" s="6" t="s">
        <v>75</v>
      </c>
      <c r="P1281" s="6">
        <v>3</v>
      </c>
      <c r="Q1281" s="65"/>
      <c r="R1281" s="85">
        <f>(F_LP_h/F_P_h)^2*(R1278-('Valve Sizing'!$V$4*'Valve Sizing'!$G$7))</f>
        <v>46.763591293439561</v>
      </c>
      <c r="S1281" s="58"/>
      <c r="T1281" s="73"/>
      <c r="U1281" s="53">
        <f>(U$29/U$27)^2*(U1278-('Valve Sizing'!$V$4*'Valve Sizing'!$G$7))</f>
        <v>46.540886314622142</v>
      </c>
      <c r="V1281" s="41"/>
      <c r="W1281" s="73"/>
      <c r="X1281" s="53">
        <f>(X$29/X$27)^2*(X1278-('Valve Sizing'!$V$4*'Valve Sizing'!$G$7))</f>
        <v>44.506510925265488</v>
      </c>
      <c r="Y1281" s="41"/>
      <c r="Z1281" s="73"/>
      <c r="AA1281" s="53">
        <f>(AA$29/AA$27)^2*(AA1278-('Valve Sizing'!$V$4*'Valve Sizing'!$G$7))</f>
        <v>39.496551867890979</v>
      </c>
      <c r="AB1281" s="41"/>
      <c r="AC1281" s="73"/>
      <c r="AD1281" s="53">
        <f>(AD$29/AD$27)^2*(AD1278-('Valve Sizing'!$V$4*'Valve Sizing'!$G$7))</f>
        <v>30.2595262378942</v>
      </c>
      <c r="AE1281" s="41"/>
      <c r="AF1281" s="73"/>
      <c r="AG1281" s="53">
        <f>(AG$29/AG$27)^2*(AG1278-('Valve Sizing'!$V$4*'Valve Sizing'!$G$7))</f>
        <v>15.646052994625096</v>
      </c>
      <c r="AH1281" s="41"/>
      <c r="AI1281" s="73"/>
      <c r="AJ1281" s="53">
        <f>(AJ$29/AJ$27)^2*(AJ1278-('Valve Sizing'!$V$4*'Valve Sizing'!$G$7))</f>
        <v>-0.48465756626150619</v>
      </c>
      <c r="AK1281" s="41"/>
      <c r="AL1281" s="73"/>
      <c r="AM1281" s="53">
        <f>(AM$29/AM$27)^2*(AM1278-('Valve Sizing'!$V$4*'Valve Sizing'!$G$7))</f>
        <v>-13.807150045224517</v>
      </c>
      <c r="AN1281" s="41"/>
      <c r="AO1281" s="73"/>
      <c r="AP1281" s="53">
        <f>(AP$29/AP$27)^2*(AP1278-('Valve Sizing'!$V$4*'Valve Sizing'!$G$7))</f>
        <v>-23.101328604428126</v>
      </c>
      <c r="AQ1281" s="41"/>
      <c r="AR1281" s="73"/>
      <c r="AS1281" s="53">
        <f>(AS$29/AS$27)^2*(AS1278-('Valve Sizing'!$V$4*'Valve Sizing'!$G$7))</f>
        <v>-34.792576765900833</v>
      </c>
      <c r="AT1281" s="41"/>
      <c r="AU1281" s="73"/>
    </row>
    <row r="1282" spans="15:47" ht="13" x14ac:dyDescent="0.25">
      <c r="O1282" s="1" t="s">
        <v>69</v>
      </c>
      <c r="P1282" s="17">
        <v>7</v>
      </c>
      <c r="Q1282" s="65"/>
      <c r="R1282" s="53">
        <f>(R1276/(N_1*F_P_h))*SQRT('Valve Sizing'!$G$6/R1280)</f>
        <v>1.3202625554311622</v>
      </c>
      <c r="S1282" s="58"/>
      <c r="T1282" s="73"/>
      <c r="U1282" s="64">
        <f>(U1276/(N_1*U$27))*SQRT('Valve Sizing'!$G$6/U1280)</f>
        <v>15.400958445688659</v>
      </c>
      <c r="V1282" s="41"/>
      <c r="W1282" s="73"/>
      <c r="X1282" s="64">
        <f>(X1276/(N_1*X$27))*SQRT('Valve Sizing'!$G$6/X1280)</f>
        <v>37.928006838474431</v>
      </c>
      <c r="Y1282" s="41"/>
      <c r="Z1282" s="73"/>
      <c r="AA1282" s="64">
        <f>(AA1276/(N_1*AA$27))*SQRT('Valve Sizing'!$G$6/AA1280)</f>
        <v>79.154174126711766</v>
      </c>
      <c r="AB1282" s="41"/>
      <c r="AC1282" s="73"/>
      <c r="AD1282" s="64">
        <f>(AD1276/(N_1*AD$27))*SQRT('Valve Sizing'!$G$6/AD1280)</f>
        <v>173.88029241076561</v>
      </c>
      <c r="AE1282" s="41"/>
      <c r="AF1282" s="73"/>
      <c r="AG1282" s="64" t="e">
        <f>(AG1276/(N_1*AG$27))*SQRT('Valve Sizing'!$G$6/AG1280)</f>
        <v>#NUM!</v>
      </c>
      <c r="AH1282" s="41"/>
      <c r="AI1282" s="73"/>
      <c r="AJ1282" s="64" t="e">
        <f>(AJ1276/(N_1*AJ$27))*SQRT('Valve Sizing'!$G$6/AJ1280)</f>
        <v>#NUM!</v>
      </c>
      <c r="AK1282" s="41"/>
      <c r="AL1282" s="73"/>
      <c r="AM1282" s="64" t="e">
        <f>(AM1276/(N_1*AM$27))*SQRT('Valve Sizing'!$G$6/AM1280)</f>
        <v>#NUM!</v>
      </c>
      <c r="AN1282" s="41"/>
      <c r="AO1282" s="73"/>
      <c r="AP1282" s="64" t="e">
        <f>(AP1276/(N_1*AP$27))*SQRT('Valve Sizing'!$G$6/AP1280)</f>
        <v>#NUM!</v>
      </c>
      <c r="AQ1282" s="41"/>
      <c r="AR1282" s="73"/>
      <c r="AS1282" s="64" t="e">
        <f>(AS1276/(N_1*AS$27))*SQRT('Valve Sizing'!$G$6/AS1280)</f>
        <v>#NUM!</v>
      </c>
      <c r="AT1282" s="41"/>
      <c r="AU1282" s="73"/>
    </row>
    <row r="1283" spans="15:47" ht="13" x14ac:dyDescent="0.3">
      <c r="O1283" s="1" t="s">
        <v>72</v>
      </c>
      <c r="P1283" s="17">
        <v>7</v>
      </c>
      <c r="Q1283" s="65"/>
      <c r="R1283" s="53">
        <f>(R1276/(N_1*F_P_h))*SQRT('Valve Sizing'!$G$6/R1281)</f>
        <v>1.0965261586438839</v>
      </c>
      <c r="S1283" s="56"/>
      <c r="T1283" s="72"/>
      <c r="U1283" s="85">
        <f>(U1276/(N_1*U$27))*SQRT('Valve Sizing'!$G$6/U1281)</f>
        <v>12.760993492181024</v>
      </c>
      <c r="V1283" s="44"/>
      <c r="W1283" s="72"/>
      <c r="X1283" s="85">
        <f>(X1276/(N_1*X$27))*SQRT('Valve Sizing'!$G$6/X1281)</f>
        <v>31.393922187072285</v>
      </c>
      <c r="Y1283" s="44"/>
      <c r="Z1283" s="72"/>
      <c r="AA1283" s="85">
        <f>(AA1276/(N_1*AA$27))*SQRT('Valve Sizing'!$G$6/AA1281)</f>
        <v>63.996818147079246</v>
      </c>
      <c r="AB1283" s="44"/>
      <c r="AC1283" s="72"/>
      <c r="AD1283" s="85">
        <f>(AD1276/(N_1*AD$27))*SQRT('Valve Sizing'!$G$6/AD1281)</f>
        <v>121.75892438606715</v>
      </c>
      <c r="AE1283" s="44"/>
      <c r="AF1283" s="72"/>
      <c r="AG1283" s="85">
        <f>(AG1276/(N_1*AG$27))*SQRT('Valve Sizing'!$G$6/AG1281)</f>
        <v>257.73157452598861</v>
      </c>
      <c r="AH1283" s="44"/>
      <c r="AI1283" s="72"/>
      <c r="AJ1283" s="85" t="e">
        <f>(AJ1276/(N_1*AJ$27))*SQRT('Valve Sizing'!$G$6/AJ1281)</f>
        <v>#NUM!</v>
      </c>
      <c r="AK1283" s="44"/>
      <c r="AL1283" s="72"/>
      <c r="AM1283" s="85" t="e">
        <f>(AM1276/(N_1*AM$27))*SQRT('Valve Sizing'!$G$6/AM1281)</f>
        <v>#NUM!</v>
      </c>
      <c r="AN1283" s="44"/>
      <c r="AO1283" s="72"/>
      <c r="AP1283" s="85" t="e">
        <f>(AP1276/(N_1*AP$27))*SQRT('Valve Sizing'!$G$6/AP1281)</f>
        <v>#NUM!</v>
      </c>
      <c r="AQ1283" s="44"/>
      <c r="AR1283" s="72"/>
      <c r="AS1283" s="85" t="e">
        <f>(AS1276/(N_1*AS$27))*SQRT('Valve Sizing'!$G$6/AS1281)</f>
        <v>#NUM!</v>
      </c>
      <c r="AT1283" s="44"/>
      <c r="AU1283" s="72"/>
    </row>
    <row r="1284" spans="15:47" x14ac:dyDescent="0.25">
      <c r="O1284" s="1" t="s">
        <v>246</v>
      </c>
      <c r="P1284" s="18"/>
      <c r="Q1284" s="65"/>
      <c r="R1284" s="53">
        <f>IF(R1280&lt;R1281,R1282,R1283)</f>
        <v>1.3202625554311622</v>
      </c>
      <c r="S1284" s="49"/>
      <c r="T1284" s="72"/>
      <c r="U1284" s="64">
        <f>IF(U1280&lt;U1281,U1282,U1283)</f>
        <v>15.400958445688659</v>
      </c>
      <c r="V1284" s="44"/>
      <c r="W1284" s="72"/>
      <c r="X1284" s="64">
        <f>IF(X1280&lt;X1281,X1282,X1283)</f>
        <v>37.928006838474431</v>
      </c>
      <c r="Y1284" s="44"/>
      <c r="Z1284" s="72"/>
      <c r="AA1284" s="64">
        <f>IF(AA1280&lt;AA1281,AA1282,AA1283)</f>
        <v>79.154174126711766</v>
      </c>
      <c r="AB1284" s="44"/>
      <c r="AC1284" s="72"/>
      <c r="AD1284" s="64">
        <f>IF(AD1280&lt;AD1281,AD1282,AD1283)</f>
        <v>173.88029241076561</v>
      </c>
      <c r="AE1284" s="44"/>
      <c r="AF1284" s="72"/>
      <c r="AG1284" s="64" t="e">
        <f>IF(AG1280&lt;AG1281,AG1282,AG1283)</f>
        <v>#NUM!</v>
      </c>
      <c r="AH1284" s="44"/>
      <c r="AI1284" s="72"/>
      <c r="AJ1284" s="64" t="e">
        <f>IF(AJ1280&lt;AJ1281,AJ1282,AJ1283)</f>
        <v>#NUM!</v>
      </c>
      <c r="AK1284" s="44"/>
      <c r="AL1284" s="72"/>
      <c r="AM1284" s="64" t="e">
        <f>IF(AM1280&lt;AM1281,AM1282,AM1283)</f>
        <v>#NUM!</v>
      </c>
      <c r="AN1284" s="44"/>
      <c r="AO1284" s="72"/>
      <c r="AP1284" s="64" t="e">
        <f>IF(AP1280&lt;AP1281,AP1282,AP1283)</f>
        <v>#NUM!</v>
      </c>
      <c r="AQ1284" s="44"/>
      <c r="AR1284" s="72"/>
      <c r="AS1284" s="64" t="e">
        <f>IF(AS1280&lt;AS1281,AS1282,AS1283)</f>
        <v>#NUM!</v>
      </c>
      <c r="AT1284" s="44"/>
      <c r="AU1284" s="72"/>
    </row>
    <row r="1285" spans="15:47" ht="13" x14ac:dyDescent="0.3">
      <c r="O1285" s="7" t="s">
        <v>264</v>
      </c>
      <c r="Q1285" s="61"/>
      <c r="R1285" s="53"/>
      <c r="S1285" s="69">
        <f>IFERROR(ABS(C_h-R1284),Q_max*10)</f>
        <v>3.679737444568838</v>
      </c>
      <c r="T1285" s="76">
        <f>R1276</f>
        <v>7.49737780309008</v>
      </c>
      <c r="U1285" s="61"/>
      <c r="V1285" s="69">
        <f>IFERROR(ABS(U$23-U1284),Q_max*10)</f>
        <v>3.4009584456886586</v>
      </c>
      <c r="W1285" s="75">
        <f>U1276</f>
        <v>86.983352381365435</v>
      </c>
      <c r="X1285" s="61"/>
      <c r="Y1285" s="69">
        <f>IFERROR(ABS(X$23-X1284),Q_max*10)</f>
        <v>14.928006838474431</v>
      </c>
      <c r="Z1285" s="75">
        <f>X1276</f>
        <v>208.7935288613609</v>
      </c>
      <c r="AA1285" s="61"/>
      <c r="AB1285" s="69">
        <f>IFERROR(ABS(AA$23-AA1284),Q_max*10)</f>
        <v>40.154174126711766</v>
      </c>
      <c r="AC1285" s="75">
        <f>AA1276</f>
        <v>398.66336695554668</v>
      </c>
      <c r="AD1285" s="61"/>
      <c r="AE1285" s="69">
        <f>IFERROR(ABS(AD$23-AD1284),Q_max*10)</f>
        <v>112.88029241076561</v>
      </c>
      <c r="AF1285" s="75">
        <f>AD1276</f>
        <v>655.6544594985171</v>
      </c>
      <c r="AG1285" s="61"/>
      <c r="AH1285" s="69">
        <f>IFERROR(ABS(AG$23-AG1284),Q_max*10)</f>
        <v>5500</v>
      </c>
      <c r="AI1285" s="75">
        <f>AG1276</f>
        <v>976.18014651272949</v>
      </c>
      <c r="AJ1285" s="61"/>
      <c r="AK1285" s="69">
        <f>IFERROR(ABS(AJ$23-AJ1284),Q_max*10)</f>
        <v>5500</v>
      </c>
      <c r="AL1285" s="75">
        <f>AJ1276</f>
        <v>1302.7161897492078</v>
      </c>
      <c r="AM1285" s="61"/>
      <c r="AN1285" s="69">
        <f>IFERROR(ABS(AM$23-AM1284),Q_max*10)</f>
        <v>5500</v>
      </c>
      <c r="AO1285" s="75">
        <f>AM1276</f>
        <v>1589.5613196109484</v>
      </c>
      <c r="AP1285" s="61"/>
      <c r="AQ1285" s="69">
        <f>IFERROR(ABS(AP$23-AP1284),Q_max*10)</f>
        <v>5500</v>
      </c>
      <c r="AR1285" s="75">
        <f>AP1276</f>
        <v>1845.4313447252794</v>
      </c>
      <c r="AS1285" s="61"/>
      <c r="AT1285" s="69">
        <f>IFERROR(ABS(AS$23-AS1284),Q_max*10)</f>
        <v>5500</v>
      </c>
      <c r="AU1285" s="75">
        <f>AS1276</f>
        <v>2100.2730129328097</v>
      </c>
    </row>
    <row r="1286" spans="15:47" ht="14.5" x14ac:dyDescent="0.35">
      <c r="O1286" s="6"/>
      <c r="P1286" s="6"/>
      <c r="Q1286" s="60"/>
      <c r="R1286" s="67"/>
      <c r="S1286" s="66"/>
      <c r="T1286" s="74"/>
      <c r="V1286" s="11"/>
      <c r="W1286" s="38"/>
      <c r="Y1286" s="11"/>
      <c r="Z1286" s="38"/>
      <c r="AB1286" s="11"/>
      <c r="AC1286" s="38"/>
      <c r="AE1286" s="11"/>
      <c r="AF1286" s="38"/>
      <c r="AH1286" s="11"/>
      <c r="AI1286" s="38"/>
      <c r="AK1286" s="11"/>
      <c r="AL1286" s="38"/>
      <c r="AN1286" s="11"/>
      <c r="AO1286" s="38"/>
      <c r="AQ1286" s="11"/>
      <c r="AR1286" s="38"/>
      <c r="AT1286" s="11"/>
      <c r="AU1286" s="38"/>
    </row>
    <row r="1287" spans="15:47" ht="14" x14ac:dyDescent="0.3">
      <c r="O1287" s="8" t="s">
        <v>235</v>
      </c>
      <c r="P1287" s="6"/>
      <c r="Q1287" s="60"/>
      <c r="R1287" s="53">
        <f>R1276*1.02</f>
        <v>7.6473253591518819</v>
      </c>
      <c r="S1287" s="58" t="s">
        <v>238</v>
      </c>
      <c r="T1287" s="73" t="s">
        <v>241</v>
      </c>
      <c r="U1287" s="84">
        <f>U1276*1.01</f>
        <v>87.853185905179089</v>
      </c>
      <c r="V1287" s="58" t="s">
        <v>238</v>
      </c>
      <c r="W1287" s="73" t="s">
        <v>241</v>
      </c>
      <c r="X1287" s="84">
        <f>X1276*1.01</f>
        <v>210.88146414997451</v>
      </c>
      <c r="Y1287" s="58" t="s">
        <v>238</v>
      </c>
      <c r="Z1287" s="73" t="s">
        <v>241</v>
      </c>
      <c r="AA1287" s="84">
        <f>AA1276*1.01</f>
        <v>402.65000062510217</v>
      </c>
      <c r="AB1287" s="58" t="s">
        <v>238</v>
      </c>
      <c r="AC1287" s="73" t="s">
        <v>241</v>
      </c>
      <c r="AD1287" s="84">
        <f>AD1276*1.01</f>
        <v>662.21100409350231</v>
      </c>
      <c r="AE1287" s="58" t="s">
        <v>238</v>
      </c>
      <c r="AF1287" s="73" t="s">
        <v>241</v>
      </c>
      <c r="AG1287" s="84">
        <f>AG1276*1.01</f>
        <v>985.94194797785678</v>
      </c>
      <c r="AH1287" s="58" t="s">
        <v>238</v>
      </c>
      <c r="AI1287" s="73" t="s">
        <v>241</v>
      </c>
      <c r="AJ1287" s="84">
        <f>AJ1276*1.01</f>
        <v>1315.7433516466999</v>
      </c>
      <c r="AK1287" s="58" t="s">
        <v>238</v>
      </c>
      <c r="AL1287" s="73" t="s">
        <v>241</v>
      </c>
      <c r="AM1287" s="84">
        <f>AM1276*1.01</f>
        <v>1605.4569328070579</v>
      </c>
      <c r="AN1287" s="58" t="s">
        <v>238</v>
      </c>
      <c r="AO1287" s="73" t="s">
        <v>241</v>
      </c>
      <c r="AP1287" s="84">
        <f>AP1276*1.01</f>
        <v>1863.8856581725322</v>
      </c>
      <c r="AQ1287" s="58" t="s">
        <v>238</v>
      </c>
      <c r="AR1287" s="73" t="s">
        <v>241</v>
      </c>
      <c r="AS1287" s="84">
        <f>AS1276*1.01</f>
        <v>2121.2757430621377</v>
      </c>
      <c r="AT1287" s="58" t="s">
        <v>238</v>
      </c>
      <c r="AU1287" s="73" t="s">
        <v>241</v>
      </c>
    </row>
    <row r="1288" spans="15:47" ht="13" x14ac:dyDescent="0.25">
      <c r="O1288" s="6"/>
      <c r="P1288" s="6"/>
      <c r="Q1288" s="60"/>
      <c r="R1288" s="70"/>
      <c r="S1288" s="63" t="s">
        <v>250</v>
      </c>
      <c r="T1288" s="71" t="s">
        <v>242</v>
      </c>
      <c r="U1288" s="61"/>
      <c r="V1288" s="63" t="s">
        <v>250</v>
      </c>
      <c r="W1288" s="71" t="s">
        <v>242</v>
      </c>
      <c r="X1288" s="61"/>
      <c r="Y1288" s="63" t="s">
        <v>250</v>
      </c>
      <c r="Z1288" s="71" t="s">
        <v>242</v>
      </c>
      <c r="AA1288" s="61"/>
      <c r="AB1288" s="63" t="s">
        <v>250</v>
      </c>
      <c r="AC1288" s="71" t="s">
        <v>242</v>
      </c>
      <c r="AD1288" s="61"/>
      <c r="AE1288" s="63" t="s">
        <v>250</v>
      </c>
      <c r="AF1288" s="71" t="s">
        <v>242</v>
      </c>
      <c r="AG1288" s="61"/>
      <c r="AH1288" s="63" t="s">
        <v>250</v>
      </c>
      <c r="AI1288" s="71" t="s">
        <v>242</v>
      </c>
      <c r="AJ1288" s="61"/>
      <c r="AK1288" s="63" t="s">
        <v>250</v>
      </c>
      <c r="AL1288" s="71" t="s">
        <v>242</v>
      </c>
      <c r="AM1288" s="61"/>
      <c r="AN1288" s="63" t="s">
        <v>250</v>
      </c>
      <c r="AO1288" s="71" t="s">
        <v>242</v>
      </c>
      <c r="AP1288" s="61"/>
      <c r="AQ1288" s="63" t="s">
        <v>250</v>
      </c>
      <c r="AR1288" s="71" t="s">
        <v>242</v>
      </c>
      <c r="AS1288" s="61"/>
      <c r="AT1288" s="63" t="s">
        <v>250</v>
      </c>
      <c r="AU1288" s="71" t="s">
        <v>242</v>
      </c>
    </row>
    <row r="1289" spans="15:47" ht="13" x14ac:dyDescent="0.3">
      <c r="O1289" s="6" t="s">
        <v>231</v>
      </c>
      <c r="P1289" s="6"/>
      <c r="Q1289" s="60"/>
      <c r="R1289" s="85">
        <f>P_1_minQ-(R1287^2*R_up)+dpup_minQ</f>
        <v>56.914168132889273</v>
      </c>
      <c r="S1289" s="56"/>
      <c r="T1289" s="72"/>
      <c r="U1289" s="53">
        <f>P_1_minQ-(U1287^2*R_up)+dpup_minQ</f>
        <v>56.655481854991898</v>
      </c>
      <c r="V1289" s="44"/>
      <c r="W1289" s="72"/>
      <c r="X1289" s="53">
        <f>P_1_minQ-(X1287^2*R_up)+dpup_minQ</f>
        <v>55.414252214723504</v>
      </c>
      <c r="Y1289" s="44"/>
      <c r="Z1289" s="72"/>
      <c r="AA1289" s="53">
        <f>P_1_minQ-(AA1287^2*R_up)+dpup_minQ</f>
        <v>51.440728706403419</v>
      </c>
      <c r="AB1289" s="44"/>
      <c r="AC1289" s="72"/>
      <c r="AD1289" s="53">
        <f>P_1_minQ-(AD1287^2*R_up)+dpup_minQ</f>
        <v>42.106166364656382</v>
      </c>
      <c r="AE1289" s="44"/>
      <c r="AF1289" s="72"/>
      <c r="AG1289" s="53">
        <f>P_1_minQ-(AG1287^2*R_up)+dpup_minQ</f>
        <v>24.086642189045225</v>
      </c>
      <c r="AH1289" s="44"/>
      <c r="AI1289" s="72"/>
      <c r="AJ1289" s="53">
        <f>P_1_minQ-(AJ1287^2*R_up)+dpup_minQ</f>
        <v>-1.5499347315937628</v>
      </c>
      <c r="AK1289" s="44"/>
      <c r="AL1289" s="72"/>
      <c r="AM1289" s="53">
        <f>P_1_minQ-(AM1287^2*R_up)+dpup_minQ</f>
        <v>-30.131879874982989</v>
      </c>
      <c r="AN1289" s="44"/>
      <c r="AO1289" s="72"/>
      <c r="AP1289" s="53">
        <f>P_1_minQ-(AP1287^2*R_up)+dpup_minQ</f>
        <v>-60.411440281703939</v>
      </c>
      <c r="AQ1289" s="44"/>
      <c r="AR1289" s="72"/>
      <c r="AS1289" s="53">
        <f>P_1_minQ-(AS1287^2*R_up)+dpup_minQ</f>
        <v>-95.053150223026847</v>
      </c>
      <c r="AT1289" s="44"/>
      <c r="AU1289" s="72"/>
    </row>
    <row r="1290" spans="15:47" ht="13" x14ac:dyDescent="0.3">
      <c r="O1290" s="6" t="s">
        <v>233</v>
      </c>
      <c r="P1290" s="6"/>
      <c r="Q1290" s="60"/>
      <c r="R1290" s="85">
        <f>P_2_minQ+(R1287^2*R_dn)-dpdn_minQ</f>
        <v>24.657166373422147</v>
      </c>
      <c r="S1290" s="66"/>
      <c r="T1290" s="74"/>
      <c r="U1290" s="53">
        <f>P_2_minQ+(U1287^2*R_dn)-dpdn_minQ</f>
        <v>24.708903629001622</v>
      </c>
      <c r="V1290" s="45"/>
      <c r="W1290" s="74"/>
      <c r="X1290" s="53">
        <f>P_2_minQ+(X1287^2*R_dn)-dpdn_minQ</f>
        <v>24.957149557055299</v>
      </c>
      <c r="Y1290" s="45"/>
      <c r="Z1290" s="74"/>
      <c r="AA1290" s="53">
        <f>P_2_minQ+(AA1287^2*R_dn)-dpdn_minQ</f>
        <v>25.751854258719316</v>
      </c>
      <c r="AB1290" s="45"/>
      <c r="AC1290" s="74"/>
      <c r="AD1290" s="53">
        <f>P_2_minQ+(AD1287^2*R_dn)-dpdn_minQ</f>
        <v>27.618766727068724</v>
      </c>
      <c r="AE1290" s="45"/>
      <c r="AF1290" s="74"/>
      <c r="AG1290" s="53">
        <f>P_2_minQ+(AG1287^2*R_dn)-dpdn_minQ</f>
        <v>31.222671562190957</v>
      </c>
      <c r="AH1290" s="45"/>
      <c r="AI1290" s="74"/>
      <c r="AJ1290" s="53">
        <f>P_2_minQ+(AJ1287^2*R_dn)-dpdn_minQ</f>
        <v>36.349986946318758</v>
      </c>
      <c r="AK1290" s="45"/>
      <c r="AL1290" s="74"/>
      <c r="AM1290" s="53">
        <f>P_2_minQ+(AM1287^2*R_dn)-dpdn_minQ</f>
        <v>42.066375974996603</v>
      </c>
      <c r="AN1290" s="45"/>
      <c r="AO1290" s="74"/>
      <c r="AP1290" s="53">
        <f>P_2_minQ+(AP1287^2*R_dn)-dpdn_minQ</f>
        <v>48.122288056340793</v>
      </c>
      <c r="AQ1290" s="45"/>
      <c r="AR1290" s="74"/>
      <c r="AS1290" s="53">
        <f>P_2_minQ+(AS1287^2*R_dn)-dpdn_minQ</f>
        <v>55.05063004460537</v>
      </c>
      <c r="AT1290" s="45"/>
      <c r="AU1290" s="74"/>
    </row>
    <row r="1291" spans="15:47" x14ac:dyDescent="0.25">
      <c r="O1291" s="6" t="s">
        <v>243</v>
      </c>
      <c r="Q1291" s="60"/>
      <c r="R1291" s="53">
        <f>R1289-R1290</f>
        <v>32.25700175946713</v>
      </c>
      <c r="S1291" s="56"/>
      <c r="T1291" s="72"/>
      <c r="U1291" s="64">
        <f>U1289-U1290</f>
        <v>31.946578225990276</v>
      </c>
      <c r="V1291" s="44"/>
      <c r="W1291" s="72"/>
      <c r="X1291" s="64">
        <f>X1289-X1290</f>
        <v>30.457102657668205</v>
      </c>
      <c r="Y1291" s="44"/>
      <c r="Z1291" s="72"/>
      <c r="AA1291" s="64">
        <f>AA1289-AA1290</f>
        <v>25.688874447684103</v>
      </c>
      <c r="AB1291" s="44"/>
      <c r="AC1291" s="72"/>
      <c r="AD1291" s="64">
        <f>AD1289-AD1290</f>
        <v>14.487399637587657</v>
      </c>
      <c r="AE1291" s="44"/>
      <c r="AF1291" s="72"/>
      <c r="AG1291" s="64">
        <f>AG1289-AG1290</f>
        <v>-7.1360293731457318</v>
      </c>
      <c r="AH1291" s="44"/>
      <c r="AI1291" s="72"/>
      <c r="AJ1291" s="64">
        <f>AJ1289-AJ1290</f>
        <v>-37.899921677912523</v>
      </c>
      <c r="AK1291" s="44"/>
      <c r="AL1291" s="72"/>
      <c r="AM1291" s="64">
        <f>AM1289-AM1290</f>
        <v>-72.198255849979589</v>
      </c>
      <c r="AN1291" s="44"/>
      <c r="AO1291" s="72"/>
      <c r="AP1291" s="64">
        <f>AP1289-AP1290</f>
        <v>-108.53372833804474</v>
      </c>
      <c r="AQ1291" s="44"/>
      <c r="AR1291" s="72"/>
      <c r="AS1291" s="64">
        <f>AS1289-AS1290</f>
        <v>-150.1037802676322</v>
      </c>
      <c r="AT1291" s="44"/>
      <c r="AU1291" s="72"/>
    </row>
    <row r="1292" spans="15:47" ht="13" x14ac:dyDescent="0.3">
      <c r="O1292" s="6" t="s">
        <v>75</v>
      </c>
      <c r="P1292" s="6">
        <v>3</v>
      </c>
      <c r="Q1292" s="65"/>
      <c r="R1292" s="85">
        <f>(F_LP_h/F_P_h)^2*(R1289-('Valve Sizing'!$V$4*'Valve Sizing'!$G$7))</f>
        <v>46.763527786729142</v>
      </c>
      <c r="S1292" s="58"/>
      <c r="T1292" s="73"/>
      <c r="U1292" s="53">
        <f>(U$29/U$27)^2*(U1289-('Valve Sizing'!$V$4*'Valve Sizing'!$G$7))</f>
        <v>46.536634548044155</v>
      </c>
      <c r="V1292" s="41"/>
      <c r="W1292" s="73"/>
      <c r="X1292" s="53">
        <f>(X$29/X$27)^2*(X1289-('Valve Sizing'!$V$4*'Valve Sizing'!$G$7))</f>
        <v>44.482565493585064</v>
      </c>
      <c r="Y1292" s="41"/>
      <c r="Z1292" s="73"/>
      <c r="AA1292" s="53">
        <f>(AA$29/AA$27)^2*(AA1289-('Valve Sizing'!$V$4*'Valve Sizing'!$G$7))</f>
        <v>39.413176864892165</v>
      </c>
      <c r="AB1292" s="41"/>
      <c r="AC1292" s="73"/>
      <c r="AD1292" s="53">
        <f>(AD$29/AD$27)^2*(AD1289-('Valve Sizing'!$V$4*'Valve Sizing'!$G$7))</f>
        <v>30.049072897349863</v>
      </c>
      <c r="AE1292" s="41"/>
      <c r="AF1292" s="73"/>
      <c r="AG1292" s="53">
        <f>(AG$29/AG$27)^2*(AG1289-('Valve Sizing'!$V$4*'Valve Sizing'!$G$7))</f>
        <v>15.229439726300923</v>
      </c>
      <c r="AH1292" s="41"/>
      <c r="AI1292" s="73"/>
      <c r="AJ1292" s="53">
        <f>(AJ$29/AJ$27)^2*(AJ1289-('Valve Sizing'!$V$4*'Valve Sizing'!$G$7))</f>
        <v>-1.1509406320504183</v>
      </c>
      <c r="AK1292" s="41"/>
      <c r="AL1292" s="73"/>
      <c r="AM1292" s="53">
        <f>(AM$29/AM$27)^2*(AM1289-('Valve Sizing'!$V$4*'Valve Sizing'!$G$7))</f>
        <v>-14.627820665053846</v>
      </c>
      <c r="AN1292" s="41"/>
      <c r="AO1292" s="73"/>
      <c r="AP1292" s="53">
        <f>(AP$29/AP$27)^2*(AP1289-('Valve Sizing'!$V$4*'Valve Sizing'!$G$7))</f>
        <v>-24.013633576276604</v>
      </c>
      <c r="AQ1292" s="41"/>
      <c r="AR1292" s="73"/>
      <c r="AS1292" s="53">
        <f>(AS$29/AS$27)^2*(AS1289-('Valve Sizing'!$V$4*'Valve Sizing'!$G$7))</f>
        <v>-35.918891048012995</v>
      </c>
      <c r="AT1292" s="41"/>
      <c r="AU1292" s="73"/>
    </row>
    <row r="1293" spans="15:47" ht="13" x14ac:dyDescent="0.25">
      <c r="O1293" s="1" t="s">
        <v>69</v>
      </c>
      <c r="P1293" s="17">
        <v>7</v>
      </c>
      <c r="Q1293" s="65"/>
      <c r="R1293" s="53">
        <f>(R1287/(N_1*F_P_h))*SQRT('Valve Sizing'!$G$6/R1291)</f>
        <v>1.3466697276362407</v>
      </c>
      <c r="S1293" s="58"/>
      <c r="T1293" s="73"/>
      <c r="U1293" s="64">
        <f>(U1287/(N_1*U$27))*SQRT('Valve Sizing'!$G$6/U1291)</f>
        <v>15.556468423090642</v>
      </c>
      <c r="V1293" s="41"/>
      <c r="W1293" s="73"/>
      <c r="X1293" s="64">
        <f>(X1287/(N_1*X$27))*SQRT('Valve Sizing'!$G$6/X1291)</f>
        <v>38.329612820432047</v>
      </c>
      <c r="Y1293" s="41"/>
      <c r="Z1293" s="73"/>
      <c r="AA1293" s="64">
        <f>(AA1287/(N_1*AA$27))*SQRT('Valve Sizing'!$G$6/AA1291)</f>
        <v>80.146914735133578</v>
      </c>
      <c r="AB1293" s="41"/>
      <c r="AC1293" s="73"/>
      <c r="AD1293" s="64">
        <f>(AD1287/(N_1*AD$27))*SQRT('Valve Sizing'!$G$6/AD1291)</f>
        <v>177.72888592712076</v>
      </c>
      <c r="AE1293" s="41"/>
      <c r="AF1293" s="73"/>
      <c r="AG1293" s="64" t="e">
        <f>(AG1287/(N_1*AG$27))*SQRT('Valve Sizing'!$G$6/AG1291)</f>
        <v>#NUM!</v>
      </c>
      <c r="AH1293" s="41"/>
      <c r="AI1293" s="73"/>
      <c r="AJ1293" s="64" t="e">
        <f>(AJ1287/(N_1*AJ$27))*SQRT('Valve Sizing'!$G$6/AJ1291)</f>
        <v>#NUM!</v>
      </c>
      <c r="AK1293" s="41"/>
      <c r="AL1293" s="73"/>
      <c r="AM1293" s="64" t="e">
        <f>(AM1287/(N_1*AM$27))*SQRT('Valve Sizing'!$G$6/AM1291)</f>
        <v>#NUM!</v>
      </c>
      <c r="AN1293" s="41"/>
      <c r="AO1293" s="73"/>
      <c r="AP1293" s="64" t="e">
        <f>(AP1287/(N_1*AP$27))*SQRT('Valve Sizing'!$G$6/AP1291)</f>
        <v>#NUM!</v>
      </c>
      <c r="AQ1293" s="41"/>
      <c r="AR1293" s="73"/>
      <c r="AS1293" s="64" t="e">
        <f>(AS1287/(N_1*AS$27))*SQRT('Valve Sizing'!$G$6/AS1291)</f>
        <v>#NUM!</v>
      </c>
      <c r="AT1293" s="41"/>
      <c r="AU1293" s="73"/>
    </row>
    <row r="1294" spans="15:47" ht="13" x14ac:dyDescent="0.3">
      <c r="O1294" s="1" t="s">
        <v>72</v>
      </c>
      <c r="P1294" s="17">
        <v>7</v>
      </c>
      <c r="Q1294" s="65"/>
      <c r="R1294" s="53">
        <f>(R1287/(N_1*F_P_h))*SQRT('Valve Sizing'!$G$6/R1292)</f>
        <v>1.118457441270591</v>
      </c>
      <c r="S1294" s="56"/>
      <c r="T1294" s="72"/>
      <c r="U1294" s="85">
        <f>(U1287/(N_1*U$27))*SQRT('Valve Sizing'!$G$6/U1292)</f>
        <v>12.889192189936761</v>
      </c>
      <c r="V1294" s="44"/>
      <c r="W1294" s="72"/>
      <c r="X1294" s="85">
        <f>(X1287/(N_1*X$27))*SQRT('Valve Sizing'!$G$6/X1292)</f>
        <v>31.716394597946099</v>
      </c>
      <c r="Y1294" s="44"/>
      <c r="Z1294" s="72"/>
      <c r="AA1294" s="85">
        <f>(AA1287/(N_1*AA$27))*SQRT('Valve Sizing'!$G$6/AA1292)</f>
        <v>64.705116842085076</v>
      </c>
      <c r="AB1294" s="44"/>
      <c r="AC1294" s="72"/>
      <c r="AD1294" s="85">
        <f>(AD1287/(N_1*AD$27))*SQRT('Valve Sizing'!$G$6/AD1292)</f>
        <v>123.40640478004872</v>
      </c>
      <c r="AE1294" s="44"/>
      <c r="AF1294" s="72"/>
      <c r="AG1294" s="85">
        <f>(AG1287/(N_1*AG$27))*SQRT('Valve Sizing'!$G$6/AG1292)</f>
        <v>263.84534475764383</v>
      </c>
      <c r="AH1294" s="44"/>
      <c r="AI1294" s="72"/>
      <c r="AJ1294" s="85" t="e">
        <f>(AJ1287/(N_1*AJ$27))*SQRT('Valve Sizing'!$G$6/AJ1292)</f>
        <v>#NUM!</v>
      </c>
      <c r="AK1294" s="44"/>
      <c r="AL1294" s="72"/>
      <c r="AM1294" s="85" t="e">
        <f>(AM1287/(N_1*AM$27))*SQRT('Valve Sizing'!$G$6/AM1292)</f>
        <v>#NUM!</v>
      </c>
      <c r="AN1294" s="44"/>
      <c r="AO1294" s="72"/>
      <c r="AP1294" s="85" t="e">
        <f>(AP1287/(N_1*AP$27))*SQRT('Valve Sizing'!$G$6/AP1292)</f>
        <v>#NUM!</v>
      </c>
      <c r="AQ1294" s="44"/>
      <c r="AR1294" s="72"/>
      <c r="AS1294" s="85" t="e">
        <f>(AS1287/(N_1*AS$27))*SQRT('Valve Sizing'!$G$6/AS1292)</f>
        <v>#NUM!</v>
      </c>
      <c r="AT1294" s="44"/>
      <c r="AU1294" s="72"/>
    </row>
    <row r="1295" spans="15:47" x14ac:dyDescent="0.25">
      <c r="O1295" s="1" t="s">
        <v>246</v>
      </c>
      <c r="P1295" s="18"/>
      <c r="Q1295" s="65"/>
      <c r="R1295" s="53">
        <f>IF(R1291&lt;R1292,R1293,R1294)</f>
        <v>1.3466697276362407</v>
      </c>
      <c r="S1295" s="49"/>
      <c r="T1295" s="72"/>
      <c r="U1295" s="64">
        <f>IF(U1291&lt;U1292,U1293,U1294)</f>
        <v>15.556468423090642</v>
      </c>
      <c r="V1295" s="44"/>
      <c r="W1295" s="72"/>
      <c r="X1295" s="64">
        <f>IF(X1291&lt;X1292,X1293,X1294)</f>
        <v>38.329612820432047</v>
      </c>
      <c r="Y1295" s="44"/>
      <c r="Z1295" s="72"/>
      <c r="AA1295" s="64">
        <f>IF(AA1291&lt;AA1292,AA1293,AA1294)</f>
        <v>80.146914735133578</v>
      </c>
      <c r="AB1295" s="44"/>
      <c r="AC1295" s="72"/>
      <c r="AD1295" s="64">
        <f>IF(AD1291&lt;AD1292,AD1293,AD1294)</f>
        <v>177.72888592712076</v>
      </c>
      <c r="AE1295" s="44"/>
      <c r="AF1295" s="72"/>
      <c r="AG1295" s="64" t="e">
        <f>IF(AG1291&lt;AG1292,AG1293,AG1294)</f>
        <v>#NUM!</v>
      </c>
      <c r="AH1295" s="44"/>
      <c r="AI1295" s="72"/>
      <c r="AJ1295" s="64" t="e">
        <f>IF(AJ1291&lt;AJ1292,AJ1293,AJ1294)</f>
        <v>#NUM!</v>
      </c>
      <c r="AK1295" s="44"/>
      <c r="AL1295" s="72"/>
      <c r="AM1295" s="64" t="e">
        <f>IF(AM1291&lt;AM1292,AM1293,AM1294)</f>
        <v>#NUM!</v>
      </c>
      <c r="AN1295" s="44"/>
      <c r="AO1295" s="72"/>
      <c r="AP1295" s="64" t="e">
        <f>IF(AP1291&lt;AP1292,AP1293,AP1294)</f>
        <v>#NUM!</v>
      </c>
      <c r="AQ1295" s="44"/>
      <c r="AR1295" s="72"/>
      <c r="AS1295" s="64" t="e">
        <f>IF(AS1291&lt;AS1292,AS1293,AS1294)</f>
        <v>#NUM!</v>
      </c>
      <c r="AT1295" s="44"/>
      <c r="AU1295" s="72"/>
    </row>
    <row r="1296" spans="15:47" ht="13" x14ac:dyDescent="0.3">
      <c r="O1296" s="7" t="s">
        <v>264</v>
      </c>
      <c r="Q1296" s="61"/>
      <c r="R1296" s="53"/>
      <c r="S1296" s="69">
        <f>IFERROR(ABS(C_h-R1295),Q_max*10)</f>
        <v>3.6533302723637595</v>
      </c>
      <c r="T1296" s="76">
        <f>R1287</f>
        <v>7.6473253591518819</v>
      </c>
      <c r="U1296" s="61"/>
      <c r="V1296" s="69">
        <f>IFERROR(ABS(U$23-U1295),Q_max*10)</f>
        <v>3.5564684230906423</v>
      </c>
      <c r="W1296" s="75">
        <f>U1287</f>
        <v>87.853185905179089</v>
      </c>
      <c r="X1296" s="61"/>
      <c r="Y1296" s="69">
        <f>IFERROR(ABS(X$23-X1295),Q_max*10)</f>
        <v>15.329612820432047</v>
      </c>
      <c r="Z1296" s="75">
        <f>X1287</f>
        <v>210.88146414997451</v>
      </c>
      <c r="AA1296" s="61"/>
      <c r="AB1296" s="69">
        <f>IFERROR(ABS(AA$23-AA1295),Q_max*10)</f>
        <v>41.146914735133578</v>
      </c>
      <c r="AC1296" s="75">
        <f>AA1287</f>
        <v>402.65000062510217</v>
      </c>
      <c r="AD1296" s="61"/>
      <c r="AE1296" s="69">
        <f>IFERROR(ABS(AD$23-AD1295),Q_max*10)</f>
        <v>116.72888592712076</v>
      </c>
      <c r="AF1296" s="75">
        <f>AD1287</f>
        <v>662.21100409350231</v>
      </c>
      <c r="AG1296" s="61"/>
      <c r="AH1296" s="69">
        <f>IFERROR(ABS(AG$23-AG1295),Q_max*10)</f>
        <v>5500</v>
      </c>
      <c r="AI1296" s="75">
        <f>AG1287</f>
        <v>985.94194797785678</v>
      </c>
      <c r="AJ1296" s="61"/>
      <c r="AK1296" s="69">
        <f>IFERROR(ABS(AJ$23-AJ1295),Q_max*10)</f>
        <v>5500</v>
      </c>
      <c r="AL1296" s="75">
        <f>AJ1287</f>
        <v>1315.7433516466999</v>
      </c>
      <c r="AM1296" s="61"/>
      <c r="AN1296" s="69">
        <f>IFERROR(ABS(AM$23-AM1295),Q_max*10)</f>
        <v>5500</v>
      </c>
      <c r="AO1296" s="75">
        <f>AM1287</f>
        <v>1605.4569328070579</v>
      </c>
      <c r="AP1296" s="61"/>
      <c r="AQ1296" s="69">
        <f>IFERROR(ABS(AP$23-AP1295),Q_max*10)</f>
        <v>5500</v>
      </c>
      <c r="AR1296" s="75">
        <f>AP1287</f>
        <v>1863.8856581725322</v>
      </c>
      <c r="AS1296" s="61"/>
      <c r="AT1296" s="69">
        <f>IFERROR(ABS(AS$23-AS1295),Q_max*10)</f>
        <v>5500</v>
      </c>
      <c r="AU1296" s="75">
        <f>AS1287</f>
        <v>2121.2757430621377</v>
      </c>
    </row>
    <row r="1297" spans="15:47" ht="14.5" x14ac:dyDescent="0.35">
      <c r="O1297" s="6"/>
      <c r="P1297" s="6"/>
      <c r="Q1297" s="60"/>
      <c r="R1297" s="67"/>
      <c r="S1297" s="56"/>
      <c r="T1297" s="72"/>
      <c r="V1297" s="11"/>
      <c r="W1297" s="38"/>
      <c r="Y1297" s="11"/>
      <c r="Z1297" s="38"/>
      <c r="AB1297" s="11"/>
      <c r="AC1297" s="38"/>
      <c r="AE1297" s="11"/>
      <c r="AF1297" s="38"/>
      <c r="AH1297" s="11"/>
      <c r="AI1297" s="38"/>
      <c r="AK1297" s="11"/>
      <c r="AL1297" s="38"/>
      <c r="AN1297" s="11"/>
      <c r="AO1297" s="38"/>
      <c r="AQ1297" s="11"/>
      <c r="AR1297" s="38"/>
      <c r="AT1297" s="11"/>
      <c r="AU1297" s="38"/>
    </row>
    <row r="1298" spans="15:47" ht="14" x14ac:dyDescent="0.3">
      <c r="O1298" s="8" t="s">
        <v>235</v>
      </c>
      <c r="P1298" s="6"/>
      <c r="Q1298" s="60"/>
      <c r="R1298" s="53">
        <f>R1287*1.02</f>
        <v>7.8002718663349198</v>
      </c>
      <c r="S1298" s="58" t="s">
        <v>238</v>
      </c>
      <c r="T1298" s="73" t="s">
        <v>241</v>
      </c>
      <c r="U1298" s="84">
        <f>U1287*1.01</f>
        <v>88.731717764230879</v>
      </c>
      <c r="V1298" s="58" t="s">
        <v>238</v>
      </c>
      <c r="W1298" s="73" t="s">
        <v>241</v>
      </c>
      <c r="X1298" s="84">
        <f>X1287*1.01</f>
        <v>212.99027879147425</v>
      </c>
      <c r="Y1298" s="58" t="s">
        <v>238</v>
      </c>
      <c r="Z1298" s="73" t="s">
        <v>241</v>
      </c>
      <c r="AA1298" s="84">
        <f>AA1287*1.01</f>
        <v>406.67650063135318</v>
      </c>
      <c r="AB1298" s="58" t="s">
        <v>238</v>
      </c>
      <c r="AC1298" s="73" t="s">
        <v>241</v>
      </c>
      <c r="AD1298" s="84">
        <f>AD1287*1.01</f>
        <v>668.83311413443732</v>
      </c>
      <c r="AE1298" s="58" t="s">
        <v>238</v>
      </c>
      <c r="AF1298" s="73" t="s">
        <v>241</v>
      </c>
      <c r="AG1298" s="84">
        <f>AG1287*1.01</f>
        <v>995.80136745763537</v>
      </c>
      <c r="AH1298" s="58" t="s">
        <v>238</v>
      </c>
      <c r="AI1298" s="73" t="s">
        <v>241</v>
      </c>
      <c r="AJ1298" s="84">
        <f>AJ1287*1.01</f>
        <v>1328.900785163167</v>
      </c>
      <c r="AK1298" s="58" t="s">
        <v>238</v>
      </c>
      <c r="AL1298" s="73" t="s">
        <v>241</v>
      </c>
      <c r="AM1298" s="84">
        <f>AM1287*1.01</f>
        <v>1621.5115021351285</v>
      </c>
      <c r="AN1298" s="58" t="s">
        <v>238</v>
      </c>
      <c r="AO1298" s="73" t="s">
        <v>241</v>
      </c>
      <c r="AP1298" s="84">
        <f>AP1287*1.01</f>
        <v>1882.5245147542576</v>
      </c>
      <c r="AQ1298" s="58" t="s">
        <v>238</v>
      </c>
      <c r="AR1298" s="73" t="s">
        <v>241</v>
      </c>
      <c r="AS1298" s="84">
        <f>AS1287*1.01</f>
        <v>2142.4885004927592</v>
      </c>
      <c r="AT1298" s="58" t="s">
        <v>238</v>
      </c>
      <c r="AU1298" s="73" t="s">
        <v>241</v>
      </c>
    </row>
    <row r="1299" spans="15:47" ht="13" x14ac:dyDescent="0.25">
      <c r="O1299" s="6"/>
      <c r="P1299" s="6"/>
      <c r="Q1299" s="60"/>
      <c r="R1299" s="70"/>
      <c r="S1299" s="63" t="s">
        <v>250</v>
      </c>
      <c r="T1299" s="71" t="s">
        <v>242</v>
      </c>
      <c r="U1299" s="61"/>
      <c r="V1299" s="63" t="s">
        <v>250</v>
      </c>
      <c r="W1299" s="71" t="s">
        <v>242</v>
      </c>
      <c r="X1299" s="61"/>
      <c r="Y1299" s="63" t="s">
        <v>250</v>
      </c>
      <c r="Z1299" s="71" t="s">
        <v>242</v>
      </c>
      <c r="AA1299" s="61"/>
      <c r="AB1299" s="63" t="s">
        <v>250</v>
      </c>
      <c r="AC1299" s="71" t="s">
        <v>242</v>
      </c>
      <c r="AD1299" s="61"/>
      <c r="AE1299" s="63" t="s">
        <v>250</v>
      </c>
      <c r="AF1299" s="71" t="s">
        <v>242</v>
      </c>
      <c r="AG1299" s="61"/>
      <c r="AH1299" s="63" t="s">
        <v>250</v>
      </c>
      <c r="AI1299" s="71" t="s">
        <v>242</v>
      </c>
      <c r="AJ1299" s="61"/>
      <c r="AK1299" s="63" t="s">
        <v>250</v>
      </c>
      <c r="AL1299" s="71" t="s">
        <v>242</v>
      </c>
      <c r="AM1299" s="61"/>
      <c r="AN1299" s="63" t="s">
        <v>250</v>
      </c>
      <c r="AO1299" s="71" t="s">
        <v>242</v>
      </c>
      <c r="AP1299" s="61"/>
      <c r="AQ1299" s="63" t="s">
        <v>250</v>
      </c>
      <c r="AR1299" s="71" t="s">
        <v>242</v>
      </c>
      <c r="AS1299" s="61"/>
      <c r="AT1299" s="63" t="s">
        <v>250</v>
      </c>
      <c r="AU1299" s="71" t="s">
        <v>242</v>
      </c>
    </row>
    <row r="1300" spans="15:47" ht="13" x14ac:dyDescent="0.3">
      <c r="O1300" s="6" t="s">
        <v>231</v>
      </c>
      <c r="P1300" s="6"/>
      <c r="Q1300" s="60"/>
      <c r="R1300" s="85">
        <f>P_1_minQ-(R1298^2*R_up)+dpup_minQ</f>
        <v>56.914088340385383</v>
      </c>
      <c r="S1300" s="56"/>
      <c r="T1300" s="72"/>
      <c r="U1300" s="53">
        <f>P_1_minQ-(U1298^2*R_up)+dpup_minQ</f>
        <v>56.650242562060413</v>
      </c>
      <c r="V1300" s="44"/>
      <c r="W1300" s="72"/>
      <c r="X1300" s="53">
        <f>P_1_minQ-(X1298^2*R_up)+dpup_minQ</f>
        <v>55.384064206022629</v>
      </c>
      <c r="Y1300" s="44"/>
      <c r="Z1300" s="72"/>
      <c r="AA1300" s="53">
        <f>P_1_minQ-(AA1298^2*R_up)+dpup_minQ</f>
        <v>51.330672875185307</v>
      </c>
      <c r="AB1300" s="44"/>
      <c r="AC1300" s="72"/>
      <c r="AD1300" s="53">
        <f>P_1_minQ-(AD1298^2*R_up)+dpup_minQ</f>
        <v>41.808485830369158</v>
      </c>
      <c r="AE1300" s="44"/>
      <c r="AF1300" s="72"/>
      <c r="AG1300" s="53">
        <f>P_1_minQ-(AG1298^2*R_up)+dpup_minQ</f>
        <v>23.426769218828216</v>
      </c>
      <c r="AH1300" s="44"/>
      <c r="AI1300" s="72"/>
      <c r="AJ1300" s="53">
        <f>P_1_minQ-(AJ1298^2*R_up)+dpup_minQ</f>
        <v>-2.7251028979156375</v>
      </c>
      <c r="AK1300" s="44"/>
      <c r="AL1300" s="72"/>
      <c r="AM1300" s="53">
        <f>P_1_minQ-(AM1298^2*R_up)+dpup_minQ</f>
        <v>-31.881545138686949</v>
      </c>
      <c r="AN1300" s="44"/>
      <c r="AO1300" s="72"/>
      <c r="AP1300" s="53">
        <f>P_1_minQ-(AP1298^2*R_up)+dpup_minQ</f>
        <v>-62.769724709583009</v>
      </c>
      <c r="AQ1300" s="44"/>
      <c r="AR1300" s="72"/>
      <c r="AS1300" s="53">
        <f>P_1_minQ-(AS1298^2*R_up)+dpup_minQ</f>
        <v>-98.107733020726499</v>
      </c>
      <c r="AT1300" s="44"/>
      <c r="AU1300" s="72"/>
    </row>
    <row r="1301" spans="15:47" ht="13" x14ac:dyDescent="0.3">
      <c r="O1301" s="6" t="s">
        <v>233</v>
      </c>
      <c r="P1301" s="6"/>
      <c r="Q1301" s="60"/>
      <c r="R1301" s="85">
        <f>P_2_minQ+(R1298^2*R_dn)-dpdn_minQ</f>
        <v>24.657182331922925</v>
      </c>
      <c r="S1301" s="66"/>
      <c r="T1301" s="74"/>
      <c r="U1301" s="53">
        <f>P_2_minQ+(U1298^2*R_dn)-dpdn_minQ</f>
        <v>24.709951487587919</v>
      </c>
      <c r="V1301" s="45"/>
      <c r="W1301" s="74"/>
      <c r="X1301" s="53">
        <f>P_2_minQ+(X1298^2*R_dn)-dpdn_minQ</f>
        <v>24.963187158795474</v>
      </c>
      <c r="Y1301" s="45"/>
      <c r="Z1301" s="74"/>
      <c r="AA1301" s="53">
        <f>P_2_minQ+(AA1298^2*R_dn)-dpdn_minQ</f>
        <v>25.773865424962938</v>
      </c>
      <c r="AB1301" s="45"/>
      <c r="AC1301" s="74"/>
      <c r="AD1301" s="53">
        <f>P_2_minQ+(AD1298^2*R_dn)-dpdn_minQ</f>
        <v>27.678302833926171</v>
      </c>
      <c r="AE1301" s="45"/>
      <c r="AF1301" s="74"/>
      <c r="AG1301" s="53">
        <f>P_2_minQ+(AG1298^2*R_dn)-dpdn_minQ</f>
        <v>31.354646156234356</v>
      </c>
      <c r="AH1301" s="45"/>
      <c r="AI1301" s="74"/>
      <c r="AJ1301" s="53">
        <f>P_2_minQ+(AJ1298^2*R_dn)-dpdn_minQ</f>
        <v>36.58502057958313</v>
      </c>
      <c r="AK1301" s="45"/>
      <c r="AL1301" s="74"/>
      <c r="AM1301" s="53">
        <f>P_2_minQ+(AM1298^2*R_dn)-dpdn_minQ</f>
        <v>42.416309027737398</v>
      </c>
      <c r="AN1301" s="45"/>
      <c r="AO1301" s="74"/>
      <c r="AP1301" s="53">
        <f>P_2_minQ+(AP1298^2*R_dn)-dpdn_minQ</f>
        <v>48.593944941916604</v>
      </c>
      <c r="AQ1301" s="45"/>
      <c r="AR1301" s="74"/>
      <c r="AS1301" s="53">
        <f>P_2_minQ+(AS1298^2*R_dn)-dpdn_minQ</f>
        <v>55.6615466041453</v>
      </c>
      <c r="AT1301" s="45"/>
      <c r="AU1301" s="74"/>
    </row>
    <row r="1302" spans="15:47" x14ac:dyDescent="0.25">
      <c r="O1302" s="6" t="s">
        <v>243</v>
      </c>
      <c r="Q1302" s="60"/>
      <c r="R1302" s="53">
        <f>R1300-R1301</f>
        <v>32.256906008462458</v>
      </c>
      <c r="S1302" s="56"/>
      <c r="T1302" s="72"/>
      <c r="U1302" s="64">
        <f>U1300-U1301</f>
        <v>31.940291074472494</v>
      </c>
      <c r="V1302" s="44"/>
      <c r="W1302" s="72"/>
      <c r="X1302" s="64">
        <f>X1300-X1301</f>
        <v>30.420877047227155</v>
      </c>
      <c r="Y1302" s="44"/>
      <c r="Z1302" s="72"/>
      <c r="AA1302" s="64">
        <f>AA1300-AA1301</f>
        <v>25.556807450222369</v>
      </c>
      <c r="AB1302" s="44"/>
      <c r="AC1302" s="72"/>
      <c r="AD1302" s="64">
        <f>AD1300-AD1301</f>
        <v>14.130182996442986</v>
      </c>
      <c r="AE1302" s="44"/>
      <c r="AF1302" s="72"/>
      <c r="AG1302" s="64">
        <f>AG1300-AG1301</f>
        <v>-7.9278769374061397</v>
      </c>
      <c r="AH1302" s="44"/>
      <c r="AI1302" s="72"/>
      <c r="AJ1302" s="64">
        <f>AJ1300-AJ1301</f>
        <v>-39.31012347749877</v>
      </c>
      <c r="AK1302" s="44"/>
      <c r="AL1302" s="72"/>
      <c r="AM1302" s="64">
        <f>AM1300-AM1301</f>
        <v>-74.297854166424344</v>
      </c>
      <c r="AN1302" s="44"/>
      <c r="AO1302" s="72"/>
      <c r="AP1302" s="64">
        <f>AP1300-AP1301</f>
        <v>-111.36366965149961</v>
      </c>
      <c r="AQ1302" s="44"/>
      <c r="AR1302" s="72"/>
      <c r="AS1302" s="64">
        <f>AS1300-AS1301</f>
        <v>-153.76927962487179</v>
      </c>
      <c r="AT1302" s="44"/>
      <c r="AU1302" s="72"/>
    </row>
    <row r="1303" spans="15:47" ht="13" x14ac:dyDescent="0.3">
      <c r="O1303" s="6" t="s">
        <v>75</v>
      </c>
      <c r="P1303" s="6">
        <v>3</v>
      </c>
      <c r="Q1303" s="65"/>
      <c r="R1303" s="85">
        <f>(F_LP_h/F_P_h)^2*(R1300-('Valve Sizing'!$V$4*'Valve Sizing'!$G$7))</f>
        <v>46.763461714347621</v>
      </c>
      <c r="S1303" s="58"/>
      <c r="T1303" s="73"/>
      <c r="U1303" s="53">
        <f>(U$29/U$27)^2*(U1300-('Valve Sizing'!$V$4*'Valve Sizing'!$G$7))</f>
        <v>46.532297320957937</v>
      </c>
      <c r="V1303" s="41"/>
      <c r="W1303" s="73"/>
      <c r="X1303" s="53">
        <f>(X$29/X$27)^2*(X1300-('Valve Sizing'!$V$4*'Valve Sizing'!$G$7))</f>
        <v>44.458138758727856</v>
      </c>
      <c r="Y1303" s="41"/>
      <c r="Z1303" s="73"/>
      <c r="AA1303" s="53">
        <f>(AA$29/AA$27)^2*(AA1300-('Valve Sizing'!$V$4*'Valve Sizing'!$G$7))</f>
        <v>39.328126024333081</v>
      </c>
      <c r="AB1303" s="41"/>
      <c r="AC1303" s="73"/>
      <c r="AD1303" s="53">
        <f>(AD$29/AD$27)^2*(AD1300-('Valve Sizing'!$V$4*'Valve Sizing'!$G$7))</f>
        <v>29.834389444660587</v>
      </c>
      <c r="AE1303" s="41"/>
      <c r="AF1303" s="73"/>
      <c r="AG1303" s="53">
        <f>(AG$29/AG$27)^2*(AG1300-('Valve Sizing'!$V$4*'Valve Sizing'!$G$7))</f>
        <v>14.804452531283431</v>
      </c>
      <c r="AH1303" s="41"/>
      <c r="AI1303" s="73"/>
      <c r="AJ1303" s="53">
        <f>(AJ$29/AJ$27)^2*(AJ1300-('Valve Sizing'!$V$4*'Valve Sizing'!$G$7))</f>
        <v>-1.8306159874617012</v>
      </c>
      <c r="AK1303" s="41"/>
      <c r="AL1303" s="73"/>
      <c r="AM1303" s="53">
        <f>(AM$29/AM$27)^2*(AM1300-('Valve Sizing'!$V$4*'Valve Sizing'!$G$7))</f>
        <v>-15.464986764341736</v>
      </c>
      <c r="AN1303" s="41"/>
      <c r="AO1303" s="73"/>
      <c r="AP1303" s="53">
        <f>(AP$29/AP$27)^2*(AP1300-('Valve Sizing'!$V$4*'Valve Sizing'!$G$7))</f>
        <v>-24.944275878059241</v>
      </c>
      <c r="AQ1303" s="41"/>
      <c r="AR1303" s="73"/>
      <c r="AS1303" s="53">
        <f>(AS$29/AS$27)^2*(AS1300-('Valve Sizing'!$V$4*'Valve Sizing'!$G$7))</f>
        <v>-37.067844247195609</v>
      </c>
      <c r="AT1303" s="41"/>
      <c r="AU1303" s="73"/>
    </row>
    <row r="1304" spans="15:47" ht="13" x14ac:dyDescent="0.25">
      <c r="O1304" s="1" t="s">
        <v>69</v>
      </c>
      <c r="P1304" s="17">
        <v>7</v>
      </c>
      <c r="Q1304" s="65"/>
      <c r="R1304" s="53">
        <f>(R1298/(N_1*F_P_h))*SQRT('Valve Sizing'!$G$6/R1302)</f>
        <v>1.3736051608807935</v>
      </c>
      <c r="S1304" s="58"/>
      <c r="T1304" s="73"/>
      <c r="U1304" s="64">
        <f>(U1298/(N_1*U$27))*SQRT('Valve Sizing'!$G$6/U1302)</f>
        <v>15.713579415585768</v>
      </c>
      <c r="V1304" s="41"/>
      <c r="W1304" s="73"/>
      <c r="X1304" s="64">
        <f>(X1298/(N_1*X$27))*SQRT('Valve Sizing'!$G$6/X1302)</f>
        <v>38.735952030296481</v>
      </c>
      <c r="Y1304" s="41"/>
      <c r="Z1304" s="73"/>
      <c r="AA1304" s="64">
        <f>(AA1298/(N_1*AA$27))*SQRT('Valve Sizing'!$G$6/AA1302)</f>
        <v>81.15726823626288</v>
      </c>
      <c r="AB1304" s="41"/>
      <c r="AC1304" s="73"/>
      <c r="AD1304" s="64">
        <f>(AD1298/(N_1*AD$27))*SQRT('Valve Sizing'!$G$6/AD1302)</f>
        <v>181.76100668525314</v>
      </c>
      <c r="AE1304" s="41"/>
      <c r="AF1304" s="73"/>
      <c r="AG1304" s="64" t="e">
        <f>(AG1298/(N_1*AG$27))*SQRT('Valve Sizing'!$G$6/AG1302)</f>
        <v>#NUM!</v>
      </c>
      <c r="AH1304" s="41"/>
      <c r="AI1304" s="73"/>
      <c r="AJ1304" s="64" t="e">
        <f>(AJ1298/(N_1*AJ$27))*SQRT('Valve Sizing'!$G$6/AJ1302)</f>
        <v>#NUM!</v>
      </c>
      <c r="AK1304" s="41"/>
      <c r="AL1304" s="73"/>
      <c r="AM1304" s="64" t="e">
        <f>(AM1298/(N_1*AM$27))*SQRT('Valve Sizing'!$G$6/AM1302)</f>
        <v>#NUM!</v>
      </c>
      <c r="AN1304" s="41"/>
      <c r="AO1304" s="73"/>
      <c r="AP1304" s="64" t="e">
        <f>(AP1298/(N_1*AP$27))*SQRT('Valve Sizing'!$G$6/AP1302)</f>
        <v>#NUM!</v>
      </c>
      <c r="AQ1304" s="41"/>
      <c r="AR1304" s="73"/>
      <c r="AS1304" s="64" t="e">
        <f>(AS1298/(N_1*AS$27))*SQRT('Valve Sizing'!$G$6/AS1302)</f>
        <v>#NUM!</v>
      </c>
      <c r="AT1304" s="41"/>
      <c r="AU1304" s="73"/>
    </row>
    <row r="1305" spans="15:47" ht="13" x14ac:dyDescent="0.3">
      <c r="O1305" s="1" t="s">
        <v>72</v>
      </c>
      <c r="P1305" s="17">
        <v>7</v>
      </c>
      <c r="Q1305" s="65"/>
      <c r="R1305" s="53">
        <f>(R1298/(N_1*F_P_h))*SQRT('Valve Sizing'!$G$6/R1303)</f>
        <v>1.1408273960361568</v>
      </c>
      <c r="S1305" s="56"/>
      <c r="T1305" s="72"/>
      <c r="U1305" s="85">
        <f>(U1298/(N_1*U$27))*SQRT('Valve Sizing'!$G$6/U1303)</f>
        <v>13.018690798746427</v>
      </c>
      <c r="V1305" s="44"/>
      <c r="W1305" s="72"/>
      <c r="X1305" s="85">
        <f>(X1298/(N_1*X$27))*SQRT('Valve Sizing'!$G$6/X1303)</f>
        <v>32.042357470434446</v>
      </c>
      <c r="Y1305" s="44"/>
      <c r="Z1305" s="72"/>
      <c r="AA1305" s="85">
        <f>(AA1298/(N_1*AA$27))*SQRT('Valve Sizing'!$G$6/AA1303)</f>
        <v>65.422795009075244</v>
      </c>
      <c r="AB1305" s="44"/>
      <c r="AC1305" s="72"/>
      <c r="AD1305" s="85">
        <f>(AD1298/(N_1*AD$27))*SQRT('Valve Sizing'!$G$6/AD1303)</f>
        <v>125.08811133206098</v>
      </c>
      <c r="AE1305" s="44"/>
      <c r="AF1305" s="72"/>
      <c r="AG1305" s="85">
        <f>(AG1298/(N_1*AG$27))*SQRT('Valve Sizing'!$G$6/AG1303)</f>
        <v>270.2816721175098</v>
      </c>
      <c r="AH1305" s="44"/>
      <c r="AI1305" s="72"/>
      <c r="AJ1305" s="85" t="e">
        <f>(AJ1298/(N_1*AJ$27))*SQRT('Valve Sizing'!$G$6/AJ1303)</f>
        <v>#NUM!</v>
      </c>
      <c r="AK1305" s="44"/>
      <c r="AL1305" s="72"/>
      <c r="AM1305" s="85" t="e">
        <f>(AM1298/(N_1*AM$27))*SQRT('Valve Sizing'!$G$6/AM1303)</f>
        <v>#NUM!</v>
      </c>
      <c r="AN1305" s="44"/>
      <c r="AO1305" s="72"/>
      <c r="AP1305" s="85" t="e">
        <f>(AP1298/(N_1*AP$27))*SQRT('Valve Sizing'!$G$6/AP1303)</f>
        <v>#NUM!</v>
      </c>
      <c r="AQ1305" s="44"/>
      <c r="AR1305" s="72"/>
      <c r="AS1305" s="85" t="e">
        <f>(AS1298/(N_1*AS$27))*SQRT('Valve Sizing'!$G$6/AS1303)</f>
        <v>#NUM!</v>
      </c>
      <c r="AT1305" s="44"/>
      <c r="AU1305" s="72"/>
    </row>
    <row r="1306" spans="15:47" x14ac:dyDescent="0.25">
      <c r="O1306" s="1" t="s">
        <v>246</v>
      </c>
      <c r="P1306" s="18"/>
      <c r="Q1306" s="65"/>
      <c r="R1306" s="53">
        <f>IF(R1302&lt;R1303,R1304,R1305)</f>
        <v>1.3736051608807935</v>
      </c>
      <c r="S1306" s="49"/>
      <c r="T1306" s="72"/>
      <c r="U1306" s="64">
        <f>IF(U1302&lt;U1303,U1304,U1305)</f>
        <v>15.713579415585768</v>
      </c>
      <c r="V1306" s="44"/>
      <c r="W1306" s="72"/>
      <c r="X1306" s="64">
        <f>IF(X1302&lt;X1303,X1304,X1305)</f>
        <v>38.735952030296481</v>
      </c>
      <c r="Y1306" s="44"/>
      <c r="Z1306" s="72"/>
      <c r="AA1306" s="64">
        <f>IF(AA1302&lt;AA1303,AA1304,AA1305)</f>
        <v>81.15726823626288</v>
      </c>
      <c r="AB1306" s="44"/>
      <c r="AC1306" s="72"/>
      <c r="AD1306" s="64">
        <f>IF(AD1302&lt;AD1303,AD1304,AD1305)</f>
        <v>181.76100668525314</v>
      </c>
      <c r="AE1306" s="44"/>
      <c r="AF1306" s="72"/>
      <c r="AG1306" s="64" t="e">
        <f>IF(AG1302&lt;AG1303,AG1304,AG1305)</f>
        <v>#NUM!</v>
      </c>
      <c r="AH1306" s="44"/>
      <c r="AI1306" s="72"/>
      <c r="AJ1306" s="64" t="e">
        <f>IF(AJ1302&lt;AJ1303,AJ1304,AJ1305)</f>
        <v>#NUM!</v>
      </c>
      <c r="AK1306" s="44"/>
      <c r="AL1306" s="72"/>
      <c r="AM1306" s="64" t="e">
        <f>IF(AM1302&lt;AM1303,AM1304,AM1305)</f>
        <v>#NUM!</v>
      </c>
      <c r="AN1306" s="44"/>
      <c r="AO1306" s="72"/>
      <c r="AP1306" s="64" t="e">
        <f>IF(AP1302&lt;AP1303,AP1304,AP1305)</f>
        <v>#NUM!</v>
      </c>
      <c r="AQ1306" s="44"/>
      <c r="AR1306" s="72"/>
      <c r="AS1306" s="64" t="e">
        <f>IF(AS1302&lt;AS1303,AS1304,AS1305)</f>
        <v>#NUM!</v>
      </c>
      <c r="AT1306" s="44"/>
      <c r="AU1306" s="72"/>
    </row>
    <row r="1307" spans="15:47" ht="13" x14ac:dyDescent="0.3">
      <c r="O1307" s="7" t="s">
        <v>264</v>
      </c>
      <c r="Q1307" s="61"/>
      <c r="R1307" s="53"/>
      <c r="S1307" s="69">
        <f>IFERROR(ABS(C_h-R1306),Q_max*10)</f>
        <v>3.6263948391192065</v>
      </c>
      <c r="T1307" s="76">
        <f>R1298</f>
        <v>7.8002718663349198</v>
      </c>
      <c r="U1307" s="61"/>
      <c r="V1307" s="69">
        <f>IFERROR(ABS(U$23-U1306),Q_max*10)</f>
        <v>3.7135794155857678</v>
      </c>
      <c r="W1307" s="75">
        <f>U1298</f>
        <v>88.731717764230879</v>
      </c>
      <c r="X1307" s="61"/>
      <c r="Y1307" s="69">
        <f>IFERROR(ABS(X$23-X1306),Q_max*10)</f>
        <v>15.735952030296481</v>
      </c>
      <c r="Z1307" s="75">
        <f>X1298</f>
        <v>212.99027879147425</v>
      </c>
      <c r="AA1307" s="61"/>
      <c r="AB1307" s="69">
        <f>IFERROR(ABS(AA$23-AA1306),Q_max*10)</f>
        <v>42.15726823626288</v>
      </c>
      <c r="AC1307" s="75">
        <f>AA1298</f>
        <v>406.67650063135318</v>
      </c>
      <c r="AD1307" s="61"/>
      <c r="AE1307" s="69">
        <f>IFERROR(ABS(AD$23-AD1306),Q_max*10)</f>
        <v>120.76100668525314</v>
      </c>
      <c r="AF1307" s="75">
        <f>AD1298</f>
        <v>668.83311413443732</v>
      </c>
      <c r="AG1307" s="61"/>
      <c r="AH1307" s="69">
        <f>IFERROR(ABS(AG$23-AG1306),Q_max*10)</f>
        <v>5500</v>
      </c>
      <c r="AI1307" s="75">
        <f>AG1298</f>
        <v>995.80136745763537</v>
      </c>
      <c r="AJ1307" s="61"/>
      <c r="AK1307" s="69">
        <f>IFERROR(ABS(AJ$23-AJ1306),Q_max*10)</f>
        <v>5500</v>
      </c>
      <c r="AL1307" s="75">
        <f>AJ1298</f>
        <v>1328.900785163167</v>
      </c>
      <c r="AM1307" s="61"/>
      <c r="AN1307" s="69">
        <f>IFERROR(ABS(AM$23-AM1306),Q_max*10)</f>
        <v>5500</v>
      </c>
      <c r="AO1307" s="75">
        <f>AM1298</f>
        <v>1621.5115021351285</v>
      </c>
      <c r="AP1307" s="61"/>
      <c r="AQ1307" s="69">
        <f>IFERROR(ABS(AP$23-AP1306),Q_max*10)</f>
        <v>5500</v>
      </c>
      <c r="AR1307" s="75">
        <f>AP1298</f>
        <v>1882.5245147542576</v>
      </c>
      <c r="AS1307" s="61"/>
      <c r="AT1307" s="69">
        <f>IFERROR(ABS(AS$23-AS1306),Q_max*10)</f>
        <v>5500</v>
      </c>
      <c r="AU1307" s="75">
        <f>AS1298</f>
        <v>2142.4885004927592</v>
      </c>
    </row>
    <row r="1308" spans="15:47" ht="14.5" x14ac:dyDescent="0.35">
      <c r="O1308" s="8"/>
      <c r="P1308" s="6"/>
      <c r="Q1308" s="60"/>
      <c r="R1308" s="67"/>
      <c r="S1308" s="58"/>
      <c r="T1308" s="73"/>
      <c r="V1308" s="11"/>
      <c r="W1308" s="38"/>
      <c r="Y1308" s="11"/>
      <c r="Z1308" s="38"/>
      <c r="AB1308" s="11"/>
      <c r="AC1308" s="38"/>
      <c r="AE1308" s="11"/>
      <c r="AF1308" s="38"/>
      <c r="AH1308" s="11"/>
      <c r="AI1308" s="38"/>
      <c r="AK1308" s="11"/>
      <c r="AL1308" s="38"/>
      <c r="AN1308" s="11"/>
      <c r="AO1308" s="38"/>
      <c r="AQ1308" s="11"/>
      <c r="AR1308" s="38"/>
      <c r="AT1308" s="11"/>
      <c r="AU1308" s="38"/>
    </row>
    <row r="1309" spans="15:47" ht="14" x14ac:dyDescent="0.3">
      <c r="O1309" s="8" t="s">
        <v>235</v>
      </c>
      <c r="P1309" s="6"/>
      <c r="Q1309" s="60"/>
      <c r="R1309" s="53">
        <f>R1298*1.02</f>
        <v>7.9562773036616186</v>
      </c>
      <c r="S1309" s="58" t="s">
        <v>238</v>
      </c>
      <c r="T1309" s="73" t="s">
        <v>241</v>
      </c>
      <c r="U1309" s="84">
        <f>U1298*1.01</f>
        <v>89.619034941873196</v>
      </c>
      <c r="V1309" s="58" t="s">
        <v>238</v>
      </c>
      <c r="W1309" s="73" t="s">
        <v>241</v>
      </c>
      <c r="X1309" s="84">
        <f>X1298*1.01</f>
        <v>215.120181579389</v>
      </c>
      <c r="Y1309" s="58" t="s">
        <v>238</v>
      </c>
      <c r="Z1309" s="73" t="s">
        <v>241</v>
      </c>
      <c r="AA1309" s="84">
        <f>AA1298*1.01</f>
        <v>410.7432656376667</v>
      </c>
      <c r="AB1309" s="58" t="s">
        <v>238</v>
      </c>
      <c r="AC1309" s="73" t="s">
        <v>241</v>
      </c>
      <c r="AD1309" s="84">
        <f>AD1298*1.01</f>
        <v>675.52144527578173</v>
      </c>
      <c r="AE1309" s="58" t="s">
        <v>238</v>
      </c>
      <c r="AF1309" s="73" t="s">
        <v>241</v>
      </c>
      <c r="AG1309" s="84">
        <f>AG1298*1.01</f>
        <v>1005.7593811322117</v>
      </c>
      <c r="AH1309" s="58" t="s">
        <v>238</v>
      </c>
      <c r="AI1309" s="73" t="s">
        <v>241</v>
      </c>
      <c r="AJ1309" s="84">
        <f>AJ1298*1.01</f>
        <v>1342.1897930147986</v>
      </c>
      <c r="AK1309" s="58" t="s">
        <v>238</v>
      </c>
      <c r="AL1309" s="73" t="s">
        <v>241</v>
      </c>
      <c r="AM1309" s="84">
        <f>AM1298*1.01</f>
        <v>1637.7266171564797</v>
      </c>
      <c r="AN1309" s="58" t="s">
        <v>238</v>
      </c>
      <c r="AO1309" s="73" t="s">
        <v>241</v>
      </c>
      <c r="AP1309" s="84">
        <f>AP1298*1.01</f>
        <v>1901.3497599018001</v>
      </c>
      <c r="AQ1309" s="58" t="s">
        <v>238</v>
      </c>
      <c r="AR1309" s="73" t="s">
        <v>241</v>
      </c>
      <c r="AS1309" s="84">
        <f>AS1298*1.01</f>
        <v>2163.9133854976867</v>
      </c>
      <c r="AT1309" s="58" t="s">
        <v>238</v>
      </c>
      <c r="AU1309" s="73" t="s">
        <v>241</v>
      </c>
    </row>
    <row r="1310" spans="15:47" ht="13" x14ac:dyDescent="0.25">
      <c r="O1310" s="6"/>
      <c r="P1310" s="6"/>
      <c r="Q1310" s="60"/>
      <c r="R1310" s="70"/>
      <c r="S1310" s="63" t="s">
        <v>250</v>
      </c>
      <c r="T1310" s="71" t="s">
        <v>242</v>
      </c>
      <c r="U1310" s="61"/>
      <c r="V1310" s="63" t="s">
        <v>250</v>
      </c>
      <c r="W1310" s="71" t="s">
        <v>242</v>
      </c>
      <c r="X1310" s="61"/>
      <c r="Y1310" s="63" t="s">
        <v>250</v>
      </c>
      <c r="Z1310" s="71" t="s">
        <v>242</v>
      </c>
      <c r="AA1310" s="61"/>
      <c r="AB1310" s="63" t="s">
        <v>250</v>
      </c>
      <c r="AC1310" s="71" t="s">
        <v>242</v>
      </c>
      <c r="AD1310" s="61"/>
      <c r="AE1310" s="63" t="s">
        <v>250</v>
      </c>
      <c r="AF1310" s="71" t="s">
        <v>242</v>
      </c>
      <c r="AG1310" s="61"/>
      <c r="AH1310" s="63" t="s">
        <v>250</v>
      </c>
      <c r="AI1310" s="71" t="s">
        <v>242</v>
      </c>
      <c r="AJ1310" s="61"/>
      <c r="AK1310" s="63" t="s">
        <v>250</v>
      </c>
      <c r="AL1310" s="71" t="s">
        <v>242</v>
      </c>
      <c r="AM1310" s="61"/>
      <c r="AN1310" s="63" t="s">
        <v>250</v>
      </c>
      <c r="AO1310" s="71" t="s">
        <v>242</v>
      </c>
      <c r="AP1310" s="61"/>
      <c r="AQ1310" s="63" t="s">
        <v>250</v>
      </c>
      <c r="AR1310" s="71" t="s">
        <v>242</v>
      </c>
      <c r="AS1310" s="61"/>
      <c r="AT1310" s="63" t="s">
        <v>250</v>
      </c>
      <c r="AU1310" s="71" t="s">
        <v>242</v>
      </c>
    </row>
    <row r="1311" spans="15:47" ht="13" x14ac:dyDescent="0.3">
      <c r="O1311" s="6" t="s">
        <v>231</v>
      </c>
      <c r="P1311" s="6"/>
      <c r="Q1311" s="60"/>
      <c r="R1311" s="85">
        <f>P_1_minQ-(R1309^2*R_up)+dpup_minQ</f>
        <v>56.914005324264345</v>
      </c>
      <c r="S1311" s="56"/>
      <c r="T1311" s="72"/>
      <c r="U1311" s="53">
        <f>P_1_minQ-(U1309^2*R_up)+dpup_minQ</f>
        <v>56.644897959341009</v>
      </c>
      <c r="V1311" s="44"/>
      <c r="W1311" s="72"/>
      <c r="X1311" s="53">
        <f>P_1_minQ-(X1309^2*R_up)+dpup_minQ</f>
        <v>55.353269418346869</v>
      </c>
      <c r="Y1311" s="44"/>
      <c r="Z1311" s="72"/>
      <c r="AA1311" s="53">
        <f>P_1_minQ-(AA1309^2*R_up)+dpup_minQ</f>
        <v>51.218404921759713</v>
      </c>
      <c r="AB1311" s="44"/>
      <c r="AC1311" s="72"/>
      <c r="AD1311" s="53">
        <f>P_1_minQ-(AD1309^2*R_up)+dpup_minQ</f>
        <v>41.504821917342753</v>
      </c>
      <c r="AE1311" s="44"/>
      <c r="AF1311" s="72"/>
      <c r="AG1311" s="53">
        <f>P_1_minQ-(AG1309^2*R_up)+dpup_minQ</f>
        <v>22.753632801909848</v>
      </c>
      <c r="AH1311" s="44"/>
      <c r="AI1311" s="72"/>
      <c r="AJ1311" s="53">
        <f>P_1_minQ-(AJ1309^2*R_up)+dpup_minQ</f>
        <v>-3.9238919443805544</v>
      </c>
      <c r="AK1311" s="44"/>
      <c r="AL1311" s="72"/>
      <c r="AM1311" s="53">
        <f>P_1_minQ-(AM1309^2*R_up)+dpup_minQ</f>
        <v>-33.666378674191371</v>
      </c>
      <c r="AN1311" s="44"/>
      <c r="AO1311" s="72"/>
      <c r="AP1311" s="53">
        <f>P_1_minQ-(AP1309^2*R_up)+dpup_minQ</f>
        <v>-65.175410654462439</v>
      </c>
      <c r="AQ1311" s="44"/>
      <c r="AR1311" s="72"/>
      <c r="AS1311" s="53">
        <f>P_1_minQ-(AS1309^2*R_up)+dpup_minQ</f>
        <v>-101.22371293265991</v>
      </c>
      <c r="AT1311" s="44"/>
      <c r="AU1311" s="72"/>
    </row>
    <row r="1312" spans="15:47" ht="13" x14ac:dyDescent="0.3">
      <c r="O1312" s="6" t="s">
        <v>233</v>
      </c>
      <c r="P1312" s="6"/>
      <c r="Q1312" s="60"/>
      <c r="R1312" s="85">
        <f>P_2_minQ+(R1309^2*R_dn)-dpdn_minQ</f>
        <v>24.657198935147132</v>
      </c>
      <c r="S1312" s="66"/>
      <c r="T1312" s="74"/>
      <c r="U1312" s="53">
        <f>P_2_minQ+(U1309^2*R_dn)-dpdn_minQ</f>
        <v>24.711020408131798</v>
      </c>
      <c r="V1312" s="45"/>
      <c r="W1312" s="74"/>
      <c r="X1312" s="53">
        <f>P_2_minQ+(X1309^2*R_dn)-dpdn_minQ</f>
        <v>24.969346116330627</v>
      </c>
      <c r="Y1312" s="45"/>
      <c r="Z1312" s="74"/>
      <c r="AA1312" s="53">
        <f>P_2_minQ+(AA1309^2*R_dn)-dpdn_minQ</f>
        <v>25.796319015648059</v>
      </c>
      <c r="AB1312" s="45"/>
      <c r="AC1312" s="74"/>
      <c r="AD1312" s="53">
        <f>P_2_minQ+(AD1309^2*R_dn)-dpdn_minQ</f>
        <v>27.739035616531449</v>
      </c>
      <c r="AE1312" s="45"/>
      <c r="AF1312" s="74"/>
      <c r="AG1312" s="53">
        <f>P_2_minQ+(AG1309^2*R_dn)-dpdn_minQ</f>
        <v>31.489273439618032</v>
      </c>
      <c r="AH1312" s="45"/>
      <c r="AI1312" s="74"/>
      <c r="AJ1312" s="53">
        <f>P_2_minQ+(AJ1309^2*R_dn)-dpdn_minQ</f>
        <v>36.824778388876112</v>
      </c>
      <c r="AK1312" s="45"/>
      <c r="AL1312" s="74"/>
      <c r="AM1312" s="53">
        <f>P_2_minQ+(AM1309^2*R_dn)-dpdn_minQ</f>
        <v>42.773275734838279</v>
      </c>
      <c r="AN1312" s="45"/>
      <c r="AO1312" s="74"/>
      <c r="AP1312" s="53">
        <f>P_2_minQ+(AP1309^2*R_dn)-dpdn_minQ</f>
        <v>49.07508213089249</v>
      </c>
      <c r="AQ1312" s="45"/>
      <c r="AR1312" s="74"/>
      <c r="AS1312" s="53">
        <f>P_2_minQ+(AS1309^2*R_dn)-dpdn_minQ</f>
        <v>56.284742586531983</v>
      </c>
      <c r="AT1312" s="45"/>
      <c r="AU1312" s="74"/>
    </row>
    <row r="1313" spans="15:47" x14ac:dyDescent="0.25">
      <c r="O1313" s="6" t="s">
        <v>243</v>
      </c>
      <c r="Q1313" s="60"/>
      <c r="R1313" s="53">
        <f>R1311-R1312</f>
        <v>32.256806389117216</v>
      </c>
      <c r="S1313" s="56"/>
      <c r="T1313" s="72"/>
      <c r="U1313" s="64">
        <f>U1311-U1312</f>
        <v>31.933877551209211</v>
      </c>
      <c r="V1313" s="44"/>
      <c r="W1313" s="72"/>
      <c r="X1313" s="64">
        <f>X1311-X1312</f>
        <v>30.383923302016242</v>
      </c>
      <c r="Y1313" s="44"/>
      <c r="Z1313" s="72"/>
      <c r="AA1313" s="64">
        <f>AA1311-AA1312</f>
        <v>25.422085906111654</v>
      </c>
      <c r="AB1313" s="44"/>
      <c r="AC1313" s="72"/>
      <c r="AD1313" s="64">
        <f>AD1311-AD1312</f>
        <v>13.765786300811303</v>
      </c>
      <c r="AE1313" s="44"/>
      <c r="AF1313" s="72"/>
      <c r="AG1313" s="64">
        <f>AG1311-AG1312</f>
        <v>-8.7356406377081832</v>
      </c>
      <c r="AH1313" s="44"/>
      <c r="AI1313" s="72"/>
      <c r="AJ1313" s="64">
        <f>AJ1311-AJ1312</f>
        <v>-40.748670333256669</v>
      </c>
      <c r="AK1313" s="44"/>
      <c r="AL1313" s="72"/>
      <c r="AM1313" s="64">
        <f>AM1311-AM1312</f>
        <v>-76.439654409029657</v>
      </c>
      <c r="AN1313" s="44"/>
      <c r="AO1313" s="72"/>
      <c r="AP1313" s="64">
        <f>AP1311-AP1312</f>
        <v>-114.25049278535494</v>
      </c>
      <c r="AQ1313" s="44"/>
      <c r="AR1313" s="72"/>
      <c r="AS1313" s="64">
        <f>AS1311-AS1312</f>
        <v>-157.5084555191919</v>
      </c>
      <c r="AT1313" s="44"/>
      <c r="AU1313" s="72"/>
    </row>
    <row r="1314" spans="15:47" ht="13" x14ac:dyDescent="0.3">
      <c r="O1314" s="6" t="s">
        <v>75</v>
      </c>
      <c r="P1314" s="6">
        <v>3</v>
      </c>
      <c r="Q1314" s="65"/>
      <c r="R1314" s="85">
        <f>(F_LP_h/F_P_h)^2*(R1311-('Valve Sizing'!$V$4*'Valve Sizing'!$G$7))</f>
        <v>46.763392972641888</v>
      </c>
      <c r="S1314" s="58"/>
      <c r="T1314" s="73"/>
      <c r="U1314" s="53">
        <f>(U$29/U$27)^2*(U1311-('Valve Sizing'!$V$4*'Valve Sizing'!$G$7))</f>
        <v>46.527872915607297</v>
      </c>
      <c r="V1314" s="41"/>
      <c r="W1314" s="73"/>
      <c r="X1314" s="53">
        <f>(X$29/X$27)^2*(X1311-('Valve Sizing'!$V$4*'Valve Sizing'!$G$7))</f>
        <v>44.43322104650003</v>
      </c>
      <c r="Y1314" s="41"/>
      <c r="Z1314" s="73"/>
      <c r="AA1314" s="53">
        <f>(AA$29/AA$27)^2*(AA1311-('Valve Sizing'!$V$4*'Valve Sizing'!$G$7))</f>
        <v>39.241365661878753</v>
      </c>
      <c r="AB1314" s="41"/>
      <c r="AC1314" s="73"/>
      <c r="AD1314" s="53">
        <f>(AD$29/AD$27)^2*(AD1311-('Valve Sizing'!$V$4*'Valve Sizing'!$G$7))</f>
        <v>29.615390854572247</v>
      </c>
      <c r="AE1314" s="41"/>
      <c r="AF1314" s="73"/>
      <c r="AG1314" s="53">
        <f>(AG$29/AG$27)^2*(AG1311-('Valve Sizing'!$V$4*'Valve Sizing'!$G$7))</f>
        <v>14.370923093646091</v>
      </c>
      <c r="AH1314" s="41"/>
      <c r="AI1314" s="73"/>
      <c r="AJ1314" s="53">
        <f>(AJ$29/AJ$27)^2*(AJ1311-('Valve Sizing'!$V$4*'Valve Sizing'!$G$7))</f>
        <v>-2.5239528175167352</v>
      </c>
      <c r="AK1314" s="41"/>
      <c r="AL1314" s="73"/>
      <c r="AM1314" s="53">
        <f>(AM$29/AM$27)^2*(AM1311-('Valve Sizing'!$V$4*'Valve Sizing'!$G$7))</f>
        <v>-16.318979902225323</v>
      </c>
      <c r="AN1314" s="41"/>
      <c r="AO1314" s="73"/>
      <c r="AP1314" s="53">
        <f>(AP$29/AP$27)^2*(AP1311-('Valve Sizing'!$V$4*'Valve Sizing'!$G$7))</f>
        <v>-25.893624090107703</v>
      </c>
      <c r="AQ1314" s="41"/>
      <c r="AR1314" s="73"/>
      <c r="AS1314" s="53">
        <f>(AS$29/AS$27)^2*(AS1311-('Valve Sizing'!$V$4*'Valve Sizing'!$G$7))</f>
        <v>-38.239891405681789</v>
      </c>
      <c r="AT1314" s="41"/>
      <c r="AU1314" s="73"/>
    </row>
    <row r="1315" spans="15:47" ht="13" x14ac:dyDescent="0.25">
      <c r="O1315" s="1" t="s">
        <v>69</v>
      </c>
      <c r="P1315" s="17">
        <v>7</v>
      </c>
      <c r="Q1315" s="65"/>
      <c r="R1315" s="53">
        <f>(R1309/(N_1*F_P_h))*SQRT('Valve Sizing'!$G$6/R1313)</f>
        <v>1.4010794275843146</v>
      </c>
      <c r="S1315" s="58"/>
      <c r="T1315" s="73"/>
      <c r="U1315" s="64">
        <f>(U1309/(N_1*U$27))*SQRT('Valve Sizing'!$G$6/U1313)</f>
        <v>15.872308847890931</v>
      </c>
      <c r="V1315" s="41"/>
      <c r="W1315" s="73"/>
      <c r="X1315" s="64">
        <f>(X1309/(N_1*X$27))*SQRT('Valve Sizing'!$G$6/X1313)</f>
        <v>39.147095733252677</v>
      </c>
      <c r="Y1315" s="41"/>
      <c r="Z1315" s="73"/>
      <c r="AA1315" s="64">
        <f>(AA1309/(N_1*AA$27))*SQRT('Valve Sizing'!$G$6/AA1313)</f>
        <v>82.18574635366339</v>
      </c>
      <c r="AB1315" s="41"/>
      <c r="AC1315" s="73"/>
      <c r="AD1315" s="64">
        <f>(AD1309/(N_1*AD$27))*SQRT('Valve Sizing'!$G$6/AD1313)</f>
        <v>185.99251827866092</v>
      </c>
      <c r="AE1315" s="41"/>
      <c r="AF1315" s="73"/>
      <c r="AG1315" s="64" t="e">
        <f>(AG1309/(N_1*AG$27))*SQRT('Valve Sizing'!$G$6/AG1313)</f>
        <v>#NUM!</v>
      </c>
      <c r="AH1315" s="41"/>
      <c r="AI1315" s="73"/>
      <c r="AJ1315" s="64" t="e">
        <f>(AJ1309/(N_1*AJ$27))*SQRT('Valve Sizing'!$G$6/AJ1313)</f>
        <v>#NUM!</v>
      </c>
      <c r="AK1315" s="41"/>
      <c r="AL1315" s="73"/>
      <c r="AM1315" s="64" t="e">
        <f>(AM1309/(N_1*AM$27))*SQRT('Valve Sizing'!$G$6/AM1313)</f>
        <v>#NUM!</v>
      </c>
      <c r="AN1315" s="41"/>
      <c r="AO1315" s="73"/>
      <c r="AP1315" s="64" t="e">
        <f>(AP1309/(N_1*AP$27))*SQRT('Valve Sizing'!$G$6/AP1313)</f>
        <v>#NUM!</v>
      </c>
      <c r="AQ1315" s="41"/>
      <c r="AR1315" s="73"/>
      <c r="AS1315" s="64" t="e">
        <f>(AS1309/(N_1*AS$27))*SQRT('Valve Sizing'!$G$6/AS1313)</f>
        <v>#NUM!</v>
      </c>
      <c r="AT1315" s="41"/>
      <c r="AU1315" s="73"/>
    </row>
    <row r="1316" spans="15:47" ht="13" x14ac:dyDescent="0.3">
      <c r="O1316" s="1" t="s">
        <v>72</v>
      </c>
      <c r="P1316" s="17">
        <v>7</v>
      </c>
      <c r="Q1316" s="65"/>
      <c r="R1316" s="53">
        <f>(R1309/(N_1*F_P_h))*SQRT('Valve Sizing'!$G$6/R1314)</f>
        <v>1.1636447992288685</v>
      </c>
      <c r="S1316" s="56"/>
      <c r="T1316" s="72"/>
      <c r="U1316" s="85">
        <f>(U1309/(N_1*U$27))*SQRT('Valve Sizing'!$G$6/U1314)</f>
        <v>13.149502865142079</v>
      </c>
      <c r="V1316" s="44"/>
      <c r="W1316" s="72"/>
      <c r="X1316" s="85">
        <f>(X1309/(N_1*X$27))*SQRT('Valve Sizing'!$G$6/X1314)</f>
        <v>32.371854137539884</v>
      </c>
      <c r="Y1316" s="44"/>
      <c r="Z1316" s="72"/>
      <c r="AA1316" s="85">
        <f>(AA1309/(N_1*AA$27))*SQRT('Valve Sizing'!$G$6/AA1314)</f>
        <v>66.150028843457889</v>
      </c>
      <c r="AB1316" s="44"/>
      <c r="AC1316" s="72"/>
      <c r="AD1316" s="85">
        <f>(AD1309/(N_1*AD$27))*SQRT('Valve Sizing'!$G$6/AD1314)</f>
        <v>126.80525507152255</v>
      </c>
      <c r="AE1316" s="44"/>
      <c r="AF1316" s="72"/>
      <c r="AG1316" s="85">
        <f>(AG1309/(N_1*AG$27))*SQRT('Valve Sizing'!$G$6/AG1314)</f>
        <v>277.07147335481858</v>
      </c>
      <c r="AH1316" s="44"/>
      <c r="AI1316" s="72"/>
      <c r="AJ1316" s="85" t="e">
        <f>(AJ1309/(N_1*AJ$27))*SQRT('Valve Sizing'!$G$6/AJ1314)</f>
        <v>#NUM!</v>
      </c>
      <c r="AK1316" s="44"/>
      <c r="AL1316" s="72"/>
      <c r="AM1316" s="85" t="e">
        <f>(AM1309/(N_1*AM$27))*SQRT('Valve Sizing'!$G$6/AM1314)</f>
        <v>#NUM!</v>
      </c>
      <c r="AN1316" s="44"/>
      <c r="AO1316" s="72"/>
      <c r="AP1316" s="85" t="e">
        <f>(AP1309/(N_1*AP$27))*SQRT('Valve Sizing'!$G$6/AP1314)</f>
        <v>#NUM!</v>
      </c>
      <c r="AQ1316" s="44"/>
      <c r="AR1316" s="72"/>
      <c r="AS1316" s="85" t="e">
        <f>(AS1309/(N_1*AS$27))*SQRT('Valve Sizing'!$G$6/AS1314)</f>
        <v>#NUM!</v>
      </c>
      <c r="AT1316" s="44"/>
      <c r="AU1316" s="72"/>
    </row>
    <row r="1317" spans="15:47" x14ac:dyDescent="0.25">
      <c r="O1317" s="1" t="s">
        <v>246</v>
      </c>
      <c r="P1317" s="18"/>
      <c r="Q1317" s="65"/>
      <c r="R1317" s="53">
        <f>IF(R1313&lt;R1314,R1315,R1316)</f>
        <v>1.4010794275843146</v>
      </c>
      <c r="S1317" s="49"/>
      <c r="T1317" s="72"/>
      <c r="U1317" s="64">
        <f>IF(U1313&lt;U1314,U1315,U1316)</f>
        <v>15.872308847890931</v>
      </c>
      <c r="V1317" s="44"/>
      <c r="W1317" s="72"/>
      <c r="X1317" s="64">
        <f>IF(X1313&lt;X1314,X1315,X1316)</f>
        <v>39.147095733252677</v>
      </c>
      <c r="Y1317" s="44"/>
      <c r="Z1317" s="72"/>
      <c r="AA1317" s="64">
        <f>IF(AA1313&lt;AA1314,AA1315,AA1316)</f>
        <v>82.18574635366339</v>
      </c>
      <c r="AB1317" s="44"/>
      <c r="AC1317" s="72"/>
      <c r="AD1317" s="64">
        <f>IF(AD1313&lt;AD1314,AD1315,AD1316)</f>
        <v>185.99251827866092</v>
      </c>
      <c r="AE1317" s="44"/>
      <c r="AF1317" s="72"/>
      <c r="AG1317" s="64" t="e">
        <f>IF(AG1313&lt;AG1314,AG1315,AG1316)</f>
        <v>#NUM!</v>
      </c>
      <c r="AH1317" s="44"/>
      <c r="AI1317" s="72"/>
      <c r="AJ1317" s="64" t="e">
        <f>IF(AJ1313&lt;AJ1314,AJ1315,AJ1316)</f>
        <v>#NUM!</v>
      </c>
      <c r="AK1317" s="44"/>
      <c r="AL1317" s="72"/>
      <c r="AM1317" s="64" t="e">
        <f>IF(AM1313&lt;AM1314,AM1315,AM1316)</f>
        <v>#NUM!</v>
      </c>
      <c r="AN1317" s="44"/>
      <c r="AO1317" s="72"/>
      <c r="AP1317" s="64" t="e">
        <f>IF(AP1313&lt;AP1314,AP1315,AP1316)</f>
        <v>#NUM!</v>
      </c>
      <c r="AQ1317" s="44"/>
      <c r="AR1317" s="72"/>
      <c r="AS1317" s="64" t="e">
        <f>IF(AS1313&lt;AS1314,AS1315,AS1316)</f>
        <v>#NUM!</v>
      </c>
      <c r="AT1317" s="44"/>
      <c r="AU1317" s="72"/>
    </row>
    <row r="1318" spans="15:47" ht="13" x14ac:dyDescent="0.3">
      <c r="O1318" s="7" t="s">
        <v>264</v>
      </c>
      <c r="Q1318" s="61"/>
      <c r="R1318" s="53"/>
      <c r="S1318" s="69">
        <f>IFERROR(ABS(C_h-R1317),Q_max*10)</f>
        <v>3.5989205724156852</v>
      </c>
      <c r="T1318" s="76">
        <f>R1309</f>
        <v>7.9562773036616186</v>
      </c>
      <c r="U1318" s="61"/>
      <c r="V1318" s="69">
        <f>IFERROR(ABS(U$23-U1317),Q_max*10)</f>
        <v>3.8723088478909311</v>
      </c>
      <c r="W1318" s="75">
        <f>U1309</f>
        <v>89.619034941873196</v>
      </c>
      <c r="X1318" s="61"/>
      <c r="Y1318" s="69">
        <f>IFERROR(ABS(X$23-X1317),Q_max*10)</f>
        <v>16.147095733252677</v>
      </c>
      <c r="Z1318" s="75">
        <f>X1309</f>
        <v>215.120181579389</v>
      </c>
      <c r="AA1318" s="61"/>
      <c r="AB1318" s="69">
        <f>IFERROR(ABS(AA$23-AA1317),Q_max*10)</f>
        <v>43.18574635366339</v>
      </c>
      <c r="AC1318" s="75">
        <f>AA1309</f>
        <v>410.7432656376667</v>
      </c>
      <c r="AD1318" s="61"/>
      <c r="AE1318" s="69">
        <f>IFERROR(ABS(AD$23-AD1317),Q_max*10)</f>
        <v>124.99251827866092</v>
      </c>
      <c r="AF1318" s="75">
        <f>AD1309</f>
        <v>675.52144527578173</v>
      </c>
      <c r="AG1318" s="61"/>
      <c r="AH1318" s="69">
        <f>IFERROR(ABS(AG$23-AG1317),Q_max*10)</f>
        <v>5500</v>
      </c>
      <c r="AI1318" s="75">
        <f>AG1309</f>
        <v>1005.7593811322117</v>
      </c>
      <c r="AJ1318" s="61"/>
      <c r="AK1318" s="69">
        <f>IFERROR(ABS(AJ$23-AJ1317),Q_max*10)</f>
        <v>5500</v>
      </c>
      <c r="AL1318" s="75">
        <f>AJ1309</f>
        <v>1342.1897930147986</v>
      </c>
      <c r="AM1318" s="61"/>
      <c r="AN1318" s="69">
        <f>IFERROR(ABS(AM$23-AM1317),Q_max*10)</f>
        <v>5500</v>
      </c>
      <c r="AO1318" s="75">
        <f>AM1309</f>
        <v>1637.7266171564797</v>
      </c>
      <c r="AP1318" s="61"/>
      <c r="AQ1318" s="69">
        <f>IFERROR(ABS(AP$23-AP1317),Q_max*10)</f>
        <v>5500</v>
      </c>
      <c r="AR1318" s="75">
        <f>AP1309</f>
        <v>1901.3497599018001</v>
      </c>
      <c r="AS1318" s="61"/>
      <c r="AT1318" s="69">
        <f>IFERROR(ABS(AS$23-AS1317),Q_max*10)</f>
        <v>5500</v>
      </c>
      <c r="AU1318" s="75">
        <f>AS1309</f>
        <v>2163.9133854976867</v>
      </c>
    </row>
    <row r="1319" spans="15:47" ht="14.5" x14ac:dyDescent="0.35">
      <c r="O1319" s="6"/>
      <c r="P1319" s="6"/>
      <c r="Q1319" s="60"/>
      <c r="R1319" s="67"/>
      <c r="S1319" s="56"/>
      <c r="T1319" s="72"/>
      <c r="V1319" s="11"/>
      <c r="W1319" s="38"/>
      <c r="Y1319" s="11"/>
      <c r="Z1319" s="38"/>
      <c r="AB1319" s="11"/>
      <c r="AC1319" s="38"/>
      <c r="AE1319" s="11"/>
      <c r="AF1319" s="38"/>
      <c r="AH1319" s="11"/>
      <c r="AI1319" s="38"/>
      <c r="AK1319" s="11"/>
      <c r="AL1319" s="38"/>
      <c r="AN1319" s="11"/>
      <c r="AO1319" s="38"/>
      <c r="AQ1319" s="11"/>
      <c r="AR1319" s="38"/>
      <c r="AT1319" s="11"/>
      <c r="AU1319" s="38"/>
    </row>
    <row r="1320" spans="15:47" ht="14" x14ac:dyDescent="0.3">
      <c r="O1320" s="8" t="s">
        <v>235</v>
      </c>
      <c r="P1320" s="6"/>
      <c r="Q1320" s="60"/>
      <c r="R1320" s="53">
        <f>R1309*1.02</f>
        <v>8.1154028497348509</v>
      </c>
      <c r="S1320" s="58" t="s">
        <v>238</v>
      </c>
      <c r="T1320" s="73" t="s">
        <v>241</v>
      </c>
      <c r="U1320" s="84">
        <f>U1309*1.01</f>
        <v>90.515225291291927</v>
      </c>
      <c r="V1320" s="58" t="s">
        <v>238</v>
      </c>
      <c r="W1320" s="73" t="s">
        <v>241</v>
      </c>
      <c r="X1320" s="84">
        <f>X1309*1.01</f>
        <v>217.27138339518288</v>
      </c>
      <c r="Y1320" s="58" t="s">
        <v>238</v>
      </c>
      <c r="Z1320" s="73" t="s">
        <v>241</v>
      </c>
      <c r="AA1320" s="84">
        <f>AA1309*1.01</f>
        <v>414.85069829404335</v>
      </c>
      <c r="AB1320" s="58" t="s">
        <v>238</v>
      </c>
      <c r="AC1320" s="73" t="s">
        <v>241</v>
      </c>
      <c r="AD1320" s="84">
        <f>AD1309*1.01</f>
        <v>682.27665972853958</v>
      </c>
      <c r="AE1320" s="58" t="s">
        <v>238</v>
      </c>
      <c r="AF1320" s="73" t="s">
        <v>241</v>
      </c>
      <c r="AG1320" s="84">
        <f>AG1309*1.01</f>
        <v>1015.8169749435339</v>
      </c>
      <c r="AH1320" s="58" t="s">
        <v>238</v>
      </c>
      <c r="AI1320" s="73" t="s">
        <v>241</v>
      </c>
      <c r="AJ1320" s="84">
        <f>AJ1309*1.01</f>
        <v>1355.6116909449465</v>
      </c>
      <c r="AK1320" s="58" t="s">
        <v>238</v>
      </c>
      <c r="AL1320" s="73" t="s">
        <v>241</v>
      </c>
      <c r="AM1320" s="84">
        <f>AM1309*1.01</f>
        <v>1654.1038833280445</v>
      </c>
      <c r="AN1320" s="58" t="s">
        <v>238</v>
      </c>
      <c r="AO1320" s="73" t="s">
        <v>241</v>
      </c>
      <c r="AP1320" s="84">
        <f>AP1309*1.01</f>
        <v>1920.363257500818</v>
      </c>
      <c r="AQ1320" s="58" t="s">
        <v>238</v>
      </c>
      <c r="AR1320" s="73" t="s">
        <v>241</v>
      </c>
      <c r="AS1320" s="84">
        <f>AS1309*1.01</f>
        <v>2185.5525193526637</v>
      </c>
      <c r="AT1320" s="58" t="s">
        <v>238</v>
      </c>
      <c r="AU1320" s="73" t="s">
        <v>241</v>
      </c>
    </row>
    <row r="1321" spans="15:47" ht="13" x14ac:dyDescent="0.25">
      <c r="O1321" s="6"/>
      <c r="P1321" s="6"/>
      <c r="Q1321" s="60"/>
      <c r="R1321" s="70"/>
      <c r="S1321" s="63" t="s">
        <v>250</v>
      </c>
      <c r="T1321" s="71" t="s">
        <v>242</v>
      </c>
      <c r="U1321" s="61"/>
      <c r="V1321" s="63" t="s">
        <v>250</v>
      </c>
      <c r="W1321" s="71" t="s">
        <v>242</v>
      </c>
      <c r="X1321" s="61"/>
      <c r="Y1321" s="63" t="s">
        <v>250</v>
      </c>
      <c r="Z1321" s="71" t="s">
        <v>242</v>
      </c>
      <c r="AA1321" s="61"/>
      <c r="AB1321" s="63" t="s">
        <v>250</v>
      </c>
      <c r="AC1321" s="71" t="s">
        <v>242</v>
      </c>
      <c r="AD1321" s="61"/>
      <c r="AE1321" s="63" t="s">
        <v>250</v>
      </c>
      <c r="AF1321" s="71" t="s">
        <v>242</v>
      </c>
      <c r="AG1321" s="61"/>
      <c r="AH1321" s="63" t="s">
        <v>250</v>
      </c>
      <c r="AI1321" s="71" t="s">
        <v>242</v>
      </c>
      <c r="AJ1321" s="61"/>
      <c r="AK1321" s="63" t="s">
        <v>250</v>
      </c>
      <c r="AL1321" s="71" t="s">
        <v>242</v>
      </c>
      <c r="AM1321" s="61"/>
      <c r="AN1321" s="63" t="s">
        <v>250</v>
      </c>
      <c r="AO1321" s="71" t="s">
        <v>242</v>
      </c>
      <c r="AP1321" s="61"/>
      <c r="AQ1321" s="63" t="s">
        <v>250</v>
      </c>
      <c r="AR1321" s="71" t="s">
        <v>242</v>
      </c>
      <c r="AS1321" s="61"/>
      <c r="AT1321" s="63" t="s">
        <v>250</v>
      </c>
      <c r="AU1321" s="71" t="s">
        <v>242</v>
      </c>
    </row>
    <row r="1322" spans="15:47" ht="13" x14ac:dyDescent="0.3">
      <c r="O1322" s="6" t="s">
        <v>231</v>
      </c>
      <c r="P1322" s="6"/>
      <c r="Q1322" s="60"/>
      <c r="R1322" s="85">
        <f>P_1_minQ-(R1320^2*R_up)+dpup_minQ</f>
        <v>56.913918954292015</v>
      </c>
      <c r="S1322" s="56"/>
      <c r="T1322" s="72"/>
      <c r="U1322" s="53">
        <f>P_1_minQ-(U1320^2*R_up)+dpup_minQ</f>
        <v>56.639445930106945</v>
      </c>
      <c r="V1322" s="44"/>
      <c r="W1322" s="72"/>
      <c r="X1322" s="53">
        <f>P_1_minQ-(X1320^2*R_up)+dpup_minQ</f>
        <v>55.321855655438817</v>
      </c>
      <c r="Y1322" s="44"/>
      <c r="Z1322" s="72"/>
      <c r="AA1322" s="53">
        <f>P_1_minQ-(AA1320^2*R_up)+dpup_minQ</f>
        <v>51.103880382470265</v>
      </c>
      <c r="AB1322" s="44"/>
      <c r="AC1322" s="72"/>
      <c r="AD1322" s="53">
        <f>P_1_minQ-(AD1320^2*R_up)+dpup_minQ</f>
        <v>41.195054359664525</v>
      </c>
      <c r="AE1322" s="44"/>
      <c r="AF1322" s="72"/>
      <c r="AG1322" s="53">
        <f>P_1_minQ-(AG1320^2*R_up)+dpup_minQ</f>
        <v>22.066966343011412</v>
      </c>
      <c r="AH1322" s="44"/>
      <c r="AI1322" s="72"/>
      <c r="AJ1322" s="53">
        <f>P_1_minQ-(AJ1320^2*R_up)+dpup_minQ</f>
        <v>-5.1467766506794108</v>
      </c>
      <c r="AK1322" s="44"/>
      <c r="AL1322" s="72"/>
      <c r="AM1322" s="53">
        <f>P_1_minQ-(AM1320^2*R_up)+dpup_minQ</f>
        <v>-35.48708736375945</v>
      </c>
      <c r="AN1322" s="44"/>
      <c r="AO1322" s="72"/>
      <c r="AP1322" s="53">
        <f>P_1_minQ-(AP1320^2*R_up)+dpup_minQ</f>
        <v>-67.629450886833951</v>
      </c>
      <c r="AQ1322" s="44"/>
      <c r="AR1322" s="72"/>
      <c r="AS1322" s="53">
        <f>P_1_minQ-(AS1320^2*R_up)+dpup_minQ</f>
        <v>-104.4023240408232</v>
      </c>
      <c r="AT1322" s="44"/>
      <c r="AU1322" s="72"/>
    </row>
    <row r="1323" spans="15:47" ht="13" x14ac:dyDescent="0.3">
      <c r="O1323" s="6" t="s">
        <v>233</v>
      </c>
      <c r="P1323" s="6"/>
      <c r="Q1323" s="60"/>
      <c r="R1323" s="85">
        <f>P_2_minQ+(R1320^2*R_dn)-dpdn_minQ</f>
        <v>24.657216209141598</v>
      </c>
      <c r="S1323" s="66"/>
      <c r="T1323" s="74"/>
      <c r="U1323" s="53">
        <f>P_2_minQ+(U1320^2*R_dn)-dpdn_minQ</f>
        <v>24.712110813978612</v>
      </c>
      <c r="V1323" s="45"/>
      <c r="W1323" s="74"/>
      <c r="X1323" s="53">
        <f>P_2_minQ+(X1320^2*R_dn)-dpdn_minQ</f>
        <v>24.975628868912239</v>
      </c>
      <c r="Y1323" s="45"/>
      <c r="Z1323" s="74"/>
      <c r="AA1323" s="53">
        <f>P_2_minQ+(AA1320^2*R_dn)-dpdn_minQ</f>
        <v>25.819223923505948</v>
      </c>
      <c r="AB1323" s="45"/>
      <c r="AC1323" s="74"/>
      <c r="AD1323" s="53">
        <f>P_2_minQ+(AD1320^2*R_dn)-dpdn_minQ</f>
        <v>27.800989128067098</v>
      </c>
      <c r="AE1323" s="45"/>
      <c r="AF1323" s="74"/>
      <c r="AG1323" s="53">
        <f>P_2_minQ+(AG1320^2*R_dn)-dpdn_minQ</f>
        <v>31.626606731397718</v>
      </c>
      <c r="AH1323" s="45"/>
      <c r="AI1323" s="74"/>
      <c r="AJ1323" s="53">
        <f>P_2_minQ+(AJ1320^2*R_dn)-dpdn_minQ</f>
        <v>37.069355330135885</v>
      </c>
      <c r="AK1323" s="45"/>
      <c r="AL1323" s="74"/>
      <c r="AM1323" s="53">
        <f>P_2_minQ+(AM1320^2*R_dn)-dpdn_minQ</f>
        <v>43.137417472751892</v>
      </c>
      <c r="AN1323" s="45"/>
      <c r="AO1323" s="74"/>
      <c r="AP1323" s="53">
        <f>P_2_minQ+(AP1320^2*R_dn)-dpdn_minQ</f>
        <v>49.565890177366796</v>
      </c>
      <c r="AQ1323" s="45"/>
      <c r="AR1323" s="74"/>
      <c r="AS1323" s="53">
        <f>P_2_minQ+(AS1320^2*R_dn)-dpdn_minQ</f>
        <v>56.920464808164645</v>
      </c>
      <c r="AT1323" s="45"/>
      <c r="AU1323" s="74"/>
    </row>
    <row r="1324" spans="15:47" x14ac:dyDescent="0.25">
      <c r="O1324" s="6" t="s">
        <v>243</v>
      </c>
      <c r="Q1324" s="60"/>
      <c r="R1324" s="53">
        <f>R1322-R1323</f>
        <v>32.25670274515042</v>
      </c>
      <c r="S1324" s="56"/>
      <c r="T1324" s="72"/>
      <c r="U1324" s="64">
        <f>U1322-U1323</f>
        <v>31.927335116128333</v>
      </c>
      <c r="V1324" s="44"/>
      <c r="W1324" s="72"/>
      <c r="X1324" s="64">
        <f>X1322-X1323</f>
        <v>30.346226786526579</v>
      </c>
      <c r="Y1324" s="44"/>
      <c r="Z1324" s="72"/>
      <c r="AA1324" s="64">
        <f>AA1322-AA1323</f>
        <v>25.284656458964317</v>
      </c>
      <c r="AB1324" s="44"/>
      <c r="AC1324" s="72"/>
      <c r="AD1324" s="64">
        <f>AD1322-AD1323</f>
        <v>13.394065231597427</v>
      </c>
      <c r="AE1324" s="44"/>
      <c r="AF1324" s="72"/>
      <c r="AG1324" s="64">
        <f>AG1322-AG1323</f>
        <v>-9.5596403883863061</v>
      </c>
      <c r="AH1324" s="44"/>
      <c r="AI1324" s="72"/>
      <c r="AJ1324" s="64">
        <f>AJ1322-AJ1323</f>
        <v>-42.216131980815298</v>
      </c>
      <c r="AK1324" s="44"/>
      <c r="AL1324" s="72"/>
      <c r="AM1324" s="64">
        <f>AM1322-AM1323</f>
        <v>-78.624504836511335</v>
      </c>
      <c r="AN1324" s="44"/>
      <c r="AO1324" s="72"/>
      <c r="AP1324" s="64">
        <f>AP1322-AP1323</f>
        <v>-117.19534106420075</v>
      </c>
      <c r="AQ1324" s="44"/>
      <c r="AR1324" s="72"/>
      <c r="AS1324" s="64">
        <f>AS1322-AS1323</f>
        <v>-161.32278884898784</v>
      </c>
      <c r="AT1324" s="44"/>
      <c r="AU1324" s="72"/>
    </row>
    <row r="1325" spans="15:47" ht="13" x14ac:dyDescent="0.3">
      <c r="O1325" s="6" t="s">
        <v>75</v>
      </c>
      <c r="P1325" s="6">
        <v>3</v>
      </c>
      <c r="Q1325" s="65"/>
      <c r="R1325" s="85">
        <f>(F_LP_h/F_P_h)^2*(R1322-('Valve Sizing'!$V$4*'Valve Sizing'!$G$7))</f>
        <v>46.763321453771248</v>
      </c>
      <c r="S1325" s="58"/>
      <c r="T1325" s="73"/>
      <c r="U1325" s="53">
        <f>(U$29/U$27)^2*(U1322-('Valve Sizing'!$V$4*'Valve Sizing'!$G$7))</f>
        <v>46.523359579709108</v>
      </c>
      <c r="V1325" s="41"/>
      <c r="W1325" s="73"/>
      <c r="X1325" s="53">
        <f>(X$29/X$27)^2*(X1322-('Valve Sizing'!$V$4*'Valve Sizing'!$G$7))</f>
        <v>44.407802488256415</v>
      </c>
      <c r="Y1325" s="41"/>
      <c r="Z1325" s="73"/>
      <c r="AA1325" s="53">
        <f>(AA$29/AA$27)^2*(AA1322-('Valve Sizing'!$V$4*'Valve Sizing'!$G$7))</f>
        <v>39.152861416139096</v>
      </c>
      <c r="AB1325" s="41"/>
      <c r="AC1325" s="73"/>
      <c r="AD1325" s="53">
        <f>(AD$29/AD$27)^2*(AD1322-('Valve Sizing'!$V$4*'Valve Sizing'!$G$7))</f>
        <v>29.391990392823143</v>
      </c>
      <c r="AE1325" s="41"/>
      <c r="AF1325" s="73"/>
      <c r="AG1325" s="53">
        <f>(AG$29/AG$27)^2*(AG1322-('Valve Sizing'!$V$4*'Valve Sizing'!$G$7))</f>
        <v>13.928679714312233</v>
      </c>
      <c r="AH1325" s="41"/>
      <c r="AI1325" s="73"/>
      <c r="AJ1325" s="53">
        <f>(AJ$29/AJ$27)^2*(AJ1322-('Valve Sizing'!$V$4*'Valve Sizing'!$G$7))</f>
        <v>-3.2312257178558723</v>
      </c>
      <c r="AK1325" s="41"/>
      <c r="AL1325" s="73"/>
      <c r="AM1325" s="53">
        <f>(AM$29/AM$27)^2*(AM1322-('Valve Sizing'!$V$4*'Valve Sizing'!$G$7))</f>
        <v>-17.190138302180376</v>
      </c>
      <c r="AN1325" s="41"/>
      <c r="AO1325" s="73"/>
      <c r="AP1325" s="53">
        <f>(AP$29/AP$27)^2*(AP1322-('Valve Sizing'!$V$4*'Valve Sizing'!$G$7))</f>
        <v>-26.862054201218342</v>
      </c>
      <c r="AQ1325" s="41"/>
      <c r="AR1325" s="73"/>
      <c r="AS1325" s="53">
        <f>(AS$29/AS$27)^2*(AS1322-('Valve Sizing'!$V$4*'Valve Sizing'!$G$7))</f>
        <v>-39.435496712053556</v>
      </c>
      <c r="AT1325" s="41"/>
      <c r="AU1325" s="73"/>
    </row>
    <row r="1326" spans="15:47" ht="13" x14ac:dyDescent="0.25">
      <c r="O1326" s="1" t="s">
        <v>69</v>
      </c>
      <c r="P1326" s="17">
        <v>7</v>
      </c>
      <c r="Q1326" s="65"/>
      <c r="R1326" s="53">
        <f>(R1320/(N_1*F_P_h))*SQRT('Valve Sizing'!$G$6/R1324)</f>
        <v>1.4291033120554015</v>
      </c>
      <c r="S1326" s="58"/>
      <c r="T1326" s="73"/>
      <c r="U1326" s="64">
        <f>(U1320/(N_1*U$27))*SQRT('Valve Sizing'!$G$6/U1324)</f>
        <v>16.032674363037803</v>
      </c>
      <c r="V1326" s="41"/>
      <c r="W1326" s="73"/>
      <c r="X1326" s="64">
        <f>(X1320/(N_1*X$27))*SQRT('Valve Sizing'!$G$6/X1324)</f>
        <v>39.563116754417749</v>
      </c>
      <c r="Y1326" s="41"/>
      <c r="Z1326" s="73"/>
      <c r="AA1326" s="64">
        <f>(AA1320/(N_1*AA$27))*SQRT('Valve Sizing'!$G$6/AA1324)</f>
        <v>83.232883327689905</v>
      </c>
      <c r="AB1326" s="41"/>
      <c r="AC1326" s="73"/>
      <c r="AD1326" s="64">
        <f>(AD1320/(N_1*AD$27))*SQRT('Valve Sizing'!$G$6/AD1324)</f>
        <v>190.4413078244913</v>
      </c>
      <c r="AE1326" s="41"/>
      <c r="AF1326" s="73"/>
      <c r="AG1326" s="64" t="e">
        <f>(AG1320/(N_1*AG$27))*SQRT('Valve Sizing'!$G$6/AG1324)</f>
        <v>#NUM!</v>
      </c>
      <c r="AH1326" s="41"/>
      <c r="AI1326" s="73"/>
      <c r="AJ1326" s="64" t="e">
        <f>(AJ1320/(N_1*AJ$27))*SQRT('Valve Sizing'!$G$6/AJ1324)</f>
        <v>#NUM!</v>
      </c>
      <c r="AK1326" s="41"/>
      <c r="AL1326" s="73"/>
      <c r="AM1326" s="64" t="e">
        <f>(AM1320/(N_1*AM$27))*SQRT('Valve Sizing'!$G$6/AM1324)</f>
        <v>#NUM!</v>
      </c>
      <c r="AN1326" s="41"/>
      <c r="AO1326" s="73"/>
      <c r="AP1326" s="64" t="e">
        <f>(AP1320/(N_1*AP$27))*SQRT('Valve Sizing'!$G$6/AP1324)</f>
        <v>#NUM!</v>
      </c>
      <c r="AQ1326" s="41"/>
      <c r="AR1326" s="73"/>
      <c r="AS1326" s="64" t="e">
        <f>(AS1320/(N_1*AS$27))*SQRT('Valve Sizing'!$G$6/AS1324)</f>
        <v>#NUM!</v>
      </c>
      <c r="AT1326" s="41"/>
      <c r="AU1326" s="73"/>
    </row>
    <row r="1327" spans="15:47" ht="13" x14ac:dyDescent="0.3">
      <c r="O1327" s="1" t="s">
        <v>72</v>
      </c>
      <c r="P1327" s="17">
        <v>7</v>
      </c>
      <c r="Q1327" s="65"/>
      <c r="R1327" s="53">
        <f>(R1320/(N_1*F_P_h))*SQRT('Valve Sizing'!$G$6/R1325)</f>
        <v>1.1869186028369636</v>
      </c>
      <c r="S1327" s="56"/>
      <c r="T1327" s="72"/>
      <c r="U1327" s="85">
        <f>(U1320/(N_1*U$27))*SQRT('Valve Sizing'!$G$6/U1325)</f>
        <v>13.281642087929546</v>
      </c>
      <c r="V1327" s="44"/>
      <c r="W1327" s="72"/>
      <c r="X1327" s="85">
        <f>(X1320/(N_1*X$27))*SQRT('Valve Sizing'!$G$6/X1325)</f>
        <v>32.704928640946328</v>
      </c>
      <c r="Y1327" s="44"/>
      <c r="Z1327" s="72"/>
      <c r="AA1327" s="85">
        <f>(AA1320/(N_1*AA$27))*SQRT('Valve Sizing'!$G$6/AA1325)</f>
        <v>66.886999556498637</v>
      </c>
      <c r="AB1327" s="44"/>
      <c r="AC1327" s="72"/>
      <c r="AD1327" s="85">
        <f>(AD1320/(N_1*AD$27))*SQRT('Valve Sizing'!$G$6/AD1325)</f>
        <v>128.55911130578261</v>
      </c>
      <c r="AE1327" s="44"/>
      <c r="AF1327" s="72"/>
      <c r="AG1327" s="85">
        <f>(AG1320/(N_1*AG$27))*SQRT('Valve Sizing'!$G$6/AG1325)</f>
        <v>284.25004656856169</v>
      </c>
      <c r="AH1327" s="44"/>
      <c r="AI1327" s="72"/>
      <c r="AJ1327" s="85" t="e">
        <f>(AJ1320/(N_1*AJ$27))*SQRT('Valve Sizing'!$G$6/AJ1325)</f>
        <v>#NUM!</v>
      </c>
      <c r="AK1327" s="44"/>
      <c r="AL1327" s="72"/>
      <c r="AM1327" s="85" t="e">
        <f>(AM1320/(N_1*AM$27))*SQRT('Valve Sizing'!$G$6/AM1325)</f>
        <v>#NUM!</v>
      </c>
      <c r="AN1327" s="44"/>
      <c r="AO1327" s="72"/>
      <c r="AP1327" s="85" t="e">
        <f>(AP1320/(N_1*AP$27))*SQRT('Valve Sizing'!$G$6/AP1325)</f>
        <v>#NUM!</v>
      </c>
      <c r="AQ1327" s="44"/>
      <c r="AR1327" s="72"/>
      <c r="AS1327" s="85" t="e">
        <f>(AS1320/(N_1*AS$27))*SQRT('Valve Sizing'!$G$6/AS1325)</f>
        <v>#NUM!</v>
      </c>
      <c r="AT1327" s="44"/>
      <c r="AU1327" s="72"/>
    </row>
    <row r="1328" spans="15:47" x14ac:dyDescent="0.25">
      <c r="O1328" s="1" t="s">
        <v>246</v>
      </c>
      <c r="P1328" s="18"/>
      <c r="Q1328" s="65"/>
      <c r="R1328" s="53">
        <f>IF(R1324&lt;R1325,R1326,R1327)</f>
        <v>1.4291033120554015</v>
      </c>
      <c r="S1328" s="49"/>
      <c r="T1328" s="72"/>
      <c r="U1328" s="64">
        <f>IF(U1324&lt;U1325,U1326,U1327)</f>
        <v>16.032674363037803</v>
      </c>
      <c r="V1328" s="44"/>
      <c r="W1328" s="72"/>
      <c r="X1328" s="64">
        <f>IF(X1324&lt;X1325,X1326,X1327)</f>
        <v>39.563116754417749</v>
      </c>
      <c r="Y1328" s="44"/>
      <c r="Z1328" s="72"/>
      <c r="AA1328" s="64">
        <f>IF(AA1324&lt;AA1325,AA1326,AA1327)</f>
        <v>83.232883327689905</v>
      </c>
      <c r="AB1328" s="44"/>
      <c r="AC1328" s="72"/>
      <c r="AD1328" s="64">
        <f>IF(AD1324&lt;AD1325,AD1326,AD1327)</f>
        <v>190.4413078244913</v>
      </c>
      <c r="AE1328" s="44"/>
      <c r="AF1328" s="72"/>
      <c r="AG1328" s="64" t="e">
        <f>IF(AG1324&lt;AG1325,AG1326,AG1327)</f>
        <v>#NUM!</v>
      </c>
      <c r="AH1328" s="44"/>
      <c r="AI1328" s="72"/>
      <c r="AJ1328" s="64" t="e">
        <f>IF(AJ1324&lt;AJ1325,AJ1326,AJ1327)</f>
        <v>#NUM!</v>
      </c>
      <c r="AK1328" s="44"/>
      <c r="AL1328" s="72"/>
      <c r="AM1328" s="64" t="e">
        <f>IF(AM1324&lt;AM1325,AM1326,AM1327)</f>
        <v>#NUM!</v>
      </c>
      <c r="AN1328" s="44"/>
      <c r="AO1328" s="72"/>
      <c r="AP1328" s="64" t="e">
        <f>IF(AP1324&lt;AP1325,AP1326,AP1327)</f>
        <v>#NUM!</v>
      </c>
      <c r="AQ1328" s="44"/>
      <c r="AR1328" s="72"/>
      <c r="AS1328" s="64" t="e">
        <f>IF(AS1324&lt;AS1325,AS1326,AS1327)</f>
        <v>#NUM!</v>
      </c>
      <c r="AT1328" s="44"/>
      <c r="AU1328" s="72"/>
    </row>
    <row r="1329" spans="15:47" ht="13" x14ac:dyDescent="0.3">
      <c r="O1329" s="7" t="s">
        <v>264</v>
      </c>
      <c r="Q1329" s="61"/>
      <c r="R1329" s="53"/>
      <c r="S1329" s="69">
        <f>IFERROR(ABS(C_h-R1328),Q_max*10)</f>
        <v>3.5708966879445985</v>
      </c>
      <c r="T1329" s="76">
        <f>R1320</f>
        <v>8.1154028497348509</v>
      </c>
      <c r="U1329" s="61"/>
      <c r="V1329" s="69">
        <f>IFERROR(ABS(U$23-U1328),Q_max*10)</f>
        <v>4.0326743630378026</v>
      </c>
      <c r="W1329" s="75">
        <f>U1320</f>
        <v>90.515225291291927</v>
      </c>
      <c r="X1329" s="61"/>
      <c r="Y1329" s="69">
        <f>IFERROR(ABS(X$23-X1328),Q_max*10)</f>
        <v>16.563116754417749</v>
      </c>
      <c r="Z1329" s="75">
        <f>X1320</f>
        <v>217.27138339518288</v>
      </c>
      <c r="AA1329" s="61"/>
      <c r="AB1329" s="69">
        <f>IFERROR(ABS(AA$23-AA1328),Q_max*10)</f>
        <v>44.232883327689905</v>
      </c>
      <c r="AC1329" s="75">
        <f>AA1320</f>
        <v>414.85069829404335</v>
      </c>
      <c r="AD1329" s="61"/>
      <c r="AE1329" s="69">
        <f>IFERROR(ABS(AD$23-AD1328),Q_max*10)</f>
        <v>129.4413078244913</v>
      </c>
      <c r="AF1329" s="75">
        <f>AD1320</f>
        <v>682.27665972853958</v>
      </c>
      <c r="AG1329" s="61"/>
      <c r="AH1329" s="69">
        <f>IFERROR(ABS(AG$23-AG1328),Q_max*10)</f>
        <v>5500</v>
      </c>
      <c r="AI1329" s="75">
        <f>AG1320</f>
        <v>1015.8169749435339</v>
      </c>
      <c r="AJ1329" s="61"/>
      <c r="AK1329" s="69">
        <f>IFERROR(ABS(AJ$23-AJ1328),Q_max*10)</f>
        <v>5500</v>
      </c>
      <c r="AL1329" s="75">
        <f>AJ1320</f>
        <v>1355.6116909449465</v>
      </c>
      <c r="AM1329" s="61"/>
      <c r="AN1329" s="69">
        <f>IFERROR(ABS(AM$23-AM1328),Q_max*10)</f>
        <v>5500</v>
      </c>
      <c r="AO1329" s="75">
        <f>AM1320</f>
        <v>1654.1038833280445</v>
      </c>
      <c r="AP1329" s="61"/>
      <c r="AQ1329" s="69">
        <f>IFERROR(ABS(AP$23-AP1328),Q_max*10)</f>
        <v>5500</v>
      </c>
      <c r="AR1329" s="75">
        <f>AP1320</f>
        <v>1920.363257500818</v>
      </c>
      <c r="AS1329" s="61"/>
      <c r="AT1329" s="69">
        <f>IFERROR(ABS(AS$23-AS1328),Q_max*10)</f>
        <v>5500</v>
      </c>
      <c r="AU1329" s="75">
        <f>AS1320</f>
        <v>2185.5525193526637</v>
      </c>
    </row>
    <row r="1330" spans="15:47" ht="14.5" x14ac:dyDescent="0.35">
      <c r="O1330" s="8"/>
      <c r="P1330" s="6"/>
      <c r="Q1330" s="60"/>
      <c r="R1330" s="67"/>
      <c r="S1330" s="56"/>
      <c r="T1330" s="72"/>
      <c r="V1330" s="11"/>
      <c r="W1330" s="38"/>
      <c r="Y1330" s="11"/>
      <c r="Z1330" s="38"/>
      <c r="AB1330" s="11"/>
      <c r="AC1330" s="38"/>
      <c r="AE1330" s="11"/>
      <c r="AF1330" s="38"/>
      <c r="AH1330" s="11"/>
      <c r="AI1330" s="38"/>
      <c r="AK1330" s="11"/>
      <c r="AL1330" s="38"/>
      <c r="AN1330" s="11"/>
      <c r="AO1330" s="38"/>
      <c r="AQ1330" s="11"/>
      <c r="AR1330" s="38"/>
      <c r="AT1330" s="11"/>
      <c r="AU1330" s="38"/>
    </row>
    <row r="1331" spans="15:47" ht="14" x14ac:dyDescent="0.3">
      <c r="O1331" s="8" t="s">
        <v>235</v>
      </c>
      <c r="P1331" s="6"/>
      <c r="Q1331" s="60"/>
      <c r="R1331" s="53">
        <f>R1320*1.02</f>
        <v>8.2777109067295473</v>
      </c>
      <c r="S1331" s="58" t="s">
        <v>238</v>
      </c>
      <c r="T1331" s="73" t="s">
        <v>241</v>
      </c>
      <c r="U1331" s="84">
        <f>U1320*1.01</f>
        <v>91.42037754420484</v>
      </c>
      <c r="V1331" s="58" t="s">
        <v>238</v>
      </c>
      <c r="W1331" s="73" t="s">
        <v>241</v>
      </c>
      <c r="X1331" s="84">
        <f>X1320*1.01</f>
        <v>219.44409722913471</v>
      </c>
      <c r="Y1331" s="58" t="s">
        <v>238</v>
      </c>
      <c r="Z1331" s="73" t="s">
        <v>241</v>
      </c>
      <c r="AA1331" s="84">
        <f>AA1320*1.01</f>
        <v>418.99920527698379</v>
      </c>
      <c r="AB1331" s="58" t="s">
        <v>238</v>
      </c>
      <c r="AC1331" s="73" t="s">
        <v>241</v>
      </c>
      <c r="AD1331" s="84">
        <f>AD1320*1.01</f>
        <v>689.09942632582499</v>
      </c>
      <c r="AE1331" s="58" t="s">
        <v>238</v>
      </c>
      <c r="AF1331" s="73" t="s">
        <v>241</v>
      </c>
      <c r="AG1331" s="84">
        <f>AG1320*1.01</f>
        <v>1025.9751446929693</v>
      </c>
      <c r="AH1331" s="58" t="s">
        <v>238</v>
      </c>
      <c r="AI1331" s="73" t="s">
        <v>241</v>
      </c>
      <c r="AJ1331" s="84">
        <f>AJ1320*1.01</f>
        <v>1369.167807854396</v>
      </c>
      <c r="AK1331" s="58" t="s">
        <v>238</v>
      </c>
      <c r="AL1331" s="73" t="s">
        <v>241</v>
      </c>
      <c r="AM1331" s="84">
        <f>AM1320*1.01</f>
        <v>1670.644922161325</v>
      </c>
      <c r="AN1331" s="58" t="s">
        <v>238</v>
      </c>
      <c r="AO1331" s="73" t="s">
        <v>241</v>
      </c>
      <c r="AP1331" s="84">
        <f>AP1320*1.01</f>
        <v>1939.5668900758262</v>
      </c>
      <c r="AQ1331" s="58" t="s">
        <v>238</v>
      </c>
      <c r="AR1331" s="73" t="s">
        <v>241</v>
      </c>
      <c r="AS1331" s="84">
        <f>AS1320*1.01</f>
        <v>2207.4080445461905</v>
      </c>
      <c r="AT1331" s="58" t="s">
        <v>238</v>
      </c>
      <c r="AU1331" s="73" t="s">
        <v>241</v>
      </c>
    </row>
    <row r="1332" spans="15:47" ht="13" x14ac:dyDescent="0.25">
      <c r="O1332" s="6"/>
      <c r="P1332" s="6"/>
      <c r="Q1332" s="60"/>
      <c r="R1332" s="70"/>
      <c r="S1332" s="63" t="s">
        <v>250</v>
      </c>
      <c r="T1332" s="71" t="s">
        <v>242</v>
      </c>
      <c r="U1332" s="61"/>
      <c r="V1332" s="63" t="s">
        <v>250</v>
      </c>
      <c r="W1332" s="71" t="s">
        <v>242</v>
      </c>
      <c r="X1332" s="61"/>
      <c r="Y1332" s="63" t="s">
        <v>250</v>
      </c>
      <c r="Z1332" s="71" t="s">
        <v>242</v>
      </c>
      <c r="AA1332" s="61"/>
      <c r="AB1332" s="63" t="s">
        <v>250</v>
      </c>
      <c r="AC1332" s="71" t="s">
        <v>242</v>
      </c>
      <c r="AD1332" s="61"/>
      <c r="AE1332" s="63" t="s">
        <v>250</v>
      </c>
      <c r="AF1332" s="71" t="s">
        <v>242</v>
      </c>
      <c r="AG1332" s="61"/>
      <c r="AH1332" s="63" t="s">
        <v>250</v>
      </c>
      <c r="AI1332" s="71" t="s">
        <v>242</v>
      </c>
      <c r="AJ1332" s="61"/>
      <c r="AK1332" s="63" t="s">
        <v>250</v>
      </c>
      <c r="AL1332" s="71" t="s">
        <v>242</v>
      </c>
      <c r="AM1332" s="61"/>
      <c r="AN1332" s="63" t="s">
        <v>250</v>
      </c>
      <c r="AO1332" s="71" t="s">
        <v>242</v>
      </c>
      <c r="AP1332" s="61"/>
      <c r="AQ1332" s="63" t="s">
        <v>250</v>
      </c>
      <c r="AR1332" s="71" t="s">
        <v>242</v>
      </c>
      <c r="AS1332" s="61"/>
      <c r="AT1332" s="63" t="s">
        <v>250</v>
      </c>
      <c r="AU1332" s="71" t="s">
        <v>242</v>
      </c>
    </row>
    <row r="1333" spans="15:47" ht="13" x14ac:dyDescent="0.3">
      <c r="O1333" s="6" t="s">
        <v>231</v>
      </c>
      <c r="P1333" s="6"/>
      <c r="Q1333" s="60"/>
      <c r="R1333" s="85">
        <f>P_1_minQ-(R1331^2*R_up)+dpup_minQ</f>
        <v>56.913829094972797</v>
      </c>
      <c r="S1333" s="56"/>
      <c r="T1333" s="72"/>
      <c r="U1333" s="53">
        <f>P_1_minQ-(U1331^2*R_up)+dpup_minQ</f>
        <v>56.633884315085275</v>
      </c>
      <c r="V1333" s="44"/>
      <c r="W1333" s="72"/>
      <c r="X1333" s="53">
        <f>P_1_minQ-(X1331^2*R_up)+dpup_minQ</f>
        <v>55.289810475896324</v>
      </c>
      <c r="Y1333" s="44"/>
      <c r="Z1333" s="72"/>
      <c r="AA1333" s="53">
        <f>P_1_minQ-(AA1331^2*R_up)+dpup_minQ</f>
        <v>50.987053899941102</v>
      </c>
      <c r="AB1333" s="44"/>
      <c r="AC1333" s="72"/>
      <c r="AD1333" s="53">
        <f>P_1_minQ-(AD1331^2*R_up)+dpup_minQ</f>
        <v>40.879060474076965</v>
      </c>
      <c r="AE1333" s="44"/>
      <c r="AF1333" s="72"/>
      <c r="AG1333" s="53">
        <f>P_1_minQ-(AG1331^2*R_up)+dpup_minQ</f>
        <v>21.366497888289114</v>
      </c>
      <c r="AH1333" s="44"/>
      <c r="AI1333" s="72"/>
      <c r="AJ1333" s="53">
        <f>P_1_minQ-(AJ1331^2*R_up)+dpup_minQ</f>
        <v>-6.3942413395748803</v>
      </c>
      <c r="AK1333" s="44"/>
      <c r="AL1333" s="72"/>
      <c r="AM1333" s="53">
        <f>P_1_minQ-(AM1331^2*R_up)+dpup_minQ</f>
        <v>-37.344392297987831</v>
      </c>
      <c r="AN1333" s="44"/>
      <c r="AO1333" s="72"/>
      <c r="AP1333" s="53">
        <f>P_1_minQ-(AP1331^2*R_up)+dpup_minQ</f>
        <v>-70.132817327876126</v>
      </c>
      <c r="AQ1333" s="44"/>
      <c r="AR1333" s="72"/>
      <c r="AS1333" s="53">
        <f>P_1_minQ-(AS1331^2*R_up)+dpup_minQ</f>
        <v>-107.64482523226062</v>
      </c>
      <c r="AT1333" s="44"/>
      <c r="AU1333" s="72"/>
    </row>
    <row r="1334" spans="15:47" ht="13" x14ac:dyDescent="0.3">
      <c r="O1334" s="6" t="s">
        <v>233</v>
      </c>
      <c r="P1334" s="6"/>
      <c r="Q1334" s="60"/>
      <c r="R1334" s="85">
        <f>P_2_minQ+(R1331^2*R_dn)-dpdn_minQ</f>
        <v>24.657234181005443</v>
      </c>
      <c r="S1334" s="66"/>
      <c r="T1334" s="74"/>
      <c r="U1334" s="53">
        <f>P_2_minQ+(U1331^2*R_dn)-dpdn_minQ</f>
        <v>24.713223136982947</v>
      </c>
      <c r="V1334" s="45"/>
      <c r="W1334" s="74"/>
      <c r="X1334" s="53">
        <f>P_2_minQ+(X1331^2*R_dn)-dpdn_minQ</f>
        <v>24.982037904820736</v>
      </c>
      <c r="Y1334" s="45"/>
      <c r="Z1334" s="74"/>
      <c r="AA1334" s="53">
        <f>P_2_minQ+(AA1331^2*R_dn)-dpdn_minQ</f>
        <v>25.842589220011781</v>
      </c>
      <c r="AB1334" s="45"/>
      <c r="AC1334" s="74"/>
      <c r="AD1334" s="53">
        <f>P_2_minQ+(AD1331^2*R_dn)-dpdn_minQ</f>
        <v>27.864187905184608</v>
      </c>
      <c r="AE1334" s="45"/>
      <c r="AF1334" s="74"/>
      <c r="AG1334" s="53">
        <f>P_2_minQ+(AG1331^2*R_dn)-dpdn_minQ</f>
        <v>31.766700422342179</v>
      </c>
      <c r="AH1334" s="45"/>
      <c r="AI1334" s="74"/>
      <c r="AJ1334" s="53">
        <f>P_2_minQ+(AJ1331^2*R_dn)-dpdn_minQ</f>
        <v>37.31884826791498</v>
      </c>
      <c r="AK1334" s="45"/>
      <c r="AL1334" s="74"/>
      <c r="AM1334" s="53">
        <f>P_2_minQ+(AM1331^2*R_dn)-dpdn_minQ</f>
        <v>43.508878459597568</v>
      </c>
      <c r="AN1334" s="45"/>
      <c r="AO1334" s="74"/>
      <c r="AP1334" s="53">
        <f>P_2_minQ+(AP1331^2*R_dn)-dpdn_minQ</f>
        <v>50.066563465575229</v>
      </c>
      <c r="AQ1334" s="45"/>
      <c r="AR1334" s="74"/>
      <c r="AS1334" s="53">
        <f>P_2_minQ+(AS1331^2*R_dn)-dpdn_minQ</f>
        <v>57.568965046452128</v>
      </c>
      <c r="AT1334" s="45"/>
      <c r="AU1334" s="74"/>
    </row>
    <row r="1335" spans="15:47" x14ac:dyDescent="0.25">
      <c r="O1335" s="6" t="s">
        <v>243</v>
      </c>
      <c r="Q1335" s="60"/>
      <c r="R1335" s="53">
        <f>R1333-R1334</f>
        <v>32.256594913967355</v>
      </c>
      <c r="S1335" s="56"/>
      <c r="T1335" s="72"/>
      <c r="U1335" s="64">
        <f>U1333-U1334</f>
        <v>31.920661178102328</v>
      </c>
      <c r="V1335" s="44"/>
      <c r="W1335" s="72"/>
      <c r="X1335" s="64">
        <f>X1333-X1334</f>
        <v>30.307772571075589</v>
      </c>
      <c r="Y1335" s="44"/>
      <c r="Z1335" s="72"/>
      <c r="AA1335" s="64">
        <f>AA1333-AA1334</f>
        <v>25.144464679929321</v>
      </c>
      <c r="AB1335" s="44"/>
      <c r="AC1335" s="72"/>
      <c r="AD1335" s="64">
        <f>AD1333-AD1334</f>
        <v>13.014872568892358</v>
      </c>
      <c r="AE1335" s="44"/>
      <c r="AF1335" s="72"/>
      <c r="AG1335" s="64">
        <f>AG1333-AG1334</f>
        <v>-10.400202534053065</v>
      </c>
      <c r="AH1335" s="44"/>
      <c r="AI1335" s="72"/>
      <c r="AJ1335" s="64">
        <f>AJ1333-AJ1334</f>
        <v>-43.713089607489863</v>
      </c>
      <c r="AK1335" s="44"/>
      <c r="AL1335" s="72"/>
      <c r="AM1335" s="64">
        <f>AM1333-AM1334</f>
        <v>-80.853270757585392</v>
      </c>
      <c r="AN1335" s="44"/>
      <c r="AO1335" s="72"/>
      <c r="AP1335" s="64">
        <f>AP1333-AP1334</f>
        <v>-120.19938079345135</v>
      </c>
      <c r="AQ1335" s="44"/>
      <c r="AR1335" s="72"/>
      <c r="AS1335" s="64">
        <f>AS1333-AS1334</f>
        <v>-165.21379027871274</v>
      </c>
      <c r="AT1335" s="44"/>
      <c r="AU1335" s="72"/>
    </row>
    <row r="1336" spans="15:47" ht="13" x14ac:dyDescent="0.3">
      <c r="O1336" s="6" t="s">
        <v>75</v>
      </c>
      <c r="P1336" s="6">
        <v>3</v>
      </c>
      <c r="Q1336" s="65"/>
      <c r="R1336" s="85">
        <f>(F_LP_h/F_P_h)^2*(R1333-('Valve Sizing'!$V$4*'Valve Sizing'!$G$7))</f>
        <v>46.763247045538222</v>
      </c>
      <c r="S1336" s="58"/>
      <c r="T1336" s="73"/>
      <c r="U1336" s="53">
        <f>(U$29/U$27)^2*(U1333-('Valve Sizing'!$V$4*'Valve Sizing'!$G$7))</f>
        <v>46.51875552575936</v>
      </c>
      <c r="V1336" s="41"/>
      <c r="W1336" s="73"/>
      <c r="X1336" s="53">
        <f>(X$29/X$27)^2*(X1333-('Valve Sizing'!$V$4*'Valve Sizing'!$G$7))</f>
        <v>44.38187301699211</v>
      </c>
      <c r="Y1336" s="41"/>
      <c r="Z1336" s="73"/>
      <c r="AA1336" s="53">
        <f>(AA$29/AA$27)^2*(AA1333-('Valve Sizing'!$V$4*'Valve Sizing'!$G$7))</f>
        <v>39.062578235060073</v>
      </c>
      <c r="AB1336" s="41"/>
      <c r="AC1336" s="73"/>
      <c r="AD1336" s="53">
        <f>(AD$29/AD$27)^2*(AD1333-('Valve Sizing'!$V$4*'Valve Sizing'!$G$7))</f>
        <v>29.164099581792879</v>
      </c>
      <c r="AE1336" s="41"/>
      <c r="AF1336" s="73"/>
      <c r="AG1336" s="53">
        <f>(AG$29/AG$27)^2*(AG1333-('Valve Sizing'!$V$4*'Valve Sizing'!$G$7))</f>
        <v>13.477547243053765</v>
      </c>
      <c r="AH1336" s="41"/>
      <c r="AI1336" s="73"/>
      <c r="AJ1336" s="53">
        <f>(AJ$29/AJ$27)^2*(AJ1333-('Valve Sizing'!$V$4*'Valve Sizing'!$G$7))</f>
        <v>-3.9527148034918294</v>
      </c>
      <c r="AK1336" s="41"/>
      <c r="AL1336" s="73"/>
      <c r="AM1336" s="53">
        <f>(AM$29/AM$27)^2*(AM1333-('Valve Sizing'!$V$4*'Valve Sizing'!$G$7))</f>
        <v>-18.078806985974516</v>
      </c>
      <c r="AN1336" s="41"/>
      <c r="AO1336" s="73"/>
      <c r="AP1336" s="53">
        <f>(AP$29/AP$27)^2*(AP1333-('Valve Sizing'!$V$4*'Valve Sizing'!$G$7))</f>
        <v>-27.849949757562303</v>
      </c>
      <c r="AQ1336" s="41"/>
      <c r="AR1336" s="73"/>
      <c r="AS1336" s="53">
        <f>(AS$29/AS$27)^2*(AS1333-('Valve Sizing'!$V$4*'Valve Sizing'!$G$7))</f>
        <v>-40.655133685083406</v>
      </c>
      <c r="AT1336" s="41"/>
      <c r="AU1336" s="73"/>
    </row>
    <row r="1337" spans="15:47" ht="13" x14ac:dyDescent="0.25">
      <c r="O1337" s="1" t="s">
        <v>69</v>
      </c>
      <c r="P1337" s="17">
        <v>7</v>
      </c>
      <c r="Q1337" s="65"/>
      <c r="R1337" s="53">
        <f>(R1331/(N_1*F_P_h))*SQRT('Valve Sizing'!$G$6/R1335)</f>
        <v>1.4576878147565258</v>
      </c>
      <c r="S1337" s="58"/>
      <c r="T1337" s="73"/>
      <c r="U1337" s="64">
        <f>(U1331/(N_1*U$27))*SQRT('Valve Sizing'!$G$6/U1335)</f>
        <v>16.194693825953998</v>
      </c>
      <c r="V1337" s="41"/>
      <c r="W1337" s="73"/>
      <c r="X1337" s="64">
        <f>(X1331/(N_1*X$27))*SQRT('Valve Sizing'!$G$6/X1335)</f>
        <v>39.984089527103379</v>
      </c>
      <c r="Y1337" s="41"/>
      <c r="Z1337" s="73"/>
      <c r="AA1337" s="64">
        <f>(AA1331/(N_1*AA$27))*SQRT('Valve Sizing'!$G$6/AA1335)</f>
        <v>84.299237231768416</v>
      </c>
      <c r="AB1337" s="41"/>
      <c r="AC1337" s="73"/>
      <c r="AD1337" s="64">
        <f>(AD1331/(N_1*AD$27))*SQRT('Valve Sizing'!$G$6/AD1335)</f>
        <v>195.12763184332076</v>
      </c>
      <c r="AE1337" s="41"/>
      <c r="AF1337" s="73"/>
      <c r="AG1337" s="64" t="e">
        <f>(AG1331/(N_1*AG$27))*SQRT('Valve Sizing'!$G$6/AG1335)</f>
        <v>#NUM!</v>
      </c>
      <c r="AH1337" s="41"/>
      <c r="AI1337" s="73"/>
      <c r="AJ1337" s="64" t="e">
        <f>(AJ1331/(N_1*AJ$27))*SQRT('Valve Sizing'!$G$6/AJ1335)</f>
        <v>#NUM!</v>
      </c>
      <c r="AK1337" s="41"/>
      <c r="AL1337" s="73"/>
      <c r="AM1337" s="64" t="e">
        <f>(AM1331/(N_1*AM$27))*SQRT('Valve Sizing'!$G$6/AM1335)</f>
        <v>#NUM!</v>
      </c>
      <c r="AN1337" s="41"/>
      <c r="AO1337" s="73"/>
      <c r="AP1337" s="64" t="e">
        <f>(AP1331/(N_1*AP$27))*SQRT('Valve Sizing'!$G$6/AP1335)</f>
        <v>#NUM!</v>
      </c>
      <c r="AQ1337" s="41"/>
      <c r="AR1337" s="73"/>
      <c r="AS1337" s="64" t="e">
        <f>(AS1331/(N_1*AS$27))*SQRT('Valve Sizing'!$G$6/AS1335)</f>
        <v>#NUM!</v>
      </c>
      <c r="AT1337" s="41"/>
      <c r="AU1337" s="73"/>
    </row>
    <row r="1338" spans="15:47" ht="13" x14ac:dyDescent="0.3">
      <c r="O1338" s="1" t="s">
        <v>72</v>
      </c>
      <c r="P1338" s="17">
        <v>7</v>
      </c>
      <c r="Q1338" s="65"/>
      <c r="R1338" s="53">
        <f>(R1331/(N_1*F_P_h))*SQRT('Valve Sizing'!$G$6/R1336)</f>
        <v>1.2106579380732956</v>
      </c>
      <c r="S1338" s="56"/>
      <c r="T1338" s="72"/>
      <c r="U1338" s="85">
        <f>(U1331/(N_1*U$27))*SQRT('Valve Sizing'!$G$6/U1336)</f>
        <v>13.415122320231882</v>
      </c>
      <c r="V1338" s="44"/>
      <c r="W1338" s="72"/>
      <c r="X1338" s="85">
        <f>(X1331/(N_1*X$27))*SQRT('Valve Sizing'!$G$6/X1336)</f>
        <v>33.041625747525174</v>
      </c>
      <c r="Y1338" s="44"/>
      <c r="Z1338" s="72"/>
      <c r="AA1338" s="85">
        <f>(AA1331/(N_1*AA$27))*SQRT('Valve Sizing'!$G$6/AA1336)</f>
        <v>67.633893571260316</v>
      </c>
      <c r="AB1338" s="44"/>
      <c r="AC1338" s="72"/>
      <c r="AD1338" s="85">
        <f>(AD1331/(N_1*AD$27))*SQRT('Valve Sizing'!$G$6/AD1336)</f>
        <v>130.35102413284969</v>
      </c>
      <c r="AE1338" s="44"/>
      <c r="AF1338" s="72"/>
      <c r="AG1338" s="85">
        <f>(AG1331/(N_1*AG$27))*SQRT('Valve Sizing'!$G$6/AG1336)</f>
        <v>291.85790646092602</v>
      </c>
      <c r="AH1338" s="44"/>
      <c r="AI1338" s="72"/>
      <c r="AJ1338" s="85" t="e">
        <f>(AJ1331/(N_1*AJ$27))*SQRT('Valve Sizing'!$G$6/AJ1336)</f>
        <v>#NUM!</v>
      </c>
      <c r="AK1338" s="44"/>
      <c r="AL1338" s="72"/>
      <c r="AM1338" s="85" t="e">
        <f>(AM1331/(N_1*AM$27))*SQRT('Valve Sizing'!$G$6/AM1336)</f>
        <v>#NUM!</v>
      </c>
      <c r="AN1338" s="44"/>
      <c r="AO1338" s="72"/>
      <c r="AP1338" s="85" t="e">
        <f>(AP1331/(N_1*AP$27))*SQRT('Valve Sizing'!$G$6/AP1336)</f>
        <v>#NUM!</v>
      </c>
      <c r="AQ1338" s="44"/>
      <c r="AR1338" s="72"/>
      <c r="AS1338" s="85" t="e">
        <f>(AS1331/(N_1*AS$27))*SQRT('Valve Sizing'!$G$6/AS1336)</f>
        <v>#NUM!</v>
      </c>
      <c r="AT1338" s="44"/>
      <c r="AU1338" s="72"/>
    </row>
    <row r="1339" spans="15:47" x14ac:dyDescent="0.25">
      <c r="O1339" s="1" t="s">
        <v>246</v>
      </c>
      <c r="P1339" s="18"/>
      <c r="Q1339" s="65"/>
      <c r="R1339" s="53">
        <f>IF(R1335&lt;R1336,R1337,R1338)</f>
        <v>1.4576878147565258</v>
      </c>
      <c r="S1339" s="49"/>
      <c r="T1339" s="72"/>
      <c r="U1339" s="64">
        <f>IF(U1335&lt;U1336,U1337,U1338)</f>
        <v>16.194693825953998</v>
      </c>
      <c r="V1339" s="44"/>
      <c r="W1339" s="72"/>
      <c r="X1339" s="64">
        <f>IF(X1335&lt;X1336,X1337,X1338)</f>
        <v>39.984089527103379</v>
      </c>
      <c r="Y1339" s="44"/>
      <c r="Z1339" s="72"/>
      <c r="AA1339" s="64">
        <f>IF(AA1335&lt;AA1336,AA1337,AA1338)</f>
        <v>84.299237231768416</v>
      </c>
      <c r="AB1339" s="44"/>
      <c r="AC1339" s="72"/>
      <c r="AD1339" s="64">
        <f>IF(AD1335&lt;AD1336,AD1337,AD1338)</f>
        <v>195.12763184332076</v>
      </c>
      <c r="AE1339" s="44"/>
      <c r="AF1339" s="72"/>
      <c r="AG1339" s="64" t="e">
        <f>IF(AG1335&lt;AG1336,AG1337,AG1338)</f>
        <v>#NUM!</v>
      </c>
      <c r="AH1339" s="44"/>
      <c r="AI1339" s="72"/>
      <c r="AJ1339" s="64" t="e">
        <f>IF(AJ1335&lt;AJ1336,AJ1337,AJ1338)</f>
        <v>#NUM!</v>
      </c>
      <c r="AK1339" s="44"/>
      <c r="AL1339" s="72"/>
      <c r="AM1339" s="64" t="e">
        <f>IF(AM1335&lt;AM1336,AM1337,AM1338)</f>
        <v>#NUM!</v>
      </c>
      <c r="AN1339" s="44"/>
      <c r="AO1339" s="72"/>
      <c r="AP1339" s="64" t="e">
        <f>IF(AP1335&lt;AP1336,AP1337,AP1338)</f>
        <v>#NUM!</v>
      </c>
      <c r="AQ1339" s="44"/>
      <c r="AR1339" s="72"/>
      <c r="AS1339" s="64" t="e">
        <f>IF(AS1335&lt;AS1336,AS1337,AS1338)</f>
        <v>#NUM!</v>
      </c>
      <c r="AT1339" s="44"/>
      <c r="AU1339" s="72"/>
    </row>
    <row r="1340" spans="15:47" ht="13" x14ac:dyDescent="0.3">
      <c r="O1340" s="7" t="s">
        <v>264</v>
      </c>
      <c r="Q1340" s="61"/>
      <c r="R1340" s="53"/>
      <c r="S1340" s="69">
        <f>IFERROR(ABS(C_h-R1339),Q_max*10)</f>
        <v>3.5423121852434742</v>
      </c>
      <c r="T1340" s="76">
        <f>R1331</f>
        <v>8.2777109067295473</v>
      </c>
      <c r="U1340" s="61"/>
      <c r="V1340" s="69">
        <f>IFERROR(ABS(U$23-U1339),Q_max*10)</f>
        <v>4.1946938259539976</v>
      </c>
      <c r="W1340" s="75">
        <f>U1331</f>
        <v>91.42037754420484</v>
      </c>
      <c r="X1340" s="61"/>
      <c r="Y1340" s="69">
        <f>IFERROR(ABS(X$23-X1339),Q_max*10)</f>
        <v>16.984089527103379</v>
      </c>
      <c r="Z1340" s="75">
        <f>X1331</f>
        <v>219.44409722913471</v>
      </c>
      <c r="AA1340" s="61"/>
      <c r="AB1340" s="69">
        <f>IFERROR(ABS(AA$23-AA1339),Q_max*10)</f>
        <v>45.299237231768416</v>
      </c>
      <c r="AC1340" s="75">
        <f>AA1331</f>
        <v>418.99920527698379</v>
      </c>
      <c r="AD1340" s="61"/>
      <c r="AE1340" s="69">
        <f>IFERROR(ABS(AD$23-AD1339),Q_max*10)</f>
        <v>134.12763184332076</v>
      </c>
      <c r="AF1340" s="75">
        <f>AD1331</f>
        <v>689.09942632582499</v>
      </c>
      <c r="AG1340" s="61"/>
      <c r="AH1340" s="69">
        <f>IFERROR(ABS(AG$23-AG1339),Q_max*10)</f>
        <v>5500</v>
      </c>
      <c r="AI1340" s="75">
        <f>AG1331</f>
        <v>1025.9751446929693</v>
      </c>
      <c r="AJ1340" s="61"/>
      <c r="AK1340" s="69">
        <f>IFERROR(ABS(AJ$23-AJ1339),Q_max*10)</f>
        <v>5500</v>
      </c>
      <c r="AL1340" s="75">
        <f>AJ1331</f>
        <v>1369.167807854396</v>
      </c>
      <c r="AM1340" s="61"/>
      <c r="AN1340" s="69">
        <f>IFERROR(ABS(AM$23-AM1339),Q_max*10)</f>
        <v>5500</v>
      </c>
      <c r="AO1340" s="75">
        <f>AM1331</f>
        <v>1670.644922161325</v>
      </c>
      <c r="AP1340" s="61"/>
      <c r="AQ1340" s="69">
        <f>IFERROR(ABS(AP$23-AP1339),Q_max*10)</f>
        <v>5500</v>
      </c>
      <c r="AR1340" s="75">
        <f>AP1331</f>
        <v>1939.5668900758262</v>
      </c>
      <c r="AS1340" s="61"/>
      <c r="AT1340" s="69">
        <f>IFERROR(ABS(AS$23-AS1339),Q_max*10)</f>
        <v>5500</v>
      </c>
      <c r="AU1340" s="75">
        <f>AS1331</f>
        <v>2207.4080445461905</v>
      </c>
    </row>
    <row r="1341" spans="15:47" ht="14.5" x14ac:dyDescent="0.35">
      <c r="O1341" s="6"/>
      <c r="P1341" s="6"/>
      <c r="Q1341" s="60"/>
      <c r="R1341" s="67"/>
      <c r="S1341" s="56"/>
      <c r="T1341" s="72"/>
      <c r="V1341" s="11"/>
      <c r="W1341" s="38"/>
      <c r="Y1341" s="11"/>
      <c r="Z1341" s="38"/>
      <c r="AB1341" s="11"/>
      <c r="AC1341" s="38"/>
      <c r="AE1341" s="11"/>
      <c r="AF1341" s="38"/>
      <c r="AH1341" s="11"/>
      <c r="AI1341" s="38"/>
      <c r="AK1341" s="11"/>
      <c r="AL1341" s="38"/>
      <c r="AN1341" s="11"/>
      <c r="AO1341" s="38"/>
      <c r="AQ1341" s="11"/>
      <c r="AR1341" s="38"/>
      <c r="AT1341" s="11"/>
      <c r="AU1341" s="38"/>
    </row>
    <row r="1342" spans="15:47" ht="14" x14ac:dyDescent="0.3">
      <c r="O1342" s="8" t="s">
        <v>235</v>
      </c>
      <c r="P1342" s="6"/>
      <c r="Q1342" s="60"/>
      <c r="R1342" s="53">
        <f>R1331*1.02</f>
        <v>8.4432651248641388</v>
      </c>
      <c r="S1342" s="58" t="s">
        <v>238</v>
      </c>
      <c r="T1342" s="73" t="s">
        <v>241</v>
      </c>
      <c r="U1342" s="84">
        <f>U1331*1.01</f>
        <v>92.334581319646887</v>
      </c>
      <c r="V1342" s="58" t="s">
        <v>238</v>
      </c>
      <c r="W1342" s="73" t="s">
        <v>241</v>
      </c>
      <c r="X1342" s="84">
        <f>X1331*1.01</f>
        <v>221.63853820142606</v>
      </c>
      <c r="Y1342" s="58" t="s">
        <v>238</v>
      </c>
      <c r="Z1342" s="73" t="s">
        <v>241</v>
      </c>
      <c r="AA1342" s="84">
        <f>AA1331*1.01</f>
        <v>423.18919732975365</v>
      </c>
      <c r="AB1342" s="58" t="s">
        <v>238</v>
      </c>
      <c r="AC1342" s="73" t="s">
        <v>241</v>
      </c>
      <c r="AD1342" s="84">
        <f>AD1331*1.01</f>
        <v>695.99042058908321</v>
      </c>
      <c r="AE1342" s="58" t="s">
        <v>238</v>
      </c>
      <c r="AF1342" s="73" t="s">
        <v>241</v>
      </c>
      <c r="AG1342" s="84">
        <f>AG1331*1.01</f>
        <v>1036.2348961398989</v>
      </c>
      <c r="AH1342" s="58" t="s">
        <v>238</v>
      </c>
      <c r="AI1342" s="73" t="s">
        <v>241</v>
      </c>
      <c r="AJ1342" s="84">
        <f>AJ1331*1.01</f>
        <v>1382.8594859329398</v>
      </c>
      <c r="AK1342" s="58" t="s">
        <v>238</v>
      </c>
      <c r="AL1342" s="73" t="s">
        <v>241</v>
      </c>
      <c r="AM1342" s="84">
        <f>AM1331*1.01</f>
        <v>1687.3513713829382</v>
      </c>
      <c r="AN1342" s="58" t="s">
        <v>238</v>
      </c>
      <c r="AO1342" s="73" t="s">
        <v>241</v>
      </c>
      <c r="AP1342" s="84">
        <f>AP1331*1.01</f>
        <v>1958.9625589765844</v>
      </c>
      <c r="AQ1342" s="58" t="s">
        <v>238</v>
      </c>
      <c r="AR1342" s="73" t="s">
        <v>241</v>
      </c>
      <c r="AS1342" s="84">
        <f>AS1331*1.01</f>
        <v>2229.4821249916522</v>
      </c>
      <c r="AT1342" s="58" t="s">
        <v>238</v>
      </c>
      <c r="AU1342" s="73" t="s">
        <v>241</v>
      </c>
    </row>
    <row r="1343" spans="15:47" ht="13" x14ac:dyDescent="0.25">
      <c r="O1343" s="6"/>
      <c r="P1343" s="6"/>
      <c r="Q1343" s="60"/>
      <c r="R1343" s="70"/>
      <c r="S1343" s="63" t="s">
        <v>250</v>
      </c>
      <c r="T1343" s="71" t="s">
        <v>242</v>
      </c>
      <c r="U1343" s="61"/>
      <c r="V1343" s="63" t="s">
        <v>250</v>
      </c>
      <c r="W1343" s="71" t="s">
        <v>242</v>
      </c>
      <c r="X1343" s="61"/>
      <c r="Y1343" s="63" t="s">
        <v>250</v>
      </c>
      <c r="Z1343" s="71" t="s">
        <v>242</v>
      </c>
      <c r="AA1343" s="61"/>
      <c r="AB1343" s="63" t="s">
        <v>250</v>
      </c>
      <c r="AC1343" s="71" t="s">
        <v>242</v>
      </c>
      <c r="AD1343" s="61"/>
      <c r="AE1343" s="63" t="s">
        <v>250</v>
      </c>
      <c r="AF1343" s="71" t="s">
        <v>242</v>
      </c>
      <c r="AG1343" s="61"/>
      <c r="AH1343" s="63" t="s">
        <v>250</v>
      </c>
      <c r="AI1343" s="71" t="s">
        <v>242</v>
      </c>
      <c r="AJ1343" s="61"/>
      <c r="AK1343" s="63" t="s">
        <v>250</v>
      </c>
      <c r="AL1343" s="71" t="s">
        <v>242</v>
      </c>
      <c r="AM1343" s="61"/>
      <c r="AN1343" s="63" t="s">
        <v>250</v>
      </c>
      <c r="AO1343" s="71" t="s">
        <v>242</v>
      </c>
      <c r="AP1343" s="61"/>
      <c r="AQ1343" s="63" t="s">
        <v>250</v>
      </c>
      <c r="AR1343" s="71" t="s">
        <v>242</v>
      </c>
      <c r="AS1343" s="61"/>
      <c r="AT1343" s="63" t="s">
        <v>250</v>
      </c>
      <c r="AU1343" s="71" t="s">
        <v>242</v>
      </c>
    </row>
    <row r="1344" spans="15:47" ht="13" x14ac:dyDescent="0.3">
      <c r="O1344" s="6" t="s">
        <v>231</v>
      </c>
      <c r="P1344" s="6"/>
      <c r="Q1344" s="60"/>
      <c r="R1344" s="85">
        <f>P_1_minQ-(R1342^2*R_up)+dpup_minQ</f>
        <v>56.913735605337088</v>
      </c>
      <c r="S1344" s="56"/>
      <c r="T1344" s="72"/>
      <c r="U1344" s="53">
        <f>P_1_minQ-(U1342^2*R_up)+dpup_minQ</f>
        <v>56.62821091160167</v>
      </c>
      <c r="V1344" s="44"/>
      <c r="W1344" s="72"/>
      <c r="X1344" s="53">
        <f>P_1_minQ-(X1342^2*R_up)+dpup_minQ</f>
        <v>55.257121188245016</v>
      </c>
      <c r="Y1344" s="44"/>
      <c r="Z1344" s="72"/>
      <c r="AA1344" s="53">
        <f>P_1_minQ-(AA1342^2*R_up)+dpup_minQ</f>
        <v>50.867879205113098</v>
      </c>
      <c r="AB1344" s="44"/>
      <c r="AC1344" s="72"/>
      <c r="AD1344" s="53">
        <f>P_1_minQ-(AD1342^2*R_up)+dpup_minQ</f>
        <v>40.556715111389089</v>
      </c>
      <c r="AE1344" s="44"/>
      <c r="AF1344" s="72"/>
      <c r="AG1344" s="53">
        <f>P_1_minQ-(AG1342^2*R_up)+dpup_minQ</f>
        <v>20.65195001762692</v>
      </c>
      <c r="AH1344" s="44"/>
      <c r="AI1344" s="72"/>
      <c r="AJ1344" s="53">
        <f>P_1_minQ-(AJ1342^2*R_up)+dpup_minQ</f>
        <v>-7.6667800687171495</v>
      </c>
      <c r="AK1344" s="44"/>
      <c r="AL1344" s="72"/>
      <c r="AM1344" s="53">
        <f>P_1_minQ-(AM1342^2*R_up)+dpup_minQ</f>
        <v>-39.239029061394199</v>
      </c>
      <c r="AN1344" s="44"/>
      <c r="AO1344" s="72"/>
      <c r="AP1344" s="53">
        <f>P_1_minQ-(AP1342^2*R_up)+dpup_minQ</f>
        <v>-72.686501434383246</v>
      </c>
      <c r="AQ1344" s="44"/>
      <c r="AR1344" s="72"/>
      <c r="AS1344" s="53">
        <f>P_1_minQ-(AS1342^2*R_up)+dpup_minQ</f>
        <v>-110.95250069764583</v>
      </c>
      <c r="AT1344" s="44"/>
      <c r="AU1344" s="72"/>
    </row>
    <row r="1345" spans="15:47" ht="13" x14ac:dyDescent="0.3">
      <c r="O1345" s="6" t="s">
        <v>233</v>
      </c>
      <c r="P1345" s="6"/>
      <c r="Q1345" s="60"/>
      <c r="R1345" s="85">
        <f>P_2_minQ+(R1342^2*R_dn)-dpdn_minQ</f>
        <v>24.657252878932582</v>
      </c>
      <c r="S1345" s="66"/>
      <c r="T1345" s="74"/>
      <c r="U1345" s="53">
        <f>P_2_minQ+(U1342^2*R_dn)-dpdn_minQ</f>
        <v>24.714357817679666</v>
      </c>
      <c r="V1345" s="45"/>
      <c r="W1345" s="74"/>
      <c r="X1345" s="53">
        <f>P_2_minQ+(X1342^2*R_dn)-dpdn_minQ</f>
        <v>24.988575762350997</v>
      </c>
      <c r="Y1345" s="45"/>
      <c r="Z1345" s="74"/>
      <c r="AA1345" s="53">
        <f>P_2_minQ+(AA1342^2*R_dn)-dpdn_minQ</f>
        <v>25.866424158977381</v>
      </c>
      <c r="AB1345" s="45"/>
      <c r="AC1345" s="74"/>
      <c r="AD1345" s="53">
        <f>P_2_minQ+(AD1342^2*R_dn)-dpdn_minQ</f>
        <v>27.928656977722181</v>
      </c>
      <c r="AE1345" s="45"/>
      <c r="AF1345" s="74"/>
      <c r="AG1345" s="53">
        <f>P_2_minQ+(AG1342^2*R_dn)-dpdn_minQ</f>
        <v>31.909609996474618</v>
      </c>
      <c r="AH1345" s="45"/>
      <c r="AI1345" s="74"/>
      <c r="AJ1345" s="53">
        <f>P_2_minQ+(AJ1342^2*R_dn)-dpdn_minQ</f>
        <v>37.573356013743435</v>
      </c>
      <c r="AK1345" s="45"/>
      <c r="AL1345" s="74"/>
      <c r="AM1345" s="53">
        <f>P_2_minQ+(AM1342^2*R_dn)-dpdn_minQ</f>
        <v>43.887805812278842</v>
      </c>
      <c r="AN1345" s="45"/>
      <c r="AO1345" s="74"/>
      <c r="AP1345" s="53">
        <f>P_2_minQ+(AP1342^2*R_dn)-dpdn_minQ</f>
        <v>50.57730028687665</v>
      </c>
      <c r="AQ1345" s="45"/>
      <c r="AR1345" s="74"/>
      <c r="AS1345" s="53">
        <f>P_2_minQ+(AS1342^2*R_dn)-dpdn_minQ</f>
        <v>58.23050013952917</v>
      </c>
      <c r="AT1345" s="45"/>
      <c r="AU1345" s="74"/>
    </row>
    <row r="1346" spans="15:47" x14ac:dyDescent="0.25">
      <c r="O1346" s="6" t="s">
        <v>243</v>
      </c>
      <c r="Q1346" s="60"/>
      <c r="R1346" s="53">
        <f>R1344-R1345</f>
        <v>32.256482726404506</v>
      </c>
      <c r="S1346" s="56"/>
      <c r="T1346" s="72"/>
      <c r="U1346" s="64">
        <f>U1344-U1345</f>
        <v>31.913853093922004</v>
      </c>
      <c r="V1346" s="44"/>
      <c r="W1346" s="72"/>
      <c r="X1346" s="64">
        <f>X1344-X1345</f>
        <v>30.268545425894018</v>
      </c>
      <c r="Y1346" s="44"/>
      <c r="Z1346" s="72"/>
      <c r="AA1346" s="64">
        <f>AA1344-AA1345</f>
        <v>25.001455046135717</v>
      </c>
      <c r="AB1346" s="44"/>
      <c r="AC1346" s="72"/>
      <c r="AD1346" s="64">
        <f>AD1344-AD1345</f>
        <v>12.628058133666908</v>
      </c>
      <c r="AE1346" s="44"/>
      <c r="AF1346" s="72"/>
      <c r="AG1346" s="64">
        <f>AG1344-AG1345</f>
        <v>-11.257659978847698</v>
      </c>
      <c r="AH1346" s="44"/>
      <c r="AI1346" s="72"/>
      <c r="AJ1346" s="64">
        <f>AJ1344-AJ1345</f>
        <v>-45.240136082460587</v>
      </c>
      <c r="AK1346" s="44"/>
      <c r="AL1346" s="72"/>
      <c r="AM1346" s="64">
        <f>AM1344-AM1345</f>
        <v>-83.126834873673033</v>
      </c>
      <c r="AN1346" s="44"/>
      <c r="AO1346" s="72"/>
      <c r="AP1346" s="64">
        <f>AP1344-AP1345</f>
        <v>-123.2638017212599</v>
      </c>
      <c r="AQ1346" s="44"/>
      <c r="AR1346" s="72"/>
      <c r="AS1346" s="64">
        <f>AS1344-AS1345</f>
        <v>-169.183000837175</v>
      </c>
      <c r="AT1346" s="44"/>
      <c r="AU1346" s="72"/>
    </row>
    <row r="1347" spans="15:47" ht="13" x14ac:dyDescent="0.3">
      <c r="O1347" s="6" t="s">
        <v>75</v>
      </c>
      <c r="P1347" s="6">
        <v>3</v>
      </c>
      <c r="Q1347" s="65"/>
      <c r="R1347" s="85">
        <f>(F_LP_h/F_P_h)^2*(R1344-('Valve Sizing'!$V$4*'Valve Sizing'!$G$7))</f>
        <v>46.763169631212591</v>
      </c>
      <c r="S1347" s="58"/>
      <c r="T1347" s="73"/>
      <c r="U1347" s="53">
        <f>(U$29/U$27)^2*(U1344-('Valve Sizing'!$V$4*'Valve Sizing'!$G$7))</f>
        <v>46.51405893032522</v>
      </c>
      <c r="V1347" s="41"/>
      <c r="W1347" s="73"/>
      <c r="X1347" s="53">
        <f>(X$29/X$27)^2*(X1344-('Valve Sizing'!$V$4*'Valve Sizing'!$G$7))</f>
        <v>44.355422363355387</v>
      </c>
      <c r="Y1347" s="41"/>
      <c r="Z1347" s="73"/>
      <c r="AA1347" s="53">
        <f>(AA$29/AA$27)^2*(AA1344-('Valve Sizing'!$V$4*'Valve Sizing'!$G$7))</f>
        <v>38.970480362041357</v>
      </c>
      <c r="AB1347" s="41"/>
      <c r="AC1347" s="73"/>
      <c r="AD1347" s="53">
        <f>(AD$29/AD$27)^2*(AD1344-('Valve Sizing'!$V$4*'Valve Sizing'!$G$7))</f>
        <v>28.9316281654609</v>
      </c>
      <c r="AE1347" s="41"/>
      <c r="AF1347" s="73"/>
      <c r="AG1347" s="53">
        <f>(AG$29/AG$27)^2*(AG1344-('Valve Sizing'!$V$4*'Valve Sizing'!$G$7))</f>
        <v>13.017347009123014</v>
      </c>
      <c r="AH1347" s="41"/>
      <c r="AI1347" s="73"/>
      <c r="AJ1347" s="53">
        <f>(AJ$29/AJ$27)^2*(AJ1344-('Valve Sizing'!$V$4*'Valve Sizing'!$G$7))</f>
        <v>-4.6887058197490692</v>
      </c>
      <c r="AK1347" s="41"/>
      <c r="AL1347" s="73"/>
      <c r="AM1347" s="53">
        <f>(AM$29/AM$27)^2*(AM1344-('Valve Sizing'!$V$4*'Valve Sizing'!$G$7))</f>
        <v>-18.985337910312918</v>
      </c>
      <c r="AN1347" s="41"/>
      <c r="AO1347" s="73"/>
      <c r="AP1347" s="53">
        <f>(AP$29/AP$27)^2*(AP1344-('Valve Sizing'!$V$4*'Valve Sizing'!$G$7))</f>
        <v>-28.857702014588778</v>
      </c>
      <c r="AQ1347" s="41"/>
      <c r="AR1347" s="73"/>
      <c r="AS1347" s="53">
        <f>(AS$29/AS$27)^2*(AS1344-('Valve Sizing'!$V$4*'Valve Sizing'!$G$7))</f>
        <v>-41.899285361271119</v>
      </c>
      <c r="AT1347" s="41"/>
      <c r="AU1347" s="73"/>
    </row>
    <row r="1348" spans="15:47" ht="13" x14ac:dyDescent="0.25">
      <c r="O1348" s="1" t="s">
        <v>69</v>
      </c>
      <c r="P1348" s="17">
        <v>7</v>
      </c>
      <c r="Q1348" s="65"/>
      <c r="R1348" s="53">
        <f>(R1342/(N_1*F_P_h))*SQRT('Valve Sizing'!$G$6/R1346)</f>
        <v>1.4868441566557438</v>
      </c>
      <c r="S1348" s="58"/>
      <c r="T1348" s="73"/>
      <c r="U1348" s="64">
        <f>(U1342/(N_1*U$27))*SQRT('Valve Sizing'!$G$6/U1346)</f>
        <v>16.358385327125657</v>
      </c>
      <c r="V1348" s="41"/>
      <c r="W1348" s="73"/>
      <c r="X1348" s="64">
        <f>(X1342/(N_1*X$27))*SQRT('Valve Sizing'!$G$6/X1346)</f>
        <v>40.410090142967988</v>
      </c>
      <c r="Y1348" s="41"/>
      <c r="Z1348" s="73"/>
      <c r="AA1348" s="64">
        <f>(AA1342/(N_1*AA$27))*SQRT('Valve Sizing'!$G$6/AA1346)</f>
        <v>85.385391384233884</v>
      </c>
      <c r="AB1348" s="41"/>
      <c r="AC1348" s="73"/>
      <c r="AD1348" s="64">
        <f>(AD1342/(N_1*AD$27))*SQRT('Valve Sizing'!$G$6/AD1346)</f>
        <v>200.07453739981676</v>
      </c>
      <c r="AE1348" s="41"/>
      <c r="AF1348" s="73"/>
      <c r="AG1348" s="64" t="e">
        <f>(AG1342/(N_1*AG$27))*SQRT('Valve Sizing'!$G$6/AG1346)</f>
        <v>#NUM!</v>
      </c>
      <c r="AH1348" s="41"/>
      <c r="AI1348" s="73"/>
      <c r="AJ1348" s="64" t="e">
        <f>(AJ1342/(N_1*AJ$27))*SQRT('Valve Sizing'!$G$6/AJ1346)</f>
        <v>#NUM!</v>
      </c>
      <c r="AK1348" s="41"/>
      <c r="AL1348" s="73"/>
      <c r="AM1348" s="64" t="e">
        <f>(AM1342/(N_1*AM$27))*SQRT('Valve Sizing'!$G$6/AM1346)</f>
        <v>#NUM!</v>
      </c>
      <c r="AN1348" s="41"/>
      <c r="AO1348" s="73"/>
      <c r="AP1348" s="64" t="e">
        <f>(AP1342/(N_1*AP$27))*SQRT('Valve Sizing'!$G$6/AP1346)</f>
        <v>#NUM!</v>
      </c>
      <c r="AQ1348" s="41"/>
      <c r="AR1348" s="73"/>
      <c r="AS1348" s="64" t="e">
        <f>(AS1342/(N_1*AS$27))*SQRT('Valve Sizing'!$G$6/AS1346)</f>
        <v>#NUM!</v>
      </c>
      <c r="AT1348" s="41"/>
      <c r="AU1348" s="73"/>
    </row>
    <row r="1349" spans="15:47" ht="13" x14ac:dyDescent="0.3">
      <c r="O1349" s="1" t="s">
        <v>72</v>
      </c>
      <c r="P1349" s="17">
        <v>7</v>
      </c>
      <c r="Q1349" s="65"/>
      <c r="R1349" s="53">
        <f>(R1342/(N_1*F_P_h))*SQRT('Valve Sizing'!$G$6/R1347)</f>
        <v>1.2348721189711391</v>
      </c>
      <c r="S1349" s="56"/>
      <c r="T1349" s="72"/>
      <c r="U1349" s="85">
        <f>(U1342/(N_1*U$27))*SQRT('Valve Sizing'!$G$6/U1347)</f>
        <v>13.549957571569587</v>
      </c>
      <c r="V1349" s="44"/>
      <c r="W1349" s="72"/>
      <c r="X1349" s="85">
        <f>(X1342/(N_1*X$27))*SQRT('Valve Sizing'!$G$6/X1347)</f>
        <v>33.381990966351076</v>
      </c>
      <c r="Y1349" s="44"/>
      <c r="Z1349" s="72"/>
      <c r="AA1349" s="85">
        <f>(AA1342/(N_1*AA$27))*SQRT('Valve Sizing'!$G$6/AA1347)</f>
        <v>68.390902728063011</v>
      </c>
      <c r="AB1349" s="44"/>
      <c r="AC1349" s="72"/>
      <c r="AD1349" s="85">
        <f>(AD1342/(N_1*AD$27))*SQRT('Valve Sizing'!$G$6/AD1347)</f>
        <v>132.18241134859869</v>
      </c>
      <c r="AE1349" s="44"/>
      <c r="AF1349" s="72"/>
      <c r="AG1349" s="85">
        <f>(AG1342/(N_1*AG$27))*SQRT('Valve Sizing'!$G$6/AG1347)</f>
        <v>299.94182319493905</v>
      </c>
      <c r="AH1349" s="44"/>
      <c r="AI1349" s="72"/>
      <c r="AJ1349" s="85" t="e">
        <f>(AJ1342/(N_1*AJ$27))*SQRT('Valve Sizing'!$G$6/AJ1347)</f>
        <v>#NUM!</v>
      </c>
      <c r="AK1349" s="44"/>
      <c r="AL1349" s="72"/>
      <c r="AM1349" s="85" t="e">
        <f>(AM1342/(N_1*AM$27))*SQRT('Valve Sizing'!$G$6/AM1347)</f>
        <v>#NUM!</v>
      </c>
      <c r="AN1349" s="44"/>
      <c r="AO1349" s="72"/>
      <c r="AP1349" s="85" t="e">
        <f>(AP1342/(N_1*AP$27))*SQRT('Valve Sizing'!$G$6/AP1347)</f>
        <v>#NUM!</v>
      </c>
      <c r="AQ1349" s="44"/>
      <c r="AR1349" s="72"/>
      <c r="AS1349" s="85" t="e">
        <f>(AS1342/(N_1*AS$27))*SQRT('Valve Sizing'!$G$6/AS1347)</f>
        <v>#NUM!</v>
      </c>
      <c r="AT1349" s="44"/>
      <c r="AU1349" s="72"/>
    </row>
    <row r="1350" spans="15:47" x14ac:dyDescent="0.25">
      <c r="O1350" s="1" t="s">
        <v>246</v>
      </c>
      <c r="P1350" s="18"/>
      <c r="Q1350" s="65"/>
      <c r="R1350" s="53">
        <f>IF(R1346&lt;R1347,R1348,R1349)</f>
        <v>1.4868441566557438</v>
      </c>
      <c r="S1350" s="49"/>
      <c r="T1350" s="72"/>
      <c r="U1350" s="64">
        <f>IF(U1346&lt;U1347,U1348,U1349)</f>
        <v>16.358385327125657</v>
      </c>
      <c r="V1350" s="44"/>
      <c r="W1350" s="72"/>
      <c r="X1350" s="64">
        <f>IF(X1346&lt;X1347,X1348,X1349)</f>
        <v>40.410090142967988</v>
      </c>
      <c r="Y1350" s="44"/>
      <c r="Z1350" s="72"/>
      <c r="AA1350" s="64">
        <f>IF(AA1346&lt;AA1347,AA1348,AA1349)</f>
        <v>85.385391384233884</v>
      </c>
      <c r="AB1350" s="44"/>
      <c r="AC1350" s="72"/>
      <c r="AD1350" s="64">
        <f>IF(AD1346&lt;AD1347,AD1348,AD1349)</f>
        <v>200.07453739981676</v>
      </c>
      <c r="AE1350" s="44"/>
      <c r="AF1350" s="72"/>
      <c r="AG1350" s="64" t="e">
        <f>IF(AG1346&lt;AG1347,AG1348,AG1349)</f>
        <v>#NUM!</v>
      </c>
      <c r="AH1350" s="44"/>
      <c r="AI1350" s="72"/>
      <c r="AJ1350" s="64" t="e">
        <f>IF(AJ1346&lt;AJ1347,AJ1348,AJ1349)</f>
        <v>#NUM!</v>
      </c>
      <c r="AK1350" s="44"/>
      <c r="AL1350" s="72"/>
      <c r="AM1350" s="64" t="e">
        <f>IF(AM1346&lt;AM1347,AM1348,AM1349)</f>
        <v>#NUM!</v>
      </c>
      <c r="AN1350" s="44"/>
      <c r="AO1350" s="72"/>
      <c r="AP1350" s="64" t="e">
        <f>IF(AP1346&lt;AP1347,AP1348,AP1349)</f>
        <v>#NUM!</v>
      </c>
      <c r="AQ1350" s="44"/>
      <c r="AR1350" s="72"/>
      <c r="AS1350" s="64" t="e">
        <f>IF(AS1346&lt;AS1347,AS1348,AS1349)</f>
        <v>#NUM!</v>
      </c>
      <c r="AT1350" s="44"/>
      <c r="AU1350" s="72"/>
    </row>
    <row r="1351" spans="15:47" ht="13" x14ac:dyDescent="0.3">
      <c r="O1351" s="7" t="s">
        <v>264</v>
      </c>
      <c r="Q1351" s="61"/>
      <c r="R1351" s="53"/>
      <c r="S1351" s="69">
        <f>IFERROR(ABS(C_h-R1350),Q_max*10)</f>
        <v>3.513155843344256</v>
      </c>
      <c r="T1351" s="76">
        <f>R1342</f>
        <v>8.4432651248641388</v>
      </c>
      <c r="U1351" s="61"/>
      <c r="V1351" s="69">
        <f>IFERROR(ABS(U$23-U1350),Q_max*10)</f>
        <v>4.3583853271256565</v>
      </c>
      <c r="W1351" s="75">
        <f>U1342</f>
        <v>92.334581319646887</v>
      </c>
      <c r="X1351" s="61"/>
      <c r="Y1351" s="69">
        <f>IFERROR(ABS(X$23-X1350),Q_max*10)</f>
        <v>17.410090142967988</v>
      </c>
      <c r="Z1351" s="75">
        <f>X1342</f>
        <v>221.63853820142606</v>
      </c>
      <c r="AA1351" s="61"/>
      <c r="AB1351" s="69">
        <f>IFERROR(ABS(AA$23-AA1350),Q_max*10)</f>
        <v>46.385391384233884</v>
      </c>
      <c r="AC1351" s="75">
        <f>AA1342</f>
        <v>423.18919732975365</v>
      </c>
      <c r="AD1351" s="61"/>
      <c r="AE1351" s="69">
        <f>IFERROR(ABS(AD$23-AD1350),Q_max*10)</f>
        <v>139.07453739981676</v>
      </c>
      <c r="AF1351" s="75">
        <f>AD1342</f>
        <v>695.99042058908321</v>
      </c>
      <c r="AG1351" s="61"/>
      <c r="AH1351" s="69">
        <f>IFERROR(ABS(AG$23-AG1350),Q_max*10)</f>
        <v>5500</v>
      </c>
      <c r="AI1351" s="75">
        <f>AG1342</f>
        <v>1036.2348961398989</v>
      </c>
      <c r="AJ1351" s="61"/>
      <c r="AK1351" s="69">
        <f>IFERROR(ABS(AJ$23-AJ1350),Q_max*10)</f>
        <v>5500</v>
      </c>
      <c r="AL1351" s="75">
        <f>AJ1342</f>
        <v>1382.8594859329398</v>
      </c>
      <c r="AM1351" s="61"/>
      <c r="AN1351" s="69">
        <f>IFERROR(ABS(AM$23-AM1350),Q_max*10)</f>
        <v>5500</v>
      </c>
      <c r="AO1351" s="75">
        <f>AM1342</f>
        <v>1687.3513713829382</v>
      </c>
      <c r="AP1351" s="61"/>
      <c r="AQ1351" s="69">
        <f>IFERROR(ABS(AP$23-AP1350),Q_max*10)</f>
        <v>5500</v>
      </c>
      <c r="AR1351" s="75">
        <f>AP1342</f>
        <v>1958.9625589765844</v>
      </c>
      <c r="AS1351" s="61"/>
      <c r="AT1351" s="69">
        <f>IFERROR(ABS(AS$23-AS1350),Q_max*10)</f>
        <v>5500</v>
      </c>
      <c r="AU1351" s="75">
        <f>AS1342</f>
        <v>2229.4821249916522</v>
      </c>
    </row>
    <row r="1352" spans="15:47" ht="14.5" x14ac:dyDescent="0.35">
      <c r="O1352" s="8"/>
      <c r="P1352" s="6"/>
      <c r="Q1352" s="60"/>
      <c r="R1352" s="67"/>
      <c r="S1352" s="58"/>
      <c r="T1352" s="73"/>
      <c r="V1352" s="11"/>
      <c r="W1352" s="38"/>
      <c r="Y1352" s="11"/>
      <c r="Z1352" s="38"/>
      <c r="AB1352" s="11"/>
      <c r="AC1352" s="38"/>
      <c r="AE1352" s="11"/>
      <c r="AF1352" s="38"/>
      <c r="AH1352" s="11"/>
      <c r="AI1352" s="38"/>
      <c r="AK1352" s="11"/>
      <c r="AL1352" s="38"/>
      <c r="AN1352" s="11"/>
      <c r="AO1352" s="38"/>
      <c r="AQ1352" s="11"/>
      <c r="AR1352" s="38"/>
      <c r="AT1352" s="11"/>
      <c r="AU1352" s="38"/>
    </row>
    <row r="1353" spans="15:47" ht="14" x14ac:dyDescent="0.3">
      <c r="O1353" s="8" t="s">
        <v>235</v>
      </c>
      <c r="P1353" s="6"/>
      <c r="Q1353" s="60"/>
      <c r="R1353" s="53">
        <f>R1342*1.02</f>
        <v>8.6121304273614214</v>
      </c>
      <c r="S1353" s="58" t="s">
        <v>238</v>
      </c>
      <c r="T1353" s="73" t="s">
        <v>241</v>
      </c>
      <c r="U1353" s="84">
        <f>U1342*1.01</f>
        <v>93.257927132843363</v>
      </c>
      <c r="V1353" s="58" t="s">
        <v>238</v>
      </c>
      <c r="W1353" s="73" t="s">
        <v>241</v>
      </c>
      <c r="X1353" s="84">
        <f>X1342*1.01</f>
        <v>223.85492358344032</v>
      </c>
      <c r="Y1353" s="58" t="s">
        <v>238</v>
      </c>
      <c r="Z1353" s="73" t="s">
        <v>241</v>
      </c>
      <c r="AA1353" s="84">
        <f>AA1342*1.01</f>
        <v>427.42108930305119</v>
      </c>
      <c r="AB1353" s="58" t="s">
        <v>238</v>
      </c>
      <c r="AC1353" s="73" t="s">
        <v>241</v>
      </c>
      <c r="AD1353" s="84">
        <f>AD1342*1.01</f>
        <v>702.95032479497411</v>
      </c>
      <c r="AE1353" s="58" t="s">
        <v>238</v>
      </c>
      <c r="AF1353" s="73" t="s">
        <v>241</v>
      </c>
      <c r="AG1353" s="84">
        <f>AG1342*1.01</f>
        <v>1046.5972451012979</v>
      </c>
      <c r="AH1353" s="58" t="s">
        <v>238</v>
      </c>
      <c r="AI1353" s="73" t="s">
        <v>241</v>
      </c>
      <c r="AJ1353" s="84">
        <f>AJ1342*1.01</f>
        <v>1396.6880807922691</v>
      </c>
      <c r="AK1353" s="58" t="s">
        <v>238</v>
      </c>
      <c r="AL1353" s="73" t="s">
        <v>241</v>
      </c>
      <c r="AM1353" s="84">
        <f>AM1342*1.01</f>
        <v>1704.2248850967676</v>
      </c>
      <c r="AN1353" s="58" t="s">
        <v>238</v>
      </c>
      <c r="AO1353" s="73" t="s">
        <v>241</v>
      </c>
      <c r="AP1353" s="84">
        <f>AP1342*1.01</f>
        <v>1978.5521845663502</v>
      </c>
      <c r="AQ1353" s="58" t="s">
        <v>238</v>
      </c>
      <c r="AR1353" s="73" t="s">
        <v>241</v>
      </c>
      <c r="AS1353" s="84">
        <f>AS1342*1.01</f>
        <v>2251.7769462415686</v>
      </c>
      <c r="AT1353" s="58" t="s">
        <v>238</v>
      </c>
      <c r="AU1353" s="73" t="s">
        <v>241</v>
      </c>
    </row>
    <row r="1354" spans="15:47" ht="13" x14ac:dyDescent="0.25">
      <c r="O1354" s="6"/>
      <c r="P1354" s="6"/>
      <c r="Q1354" s="60"/>
      <c r="R1354" s="70"/>
      <c r="S1354" s="63" t="s">
        <v>250</v>
      </c>
      <c r="T1354" s="71" t="s">
        <v>242</v>
      </c>
      <c r="U1354" s="61"/>
      <c r="V1354" s="63" t="s">
        <v>250</v>
      </c>
      <c r="W1354" s="71" t="s">
        <v>242</v>
      </c>
      <c r="X1354" s="61"/>
      <c r="Y1354" s="63" t="s">
        <v>250</v>
      </c>
      <c r="Z1354" s="71" t="s">
        <v>242</v>
      </c>
      <c r="AA1354" s="61"/>
      <c r="AB1354" s="63" t="s">
        <v>250</v>
      </c>
      <c r="AC1354" s="71" t="s">
        <v>242</v>
      </c>
      <c r="AD1354" s="61"/>
      <c r="AE1354" s="63" t="s">
        <v>250</v>
      </c>
      <c r="AF1354" s="71" t="s">
        <v>242</v>
      </c>
      <c r="AG1354" s="61"/>
      <c r="AH1354" s="63" t="s">
        <v>250</v>
      </c>
      <c r="AI1354" s="71" t="s">
        <v>242</v>
      </c>
      <c r="AJ1354" s="61"/>
      <c r="AK1354" s="63" t="s">
        <v>250</v>
      </c>
      <c r="AL1354" s="71" t="s">
        <v>242</v>
      </c>
      <c r="AM1354" s="61"/>
      <c r="AN1354" s="63" t="s">
        <v>250</v>
      </c>
      <c r="AO1354" s="71" t="s">
        <v>242</v>
      </c>
      <c r="AP1354" s="61"/>
      <c r="AQ1354" s="63" t="s">
        <v>250</v>
      </c>
      <c r="AR1354" s="71" t="s">
        <v>242</v>
      </c>
      <c r="AS1354" s="61"/>
      <c r="AT1354" s="63" t="s">
        <v>250</v>
      </c>
      <c r="AU1354" s="71" t="s">
        <v>242</v>
      </c>
    </row>
    <row r="1355" spans="15:47" ht="13" x14ac:dyDescent="0.3">
      <c r="O1355" s="6" t="s">
        <v>231</v>
      </c>
      <c r="P1355" s="6"/>
      <c r="Q1355" s="60"/>
      <c r="R1355" s="85">
        <f>P_1_minQ-(R1353^2*R_up)+dpup_minQ</f>
        <v>56.913638338720098</v>
      </c>
      <c r="S1355" s="56"/>
      <c r="T1355" s="72"/>
      <c r="U1355" s="53">
        <f>P_1_minQ-(U1353^2*R_up)+dpup_minQ</f>
        <v>56.62242347270805</v>
      </c>
      <c r="V1355" s="44"/>
      <c r="W1355" s="72"/>
      <c r="X1355" s="53">
        <f>P_1_minQ-(X1353^2*R_up)+dpup_minQ</f>
        <v>55.223774845911926</v>
      </c>
      <c r="Y1355" s="44"/>
      <c r="Z1355" s="72"/>
      <c r="AA1355" s="53">
        <f>P_1_minQ-(AA1353^2*R_up)+dpup_minQ</f>
        <v>50.746309098919049</v>
      </c>
      <c r="AB1355" s="44"/>
      <c r="AC1355" s="72"/>
      <c r="AD1355" s="53">
        <f>P_1_minQ-(AD1353^2*R_up)+dpup_minQ</f>
        <v>40.227890606911195</v>
      </c>
      <c r="AE1355" s="44"/>
      <c r="AF1355" s="72"/>
      <c r="AG1355" s="53">
        <f>P_1_minQ-(AG1353^2*R_up)+dpup_minQ</f>
        <v>19.923039734764405</v>
      </c>
      <c r="AH1355" s="44"/>
      <c r="AI1355" s="72"/>
      <c r="AJ1355" s="53">
        <f>P_1_minQ-(AJ1353^2*R_up)+dpup_minQ</f>
        <v>-8.9648968263151723</v>
      </c>
      <c r="AK1355" s="44"/>
      <c r="AL1355" s="72"/>
      <c r="AM1355" s="53">
        <f>P_1_minQ-(AM1353^2*R_up)+dpup_minQ</f>
        <v>-41.171748023745046</v>
      </c>
      <c r="AN1355" s="44"/>
      <c r="AO1355" s="72"/>
      <c r="AP1355" s="53">
        <f>P_1_minQ-(AP1353^2*R_up)+dpup_minQ</f>
        <v>-75.291514591431167</v>
      </c>
      <c r="AQ1355" s="44"/>
      <c r="AR1355" s="72"/>
      <c r="AS1355" s="53">
        <f>P_1_minQ-(AS1353^2*R_up)+dpup_minQ</f>
        <v>-114.32666043988533</v>
      </c>
      <c r="AT1355" s="44"/>
      <c r="AU1355" s="72"/>
    </row>
    <row r="1356" spans="15:47" ht="13" x14ac:dyDescent="0.3">
      <c r="O1356" s="6" t="s">
        <v>233</v>
      </c>
      <c r="P1356" s="6"/>
      <c r="Q1356" s="60"/>
      <c r="R1356" s="85">
        <f>P_2_minQ+(R1353^2*R_dn)-dpdn_minQ</f>
        <v>24.657272332255982</v>
      </c>
      <c r="S1356" s="66"/>
      <c r="T1356" s="74"/>
      <c r="U1356" s="53">
        <f>P_2_minQ+(U1353^2*R_dn)-dpdn_minQ</f>
        <v>24.715515305458393</v>
      </c>
      <c r="V1356" s="45"/>
      <c r="W1356" s="74"/>
      <c r="X1356" s="53">
        <f>P_2_minQ+(X1353^2*R_dn)-dpdn_minQ</f>
        <v>24.995245030817618</v>
      </c>
      <c r="Y1356" s="45"/>
      <c r="Z1356" s="74"/>
      <c r="AA1356" s="53">
        <f>P_2_minQ+(AA1353^2*R_dn)-dpdn_minQ</f>
        <v>25.890738180216189</v>
      </c>
      <c r="AB1356" s="45"/>
      <c r="AC1356" s="74"/>
      <c r="AD1356" s="53">
        <f>P_2_minQ+(AD1353^2*R_dn)-dpdn_minQ</f>
        <v>27.994421878617761</v>
      </c>
      <c r="AE1356" s="45"/>
      <c r="AF1356" s="74"/>
      <c r="AG1356" s="53">
        <f>P_2_minQ+(AG1353^2*R_dn)-dpdn_minQ</f>
        <v>32.055392053047122</v>
      </c>
      <c r="AH1356" s="45"/>
      <c r="AI1356" s="74"/>
      <c r="AJ1356" s="53">
        <f>P_2_minQ+(AJ1353^2*R_dn)-dpdn_minQ</f>
        <v>37.832979365263043</v>
      </c>
      <c r="AK1356" s="45"/>
      <c r="AL1356" s="74"/>
      <c r="AM1356" s="53">
        <f>P_2_minQ+(AM1353^2*R_dn)-dpdn_minQ</f>
        <v>44.274349604749013</v>
      </c>
      <c r="AN1356" s="45"/>
      <c r="AO1356" s="74"/>
      <c r="AP1356" s="53">
        <f>P_2_minQ+(AP1353^2*R_dn)-dpdn_minQ</f>
        <v>51.098302918286237</v>
      </c>
      <c r="AQ1356" s="45"/>
      <c r="AR1356" s="74"/>
      <c r="AS1356" s="53">
        <f>P_2_minQ+(AS1353^2*R_dn)-dpdn_minQ</f>
        <v>58.905332087977065</v>
      </c>
      <c r="AT1356" s="45"/>
      <c r="AU1356" s="74"/>
    </row>
    <row r="1357" spans="15:47" x14ac:dyDescent="0.25">
      <c r="O1357" s="6" t="s">
        <v>243</v>
      </c>
      <c r="Q1357" s="60"/>
      <c r="R1357" s="53">
        <f>R1355-R1356</f>
        <v>32.25636600646412</v>
      </c>
      <c r="S1357" s="56"/>
      <c r="T1357" s="72"/>
      <c r="U1357" s="64">
        <f>U1355-U1356</f>
        <v>31.906908167249657</v>
      </c>
      <c r="V1357" s="44"/>
      <c r="W1357" s="72"/>
      <c r="X1357" s="64">
        <f>X1355-X1356</f>
        <v>30.228529815094308</v>
      </c>
      <c r="Y1357" s="44"/>
      <c r="Z1357" s="72"/>
      <c r="AA1357" s="64">
        <f>AA1355-AA1356</f>
        <v>24.85557091870286</v>
      </c>
      <c r="AB1357" s="44"/>
      <c r="AC1357" s="72"/>
      <c r="AD1357" s="64">
        <f>AD1355-AD1356</f>
        <v>12.233468728293435</v>
      </c>
      <c r="AE1357" s="44"/>
      <c r="AF1357" s="72"/>
      <c r="AG1357" s="64">
        <f>AG1355-AG1356</f>
        <v>-12.132352318282717</v>
      </c>
      <c r="AH1357" s="44"/>
      <c r="AI1357" s="72"/>
      <c r="AJ1357" s="64">
        <f>AJ1355-AJ1356</f>
        <v>-46.797876191578212</v>
      </c>
      <c r="AK1357" s="44"/>
      <c r="AL1357" s="72"/>
      <c r="AM1357" s="64">
        <f>AM1355-AM1356</f>
        <v>-85.446097628494059</v>
      </c>
      <c r="AN1357" s="44"/>
      <c r="AO1357" s="72"/>
      <c r="AP1357" s="64">
        <f>AP1355-AP1356</f>
        <v>-126.3898175097174</v>
      </c>
      <c r="AQ1357" s="44"/>
      <c r="AR1357" s="72"/>
      <c r="AS1357" s="64">
        <f>AS1355-AS1356</f>
        <v>-173.23199252786239</v>
      </c>
      <c r="AT1357" s="44"/>
      <c r="AU1357" s="72"/>
    </row>
    <row r="1358" spans="15:47" ht="13" x14ac:dyDescent="0.3">
      <c r="O1358" s="6" t="s">
        <v>75</v>
      </c>
      <c r="P1358" s="6">
        <v>3</v>
      </c>
      <c r="Q1358" s="65"/>
      <c r="R1358" s="85">
        <f>(F_LP_h/F_P_h)^2*(R1355-('Valve Sizing'!$V$4*'Valve Sizing'!$G$7))</f>
        <v>46.763089089348206</v>
      </c>
      <c r="S1358" s="58"/>
      <c r="T1358" s="73"/>
      <c r="U1358" s="53">
        <f>(U$29/U$27)^2*(U1355-('Valve Sizing'!$V$4*'Valve Sizing'!$G$7))</f>
        <v>46.509267933322867</v>
      </c>
      <c r="V1358" s="41"/>
      <c r="W1358" s="73"/>
      <c r="X1358" s="53">
        <f>(X$29/X$27)^2*(X1355-('Valve Sizing'!$V$4*'Valve Sizing'!$G$7))</f>
        <v>44.328440051580571</v>
      </c>
      <c r="Y1358" s="41"/>
      <c r="Z1358" s="73"/>
      <c r="AA1358" s="53">
        <f>(AA$29/AA$27)^2*(AA1355-('Valve Sizing'!$V$4*'Valve Sizing'!$G$7))</f>
        <v>38.876531321774969</v>
      </c>
      <c r="AB1358" s="41"/>
      <c r="AC1358" s="73"/>
      <c r="AD1358" s="53">
        <f>(AD$29/AD$27)^2*(AD1355-('Valve Sizing'!$V$4*'Valve Sizing'!$G$7))</f>
        <v>28.694484073660657</v>
      </c>
      <c r="AE1358" s="41"/>
      <c r="AF1358" s="73"/>
      <c r="AG1358" s="53">
        <f>(AG$29/AG$27)^2*(AG1355-('Valve Sizing'!$V$4*'Valve Sizing'!$G$7))</f>
        <v>12.547896750490249</v>
      </c>
      <c r="AH1358" s="41"/>
      <c r="AI1358" s="73"/>
      <c r="AJ1358" s="53">
        <f>(AJ$29/AJ$27)^2*(AJ1355-('Valve Sizing'!$V$4*'Valve Sizing'!$G$7))</f>
        <v>-5.4394902554330757</v>
      </c>
      <c r="AK1358" s="41"/>
      <c r="AL1358" s="73"/>
      <c r="AM1358" s="53">
        <f>(AM$29/AM$27)^2*(AM1355-('Valve Sizing'!$V$4*'Valve Sizing'!$G$7))</f>
        <v>-19.910090106230527</v>
      </c>
      <c r="AN1358" s="41"/>
      <c r="AO1358" s="73"/>
      <c r="AP1358" s="53">
        <f>(AP$29/AP$27)^2*(AP1355-('Valve Sizing'!$V$4*'Valve Sizing'!$G$7))</f>
        <v>-29.885710091981487</v>
      </c>
      <c r="AQ1358" s="41"/>
      <c r="AR1358" s="73"/>
      <c r="AS1358" s="53">
        <f>(AS$29/AS$27)^2*(AS1355-('Valve Sizing'!$V$4*'Valve Sizing'!$G$7))</f>
        <v>-43.168444486150221</v>
      </c>
      <c r="AT1358" s="41"/>
      <c r="AU1358" s="73"/>
    </row>
    <row r="1359" spans="15:47" ht="13" x14ac:dyDescent="0.25">
      <c r="O1359" s="1" t="s">
        <v>69</v>
      </c>
      <c r="P1359" s="17">
        <v>7</v>
      </c>
      <c r="Q1359" s="65"/>
      <c r="R1359" s="53">
        <f>(R1353/(N_1*F_P_h))*SQRT('Valve Sizing'!$G$6/R1357)</f>
        <v>1.5165837836672047</v>
      </c>
      <c r="S1359" s="58"/>
      <c r="T1359" s="73"/>
      <c r="U1359" s="64">
        <f>(U1353/(N_1*U$27))*SQRT('Valve Sizing'!$G$6/U1357)</f>
        <v>16.523767186343925</v>
      </c>
      <c r="V1359" s="41"/>
      <c r="W1359" s="73"/>
      <c r="X1359" s="64">
        <f>(X1353/(N_1*X$27))*SQRT('Valve Sizing'!$G$6/X1357)</f>
        <v>40.841196404146181</v>
      </c>
      <c r="Y1359" s="41"/>
      <c r="Z1359" s="73"/>
      <c r="AA1359" s="64">
        <f>(AA1353/(N_1*AA$27))*SQRT('Valve Sizing'!$G$6/AA1357)</f>
        <v>86.491955864049373</v>
      </c>
      <c r="AB1359" s="41"/>
      <c r="AC1359" s="73"/>
      <c r="AD1359" s="64">
        <f>(AD1353/(N_1*AD$27))*SQRT('Valve Sizing'!$G$6/AD1357)</f>
        <v>205.30837867837957</v>
      </c>
      <c r="AE1359" s="41"/>
      <c r="AF1359" s="73"/>
      <c r="AG1359" s="64" t="e">
        <f>(AG1353/(N_1*AG$27))*SQRT('Valve Sizing'!$G$6/AG1357)</f>
        <v>#NUM!</v>
      </c>
      <c r="AH1359" s="41"/>
      <c r="AI1359" s="73"/>
      <c r="AJ1359" s="64" t="e">
        <f>(AJ1353/(N_1*AJ$27))*SQRT('Valve Sizing'!$G$6/AJ1357)</f>
        <v>#NUM!</v>
      </c>
      <c r="AK1359" s="41"/>
      <c r="AL1359" s="73"/>
      <c r="AM1359" s="64" t="e">
        <f>(AM1353/(N_1*AM$27))*SQRT('Valve Sizing'!$G$6/AM1357)</f>
        <v>#NUM!</v>
      </c>
      <c r="AN1359" s="41"/>
      <c r="AO1359" s="73"/>
      <c r="AP1359" s="64" t="e">
        <f>(AP1353/(N_1*AP$27))*SQRT('Valve Sizing'!$G$6/AP1357)</f>
        <v>#NUM!</v>
      </c>
      <c r="AQ1359" s="41"/>
      <c r="AR1359" s="73"/>
      <c r="AS1359" s="64" t="e">
        <f>(AS1353/(N_1*AS$27))*SQRT('Valve Sizing'!$G$6/AS1357)</f>
        <v>#NUM!</v>
      </c>
      <c r="AT1359" s="41"/>
      <c r="AU1359" s="73"/>
    </row>
    <row r="1360" spans="15:47" ht="13" x14ac:dyDescent="0.3">
      <c r="O1360" s="1" t="s">
        <v>72</v>
      </c>
      <c r="P1360" s="17">
        <v>7</v>
      </c>
      <c r="Q1360" s="65"/>
      <c r="R1360" s="53">
        <f>(R1353/(N_1*F_P_h))*SQRT('Valve Sizing'!$G$6/R1358)</f>
        <v>1.2595706460526108</v>
      </c>
      <c r="S1360" s="56"/>
      <c r="T1360" s="72"/>
      <c r="U1360" s="85">
        <f>(U1353/(N_1*U$27))*SQRT('Valve Sizing'!$G$6/U1358)</f>
        <v>13.686162009978551</v>
      </c>
      <c r="V1360" s="44"/>
      <c r="W1360" s="72"/>
      <c r="X1360" s="85">
        <f>(X1353/(N_1*X$27))*SQRT('Valve Sizing'!$G$6/X1358)</f>
        <v>33.726070566246356</v>
      </c>
      <c r="Y1360" s="44"/>
      <c r="Z1360" s="72"/>
      <c r="AA1360" s="85">
        <f>(AA1353/(N_1*AA$27))*SQRT('Valve Sizing'!$G$6/AA1358)</f>
        <v>69.158224500015109</v>
      </c>
      <c r="AB1360" s="44"/>
      <c r="AC1360" s="72"/>
      <c r="AD1360" s="85">
        <f>(AD1353/(N_1*AD$27))*SQRT('Valve Sizing'!$G$6/AD1358)</f>
        <v>134.05476978994744</v>
      </c>
      <c r="AE1360" s="44"/>
      <c r="AF1360" s="72"/>
      <c r="AG1360" s="85">
        <f>(AG1353/(N_1*AG$27))*SQRT('Valve Sizing'!$G$6/AG1358)</f>
        <v>308.5561262985035</v>
      </c>
      <c r="AH1360" s="44"/>
      <c r="AI1360" s="72"/>
      <c r="AJ1360" s="85" t="e">
        <f>(AJ1353/(N_1*AJ$27))*SQRT('Valve Sizing'!$G$6/AJ1358)</f>
        <v>#NUM!</v>
      </c>
      <c r="AK1360" s="44"/>
      <c r="AL1360" s="72"/>
      <c r="AM1360" s="85" t="e">
        <f>(AM1353/(N_1*AM$27))*SQRT('Valve Sizing'!$G$6/AM1358)</f>
        <v>#NUM!</v>
      </c>
      <c r="AN1360" s="44"/>
      <c r="AO1360" s="72"/>
      <c r="AP1360" s="85" t="e">
        <f>(AP1353/(N_1*AP$27))*SQRT('Valve Sizing'!$G$6/AP1358)</f>
        <v>#NUM!</v>
      </c>
      <c r="AQ1360" s="44"/>
      <c r="AR1360" s="72"/>
      <c r="AS1360" s="85" t="e">
        <f>(AS1353/(N_1*AS$27))*SQRT('Valve Sizing'!$G$6/AS1358)</f>
        <v>#NUM!</v>
      </c>
      <c r="AT1360" s="44"/>
      <c r="AU1360" s="72"/>
    </row>
    <row r="1361" spans="15:47" x14ac:dyDescent="0.25">
      <c r="O1361" s="1" t="s">
        <v>246</v>
      </c>
      <c r="P1361" s="18"/>
      <c r="Q1361" s="65"/>
      <c r="R1361" s="53">
        <f>IF(R1357&lt;R1358,R1359,R1360)</f>
        <v>1.5165837836672047</v>
      </c>
      <c r="S1361" s="49"/>
      <c r="T1361" s="72"/>
      <c r="U1361" s="64">
        <f>IF(U1357&lt;U1358,U1359,U1360)</f>
        <v>16.523767186343925</v>
      </c>
      <c r="V1361" s="44"/>
      <c r="W1361" s="72"/>
      <c r="X1361" s="64">
        <f>IF(X1357&lt;X1358,X1359,X1360)</f>
        <v>40.841196404146181</v>
      </c>
      <c r="Y1361" s="44"/>
      <c r="Z1361" s="72"/>
      <c r="AA1361" s="64">
        <f>IF(AA1357&lt;AA1358,AA1359,AA1360)</f>
        <v>86.491955864049373</v>
      </c>
      <c r="AB1361" s="44"/>
      <c r="AC1361" s="72"/>
      <c r="AD1361" s="64">
        <f>IF(AD1357&lt;AD1358,AD1359,AD1360)</f>
        <v>205.30837867837957</v>
      </c>
      <c r="AE1361" s="44"/>
      <c r="AF1361" s="72"/>
      <c r="AG1361" s="64" t="e">
        <f>IF(AG1357&lt;AG1358,AG1359,AG1360)</f>
        <v>#NUM!</v>
      </c>
      <c r="AH1361" s="44"/>
      <c r="AI1361" s="72"/>
      <c r="AJ1361" s="64" t="e">
        <f>IF(AJ1357&lt;AJ1358,AJ1359,AJ1360)</f>
        <v>#NUM!</v>
      </c>
      <c r="AK1361" s="44"/>
      <c r="AL1361" s="72"/>
      <c r="AM1361" s="64" t="e">
        <f>IF(AM1357&lt;AM1358,AM1359,AM1360)</f>
        <v>#NUM!</v>
      </c>
      <c r="AN1361" s="44"/>
      <c r="AO1361" s="72"/>
      <c r="AP1361" s="64" t="e">
        <f>IF(AP1357&lt;AP1358,AP1359,AP1360)</f>
        <v>#NUM!</v>
      </c>
      <c r="AQ1361" s="44"/>
      <c r="AR1361" s="72"/>
      <c r="AS1361" s="64" t="e">
        <f>IF(AS1357&lt;AS1358,AS1359,AS1360)</f>
        <v>#NUM!</v>
      </c>
      <c r="AT1361" s="44"/>
      <c r="AU1361" s="72"/>
    </row>
    <row r="1362" spans="15:47" ht="13" x14ac:dyDescent="0.3">
      <c r="O1362" s="7" t="s">
        <v>264</v>
      </c>
      <c r="Q1362" s="61"/>
      <c r="R1362" s="53"/>
      <c r="S1362" s="69">
        <f>IFERROR(ABS(C_h-R1361),Q_max*10)</f>
        <v>3.4834162163327953</v>
      </c>
      <c r="T1362" s="76">
        <f>R1353</f>
        <v>8.6121304273614214</v>
      </c>
      <c r="U1362" s="61"/>
      <c r="V1362" s="69">
        <f>IFERROR(ABS(U$23-U1361),Q_max*10)</f>
        <v>4.5237671863439246</v>
      </c>
      <c r="W1362" s="75">
        <f>U1353</f>
        <v>93.257927132843363</v>
      </c>
      <c r="X1362" s="61"/>
      <c r="Y1362" s="69">
        <f>IFERROR(ABS(X$23-X1361),Q_max*10)</f>
        <v>17.841196404146181</v>
      </c>
      <c r="Z1362" s="75">
        <f>X1353</f>
        <v>223.85492358344032</v>
      </c>
      <c r="AA1362" s="61"/>
      <c r="AB1362" s="69">
        <f>IFERROR(ABS(AA$23-AA1361),Q_max*10)</f>
        <v>47.491955864049373</v>
      </c>
      <c r="AC1362" s="75">
        <f>AA1353</f>
        <v>427.42108930305119</v>
      </c>
      <c r="AD1362" s="61"/>
      <c r="AE1362" s="69">
        <f>IFERROR(ABS(AD$23-AD1361),Q_max*10)</f>
        <v>144.30837867837957</v>
      </c>
      <c r="AF1362" s="75">
        <f>AD1353</f>
        <v>702.95032479497411</v>
      </c>
      <c r="AG1362" s="61"/>
      <c r="AH1362" s="69">
        <f>IFERROR(ABS(AG$23-AG1361),Q_max*10)</f>
        <v>5500</v>
      </c>
      <c r="AI1362" s="75">
        <f>AG1353</f>
        <v>1046.5972451012979</v>
      </c>
      <c r="AJ1362" s="61"/>
      <c r="AK1362" s="69">
        <f>IFERROR(ABS(AJ$23-AJ1361),Q_max*10)</f>
        <v>5500</v>
      </c>
      <c r="AL1362" s="75">
        <f>AJ1353</f>
        <v>1396.6880807922691</v>
      </c>
      <c r="AM1362" s="61"/>
      <c r="AN1362" s="69">
        <f>IFERROR(ABS(AM$23-AM1361),Q_max*10)</f>
        <v>5500</v>
      </c>
      <c r="AO1362" s="75">
        <f>AM1353</f>
        <v>1704.2248850967676</v>
      </c>
      <c r="AP1362" s="61"/>
      <c r="AQ1362" s="69">
        <f>IFERROR(ABS(AP$23-AP1361),Q_max*10)</f>
        <v>5500</v>
      </c>
      <c r="AR1362" s="75">
        <f>AP1353</f>
        <v>1978.5521845663502</v>
      </c>
      <c r="AS1362" s="61"/>
      <c r="AT1362" s="69">
        <f>IFERROR(ABS(AS$23-AS1361),Q_max*10)</f>
        <v>5500</v>
      </c>
      <c r="AU1362" s="75">
        <f>AS1353</f>
        <v>2251.7769462415686</v>
      </c>
    </row>
    <row r="1363" spans="15:47" ht="14.5" x14ac:dyDescent="0.35">
      <c r="O1363" s="6"/>
      <c r="P1363" s="6"/>
      <c r="Q1363" s="60"/>
      <c r="R1363" s="67"/>
      <c r="S1363" s="56"/>
      <c r="T1363" s="72"/>
      <c r="V1363" s="11"/>
      <c r="W1363" s="38"/>
      <c r="Y1363" s="11"/>
      <c r="Z1363" s="38"/>
      <c r="AB1363" s="11"/>
      <c r="AC1363" s="38"/>
      <c r="AE1363" s="11"/>
      <c r="AF1363" s="38"/>
      <c r="AH1363" s="11"/>
      <c r="AI1363" s="38"/>
      <c r="AK1363" s="11"/>
      <c r="AL1363" s="38"/>
      <c r="AN1363" s="11"/>
      <c r="AO1363" s="38"/>
      <c r="AQ1363" s="11"/>
      <c r="AR1363" s="38"/>
      <c r="AT1363" s="11"/>
      <c r="AU1363" s="38"/>
    </row>
    <row r="1364" spans="15:47" ht="14" x14ac:dyDescent="0.3">
      <c r="O1364" s="8" t="s">
        <v>235</v>
      </c>
      <c r="P1364" s="6"/>
      <c r="Q1364" s="60"/>
      <c r="R1364" s="53">
        <f>R1353*1.02</f>
        <v>8.7843730359086507</v>
      </c>
      <c r="S1364" s="58" t="s">
        <v>238</v>
      </c>
      <c r="T1364" s="73" t="s">
        <v>241</v>
      </c>
      <c r="U1364" s="84">
        <f>U1353*1.01</f>
        <v>94.190506404171799</v>
      </c>
      <c r="V1364" s="58" t="s">
        <v>238</v>
      </c>
      <c r="W1364" s="73" t="s">
        <v>241</v>
      </c>
      <c r="X1364" s="84">
        <f>X1353*1.01</f>
        <v>226.09347281927472</v>
      </c>
      <c r="Y1364" s="58" t="s">
        <v>238</v>
      </c>
      <c r="Z1364" s="73" t="s">
        <v>241</v>
      </c>
      <c r="AA1364" s="84">
        <f>AA1353*1.01</f>
        <v>431.69530019608169</v>
      </c>
      <c r="AB1364" s="58" t="s">
        <v>238</v>
      </c>
      <c r="AC1364" s="73" t="s">
        <v>241</v>
      </c>
      <c r="AD1364" s="84">
        <f>AD1353*1.01</f>
        <v>709.97982804292383</v>
      </c>
      <c r="AE1364" s="58" t="s">
        <v>238</v>
      </c>
      <c r="AF1364" s="73" t="s">
        <v>241</v>
      </c>
      <c r="AG1364" s="84">
        <f>AG1353*1.01</f>
        <v>1057.0632175523108</v>
      </c>
      <c r="AH1364" s="58" t="s">
        <v>238</v>
      </c>
      <c r="AI1364" s="73" t="s">
        <v>241</v>
      </c>
      <c r="AJ1364" s="84">
        <f>AJ1353*1.01</f>
        <v>1410.6549616001919</v>
      </c>
      <c r="AK1364" s="58" t="s">
        <v>238</v>
      </c>
      <c r="AL1364" s="73" t="s">
        <v>241</v>
      </c>
      <c r="AM1364" s="84">
        <f>AM1353*1.01</f>
        <v>1721.2671339477354</v>
      </c>
      <c r="AN1364" s="58" t="s">
        <v>238</v>
      </c>
      <c r="AO1364" s="73" t="s">
        <v>241</v>
      </c>
      <c r="AP1364" s="84">
        <f>AP1353*1.01</f>
        <v>1998.3377064120136</v>
      </c>
      <c r="AQ1364" s="58" t="s">
        <v>238</v>
      </c>
      <c r="AR1364" s="73" t="s">
        <v>241</v>
      </c>
      <c r="AS1364" s="84">
        <f>AS1353*1.01</f>
        <v>2274.2947157039844</v>
      </c>
      <c r="AT1364" s="58" t="s">
        <v>238</v>
      </c>
      <c r="AU1364" s="73" t="s">
        <v>241</v>
      </c>
    </row>
    <row r="1365" spans="15:47" ht="13" x14ac:dyDescent="0.25">
      <c r="O1365" s="6"/>
      <c r="P1365" s="6"/>
      <c r="Q1365" s="60"/>
      <c r="R1365" s="70"/>
      <c r="S1365" s="63" t="s">
        <v>250</v>
      </c>
      <c r="T1365" s="71" t="s">
        <v>242</v>
      </c>
      <c r="U1365" s="61"/>
      <c r="V1365" s="63" t="s">
        <v>250</v>
      </c>
      <c r="W1365" s="71" t="s">
        <v>242</v>
      </c>
      <c r="X1365" s="61"/>
      <c r="Y1365" s="63" t="s">
        <v>250</v>
      </c>
      <c r="Z1365" s="71" t="s">
        <v>242</v>
      </c>
      <c r="AA1365" s="61"/>
      <c r="AB1365" s="63" t="s">
        <v>250</v>
      </c>
      <c r="AC1365" s="71" t="s">
        <v>242</v>
      </c>
      <c r="AD1365" s="61"/>
      <c r="AE1365" s="63" t="s">
        <v>250</v>
      </c>
      <c r="AF1365" s="71" t="s">
        <v>242</v>
      </c>
      <c r="AG1365" s="61"/>
      <c r="AH1365" s="63" t="s">
        <v>250</v>
      </c>
      <c r="AI1365" s="71" t="s">
        <v>242</v>
      </c>
      <c r="AJ1365" s="61"/>
      <c r="AK1365" s="63" t="s">
        <v>250</v>
      </c>
      <c r="AL1365" s="71" t="s">
        <v>242</v>
      </c>
      <c r="AM1365" s="61"/>
      <c r="AN1365" s="63" t="s">
        <v>250</v>
      </c>
      <c r="AO1365" s="71" t="s">
        <v>242</v>
      </c>
      <c r="AP1365" s="61"/>
      <c r="AQ1365" s="63" t="s">
        <v>250</v>
      </c>
      <c r="AR1365" s="71" t="s">
        <v>242</v>
      </c>
      <c r="AS1365" s="61"/>
      <c r="AT1365" s="63" t="s">
        <v>250</v>
      </c>
      <c r="AU1365" s="71" t="s">
        <v>242</v>
      </c>
    </row>
    <row r="1366" spans="15:47" ht="13" x14ac:dyDescent="0.3">
      <c r="O1366" s="6" t="s">
        <v>231</v>
      </c>
      <c r="P1366" s="6"/>
      <c r="Q1366" s="60"/>
      <c r="R1366" s="85">
        <f>P_1_minQ-(R1364^2*R_up)+dpup_minQ</f>
        <v>56.91353714253178</v>
      </c>
      <c r="S1366" s="56"/>
      <c r="T1366" s="72"/>
      <c r="U1366" s="53">
        <f>P_1_minQ-(U1364^2*R_up)+dpup_minQ</f>
        <v>56.616519706292664</v>
      </c>
      <c r="V1366" s="44"/>
      <c r="W1366" s="72"/>
      <c r="X1366" s="53">
        <f>P_1_minQ-(X1364^2*R_up)+dpup_minQ</f>
        <v>55.189758242097938</v>
      </c>
      <c r="Y1366" s="44"/>
      <c r="Z1366" s="72"/>
      <c r="AA1366" s="53">
        <f>P_1_minQ-(AA1364^2*R_up)+dpup_minQ</f>
        <v>50.622295433590509</v>
      </c>
      <c r="AB1366" s="44"/>
      <c r="AC1366" s="72"/>
      <c r="AD1366" s="53">
        <f>P_1_minQ-(AD1364^2*R_up)+dpup_minQ</f>
        <v>39.89245672989329</v>
      </c>
      <c r="AE1366" s="44"/>
      <c r="AF1366" s="72"/>
      <c r="AG1366" s="53">
        <f>P_1_minQ-(AG1364^2*R_up)+dpup_minQ</f>
        <v>19.17947835521635</v>
      </c>
      <c r="AH1366" s="44"/>
      <c r="AI1366" s="72"/>
      <c r="AJ1366" s="53">
        <f>P_1_minQ-(AJ1364^2*R_up)+dpup_minQ</f>
        <v>-10.289105730740932</v>
      </c>
      <c r="AK1366" s="44"/>
      <c r="AL1366" s="72"/>
      <c r="AM1366" s="53">
        <f>P_1_minQ-(AM1364^2*R_up)+dpup_minQ</f>
        <v>-43.143314637239165</v>
      </c>
      <c r="AN1366" s="44"/>
      <c r="AO1366" s="72"/>
      <c r="AP1366" s="53">
        <f>P_1_minQ-(AP1364^2*R_up)+dpup_minQ</f>
        <v>-77.948888512935724</v>
      </c>
      <c r="AQ1366" s="44"/>
      <c r="AR1366" s="72"/>
      <c r="AS1366" s="53">
        <f>P_1_minQ-(AS1364^2*R_up)+dpup_minQ</f>
        <v>-117.76864079294384</v>
      </c>
      <c r="AT1366" s="44"/>
      <c r="AU1366" s="72"/>
    </row>
    <row r="1367" spans="15:47" ht="13" x14ac:dyDescent="0.3">
      <c r="O1367" s="6" t="s">
        <v>233</v>
      </c>
      <c r="P1367" s="6"/>
      <c r="Q1367" s="60"/>
      <c r="R1367" s="85">
        <f>P_2_minQ+(R1364^2*R_dn)-dpdn_minQ</f>
        <v>24.657292571493645</v>
      </c>
      <c r="S1367" s="66"/>
      <c r="T1367" s="74"/>
      <c r="U1367" s="53">
        <f>P_2_minQ+(U1364^2*R_dn)-dpdn_minQ</f>
        <v>24.716696058741469</v>
      </c>
      <c r="V1367" s="45"/>
      <c r="W1367" s="74"/>
      <c r="X1367" s="53">
        <f>P_2_minQ+(X1364^2*R_dn)-dpdn_minQ</f>
        <v>25.002048351580413</v>
      </c>
      <c r="Y1367" s="45"/>
      <c r="Z1367" s="74"/>
      <c r="AA1367" s="53">
        <f>P_2_minQ+(AA1364^2*R_dn)-dpdn_minQ</f>
        <v>25.915540913281898</v>
      </c>
      <c r="AB1367" s="45"/>
      <c r="AC1367" s="74"/>
      <c r="AD1367" s="53">
        <f>P_2_minQ+(AD1364^2*R_dn)-dpdn_minQ</f>
        <v>28.061508654021342</v>
      </c>
      <c r="AE1367" s="45"/>
      <c r="AF1367" s="74"/>
      <c r="AG1367" s="53">
        <f>P_2_minQ+(AG1364^2*R_dn)-dpdn_minQ</f>
        <v>32.204104328956731</v>
      </c>
      <c r="AH1367" s="45"/>
      <c r="AI1367" s="74"/>
      <c r="AJ1367" s="53">
        <f>P_2_minQ+(AJ1364^2*R_dn)-dpdn_minQ</f>
        <v>38.097821146148192</v>
      </c>
      <c r="AK1367" s="45"/>
      <c r="AL1367" s="74"/>
      <c r="AM1367" s="53">
        <f>P_2_minQ+(AM1364^2*R_dn)-dpdn_minQ</f>
        <v>44.668662927447834</v>
      </c>
      <c r="AN1367" s="45"/>
      <c r="AO1367" s="74"/>
      <c r="AP1367" s="53">
        <f>P_2_minQ+(AP1364^2*R_dn)-dpdn_minQ</f>
        <v>51.629777702587148</v>
      </c>
      <c r="AQ1367" s="45"/>
      <c r="AR1367" s="74"/>
      <c r="AS1367" s="53">
        <f>P_2_minQ+(AS1364^2*R_dn)-dpdn_minQ</f>
        <v>59.593728158588767</v>
      </c>
      <c r="AT1367" s="45"/>
      <c r="AU1367" s="74"/>
    </row>
    <row r="1368" spans="15:47" x14ac:dyDescent="0.25">
      <c r="O1368" s="6" t="s">
        <v>243</v>
      </c>
      <c r="Q1368" s="60"/>
      <c r="R1368" s="53">
        <f>R1366-R1367</f>
        <v>32.256244571038138</v>
      </c>
      <c r="S1368" s="56"/>
      <c r="T1368" s="72"/>
      <c r="U1368" s="64">
        <f>U1366-U1367</f>
        <v>31.899823647551194</v>
      </c>
      <c r="V1368" s="44"/>
      <c r="W1368" s="72"/>
      <c r="X1368" s="64">
        <f>X1366-X1367</f>
        <v>30.187709890517525</v>
      </c>
      <c r="Y1368" s="44"/>
      <c r="Z1368" s="72"/>
      <c r="AA1368" s="64">
        <f>AA1366-AA1367</f>
        <v>24.706754520308611</v>
      </c>
      <c r="AB1368" s="44"/>
      <c r="AC1368" s="72"/>
      <c r="AD1368" s="64">
        <f>AD1366-AD1367</f>
        <v>11.830948075871948</v>
      </c>
      <c r="AE1368" s="44"/>
      <c r="AF1368" s="72"/>
      <c r="AG1368" s="64">
        <f>AG1366-AG1367</f>
        <v>-13.024625973740381</v>
      </c>
      <c r="AH1368" s="44"/>
      <c r="AI1368" s="72"/>
      <c r="AJ1368" s="64">
        <f>AJ1366-AJ1367</f>
        <v>-48.38692687688912</v>
      </c>
      <c r="AK1368" s="44"/>
      <c r="AL1368" s="72"/>
      <c r="AM1368" s="64">
        <f>AM1366-AM1367</f>
        <v>-87.811977564686998</v>
      </c>
      <c r="AN1368" s="44"/>
      <c r="AO1368" s="72"/>
      <c r="AP1368" s="64">
        <f>AP1366-AP1367</f>
        <v>-129.57866621552287</v>
      </c>
      <c r="AQ1368" s="44"/>
      <c r="AR1368" s="72"/>
      <c r="AS1368" s="64">
        <f>AS1366-AS1367</f>
        <v>-177.3623689515326</v>
      </c>
      <c r="AT1368" s="44"/>
      <c r="AU1368" s="72"/>
    </row>
    <row r="1369" spans="15:47" ht="13" x14ac:dyDescent="0.3">
      <c r="O1369" s="6" t="s">
        <v>75</v>
      </c>
      <c r="P1369" s="6">
        <v>3</v>
      </c>
      <c r="Q1369" s="65"/>
      <c r="R1369" s="85">
        <f>(F_LP_h/F_P_h)^2*(R1366-('Valve Sizing'!$V$4*'Valve Sizing'!$G$7))</f>
        <v>46.763005293592492</v>
      </c>
      <c r="S1369" s="58"/>
      <c r="T1369" s="73"/>
      <c r="U1369" s="53">
        <f>(U$29/U$27)^2*(U1366-('Valve Sizing'!$V$4*'Valve Sizing'!$G$7))</f>
        <v>46.504380637280754</v>
      </c>
      <c r="V1369" s="41"/>
      <c r="W1369" s="73"/>
      <c r="X1369" s="53">
        <f>(X$29/X$27)^2*(X1366-('Valve Sizing'!$V$4*'Valve Sizing'!$G$7))</f>
        <v>44.300915395339075</v>
      </c>
      <c r="Y1369" s="41"/>
      <c r="Z1369" s="73"/>
      <c r="AA1369" s="53">
        <f>(AA$29/AA$27)^2*(AA1366-('Valve Sizing'!$V$4*'Valve Sizing'!$G$7))</f>
        <v>38.780693905799232</v>
      </c>
      <c r="AB1369" s="41"/>
      <c r="AC1369" s="73"/>
      <c r="AD1369" s="53">
        <f>(AD$29/AD$27)^2*(AD1366-('Valve Sizing'!$V$4*'Valve Sizing'!$G$7))</f>
        <v>28.452573385615224</v>
      </c>
      <c r="AE1369" s="41"/>
      <c r="AF1369" s="73"/>
      <c r="AG1369" s="53">
        <f>(AG$29/AG$27)^2*(AG1366-('Valve Sizing'!$V$4*'Valve Sizing'!$G$7))</f>
        <v>12.069010541658962</v>
      </c>
      <c r="AH1369" s="41"/>
      <c r="AI1369" s="73"/>
      <c r="AJ1369" s="53">
        <f>(AJ$29/AJ$27)^2*(AJ1366-('Valve Sizing'!$V$4*'Valve Sizing'!$G$7))</f>
        <v>-6.2053654582743416</v>
      </c>
      <c r="AK1369" s="41"/>
      <c r="AL1369" s="73"/>
      <c r="AM1369" s="53">
        <f>(AM$29/AM$27)^2*(AM1366-('Valve Sizing'!$V$4*'Valve Sizing'!$G$7))</f>
        <v>-20.853429821286092</v>
      </c>
      <c r="AN1369" s="41"/>
      <c r="AO1369" s="73"/>
      <c r="AP1369" s="53">
        <f>(AP$29/AP$27)^2*(AP1366-('Valve Sizing'!$V$4*'Valve Sizing'!$G$7))</f>
        <v>-30.934381131729779</v>
      </c>
      <c r="AQ1369" s="41"/>
      <c r="AR1369" s="73"/>
      <c r="AS1369" s="53">
        <f>(AS$29/AS$27)^2*(AS1366-('Valve Sizing'!$V$4*'Valve Sizing'!$G$7))</f>
        <v>-44.463113709439398</v>
      </c>
      <c r="AT1369" s="41"/>
      <c r="AU1369" s="73"/>
    </row>
    <row r="1370" spans="15:47" ht="13" x14ac:dyDescent="0.25">
      <c r="O1370" s="1" t="s">
        <v>69</v>
      </c>
      <c r="P1370" s="17">
        <v>7</v>
      </c>
      <c r="Q1370" s="65"/>
      <c r="R1370" s="53">
        <f>(R1364/(N_1*F_P_h))*SQRT('Valve Sizing'!$G$6/R1368)</f>
        <v>1.5469183711823247</v>
      </c>
      <c r="S1370" s="58"/>
      <c r="T1370" s="73"/>
      <c r="U1370" s="64">
        <f>(U1364/(N_1*U$27))*SQRT('Valve Sizing'!$G$6/U1368)</f>
        <v>16.690857956537634</v>
      </c>
      <c r="V1370" s="41"/>
      <c r="W1370" s="73"/>
      <c r="X1370" s="64">
        <f>(X1364/(N_1*X$27))*SQRT('Valve Sizing'!$G$6/X1368)</f>
        <v>41.27748787744838</v>
      </c>
      <c r="Y1370" s="41"/>
      <c r="Z1370" s="73"/>
      <c r="AA1370" s="64">
        <f>(AA1364/(N_1*AA$27))*SQRT('Valve Sizing'!$G$6/AA1368)</f>
        <v>87.619569139578758</v>
      </c>
      <c r="AB1370" s="41"/>
      <c r="AC1370" s="73"/>
      <c r="AD1370" s="64">
        <f>(AD1364/(N_1*AD$27))*SQRT('Valve Sizing'!$G$6/AD1368)</f>
        <v>210.85945568082775</v>
      </c>
      <c r="AE1370" s="41"/>
      <c r="AF1370" s="73"/>
      <c r="AG1370" s="64" t="e">
        <f>(AG1364/(N_1*AG$27))*SQRT('Valve Sizing'!$G$6/AG1368)</f>
        <v>#NUM!</v>
      </c>
      <c r="AH1370" s="41"/>
      <c r="AI1370" s="73"/>
      <c r="AJ1370" s="64" t="e">
        <f>(AJ1364/(N_1*AJ$27))*SQRT('Valve Sizing'!$G$6/AJ1368)</f>
        <v>#NUM!</v>
      </c>
      <c r="AK1370" s="41"/>
      <c r="AL1370" s="73"/>
      <c r="AM1370" s="64" t="e">
        <f>(AM1364/(N_1*AM$27))*SQRT('Valve Sizing'!$G$6/AM1368)</f>
        <v>#NUM!</v>
      </c>
      <c r="AN1370" s="41"/>
      <c r="AO1370" s="73"/>
      <c r="AP1370" s="64" t="e">
        <f>(AP1364/(N_1*AP$27))*SQRT('Valve Sizing'!$G$6/AP1368)</f>
        <v>#NUM!</v>
      </c>
      <c r="AQ1370" s="41"/>
      <c r="AR1370" s="73"/>
      <c r="AS1370" s="64" t="e">
        <f>(AS1364/(N_1*AS$27))*SQRT('Valve Sizing'!$G$6/AS1368)</f>
        <v>#NUM!</v>
      </c>
      <c r="AT1370" s="41"/>
      <c r="AU1370" s="73"/>
    </row>
    <row r="1371" spans="15:47" ht="13" x14ac:dyDescent="0.3">
      <c r="O1371" s="1" t="s">
        <v>72</v>
      </c>
      <c r="P1371" s="17">
        <v>7</v>
      </c>
      <c r="Q1371" s="65"/>
      <c r="R1371" s="53">
        <f>(R1364/(N_1*F_P_h))*SQRT('Valve Sizing'!$G$6/R1369)</f>
        <v>1.2847632100711894</v>
      </c>
      <c r="S1371" s="56"/>
      <c r="T1371" s="72"/>
      <c r="U1371" s="85">
        <f>(U1364/(N_1*U$27))*SQRT('Valve Sizing'!$G$6/U1369)</f>
        <v>13.823749964166579</v>
      </c>
      <c r="V1371" s="44"/>
      <c r="W1371" s="72"/>
      <c r="X1371" s="85">
        <f>(X1364/(N_1*X$27))*SQRT('Valve Sizing'!$G$6/X1369)</f>
        <v>34.073911593873738</v>
      </c>
      <c r="Y1371" s="44"/>
      <c r="Z1371" s="72"/>
      <c r="AA1371" s="85">
        <f>(AA1364/(N_1*AA$27))*SQRT('Valve Sizing'!$G$6/AA1369)</f>
        <v>69.936062219203762</v>
      </c>
      <c r="AB1371" s="44"/>
      <c r="AC1371" s="72"/>
      <c r="AD1371" s="85">
        <f>(AD1364/(N_1*AD$27))*SQRT('Valve Sizing'!$G$6/AD1369)</f>
        <v>135.96968116062064</v>
      </c>
      <c r="AE1371" s="44"/>
      <c r="AF1371" s="72"/>
      <c r="AG1371" s="85">
        <f>(AG1364/(N_1*AG$27))*SQRT('Valve Sizing'!$G$6/AG1369)</f>
        <v>317.76435750877516</v>
      </c>
      <c r="AH1371" s="44"/>
      <c r="AI1371" s="72"/>
      <c r="AJ1371" s="85" t="e">
        <f>(AJ1364/(N_1*AJ$27))*SQRT('Valve Sizing'!$G$6/AJ1369)</f>
        <v>#NUM!</v>
      </c>
      <c r="AK1371" s="44"/>
      <c r="AL1371" s="72"/>
      <c r="AM1371" s="85" t="e">
        <f>(AM1364/(N_1*AM$27))*SQRT('Valve Sizing'!$G$6/AM1369)</f>
        <v>#NUM!</v>
      </c>
      <c r="AN1371" s="44"/>
      <c r="AO1371" s="72"/>
      <c r="AP1371" s="85" t="e">
        <f>(AP1364/(N_1*AP$27))*SQRT('Valve Sizing'!$G$6/AP1369)</f>
        <v>#NUM!</v>
      </c>
      <c r="AQ1371" s="44"/>
      <c r="AR1371" s="72"/>
      <c r="AS1371" s="85" t="e">
        <f>(AS1364/(N_1*AS$27))*SQRT('Valve Sizing'!$G$6/AS1369)</f>
        <v>#NUM!</v>
      </c>
      <c r="AT1371" s="44"/>
      <c r="AU1371" s="72"/>
    </row>
    <row r="1372" spans="15:47" x14ac:dyDescent="0.25">
      <c r="O1372" s="1" t="s">
        <v>246</v>
      </c>
      <c r="P1372" s="18"/>
      <c r="Q1372" s="65"/>
      <c r="R1372" s="53">
        <f>IF(R1368&lt;R1369,R1370,R1371)</f>
        <v>1.5469183711823247</v>
      </c>
      <c r="S1372" s="49"/>
      <c r="T1372" s="72"/>
      <c r="U1372" s="64">
        <f>IF(U1368&lt;U1369,U1370,U1371)</f>
        <v>16.690857956537634</v>
      </c>
      <c r="V1372" s="44"/>
      <c r="W1372" s="72"/>
      <c r="X1372" s="64">
        <f>IF(X1368&lt;X1369,X1370,X1371)</f>
        <v>41.27748787744838</v>
      </c>
      <c r="Y1372" s="44"/>
      <c r="Z1372" s="72"/>
      <c r="AA1372" s="64">
        <f>IF(AA1368&lt;AA1369,AA1370,AA1371)</f>
        <v>87.619569139578758</v>
      </c>
      <c r="AB1372" s="44"/>
      <c r="AC1372" s="72"/>
      <c r="AD1372" s="64">
        <f>IF(AD1368&lt;AD1369,AD1370,AD1371)</f>
        <v>210.85945568082775</v>
      </c>
      <c r="AE1372" s="44"/>
      <c r="AF1372" s="72"/>
      <c r="AG1372" s="64" t="e">
        <f>IF(AG1368&lt;AG1369,AG1370,AG1371)</f>
        <v>#NUM!</v>
      </c>
      <c r="AH1372" s="44"/>
      <c r="AI1372" s="72"/>
      <c r="AJ1372" s="64" t="e">
        <f>IF(AJ1368&lt;AJ1369,AJ1370,AJ1371)</f>
        <v>#NUM!</v>
      </c>
      <c r="AK1372" s="44"/>
      <c r="AL1372" s="72"/>
      <c r="AM1372" s="64" t="e">
        <f>IF(AM1368&lt;AM1369,AM1370,AM1371)</f>
        <v>#NUM!</v>
      </c>
      <c r="AN1372" s="44"/>
      <c r="AO1372" s="72"/>
      <c r="AP1372" s="64" t="e">
        <f>IF(AP1368&lt;AP1369,AP1370,AP1371)</f>
        <v>#NUM!</v>
      </c>
      <c r="AQ1372" s="44"/>
      <c r="AR1372" s="72"/>
      <c r="AS1372" s="64" t="e">
        <f>IF(AS1368&lt;AS1369,AS1370,AS1371)</f>
        <v>#NUM!</v>
      </c>
      <c r="AT1372" s="44"/>
      <c r="AU1372" s="72"/>
    </row>
    <row r="1373" spans="15:47" ht="13" x14ac:dyDescent="0.3">
      <c r="O1373" s="7" t="s">
        <v>264</v>
      </c>
      <c r="Q1373" s="61"/>
      <c r="R1373" s="53"/>
      <c r="S1373" s="69">
        <f>IFERROR(ABS(C_h-R1372),Q_max*10)</f>
        <v>3.4530816288176753</v>
      </c>
      <c r="T1373" s="76">
        <f>R1364</f>
        <v>8.7843730359086507</v>
      </c>
      <c r="U1373" s="61"/>
      <c r="V1373" s="69">
        <f>IFERROR(ABS(U$23-U1372),Q_max*10)</f>
        <v>4.6908579565376343</v>
      </c>
      <c r="W1373" s="75">
        <f>U1364</f>
        <v>94.190506404171799</v>
      </c>
      <c r="X1373" s="61"/>
      <c r="Y1373" s="69">
        <f>IFERROR(ABS(X$23-X1372),Q_max*10)</f>
        <v>18.27748787744838</v>
      </c>
      <c r="Z1373" s="75">
        <f>X1364</f>
        <v>226.09347281927472</v>
      </c>
      <c r="AA1373" s="61"/>
      <c r="AB1373" s="69">
        <f>IFERROR(ABS(AA$23-AA1372),Q_max*10)</f>
        <v>48.619569139578758</v>
      </c>
      <c r="AC1373" s="75">
        <f>AA1364</f>
        <v>431.69530019608169</v>
      </c>
      <c r="AD1373" s="61"/>
      <c r="AE1373" s="69">
        <f>IFERROR(ABS(AD$23-AD1372),Q_max*10)</f>
        <v>149.85945568082775</v>
      </c>
      <c r="AF1373" s="75">
        <f>AD1364</f>
        <v>709.97982804292383</v>
      </c>
      <c r="AG1373" s="61"/>
      <c r="AH1373" s="69">
        <f>IFERROR(ABS(AG$23-AG1372),Q_max*10)</f>
        <v>5500</v>
      </c>
      <c r="AI1373" s="75">
        <f>AG1364</f>
        <v>1057.0632175523108</v>
      </c>
      <c r="AJ1373" s="61"/>
      <c r="AK1373" s="69">
        <f>IFERROR(ABS(AJ$23-AJ1372),Q_max*10)</f>
        <v>5500</v>
      </c>
      <c r="AL1373" s="75">
        <f>AJ1364</f>
        <v>1410.6549616001919</v>
      </c>
      <c r="AM1373" s="61"/>
      <c r="AN1373" s="69">
        <f>IFERROR(ABS(AM$23-AM1372),Q_max*10)</f>
        <v>5500</v>
      </c>
      <c r="AO1373" s="75">
        <f>AM1364</f>
        <v>1721.2671339477354</v>
      </c>
      <c r="AP1373" s="61"/>
      <c r="AQ1373" s="69">
        <f>IFERROR(ABS(AP$23-AP1372),Q_max*10)</f>
        <v>5500</v>
      </c>
      <c r="AR1373" s="75">
        <f>AP1364</f>
        <v>1998.3377064120136</v>
      </c>
      <c r="AS1373" s="61"/>
      <c r="AT1373" s="69">
        <f>IFERROR(ABS(AS$23-AS1372),Q_max*10)</f>
        <v>5500</v>
      </c>
      <c r="AU1373" s="75">
        <f>AS1364</f>
        <v>2274.2947157039844</v>
      </c>
    </row>
    <row r="1374" spans="15:47" ht="14.5" x14ac:dyDescent="0.35">
      <c r="O1374" s="6"/>
      <c r="P1374" s="6"/>
      <c r="Q1374" s="60"/>
      <c r="R1374" s="67"/>
      <c r="S1374" s="66"/>
      <c r="T1374" s="74"/>
      <c r="V1374" s="11"/>
      <c r="W1374" s="38"/>
      <c r="Y1374" s="11"/>
      <c r="Z1374" s="38"/>
      <c r="AB1374" s="11"/>
      <c r="AC1374" s="38"/>
      <c r="AE1374" s="11"/>
      <c r="AF1374" s="38"/>
      <c r="AH1374" s="11"/>
      <c r="AI1374" s="38"/>
      <c r="AK1374" s="11"/>
      <c r="AL1374" s="38"/>
      <c r="AN1374" s="11"/>
      <c r="AO1374" s="38"/>
      <c r="AQ1374" s="11"/>
      <c r="AR1374" s="38"/>
      <c r="AT1374" s="11"/>
      <c r="AU1374" s="38"/>
    </row>
    <row r="1375" spans="15:47" ht="14" x14ac:dyDescent="0.3">
      <c r="O1375" s="8" t="s">
        <v>235</v>
      </c>
      <c r="P1375" s="6"/>
      <c r="Q1375" s="60"/>
      <c r="R1375" s="53">
        <f>R1364*1.02</f>
        <v>8.9600604966268236</v>
      </c>
      <c r="S1375" s="58" t="s">
        <v>238</v>
      </c>
      <c r="T1375" s="73" t="s">
        <v>241</v>
      </c>
      <c r="U1375" s="84">
        <f>U1364*1.01</f>
        <v>95.132411468213519</v>
      </c>
      <c r="V1375" s="58" t="s">
        <v>238</v>
      </c>
      <c r="W1375" s="73" t="s">
        <v>241</v>
      </c>
      <c r="X1375" s="84">
        <f>X1364*1.01</f>
        <v>228.35440754746747</v>
      </c>
      <c r="Y1375" s="58" t="s">
        <v>238</v>
      </c>
      <c r="Z1375" s="73" t="s">
        <v>241</v>
      </c>
      <c r="AA1375" s="84">
        <f>AA1364*1.01</f>
        <v>436.01225319804252</v>
      </c>
      <c r="AB1375" s="58" t="s">
        <v>238</v>
      </c>
      <c r="AC1375" s="73" t="s">
        <v>241</v>
      </c>
      <c r="AD1375" s="84">
        <f>AD1364*1.01</f>
        <v>717.07962632335307</v>
      </c>
      <c r="AE1375" s="58" t="s">
        <v>238</v>
      </c>
      <c r="AF1375" s="73" t="s">
        <v>241</v>
      </c>
      <c r="AG1375" s="84">
        <f>AG1364*1.01</f>
        <v>1067.6338497278339</v>
      </c>
      <c r="AH1375" s="58" t="s">
        <v>238</v>
      </c>
      <c r="AI1375" s="73" t="s">
        <v>241</v>
      </c>
      <c r="AJ1375" s="84">
        <f>AJ1364*1.01</f>
        <v>1424.7615112161939</v>
      </c>
      <c r="AK1375" s="58" t="s">
        <v>238</v>
      </c>
      <c r="AL1375" s="73" t="s">
        <v>241</v>
      </c>
      <c r="AM1375" s="84">
        <f>AM1364*1.01</f>
        <v>1738.4798052872127</v>
      </c>
      <c r="AN1375" s="58" t="s">
        <v>238</v>
      </c>
      <c r="AO1375" s="73" t="s">
        <v>241</v>
      </c>
      <c r="AP1375" s="84">
        <f>AP1364*1.01</f>
        <v>2018.3210834761337</v>
      </c>
      <c r="AQ1375" s="58" t="s">
        <v>238</v>
      </c>
      <c r="AR1375" s="73" t="s">
        <v>241</v>
      </c>
      <c r="AS1375" s="84">
        <f>AS1364*1.01</f>
        <v>2297.0376628610243</v>
      </c>
      <c r="AT1375" s="58" t="s">
        <v>238</v>
      </c>
      <c r="AU1375" s="73" t="s">
        <v>241</v>
      </c>
    </row>
    <row r="1376" spans="15:47" ht="13" x14ac:dyDescent="0.25">
      <c r="O1376" s="6"/>
      <c r="P1376" s="6"/>
      <c r="Q1376" s="60"/>
      <c r="R1376" s="70"/>
      <c r="S1376" s="63" t="s">
        <v>250</v>
      </c>
      <c r="T1376" s="71" t="s">
        <v>242</v>
      </c>
      <c r="U1376" s="61"/>
      <c r="V1376" s="63" t="s">
        <v>250</v>
      </c>
      <c r="W1376" s="71" t="s">
        <v>242</v>
      </c>
      <c r="X1376" s="61"/>
      <c r="Y1376" s="63" t="s">
        <v>250</v>
      </c>
      <c r="Z1376" s="71" t="s">
        <v>242</v>
      </c>
      <c r="AA1376" s="61"/>
      <c r="AB1376" s="63" t="s">
        <v>250</v>
      </c>
      <c r="AC1376" s="71" t="s">
        <v>242</v>
      </c>
      <c r="AD1376" s="61"/>
      <c r="AE1376" s="63" t="s">
        <v>250</v>
      </c>
      <c r="AF1376" s="71" t="s">
        <v>242</v>
      </c>
      <c r="AG1376" s="61"/>
      <c r="AH1376" s="63" t="s">
        <v>250</v>
      </c>
      <c r="AI1376" s="71" t="s">
        <v>242</v>
      </c>
      <c r="AJ1376" s="61"/>
      <c r="AK1376" s="63" t="s">
        <v>250</v>
      </c>
      <c r="AL1376" s="71" t="s">
        <v>242</v>
      </c>
      <c r="AM1376" s="61"/>
      <c r="AN1376" s="63" t="s">
        <v>250</v>
      </c>
      <c r="AO1376" s="71" t="s">
        <v>242</v>
      </c>
      <c r="AP1376" s="61"/>
      <c r="AQ1376" s="63" t="s">
        <v>250</v>
      </c>
      <c r="AR1376" s="71" t="s">
        <v>242</v>
      </c>
      <c r="AS1376" s="61"/>
      <c r="AT1376" s="63" t="s">
        <v>250</v>
      </c>
      <c r="AU1376" s="71" t="s">
        <v>242</v>
      </c>
    </row>
    <row r="1377" spans="15:47" ht="13" x14ac:dyDescent="0.3">
      <c r="O1377" s="6" t="s">
        <v>231</v>
      </c>
      <c r="P1377" s="6"/>
      <c r="Q1377" s="60"/>
      <c r="R1377" s="85">
        <f>P_1_minQ-(R1375^2*R_up)+dpup_minQ</f>
        <v>56.913431858017454</v>
      </c>
      <c r="S1377" s="56"/>
      <c r="T1377" s="72"/>
      <c r="U1377" s="53">
        <f>P_1_minQ-(U1375^2*R_up)+dpup_minQ</f>
        <v>56.610497274172324</v>
      </c>
      <c r="V1377" s="44"/>
      <c r="W1377" s="72"/>
      <c r="X1377" s="53">
        <f>P_1_minQ-(X1375^2*R_up)+dpup_minQ</f>
        <v>55.155057904547284</v>
      </c>
      <c r="Y1377" s="44"/>
      <c r="Z1377" s="72"/>
      <c r="AA1377" s="53">
        <f>P_1_minQ-(AA1375^2*R_up)+dpup_minQ</f>
        <v>50.495789093588854</v>
      </c>
      <c r="AB1377" s="44"/>
      <c r="AC1377" s="72"/>
      <c r="AD1377" s="53">
        <f>P_1_minQ-(AD1375^2*R_up)+dpup_minQ</f>
        <v>39.550280631947324</v>
      </c>
      <c r="AE1377" s="44"/>
      <c r="AF1377" s="72"/>
      <c r="AG1377" s="53">
        <f>P_1_minQ-(AG1375^2*R_up)+dpup_minQ</f>
        <v>18.420971391939386</v>
      </c>
      <c r="AH1377" s="44"/>
      <c r="AI1377" s="72"/>
      <c r="AJ1377" s="53">
        <f>P_1_minQ-(AJ1375^2*R_up)+dpup_minQ</f>
        <v>-11.639931234145639</v>
      </c>
      <c r="AK1377" s="44"/>
      <c r="AL1377" s="72"/>
      <c r="AM1377" s="53">
        <f>P_1_minQ-(AM1375^2*R_up)+dpup_minQ</f>
        <v>-45.154509739664483</v>
      </c>
      <c r="AN1377" s="44"/>
      <c r="AO1377" s="72"/>
      <c r="AP1377" s="53">
        <f>P_1_minQ-(AP1375^2*R_up)+dpup_minQ</f>
        <v>-80.659675650262557</v>
      </c>
      <c r="AQ1377" s="44"/>
      <c r="AR1377" s="72"/>
      <c r="AS1377" s="53">
        <f>P_1_minQ-(AS1375^2*R_up)+dpup_minQ</f>
        <v>-121.27980495109887</v>
      </c>
      <c r="AT1377" s="44"/>
      <c r="AU1377" s="72"/>
    </row>
    <row r="1378" spans="15:47" ht="13" x14ac:dyDescent="0.3">
      <c r="O1378" s="6" t="s">
        <v>233</v>
      </c>
      <c r="P1378" s="6"/>
      <c r="Q1378" s="60"/>
      <c r="R1378" s="85">
        <f>P_2_minQ+(R1375^2*R_dn)-dpdn_minQ</f>
        <v>24.657313628396512</v>
      </c>
      <c r="S1378" s="66"/>
      <c r="T1378" s="74"/>
      <c r="U1378" s="53">
        <f>P_2_minQ+(U1375^2*R_dn)-dpdn_minQ</f>
        <v>24.717900545165538</v>
      </c>
      <c r="V1378" s="45"/>
      <c r="W1378" s="74"/>
      <c r="X1378" s="53">
        <f>P_2_minQ+(X1375^2*R_dn)-dpdn_minQ</f>
        <v>25.008988419090546</v>
      </c>
      <c r="Y1378" s="45"/>
      <c r="Z1378" s="74"/>
      <c r="AA1378" s="53">
        <f>P_2_minQ+(AA1375^2*R_dn)-dpdn_minQ</f>
        <v>25.940842181282228</v>
      </c>
      <c r="AB1378" s="45"/>
      <c r="AC1378" s="74"/>
      <c r="AD1378" s="53">
        <f>P_2_minQ+(AD1375^2*R_dn)-dpdn_minQ</f>
        <v>28.129943873610536</v>
      </c>
      <c r="AE1378" s="45"/>
      <c r="AF1378" s="74"/>
      <c r="AG1378" s="53">
        <f>P_2_minQ+(AG1375^2*R_dn)-dpdn_minQ</f>
        <v>32.355805721612128</v>
      </c>
      <c r="AH1378" s="45"/>
      <c r="AI1378" s="74"/>
      <c r="AJ1378" s="53">
        <f>P_2_minQ+(AJ1375^2*R_dn)-dpdn_minQ</f>
        <v>38.367986246829133</v>
      </c>
      <c r="AK1378" s="45"/>
      <c r="AL1378" s="74"/>
      <c r="AM1378" s="53">
        <f>P_2_minQ+(AM1375^2*R_dn)-dpdn_minQ</f>
        <v>45.070901947932896</v>
      </c>
      <c r="AN1378" s="45"/>
      <c r="AO1378" s="74"/>
      <c r="AP1378" s="53">
        <f>P_2_minQ+(AP1375^2*R_dn)-dpdn_minQ</f>
        <v>52.171935130052518</v>
      </c>
      <c r="AQ1378" s="45"/>
      <c r="AR1378" s="74"/>
      <c r="AS1378" s="53">
        <f>P_2_minQ+(AS1375^2*R_dn)-dpdn_minQ</f>
        <v>60.295960990219776</v>
      </c>
      <c r="AT1378" s="45"/>
      <c r="AU1378" s="74"/>
    </row>
    <row r="1379" spans="15:47" x14ac:dyDescent="0.25">
      <c r="O1379" s="6" t="s">
        <v>243</v>
      </c>
      <c r="Q1379" s="60"/>
      <c r="R1379" s="53">
        <f>R1377-R1378</f>
        <v>32.256118229620938</v>
      </c>
      <c r="S1379" s="56"/>
      <c r="T1379" s="72"/>
      <c r="U1379" s="64">
        <f>U1377-U1378</f>
        <v>31.892596729006787</v>
      </c>
      <c r="V1379" s="44"/>
      <c r="W1379" s="72"/>
      <c r="X1379" s="64">
        <f>X1377-X1378</f>
        <v>30.146069485456739</v>
      </c>
      <c r="Y1379" s="44"/>
      <c r="Z1379" s="72"/>
      <c r="AA1379" s="64">
        <f>AA1377-AA1378</f>
        <v>24.554946912306626</v>
      </c>
      <c r="AB1379" s="44"/>
      <c r="AC1379" s="72"/>
      <c r="AD1379" s="64">
        <f>AD1377-AD1378</f>
        <v>11.420336758336788</v>
      </c>
      <c r="AE1379" s="44"/>
      <c r="AF1379" s="72"/>
      <c r="AG1379" s="64">
        <f>AG1377-AG1378</f>
        <v>-13.934834329672743</v>
      </c>
      <c r="AH1379" s="44"/>
      <c r="AI1379" s="72"/>
      <c r="AJ1379" s="64">
        <f>AJ1377-AJ1378</f>
        <v>-50.007917480974768</v>
      </c>
      <c r="AK1379" s="44"/>
      <c r="AL1379" s="72"/>
      <c r="AM1379" s="64">
        <f>AM1377-AM1378</f>
        <v>-90.225411687597386</v>
      </c>
      <c r="AN1379" s="44"/>
      <c r="AO1379" s="72"/>
      <c r="AP1379" s="64">
        <f>AP1377-AP1378</f>
        <v>-132.83161078031509</v>
      </c>
      <c r="AQ1379" s="44"/>
      <c r="AR1379" s="72"/>
      <c r="AS1379" s="64">
        <f>AS1377-AS1378</f>
        <v>-181.57576594131865</v>
      </c>
      <c r="AT1379" s="44"/>
      <c r="AU1379" s="72"/>
    </row>
    <row r="1380" spans="15:47" ht="13" x14ac:dyDescent="0.3">
      <c r="O1380" s="6" t="s">
        <v>75</v>
      </c>
      <c r="P1380" s="6">
        <v>3</v>
      </c>
      <c r="Q1380" s="65"/>
      <c r="R1380" s="85">
        <f>(F_LP_h/F_P_h)^2*(R1377-('Valve Sizing'!$V$4*'Valve Sizing'!$G$7))</f>
        <v>46.762918112488258</v>
      </c>
      <c r="S1380" s="58"/>
      <c r="T1380" s="73"/>
      <c r="U1380" s="53">
        <f>(U$29/U$27)^2*(U1377-('Valve Sizing'!$V$4*'Valve Sizing'!$G$7))</f>
        <v>46.499395106588196</v>
      </c>
      <c r="V1380" s="41"/>
      <c r="W1380" s="73"/>
      <c r="X1380" s="53">
        <f>(X$29/X$27)^2*(X1377-('Valve Sizing'!$V$4*'Valve Sizing'!$G$7))</f>
        <v>44.272837493507126</v>
      </c>
      <c r="Y1380" s="41"/>
      <c r="Z1380" s="73"/>
      <c r="AA1380" s="53">
        <f>(AA$29/AA$27)^2*(AA1377-('Valve Sizing'!$V$4*'Valve Sizing'!$G$7))</f>
        <v>38.682930157762371</v>
      </c>
      <c r="AB1380" s="41"/>
      <c r="AC1380" s="73"/>
      <c r="AD1380" s="53">
        <f>(AD$29/AD$27)^2*(AD1377-('Valve Sizing'!$V$4*'Valve Sizing'!$G$7))</f>
        <v>28.205800292740079</v>
      </c>
      <c r="AE1380" s="41"/>
      <c r="AF1380" s="73"/>
      <c r="AG1380" s="53">
        <f>(AG$29/AG$27)^2*(AG1377-('Valve Sizing'!$V$4*'Valve Sizing'!$G$7))</f>
        <v>11.580498720030171</v>
      </c>
      <c r="AH1380" s="41"/>
      <c r="AI1380" s="73"/>
      <c r="AJ1380" s="53">
        <f>(AJ$29/AJ$27)^2*(AJ1377-('Valve Sizing'!$V$4*'Valve Sizing'!$G$7))</f>
        <v>-6.9866347526927104</v>
      </c>
      <c r="AK1380" s="41"/>
      <c r="AL1380" s="73"/>
      <c r="AM1380" s="53">
        <f>(AM$29/AM$27)^2*(AM1377-('Valve Sizing'!$V$4*'Valve Sizing'!$G$7))</f>
        <v>-21.815730664614257</v>
      </c>
      <c r="AN1380" s="41"/>
      <c r="AO1380" s="73"/>
      <c r="AP1380" s="53">
        <f>(AP$29/AP$27)^2*(AP1377-('Valve Sizing'!$V$4*'Valve Sizing'!$G$7))</f>
        <v>-32.004130459377023</v>
      </c>
      <c r="AQ1380" s="41"/>
      <c r="AR1380" s="73"/>
      <c r="AS1380" s="53">
        <f>(AS$29/AS$27)^2*(AS1377-('Valve Sizing'!$V$4*'Valve Sizing'!$G$7))</f>
        <v>-45.783805784116694</v>
      </c>
      <c r="AT1380" s="41"/>
      <c r="AU1380" s="73"/>
    </row>
    <row r="1381" spans="15:47" ht="13" x14ac:dyDescent="0.25">
      <c r="O1381" s="1" t="s">
        <v>69</v>
      </c>
      <c r="P1381" s="17">
        <v>7</v>
      </c>
      <c r="Q1381" s="65"/>
      <c r="R1381" s="53">
        <f>(R1375/(N_1*F_P_h))*SQRT('Valve Sizing'!$G$6/R1379)</f>
        <v>1.5778598286935615</v>
      </c>
      <c r="S1381" s="58"/>
      <c r="T1381" s="73"/>
      <c r="U1381" s="64">
        <f>(U1375/(N_1*U$27))*SQRT('Valve Sizing'!$G$6/U1379)</f>
        <v>16.8596764276949</v>
      </c>
      <c r="V1381" s="41"/>
      <c r="W1381" s="73"/>
      <c r="X1381" s="64">
        <f>(X1375/(N_1*X$27))*SQRT('Valve Sizing'!$G$6/X1379)</f>
        <v>41.719045950727818</v>
      </c>
      <c r="Y1381" s="41"/>
      <c r="Z1381" s="73"/>
      <c r="AA1381" s="64">
        <f>(AA1375/(N_1*AA$27))*SQRT('Valve Sizing'!$G$6/AA1379)</f>
        <v>88.768899820534557</v>
      </c>
      <c r="AB1381" s="41"/>
      <c r="AC1381" s="73"/>
      <c r="AD1381" s="64">
        <f>(AD1375/(N_1*AD$27))*SQRT('Valve Sizing'!$G$6/AD1379)</f>
        <v>216.76281073761444</v>
      </c>
      <c r="AE1381" s="41"/>
      <c r="AF1381" s="73"/>
      <c r="AG1381" s="64" t="e">
        <f>(AG1375/(N_1*AG$27))*SQRT('Valve Sizing'!$G$6/AG1379)</f>
        <v>#NUM!</v>
      </c>
      <c r="AH1381" s="41"/>
      <c r="AI1381" s="73"/>
      <c r="AJ1381" s="64" t="e">
        <f>(AJ1375/(N_1*AJ$27))*SQRT('Valve Sizing'!$G$6/AJ1379)</f>
        <v>#NUM!</v>
      </c>
      <c r="AK1381" s="41"/>
      <c r="AL1381" s="73"/>
      <c r="AM1381" s="64" t="e">
        <f>(AM1375/(N_1*AM$27))*SQRT('Valve Sizing'!$G$6/AM1379)</f>
        <v>#NUM!</v>
      </c>
      <c r="AN1381" s="41"/>
      <c r="AO1381" s="73"/>
      <c r="AP1381" s="64" t="e">
        <f>(AP1375/(N_1*AP$27))*SQRT('Valve Sizing'!$G$6/AP1379)</f>
        <v>#NUM!</v>
      </c>
      <c r="AQ1381" s="41"/>
      <c r="AR1381" s="73"/>
      <c r="AS1381" s="64" t="e">
        <f>(AS1375/(N_1*AS$27))*SQRT('Valve Sizing'!$G$6/AS1379)</f>
        <v>#NUM!</v>
      </c>
      <c r="AT1381" s="41"/>
      <c r="AU1381" s="73"/>
    </row>
    <row r="1382" spans="15:47" ht="13" x14ac:dyDescent="0.3">
      <c r="O1382" s="1" t="s">
        <v>72</v>
      </c>
      <c r="P1382" s="17">
        <v>7</v>
      </c>
      <c r="Q1382" s="65"/>
      <c r="R1382" s="53">
        <f>(R1375/(N_1*F_P_h))*SQRT('Valve Sizing'!$G$6/R1380)</f>
        <v>1.3104596958298662</v>
      </c>
      <c r="S1382" s="56"/>
      <c r="T1382" s="72"/>
      <c r="U1382" s="85">
        <f>(U1375/(N_1*U$27))*SQRT('Valve Sizing'!$G$6/U1380)</f>
        <v>13.962735925709529</v>
      </c>
      <c r="V1382" s="44"/>
      <c r="W1382" s="72"/>
      <c r="X1382" s="85">
        <f>(X1375/(N_1*X$27))*SQRT('Valve Sizing'!$G$6/X1380)</f>
        <v>34.425561892397909</v>
      </c>
      <c r="Y1382" s="44"/>
      <c r="Z1382" s="72"/>
      <c r="AA1382" s="85">
        <f>(AA1375/(N_1*AA$27))*SQRT('Valve Sizing'!$G$6/AA1380)</f>
        <v>70.724625314172499</v>
      </c>
      <c r="AB1382" s="44"/>
      <c r="AC1382" s="72"/>
      <c r="AD1382" s="85">
        <f>(AD1375/(N_1*AD$27))*SQRT('Valve Sizing'!$G$6/AD1380)</f>
        <v>137.92881839197227</v>
      </c>
      <c r="AE1382" s="44"/>
      <c r="AF1382" s="72"/>
      <c r="AG1382" s="85">
        <f>(AG1375/(N_1*AG$27))*SQRT('Valve Sizing'!$G$6/AG1380)</f>
        <v>327.6413886819642</v>
      </c>
      <c r="AH1382" s="44"/>
      <c r="AI1382" s="72"/>
      <c r="AJ1382" s="85" t="e">
        <f>(AJ1375/(N_1*AJ$27))*SQRT('Valve Sizing'!$G$6/AJ1380)</f>
        <v>#NUM!</v>
      </c>
      <c r="AK1382" s="44"/>
      <c r="AL1382" s="72"/>
      <c r="AM1382" s="85" t="e">
        <f>(AM1375/(N_1*AM$27))*SQRT('Valve Sizing'!$G$6/AM1380)</f>
        <v>#NUM!</v>
      </c>
      <c r="AN1382" s="44"/>
      <c r="AO1382" s="72"/>
      <c r="AP1382" s="85" t="e">
        <f>(AP1375/(N_1*AP$27))*SQRT('Valve Sizing'!$G$6/AP1380)</f>
        <v>#NUM!</v>
      </c>
      <c r="AQ1382" s="44"/>
      <c r="AR1382" s="72"/>
      <c r="AS1382" s="85" t="e">
        <f>(AS1375/(N_1*AS$27))*SQRT('Valve Sizing'!$G$6/AS1380)</f>
        <v>#NUM!</v>
      </c>
      <c r="AT1382" s="44"/>
      <c r="AU1382" s="72"/>
    </row>
    <row r="1383" spans="15:47" x14ac:dyDescent="0.25">
      <c r="O1383" s="1" t="s">
        <v>246</v>
      </c>
      <c r="P1383" s="18"/>
      <c r="Q1383" s="65"/>
      <c r="R1383" s="53">
        <f>IF(R1379&lt;R1380,R1381,R1382)</f>
        <v>1.5778598286935615</v>
      </c>
      <c r="S1383" s="49"/>
      <c r="T1383" s="72"/>
      <c r="U1383" s="64">
        <f>IF(U1379&lt;U1380,U1381,U1382)</f>
        <v>16.8596764276949</v>
      </c>
      <c r="V1383" s="44"/>
      <c r="W1383" s="72"/>
      <c r="X1383" s="64">
        <f>IF(X1379&lt;X1380,X1381,X1382)</f>
        <v>41.719045950727818</v>
      </c>
      <c r="Y1383" s="44"/>
      <c r="Z1383" s="72"/>
      <c r="AA1383" s="64">
        <f>IF(AA1379&lt;AA1380,AA1381,AA1382)</f>
        <v>88.768899820534557</v>
      </c>
      <c r="AB1383" s="44"/>
      <c r="AC1383" s="72"/>
      <c r="AD1383" s="64">
        <f>IF(AD1379&lt;AD1380,AD1381,AD1382)</f>
        <v>216.76281073761444</v>
      </c>
      <c r="AE1383" s="44"/>
      <c r="AF1383" s="72"/>
      <c r="AG1383" s="64" t="e">
        <f>IF(AG1379&lt;AG1380,AG1381,AG1382)</f>
        <v>#NUM!</v>
      </c>
      <c r="AH1383" s="44"/>
      <c r="AI1383" s="72"/>
      <c r="AJ1383" s="64" t="e">
        <f>IF(AJ1379&lt;AJ1380,AJ1381,AJ1382)</f>
        <v>#NUM!</v>
      </c>
      <c r="AK1383" s="44"/>
      <c r="AL1383" s="72"/>
      <c r="AM1383" s="64" t="e">
        <f>IF(AM1379&lt;AM1380,AM1381,AM1382)</f>
        <v>#NUM!</v>
      </c>
      <c r="AN1383" s="44"/>
      <c r="AO1383" s="72"/>
      <c r="AP1383" s="64" t="e">
        <f>IF(AP1379&lt;AP1380,AP1381,AP1382)</f>
        <v>#NUM!</v>
      </c>
      <c r="AQ1383" s="44"/>
      <c r="AR1383" s="72"/>
      <c r="AS1383" s="64" t="e">
        <f>IF(AS1379&lt;AS1380,AS1381,AS1382)</f>
        <v>#NUM!</v>
      </c>
      <c r="AT1383" s="44"/>
      <c r="AU1383" s="72"/>
    </row>
    <row r="1384" spans="15:47" ht="13" x14ac:dyDescent="0.3">
      <c r="O1384" s="7" t="s">
        <v>264</v>
      </c>
      <c r="Q1384" s="61"/>
      <c r="R1384" s="53"/>
      <c r="S1384" s="69">
        <f>IFERROR(ABS(C_h-R1383),Q_max*10)</f>
        <v>3.4221401713064385</v>
      </c>
      <c r="T1384" s="76">
        <f>R1375</f>
        <v>8.9600604966268236</v>
      </c>
      <c r="U1384" s="61"/>
      <c r="V1384" s="69">
        <f>IFERROR(ABS(U$23-U1383),Q_max*10)</f>
        <v>4.8596764276949003</v>
      </c>
      <c r="W1384" s="75">
        <f>U1375</f>
        <v>95.132411468213519</v>
      </c>
      <c r="X1384" s="61"/>
      <c r="Y1384" s="69">
        <f>IFERROR(ABS(X$23-X1383),Q_max*10)</f>
        <v>18.719045950727818</v>
      </c>
      <c r="Z1384" s="75">
        <f>X1375</f>
        <v>228.35440754746747</v>
      </c>
      <c r="AA1384" s="61"/>
      <c r="AB1384" s="69">
        <f>IFERROR(ABS(AA$23-AA1383),Q_max*10)</f>
        <v>49.768899820534557</v>
      </c>
      <c r="AC1384" s="75">
        <f>AA1375</f>
        <v>436.01225319804252</v>
      </c>
      <c r="AD1384" s="61"/>
      <c r="AE1384" s="69">
        <f>IFERROR(ABS(AD$23-AD1383),Q_max*10)</f>
        <v>155.76281073761444</v>
      </c>
      <c r="AF1384" s="75">
        <f>AD1375</f>
        <v>717.07962632335307</v>
      </c>
      <c r="AG1384" s="61"/>
      <c r="AH1384" s="69">
        <f>IFERROR(ABS(AG$23-AG1383),Q_max*10)</f>
        <v>5500</v>
      </c>
      <c r="AI1384" s="75">
        <f>AG1375</f>
        <v>1067.6338497278339</v>
      </c>
      <c r="AJ1384" s="61"/>
      <c r="AK1384" s="69">
        <f>IFERROR(ABS(AJ$23-AJ1383),Q_max*10)</f>
        <v>5500</v>
      </c>
      <c r="AL1384" s="75">
        <f>AJ1375</f>
        <v>1424.7615112161939</v>
      </c>
      <c r="AM1384" s="61"/>
      <c r="AN1384" s="69">
        <f>IFERROR(ABS(AM$23-AM1383),Q_max*10)</f>
        <v>5500</v>
      </c>
      <c r="AO1384" s="75">
        <f>AM1375</f>
        <v>1738.4798052872127</v>
      </c>
      <c r="AP1384" s="61"/>
      <c r="AQ1384" s="69">
        <f>IFERROR(ABS(AP$23-AP1383),Q_max*10)</f>
        <v>5500</v>
      </c>
      <c r="AR1384" s="75">
        <f>AP1375</f>
        <v>2018.3210834761337</v>
      </c>
      <c r="AS1384" s="61"/>
      <c r="AT1384" s="69">
        <f>IFERROR(ABS(AS$23-AS1383),Q_max*10)</f>
        <v>5500</v>
      </c>
      <c r="AU1384" s="75">
        <f>AS1375</f>
        <v>2297.0376628610243</v>
      </c>
    </row>
    <row r="1385" spans="15:47" ht="14.5" x14ac:dyDescent="0.35">
      <c r="O1385" s="6"/>
      <c r="P1385" s="6"/>
      <c r="Q1385" s="60"/>
      <c r="R1385" s="67"/>
      <c r="S1385" s="56"/>
      <c r="T1385" s="72"/>
      <c r="V1385" s="11"/>
      <c r="W1385" s="38"/>
      <c r="Y1385" s="11"/>
      <c r="Z1385" s="38"/>
      <c r="AB1385" s="11"/>
      <c r="AC1385" s="38"/>
      <c r="AE1385" s="11"/>
      <c r="AF1385" s="38"/>
      <c r="AH1385" s="11"/>
      <c r="AI1385" s="38"/>
      <c r="AK1385" s="11"/>
      <c r="AL1385" s="38"/>
      <c r="AN1385" s="11"/>
      <c r="AO1385" s="38"/>
      <c r="AQ1385" s="11"/>
      <c r="AR1385" s="38"/>
      <c r="AT1385" s="11"/>
      <c r="AU1385" s="38"/>
    </row>
    <row r="1386" spans="15:47" ht="14" x14ac:dyDescent="0.3">
      <c r="O1386" s="8" t="s">
        <v>235</v>
      </c>
      <c r="P1386" s="6"/>
      <c r="Q1386" s="60"/>
      <c r="R1386" s="53">
        <f>R1375*1.02</f>
        <v>9.1392617065593598</v>
      </c>
      <c r="S1386" s="58" t="s">
        <v>238</v>
      </c>
      <c r="T1386" s="73" t="s">
        <v>241</v>
      </c>
      <c r="U1386" s="84">
        <f>U1375*1.01</f>
        <v>96.083735582895656</v>
      </c>
      <c r="V1386" s="58" t="s">
        <v>238</v>
      </c>
      <c r="W1386" s="73" t="s">
        <v>241</v>
      </c>
      <c r="X1386" s="84">
        <f>X1375*1.01</f>
        <v>230.63795162294215</v>
      </c>
      <c r="Y1386" s="58" t="s">
        <v>238</v>
      </c>
      <c r="Z1386" s="73" t="s">
        <v>241</v>
      </c>
      <c r="AA1386" s="84">
        <f>AA1375*1.01</f>
        <v>440.37237573002295</v>
      </c>
      <c r="AB1386" s="58" t="s">
        <v>238</v>
      </c>
      <c r="AC1386" s="73" t="s">
        <v>241</v>
      </c>
      <c r="AD1386" s="84">
        <f>AD1375*1.01</f>
        <v>724.25042258658664</v>
      </c>
      <c r="AE1386" s="58" t="s">
        <v>238</v>
      </c>
      <c r="AF1386" s="73" t="s">
        <v>241</v>
      </c>
      <c r="AG1386" s="84">
        <f>AG1375*1.01</f>
        <v>1078.3101882251121</v>
      </c>
      <c r="AH1386" s="58" t="s">
        <v>238</v>
      </c>
      <c r="AI1386" s="73" t="s">
        <v>241</v>
      </c>
      <c r="AJ1386" s="84">
        <f>AJ1375*1.01</f>
        <v>1439.0091263283557</v>
      </c>
      <c r="AK1386" s="58" t="s">
        <v>238</v>
      </c>
      <c r="AL1386" s="73" t="s">
        <v>241</v>
      </c>
      <c r="AM1386" s="84">
        <f>AM1375*1.01</f>
        <v>1755.8646033400848</v>
      </c>
      <c r="AN1386" s="58" t="s">
        <v>238</v>
      </c>
      <c r="AO1386" s="73" t="s">
        <v>241</v>
      </c>
      <c r="AP1386" s="84">
        <f>AP1375*1.01</f>
        <v>2038.5042943108951</v>
      </c>
      <c r="AQ1386" s="58" t="s">
        <v>238</v>
      </c>
      <c r="AR1386" s="73" t="s">
        <v>241</v>
      </c>
      <c r="AS1386" s="84">
        <f>AS1375*1.01</f>
        <v>2320.0080394896345</v>
      </c>
      <c r="AT1386" s="58" t="s">
        <v>238</v>
      </c>
      <c r="AU1386" s="73" t="s">
        <v>241</v>
      </c>
    </row>
    <row r="1387" spans="15:47" ht="13" x14ac:dyDescent="0.25">
      <c r="O1387" s="6"/>
      <c r="P1387" s="6"/>
      <c r="Q1387" s="60"/>
      <c r="R1387" s="70"/>
      <c r="S1387" s="63" t="s">
        <v>250</v>
      </c>
      <c r="T1387" s="71" t="s">
        <v>242</v>
      </c>
      <c r="U1387" s="61"/>
      <c r="V1387" s="63" t="s">
        <v>250</v>
      </c>
      <c r="W1387" s="71" t="s">
        <v>242</v>
      </c>
      <c r="X1387" s="61"/>
      <c r="Y1387" s="63" t="s">
        <v>250</v>
      </c>
      <c r="Z1387" s="71" t="s">
        <v>242</v>
      </c>
      <c r="AA1387" s="61"/>
      <c r="AB1387" s="63" t="s">
        <v>250</v>
      </c>
      <c r="AC1387" s="71" t="s">
        <v>242</v>
      </c>
      <c r="AD1387" s="61"/>
      <c r="AE1387" s="63" t="s">
        <v>250</v>
      </c>
      <c r="AF1387" s="71" t="s">
        <v>242</v>
      </c>
      <c r="AG1387" s="61"/>
      <c r="AH1387" s="63" t="s">
        <v>250</v>
      </c>
      <c r="AI1387" s="71" t="s">
        <v>242</v>
      </c>
      <c r="AJ1387" s="61"/>
      <c r="AK1387" s="63" t="s">
        <v>250</v>
      </c>
      <c r="AL1387" s="71" t="s">
        <v>242</v>
      </c>
      <c r="AM1387" s="61"/>
      <c r="AN1387" s="63" t="s">
        <v>250</v>
      </c>
      <c r="AO1387" s="71" t="s">
        <v>242</v>
      </c>
      <c r="AP1387" s="61"/>
      <c r="AQ1387" s="63" t="s">
        <v>250</v>
      </c>
      <c r="AR1387" s="71" t="s">
        <v>242</v>
      </c>
      <c r="AS1387" s="61"/>
      <c r="AT1387" s="63" t="s">
        <v>250</v>
      </c>
      <c r="AU1387" s="71" t="s">
        <v>242</v>
      </c>
    </row>
    <row r="1388" spans="15:47" ht="13" x14ac:dyDescent="0.3">
      <c r="O1388" s="6" t="s">
        <v>231</v>
      </c>
      <c r="P1388" s="6"/>
      <c r="Q1388" s="60"/>
      <c r="R1388" s="85">
        <f>P_1_minQ-(R1386^2*R_up)+dpup_minQ</f>
        <v>56.913322320008746</v>
      </c>
      <c r="S1388" s="56"/>
      <c r="T1388" s="72"/>
      <c r="U1388" s="53">
        <f>P_1_minQ-(U1386^2*R_up)+dpup_minQ</f>
        <v>56.604353791166368</v>
      </c>
      <c r="V1388" s="44"/>
      <c r="W1388" s="72"/>
      <c r="X1388" s="53">
        <f>P_1_minQ-(X1386^2*R_up)+dpup_minQ</f>
        <v>55.119660090211866</v>
      </c>
      <c r="Y1388" s="44"/>
      <c r="Z1388" s="72"/>
      <c r="AA1388" s="53">
        <f>P_1_minQ-(AA1386^2*R_up)+dpup_minQ</f>
        <v>50.366739976153177</v>
      </c>
      <c r="AB1388" s="44"/>
      <c r="AC1388" s="72"/>
      <c r="AD1388" s="53">
        <f>P_1_minQ-(AD1386^2*R_up)+dpup_minQ</f>
        <v>39.20122679443265</v>
      </c>
      <c r="AE1388" s="44"/>
      <c r="AF1388" s="72"/>
      <c r="AG1388" s="53">
        <f>P_1_minQ-(AG1386^2*R_up)+dpup_minQ</f>
        <v>17.647218438700545</v>
      </c>
      <c r="AH1388" s="44"/>
      <c r="AI1388" s="72"/>
      <c r="AJ1388" s="53">
        <f>P_1_minQ-(AJ1386^2*R_up)+dpup_minQ</f>
        <v>-13.017908330168783</v>
      </c>
      <c r="AK1388" s="44"/>
      <c r="AL1388" s="72"/>
      <c r="AM1388" s="53">
        <f>P_1_minQ-(AM1386^2*R_up)+dpup_minQ</f>
        <v>-47.206129863648549</v>
      </c>
      <c r="AN1388" s="44"/>
      <c r="AO1388" s="72"/>
      <c r="AP1388" s="53">
        <f>P_1_minQ-(AP1386^2*R_up)+dpup_minQ</f>
        <v>-83.424949609049662</v>
      </c>
      <c r="AQ1388" s="44"/>
      <c r="AR1388" s="72"/>
      <c r="AS1388" s="53">
        <f>P_1_minQ-(AS1386^2*R_up)+dpup_minQ</f>
        <v>-124.86154350883274</v>
      </c>
      <c r="AT1388" s="44"/>
      <c r="AU1388" s="72"/>
    </row>
    <row r="1389" spans="15:47" ht="13" x14ac:dyDescent="0.3">
      <c r="O1389" s="6" t="s">
        <v>233</v>
      </c>
      <c r="P1389" s="6"/>
      <c r="Q1389" s="60"/>
      <c r="R1389" s="85">
        <f>P_2_minQ+(R1386^2*R_dn)-dpdn_minQ</f>
        <v>24.65733553599825</v>
      </c>
      <c r="S1389" s="66"/>
      <c r="T1389" s="74"/>
      <c r="U1389" s="53">
        <f>P_2_minQ+(U1386^2*R_dn)-dpdn_minQ</f>
        <v>24.719129241766726</v>
      </c>
      <c r="V1389" s="45"/>
      <c r="W1389" s="74"/>
      <c r="X1389" s="53">
        <f>P_2_minQ+(X1386^2*R_dn)-dpdn_minQ</f>
        <v>25.016067981957629</v>
      </c>
      <c r="Y1389" s="45"/>
      <c r="Z1389" s="74"/>
      <c r="AA1389" s="53">
        <f>P_2_minQ+(AA1386^2*R_dn)-dpdn_minQ</f>
        <v>25.966652004769365</v>
      </c>
      <c r="AB1389" s="45"/>
      <c r="AC1389" s="74"/>
      <c r="AD1389" s="53">
        <f>P_2_minQ+(AD1386^2*R_dn)-dpdn_minQ</f>
        <v>28.199754641113472</v>
      </c>
      <c r="AE1389" s="45"/>
      <c r="AF1389" s="74"/>
      <c r="AG1389" s="53">
        <f>P_2_minQ+(AG1386^2*R_dn)-dpdn_minQ</f>
        <v>32.510556312259894</v>
      </c>
      <c r="AH1389" s="45"/>
      <c r="AI1389" s="74"/>
      <c r="AJ1389" s="53">
        <f>P_2_minQ+(AJ1386^2*R_dn)-dpdn_minQ</f>
        <v>38.643581666033761</v>
      </c>
      <c r="AK1389" s="45"/>
      <c r="AL1389" s="74"/>
      <c r="AM1389" s="53">
        <f>P_2_minQ+(AM1386^2*R_dn)-dpdn_minQ</f>
        <v>45.481225972729717</v>
      </c>
      <c r="AN1389" s="45"/>
      <c r="AO1389" s="74"/>
      <c r="AP1389" s="53">
        <f>P_2_minQ+(AP1386^2*R_dn)-dpdn_minQ</f>
        <v>52.724989921809936</v>
      </c>
      <c r="AQ1389" s="45"/>
      <c r="AR1389" s="74"/>
      <c r="AS1389" s="53">
        <f>P_2_minQ+(AS1386^2*R_dn)-dpdn_minQ</f>
        <v>61.01230870176655</v>
      </c>
      <c r="AT1389" s="45"/>
      <c r="AU1389" s="74"/>
    </row>
    <row r="1390" spans="15:47" x14ac:dyDescent="0.25">
      <c r="O1390" s="6" t="s">
        <v>243</v>
      </c>
      <c r="Q1390" s="60"/>
      <c r="R1390" s="53">
        <f>R1388-R1389</f>
        <v>32.255986784010496</v>
      </c>
      <c r="S1390" s="56"/>
      <c r="T1390" s="72"/>
      <c r="U1390" s="64">
        <f>U1388-U1389</f>
        <v>31.885224549399641</v>
      </c>
      <c r="V1390" s="44"/>
      <c r="W1390" s="72"/>
      <c r="X1390" s="64">
        <f>X1388-X1389</f>
        <v>30.103592108254237</v>
      </c>
      <c r="Y1390" s="44"/>
      <c r="Z1390" s="72"/>
      <c r="AA1390" s="64">
        <f>AA1388-AA1389</f>
        <v>24.400087971383812</v>
      </c>
      <c r="AB1390" s="44"/>
      <c r="AC1390" s="72"/>
      <c r="AD1390" s="64">
        <f>AD1388-AD1389</f>
        <v>11.001472153319177</v>
      </c>
      <c r="AE1390" s="44"/>
      <c r="AF1390" s="72"/>
      <c r="AG1390" s="64">
        <f>AG1388-AG1389</f>
        <v>-14.863337873559349</v>
      </c>
      <c r="AH1390" s="44"/>
      <c r="AI1390" s="72"/>
      <c r="AJ1390" s="64">
        <f>AJ1388-AJ1389</f>
        <v>-51.661489996202548</v>
      </c>
      <c r="AK1390" s="44"/>
      <c r="AL1390" s="72"/>
      <c r="AM1390" s="64">
        <f>AM1388-AM1389</f>
        <v>-92.687355836378259</v>
      </c>
      <c r="AN1390" s="44"/>
      <c r="AO1390" s="72"/>
      <c r="AP1390" s="64">
        <f>AP1388-AP1389</f>
        <v>-136.1499395308596</v>
      </c>
      <c r="AQ1390" s="44"/>
      <c r="AR1390" s="72"/>
      <c r="AS1390" s="64">
        <f>AS1388-AS1389</f>
        <v>-185.8738522105993</v>
      </c>
      <c r="AT1390" s="44"/>
      <c r="AU1390" s="72"/>
    </row>
    <row r="1391" spans="15:47" ht="13" x14ac:dyDescent="0.3">
      <c r="O1391" s="6" t="s">
        <v>75</v>
      </c>
      <c r="P1391" s="6">
        <v>3</v>
      </c>
      <c r="Q1391" s="65"/>
      <c r="R1391" s="85">
        <f>(F_LP_h/F_P_h)^2*(R1388-('Valve Sizing'!$V$4*'Valve Sizing'!$G$7))</f>
        <v>46.762827409267402</v>
      </c>
      <c r="S1391" s="58"/>
      <c r="T1391" s="73"/>
      <c r="U1391" s="53">
        <f>(U$29/U$27)^2*(U1388-('Valve Sizing'!$V$4*'Valve Sizing'!$G$7))</f>
        <v>46.494309366728721</v>
      </c>
      <c r="V1391" s="41"/>
      <c r="W1391" s="73"/>
      <c r="X1391" s="53">
        <f>(X$29/X$27)^2*(X1388-('Valve Sizing'!$V$4*'Valve Sizing'!$G$7))</f>
        <v>44.244195225848358</v>
      </c>
      <c r="Y1391" s="41"/>
      <c r="Z1391" s="73"/>
      <c r="AA1391" s="53">
        <f>(AA$29/AA$27)^2*(AA1388-('Valve Sizing'!$V$4*'Valve Sizing'!$G$7))</f>
        <v>38.583201358389978</v>
      </c>
      <c r="AB1391" s="41"/>
      <c r="AC1391" s="73"/>
      <c r="AD1391" s="53">
        <f>(AD$29/AD$27)^2*(AD1388-('Valve Sizing'!$V$4*'Valve Sizing'!$G$7))</f>
        <v>27.954067060698147</v>
      </c>
      <c r="AE1391" s="41"/>
      <c r="AF1391" s="73"/>
      <c r="AG1391" s="53">
        <f>(AG$29/AG$27)^2*(AG1388-('Valve Sizing'!$V$4*'Valve Sizing'!$G$7))</f>
        <v>11.082167810786636</v>
      </c>
      <c r="AH1391" s="41"/>
      <c r="AI1391" s="73"/>
      <c r="AJ1391" s="53">
        <f>(AJ$29/AJ$27)^2*(AJ1388-('Valve Sizing'!$V$4*'Valve Sizing'!$G$7))</f>
        <v>-7.7836075599288899</v>
      </c>
      <c r="AK1391" s="41"/>
      <c r="AL1391" s="73"/>
      <c r="AM1391" s="53">
        <f>(AM$29/AM$27)^2*(AM1388-('Valve Sizing'!$V$4*'Valve Sizing'!$G$7))</f>
        <v>-22.797373754893314</v>
      </c>
      <c r="AN1391" s="41"/>
      <c r="AO1391" s="73"/>
      <c r="AP1391" s="53">
        <f>(AP$29/AP$27)^2*(AP1388-('Valve Sizing'!$V$4*'Valve Sizing'!$G$7))</f>
        <v>-33.095381748509979</v>
      </c>
      <c r="AQ1391" s="41"/>
      <c r="AR1391" s="73"/>
      <c r="AS1391" s="53">
        <f>(AS$29/AS$27)^2*(AS1388-('Valve Sizing'!$V$4*'Valve Sizing'!$G$7))</f>
        <v>-47.131043769494987</v>
      </c>
      <c r="AT1391" s="41"/>
      <c r="AU1391" s="73"/>
    </row>
    <row r="1392" spans="15:47" ht="13" x14ac:dyDescent="0.25">
      <c r="O1392" s="1" t="s">
        <v>69</v>
      </c>
      <c r="P1392" s="17">
        <v>7</v>
      </c>
      <c r="Q1392" s="65"/>
      <c r="R1392" s="53">
        <f>(R1386/(N_1*F_P_h))*SQRT('Valve Sizing'!$G$6/R1390)</f>
        <v>1.6094203045127591</v>
      </c>
      <c r="S1392" s="58"/>
      <c r="T1392" s="73"/>
      <c r="U1392" s="64">
        <f>(U1386/(N_1*U$27))*SQRT('Valve Sizing'!$G$6/U1390)</f>
        <v>17.030241630876098</v>
      </c>
      <c r="V1392" s="41"/>
      <c r="W1392" s="73"/>
      <c r="X1392" s="64">
        <f>(X1386/(N_1*X$27))*SQRT('Valve Sizing'!$G$6/X1390)</f>
        <v>42.165953891518022</v>
      </c>
      <c r="Y1392" s="41"/>
      <c r="Z1392" s="73"/>
      <c r="AA1392" s="64">
        <f>(AA1386/(N_1*AA$27))*SQRT('Valve Sizing'!$G$6/AA1390)</f>
        <v>89.940648544284159</v>
      </c>
      <c r="AB1392" s="41"/>
      <c r="AC1392" s="73"/>
      <c r="AD1392" s="64">
        <f>(AD1386/(N_1*AD$27))*SQRT('Valve Sizing'!$G$6/AD1390)</f>
        <v>223.05923113583867</v>
      </c>
      <c r="AE1392" s="41"/>
      <c r="AF1392" s="73"/>
      <c r="AG1392" s="64" t="e">
        <f>(AG1386/(N_1*AG$27))*SQRT('Valve Sizing'!$G$6/AG1390)</f>
        <v>#NUM!</v>
      </c>
      <c r="AH1392" s="41"/>
      <c r="AI1392" s="73"/>
      <c r="AJ1392" s="64" t="e">
        <f>(AJ1386/(N_1*AJ$27))*SQRT('Valve Sizing'!$G$6/AJ1390)</f>
        <v>#NUM!</v>
      </c>
      <c r="AK1392" s="41"/>
      <c r="AL1392" s="73"/>
      <c r="AM1392" s="64" t="e">
        <f>(AM1386/(N_1*AM$27))*SQRT('Valve Sizing'!$G$6/AM1390)</f>
        <v>#NUM!</v>
      </c>
      <c r="AN1392" s="41"/>
      <c r="AO1392" s="73"/>
      <c r="AP1392" s="64" t="e">
        <f>(AP1386/(N_1*AP$27))*SQRT('Valve Sizing'!$G$6/AP1390)</f>
        <v>#NUM!</v>
      </c>
      <c r="AQ1392" s="41"/>
      <c r="AR1392" s="73"/>
      <c r="AS1392" s="64" t="e">
        <f>(AS1386/(N_1*AS$27))*SQRT('Valve Sizing'!$G$6/AS1390)</f>
        <v>#NUM!</v>
      </c>
      <c r="AT1392" s="41"/>
      <c r="AU1392" s="73"/>
    </row>
    <row r="1393" spans="15:47" ht="13" x14ac:dyDescent="0.3">
      <c r="O1393" s="1" t="s">
        <v>72</v>
      </c>
      <c r="P1393" s="17">
        <v>7</v>
      </c>
      <c r="Q1393" s="65"/>
      <c r="R1393" s="53">
        <f>(R1386/(N_1*F_P_h))*SQRT('Valve Sizing'!$G$6/R1391)</f>
        <v>1.3366701860764916</v>
      </c>
      <c r="S1393" s="56"/>
      <c r="T1393" s="72"/>
      <c r="U1393" s="85">
        <f>(U1386/(N_1*U$27))*SQRT('Valve Sizing'!$G$6/U1391)</f>
        <v>14.10313455128794</v>
      </c>
      <c r="V1393" s="44"/>
      <c r="W1393" s="72"/>
      <c r="X1393" s="85">
        <f>(X1386/(N_1*X$27))*SQRT('Valve Sizing'!$G$6/X1391)</f>
        <v>34.781070120737326</v>
      </c>
      <c r="Y1393" s="44"/>
      <c r="Z1393" s="72"/>
      <c r="AA1393" s="85">
        <f>(AA1386/(N_1*AA$27))*SQRT('Valve Sizing'!$G$6/AA1391)</f>
        <v>71.524129559357405</v>
      </c>
      <c r="AB1393" s="44"/>
      <c r="AC1393" s="72"/>
      <c r="AD1393" s="85">
        <f>(AD1386/(N_1*AD$27))*SQRT('Valve Sizing'!$G$6/AD1391)</f>
        <v>139.9339525980439</v>
      </c>
      <c r="AE1393" s="44"/>
      <c r="AF1393" s="72"/>
      <c r="AG1393" s="85">
        <f>(AG1386/(N_1*AG$27))*SQRT('Valve Sizing'!$G$6/AG1391)</f>
        <v>338.27616792405018</v>
      </c>
      <c r="AH1393" s="44"/>
      <c r="AI1393" s="72"/>
      <c r="AJ1393" s="85" t="e">
        <f>(AJ1386/(N_1*AJ$27))*SQRT('Valve Sizing'!$G$6/AJ1391)</f>
        <v>#NUM!</v>
      </c>
      <c r="AK1393" s="44"/>
      <c r="AL1393" s="72"/>
      <c r="AM1393" s="85" t="e">
        <f>(AM1386/(N_1*AM$27))*SQRT('Valve Sizing'!$G$6/AM1391)</f>
        <v>#NUM!</v>
      </c>
      <c r="AN1393" s="44"/>
      <c r="AO1393" s="72"/>
      <c r="AP1393" s="85" t="e">
        <f>(AP1386/(N_1*AP$27))*SQRT('Valve Sizing'!$G$6/AP1391)</f>
        <v>#NUM!</v>
      </c>
      <c r="AQ1393" s="44"/>
      <c r="AR1393" s="72"/>
      <c r="AS1393" s="85" t="e">
        <f>(AS1386/(N_1*AS$27))*SQRT('Valve Sizing'!$G$6/AS1391)</f>
        <v>#NUM!</v>
      </c>
      <c r="AT1393" s="44"/>
      <c r="AU1393" s="72"/>
    </row>
    <row r="1394" spans="15:47" x14ac:dyDescent="0.25">
      <c r="O1394" s="1" t="s">
        <v>246</v>
      </c>
      <c r="P1394" s="18"/>
      <c r="Q1394" s="65"/>
      <c r="R1394" s="53">
        <f>IF(R1390&lt;R1391,R1392,R1393)</f>
        <v>1.6094203045127591</v>
      </c>
      <c r="S1394" s="49"/>
      <c r="T1394" s="72"/>
      <c r="U1394" s="64">
        <f>IF(U1390&lt;U1391,U1392,U1393)</f>
        <v>17.030241630876098</v>
      </c>
      <c r="V1394" s="44"/>
      <c r="W1394" s="72"/>
      <c r="X1394" s="64">
        <f>IF(X1390&lt;X1391,X1392,X1393)</f>
        <v>42.165953891518022</v>
      </c>
      <c r="Y1394" s="44"/>
      <c r="Z1394" s="72"/>
      <c r="AA1394" s="64">
        <f>IF(AA1390&lt;AA1391,AA1392,AA1393)</f>
        <v>89.940648544284159</v>
      </c>
      <c r="AB1394" s="44"/>
      <c r="AC1394" s="72"/>
      <c r="AD1394" s="64">
        <f>IF(AD1390&lt;AD1391,AD1392,AD1393)</f>
        <v>223.05923113583867</v>
      </c>
      <c r="AE1394" s="44"/>
      <c r="AF1394" s="72"/>
      <c r="AG1394" s="64" t="e">
        <f>IF(AG1390&lt;AG1391,AG1392,AG1393)</f>
        <v>#NUM!</v>
      </c>
      <c r="AH1394" s="44"/>
      <c r="AI1394" s="72"/>
      <c r="AJ1394" s="64" t="e">
        <f>IF(AJ1390&lt;AJ1391,AJ1392,AJ1393)</f>
        <v>#NUM!</v>
      </c>
      <c r="AK1394" s="44"/>
      <c r="AL1394" s="72"/>
      <c r="AM1394" s="64" t="e">
        <f>IF(AM1390&lt;AM1391,AM1392,AM1393)</f>
        <v>#NUM!</v>
      </c>
      <c r="AN1394" s="44"/>
      <c r="AO1394" s="72"/>
      <c r="AP1394" s="64" t="e">
        <f>IF(AP1390&lt;AP1391,AP1392,AP1393)</f>
        <v>#NUM!</v>
      </c>
      <c r="AQ1394" s="44"/>
      <c r="AR1394" s="72"/>
      <c r="AS1394" s="64" t="e">
        <f>IF(AS1390&lt;AS1391,AS1392,AS1393)</f>
        <v>#NUM!</v>
      </c>
      <c r="AT1394" s="44"/>
      <c r="AU1394" s="72"/>
    </row>
    <row r="1395" spans="15:47" ht="13" x14ac:dyDescent="0.3">
      <c r="O1395" s="7" t="s">
        <v>264</v>
      </c>
      <c r="Q1395" s="61"/>
      <c r="R1395" s="53"/>
      <c r="S1395" s="69">
        <f>IFERROR(ABS(C_h-R1394),Q_max*10)</f>
        <v>3.3905796954872409</v>
      </c>
      <c r="T1395" s="76">
        <f>R1386</f>
        <v>9.1392617065593598</v>
      </c>
      <c r="U1395" s="61"/>
      <c r="V1395" s="69">
        <f>IFERROR(ABS(U$23-U1394),Q_max*10)</f>
        <v>5.0302416308760982</v>
      </c>
      <c r="W1395" s="75">
        <f>U1386</f>
        <v>96.083735582895656</v>
      </c>
      <c r="X1395" s="61"/>
      <c r="Y1395" s="69">
        <f>IFERROR(ABS(X$23-X1394),Q_max*10)</f>
        <v>19.165953891518022</v>
      </c>
      <c r="Z1395" s="75">
        <f>X1386</f>
        <v>230.63795162294215</v>
      </c>
      <c r="AA1395" s="61"/>
      <c r="AB1395" s="69">
        <f>IFERROR(ABS(AA$23-AA1394),Q_max*10)</f>
        <v>50.940648544284159</v>
      </c>
      <c r="AC1395" s="75">
        <f>AA1386</f>
        <v>440.37237573002295</v>
      </c>
      <c r="AD1395" s="61"/>
      <c r="AE1395" s="69">
        <f>IFERROR(ABS(AD$23-AD1394),Q_max*10)</f>
        <v>162.05923113583867</v>
      </c>
      <c r="AF1395" s="75">
        <f>AD1386</f>
        <v>724.25042258658664</v>
      </c>
      <c r="AG1395" s="61"/>
      <c r="AH1395" s="69">
        <f>IFERROR(ABS(AG$23-AG1394),Q_max*10)</f>
        <v>5500</v>
      </c>
      <c r="AI1395" s="75">
        <f>AG1386</f>
        <v>1078.3101882251121</v>
      </c>
      <c r="AJ1395" s="61"/>
      <c r="AK1395" s="69">
        <f>IFERROR(ABS(AJ$23-AJ1394),Q_max*10)</f>
        <v>5500</v>
      </c>
      <c r="AL1395" s="75">
        <f>AJ1386</f>
        <v>1439.0091263283557</v>
      </c>
      <c r="AM1395" s="61"/>
      <c r="AN1395" s="69">
        <f>IFERROR(ABS(AM$23-AM1394),Q_max*10)</f>
        <v>5500</v>
      </c>
      <c r="AO1395" s="75">
        <f>AM1386</f>
        <v>1755.8646033400848</v>
      </c>
      <c r="AP1395" s="61"/>
      <c r="AQ1395" s="69">
        <f>IFERROR(ABS(AP$23-AP1394),Q_max*10)</f>
        <v>5500</v>
      </c>
      <c r="AR1395" s="75">
        <f>AP1386</f>
        <v>2038.5042943108951</v>
      </c>
      <c r="AS1395" s="61"/>
      <c r="AT1395" s="69">
        <f>IFERROR(ABS(AS$23-AS1394),Q_max*10)</f>
        <v>5500</v>
      </c>
      <c r="AU1395" s="75">
        <f>AS1386</f>
        <v>2320.0080394896345</v>
      </c>
    </row>
    <row r="1396" spans="15:47" ht="14.5" x14ac:dyDescent="0.35">
      <c r="O1396" s="8"/>
      <c r="P1396" s="6"/>
      <c r="Q1396" s="60"/>
      <c r="R1396" s="67"/>
      <c r="S1396" s="58"/>
      <c r="T1396" s="73"/>
      <c r="V1396" s="11"/>
      <c r="W1396" s="38"/>
      <c r="Y1396" s="11"/>
      <c r="Z1396" s="38"/>
      <c r="AB1396" s="11"/>
      <c r="AC1396" s="38"/>
      <c r="AE1396" s="11"/>
      <c r="AF1396" s="38"/>
      <c r="AH1396" s="11"/>
      <c r="AI1396" s="38"/>
      <c r="AK1396" s="11"/>
      <c r="AL1396" s="38"/>
      <c r="AN1396" s="11"/>
      <c r="AO1396" s="38"/>
      <c r="AQ1396" s="11"/>
      <c r="AR1396" s="38"/>
      <c r="AT1396" s="11"/>
      <c r="AU1396" s="38"/>
    </row>
    <row r="1397" spans="15:47" ht="14" x14ac:dyDescent="0.3">
      <c r="O1397" s="8" t="s">
        <v>235</v>
      </c>
      <c r="P1397" s="6"/>
      <c r="Q1397" s="60"/>
      <c r="R1397" s="53">
        <f>R1386*1.02</f>
        <v>9.322046940690548</v>
      </c>
      <c r="S1397" s="58" t="s">
        <v>238</v>
      </c>
      <c r="T1397" s="73" t="s">
        <v>241</v>
      </c>
      <c r="U1397" s="84">
        <f>U1386*1.01</f>
        <v>97.044572938724613</v>
      </c>
      <c r="V1397" s="58" t="s">
        <v>238</v>
      </c>
      <c r="W1397" s="73" t="s">
        <v>241</v>
      </c>
      <c r="X1397" s="84">
        <f>X1386*1.01</f>
        <v>232.94433113917157</v>
      </c>
      <c r="Y1397" s="58" t="s">
        <v>238</v>
      </c>
      <c r="Z1397" s="73" t="s">
        <v>241</v>
      </c>
      <c r="AA1397" s="84">
        <f>AA1386*1.01</f>
        <v>444.77609948732317</v>
      </c>
      <c r="AB1397" s="58" t="s">
        <v>238</v>
      </c>
      <c r="AC1397" s="73" t="s">
        <v>241</v>
      </c>
      <c r="AD1397" s="84">
        <f>AD1386*1.01</f>
        <v>731.49292681245254</v>
      </c>
      <c r="AE1397" s="58" t="s">
        <v>238</v>
      </c>
      <c r="AF1397" s="73" t="s">
        <v>241</v>
      </c>
      <c r="AG1397" s="84">
        <f>AG1386*1.01</f>
        <v>1089.0932901073634</v>
      </c>
      <c r="AH1397" s="58" t="s">
        <v>238</v>
      </c>
      <c r="AI1397" s="73" t="s">
        <v>241</v>
      </c>
      <c r="AJ1397" s="84">
        <f>AJ1386*1.01</f>
        <v>1453.3992175916392</v>
      </c>
      <c r="AK1397" s="58" t="s">
        <v>238</v>
      </c>
      <c r="AL1397" s="73" t="s">
        <v>241</v>
      </c>
      <c r="AM1397" s="84">
        <f>AM1386*1.01</f>
        <v>1773.4232493734858</v>
      </c>
      <c r="AN1397" s="58" t="s">
        <v>238</v>
      </c>
      <c r="AO1397" s="73" t="s">
        <v>241</v>
      </c>
      <c r="AP1397" s="84">
        <f>AP1386*1.01</f>
        <v>2058.8893372540042</v>
      </c>
      <c r="AQ1397" s="58" t="s">
        <v>238</v>
      </c>
      <c r="AR1397" s="73" t="s">
        <v>241</v>
      </c>
      <c r="AS1397" s="84">
        <f>AS1386*1.01</f>
        <v>2343.2081198845308</v>
      </c>
      <c r="AT1397" s="58" t="s">
        <v>238</v>
      </c>
      <c r="AU1397" s="73" t="s">
        <v>241</v>
      </c>
    </row>
    <row r="1398" spans="15:47" ht="13" x14ac:dyDescent="0.25">
      <c r="O1398" s="6"/>
      <c r="P1398" s="6"/>
      <c r="Q1398" s="60"/>
      <c r="R1398" s="70"/>
      <c r="S1398" s="63" t="s">
        <v>250</v>
      </c>
      <c r="T1398" s="71" t="s">
        <v>242</v>
      </c>
      <c r="U1398" s="61"/>
      <c r="V1398" s="63" t="s">
        <v>250</v>
      </c>
      <c r="W1398" s="71" t="s">
        <v>242</v>
      </c>
      <c r="X1398" s="61"/>
      <c r="Y1398" s="63" t="s">
        <v>250</v>
      </c>
      <c r="Z1398" s="71" t="s">
        <v>242</v>
      </c>
      <c r="AA1398" s="61"/>
      <c r="AB1398" s="63" t="s">
        <v>250</v>
      </c>
      <c r="AC1398" s="71" t="s">
        <v>242</v>
      </c>
      <c r="AD1398" s="61"/>
      <c r="AE1398" s="63" t="s">
        <v>250</v>
      </c>
      <c r="AF1398" s="71" t="s">
        <v>242</v>
      </c>
      <c r="AG1398" s="61"/>
      <c r="AH1398" s="63" t="s">
        <v>250</v>
      </c>
      <c r="AI1398" s="71" t="s">
        <v>242</v>
      </c>
      <c r="AJ1398" s="61"/>
      <c r="AK1398" s="63" t="s">
        <v>250</v>
      </c>
      <c r="AL1398" s="71" t="s">
        <v>242</v>
      </c>
      <c r="AM1398" s="61"/>
      <c r="AN1398" s="63" t="s">
        <v>250</v>
      </c>
      <c r="AO1398" s="71" t="s">
        <v>242</v>
      </c>
      <c r="AP1398" s="61"/>
      <c r="AQ1398" s="63" t="s">
        <v>250</v>
      </c>
      <c r="AR1398" s="71" t="s">
        <v>242</v>
      </c>
      <c r="AS1398" s="61"/>
      <c r="AT1398" s="63" t="s">
        <v>250</v>
      </c>
      <c r="AU1398" s="71" t="s">
        <v>242</v>
      </c>
    </row>
    <row r="1399" spans="15:47" ht="13" x14ac:dyDescent="0.3">
      <c r="O1399" s="6" t="s">
        <v>231</v>
      </c>
      <c r="P1399" s="6"/>
      <c r="Q1399" s="60"/>
      <c r="R1399" s="85">
        <f>P_1_minQ-(R1397^2*R_up)+dpup_minQ</f>
        <v>56.913208356664491</v>
      </c>
      <c r="S1399" s="56"/>
      <c r="T1399" s="72"/>
      <c r="U1399" s="53">
        <f>P_1_minQ-(U1397^2*R_up)+dpup_minQ</f>
        <v>56.598086824151991</v>
      </c>
      <c r="V1399" s="44"/>
      <c r="W1399" s="72"/>
      <c r="X1399" s="53">
        <f>P_1_minQ-(X1397^2*R_up)+dpup_minQ</f>
        <v>55.083550779808306</v>
      </c>
      <c r="Y1399" s="44"/>
      <c r="Z1399" s="72"/>
      <c r="AA1399" s="53">
        <f>P_1_minQ-(AA1397^2*R_up)+dpup_minQ</f>
        <v>50.235096971457033</v>
      </c>
      <c r="AB1399" s="44"/>
      <c r="AC1399" s="72"/>
      <c r="AD1399" s="53">
        <f>P_1_minQ-(AD1397^2*R_up)+dpup_minQ</f>
        <v>38.845156974783926</v>
      </c>
      <c r="AE1399" s="44"/>
      <c r="AF1399" s="72"/>
      <c r="AG1399" s="53">
        <f>P_1_minQ-(AG1397^2*R_up)+dpup_minQ</f>
        <v>16.857913051101601</v>
      </c>
      <c r="AH1399" s="44"/>
      <c r="AI1399" s="72"/>
      <c r="AJ1399" s="53">
        <f>P_1_minQ-(AJ1397^2*R_up)+dpup_minQ</f>
        <v>-14.42358276582198</v>
      </c>
      <c r="AK1399" s="44"/>
      <c r="AL1399" s="72"/>
      <c r="AM1399" s="53">
        <f>P_1_minQ-(AM1397^2*R_up)+dpup_minQ</f>
        <v>-49.298987552124721</v>
      </c>
      <c r="AN1399" s="44"/>
      <c r="AO1399" s="72"/>
      <c r="AP1399" s="53">
        <f>P_1_minQ-(AP1397^2*R_up)+dpup_minQ</f>
        <v>-86.245805574408422</v>
      </c>
      <c r="AQ1399" s="44"/>
      <c r="AR1399" s="72"/>
      <c r="AS1399" s="53">
        <f>P_1_minQ-(AS1397^2*R_up)+dpup_minQ</f>
        <v>-128.51527501157713</v>
      </c>
      <c r="AT1399" s="44"/>
      <c r="AU1399" s="72"/>
    </row>
    <row r="1400" spans="15:47" ht="13" x14ac:dyDescent="0.3">
      <c r="O1400" s="6" t="s">
        <v>233</v>
      </c>
      <c r="P1400" s="6"/>
      <c r="Q1400" s="60"/>
      <c r="R1400" s="85">
        <f>P_2_minQ+(R1397^2*R_dn)-dpdn_minQ</f>
        <v>24.657358328667105</v>
      </c>
      <c r="S1400" s="66"/>
      <c r="T1400" s="74"/>
      <c r="U1400" s="53">
        <f>P_2_minQ+(U1397^2*R_dn)-dpdn_minQ</f>
        <v>24.720382635169603</v>
      </c>
      <c r="V1400" s="45"/>
      <c r="W1400" s="74"/>
      <c r="X1400" s="53">
        <f>P_2_minQ+(X1397^2*R_dn)-dpdn_minQ</f>
        <v>25.023289844038338</v>
      </c>
      <c r="Y1400" s="45"/>
      <c r="Z1400" s="74"/>
      <c r="AA1400" s="53">
        <f>P_2_minQ+(AA1397^2*R_dn)-dpdn_minQ</f>
        <v>25.992980605708595</v>
      </c>
      <c r="AB1400" s="45"/>
      <c r="AC1400" s="74"/>
      <c r="AD1400" s="53">
        <f>P_2_minQ+(AD1397^2*R_dn)-dpdn_minQ</f>
        <v>28.270968605043215</v>
      </c>
      <c r="AE1400" s="45"/>
      <c r="AF1400" s="74"/>
      <c r="AG1400" s="53">
        <f>P_2_minQ+(AG1397^2*R_dn)-dpdn_minQ</f>
        <v>32.668417389779684</v>
      </c>
      <c r="AH1400" s="45"/>
      <c r="AI1400" s="74"/>
      <c r="AJ1400" s="53">
        <f>P_2_minQ+(AJ1397^2*R_dn)-dpdn_minQ</f>
        <v>38.924716553164401</v>
      </c>
      <c r="AK1400" s="45"/>
      <c r="AL1400" s="74"/>
      <c r="AM1400" s="53">
        <f>P_2_minQ+(AM1397^2*R_dn)-dpdn_minQ</f>
        <v>45.899797510424946</v>
      </c>
      <c r="AN1400" s="45"/>
      <c r="AO1400" s="74"/>
      <c r="AP1400" s="53">
        <f>P_2_minQ+(AP1397^2*R_dn)-dpdn_minQ</f>
        <v>53.289161114881686</v>
      </c>
      <c r="AQ1400" s="45"/>
      <c r="AR1400" s="74"/>
      <c r="AS1400" s="53">
        <f>P_2_minQ+(AS1397^2*R_dn)-dpdn_minQ</f>
        <v>61.743055002315423</v>
      </c>
      <c r="AT1400" s="45"/>
      <c r="AU1400" s="74"/>
    </row>
    <row r="1401" spans="15:47" x14ac:dyDescent="0.25">
      <c r="O1401" s="6" t="s">
        <v>243</v>
      </c>
      <c r="Q1401" s="60"/>
      <c r="R1401" s="53">
        <f>R1399-R1400</f>
        <v>32.255850027997383</v>
      </c>
      <c r="S1401" s="56"/>
      <c r="T1401" s="72"/>
      <c r="U1401" s="64">
        <f>U1399-U1400</f>
        <v>31.877704188982388</v>
      </c>
      <c r="V1401" s="44"/>
      <c r="W1401" s="72"/>
      <c r="X1401" s="64">
        <f>X1399-X1400</f>
        <v>30.060260935769968</v>
      </c>
      <c r="Y1401" s="44"/>
      <c r="Z1401" s="72"/>
      <c r="AA1401" s="64">
        <f>AA1399-AA1400</f>
        <v>24.242116365748437</v>
      </c>
      <c r="AB1401" s="44"/>
      <c r="AC1401" s="72"/>
      <c r="AD1401" s="64">
        <f>AD1399-AD1400</f>
        <v>10.57418836974071</v>
      </c>
      <c r="AE1401" s="44"/>
      <c r="AF1401" s="72"/>
      <c r="AG1401" s="64">
        <f>AG1399-AG1400</f>
        <v>-15.810504338678083</v>
      </c>
      <c r="AH1401" s="44"/>
      <c r="AI1401" s="72"/>
      <c r="AJ1401" s="64">
        <f>AJ1399-AJ1400</f>
        <v>-53.348299318986378</v>
      </c>
      <c r="AK1401" s="44"/>
      <c r="AL1401" s="72"/>
      <c r="AM1401" s="64">
        <f>AM1399-AM1400</f>
        <v>-95.198785062549661</v>
      </c>
      <c r="AN1401" s="44"/>
      <c r="AO1401" s="72"/>
      <c r="AP1401" s="64">
        <f>AP1399-AP1400</f>
        <v>-139.53496668929012</v>
      </c>
      <c r="AQ1401" s="44"/>
      <c r="AR1401" s="72"/>
      <c r="AS1401" s="64">
        <f>AS1399-AS1400</f>
        <v>-190.25833001389256</v>
      </c>
      <c r="AT1401" s="44"/>
      <c r="AU1401" s="72"/>
    </row>
    <row r="1402" spans="15:47" ht="13" x14ac:dyDescent="0.3">
      <c r="O1402" s="6" t="s">
        <v>75</v>
      </c>
      <c r="P1402" s="6">
        <v>3</v>
      </c>
      <c r="Q1402" s="65"/>
      <c r="R1402" s="85">
        <f>(F_LP_h/F_P_h)^2*(R1399-('Valve Sizing'!$V$4*'Valve Sizing'!$G$7))</f>
        <v>46.76273304163643</v>
      </c>
      <c r="S1402" s="58"/>
      <c r="T1402" s="73"/>
      <c r="U1402" s="53">
        <f>(U$29/U$27)^2*(U1399-('Valve Sizing'!$V$4*'Valve Sizing'!$G$7))</f>
        <v>46.489121403498068</v>
      </c>
      <c r="V1402" s="41"/>
      <c r="W1402" s="73"/>
      <c r="X1402" s="53">
        <f>(X$29/X$27)^2*(X1399-('Valve Sizing'!$V$4*'Valve Sizing'!$G$7))</f>
        <v>44.21497724860965</v>
      </c>
      <c r="Y1402" s="41"/>
      <c r="Z1402" s="73"/>
      <c r="AA1402" s="53">
        <f>(AA$29/AA$27)^2*(AA1399-('Valve Sizing'!$V$4*'Valve Sizing'!$G$7))</f>
        <v>38.481468010150195</v>
      </c>
      <c r="AB1402" s="41"/>
      <c r="AC1402" s="73"/>
      <c r="AD1402" s="53">
        <f>(AD$29/AD$27)^2*(AD1399-('Valve Sizing'!$V$4*'Valve Sizing'!$G$7))</f>
        <v>27.697273990692167</v>
      </c>
      <c r="AE1402" s="41"/>
      <c r="AF1402" s="73"/>
      <c r="AG1402" s="53">
        <f>(AG$29/AG$27)^2*(AG1399-('Valve Sizing'!$V$4*'Valve Sizing'!$G$7))</f>
        <v>10.573820450267304</v>
      </c>
      <c r="AH1402" s="41"/>
      <c r="AI1402" s="73"/>
      <c r="AJ1402" s="53">
        <f>(AJ$29/AJ$27)^2*(AJ1399-('Valve Sizing'!$V$4*'Valve Sizing'!$G$7))</f>
        <v>-8.5965995205905088</v>
      </c>
      <c r="AK1402" s="41"/>
      <c r="AL1402" s="73"/>
      <c r="AM1402" s="53">
        <f>(AM$29/AM$27)^2*(AM1399-('Valve Sizing'!$V$4*'Valve Sizing'!$G$7))</f>
        <v>-23.798747871286995</v>
      </c>
      <c r="AN1402" s="41"/>
      <c r="AO1402" s="73"/>
      <c r="AP1402" s="53">
        <f>(AP$29/AP$27)^2*(AP1399-('Valve Sizing'!$V$4*'Valve Sizing'!$G$7))</f>
        <v>-34.208567188554525</v>
      </c>
      <c r="AQ1402" s="41"/>
      <c r="AR1402" s="73"/>
      <c r="AS1402" s="53">
        <f>(AS$29/AS$27)^2*(AS1399-('Valve Sizing'!$V$4*'Valve Sizing'!$G$7))</f>
        <v>-48.505361238379393</v>
      </c>
      <c r="AT1402" s="41"/>
      <c r="AU1402" s="73"/>
    </row>
    <row r="1403" spans="15:47" ht="13" x14ac:dyDescent="0.25">
      <c r="O1403" s="1" t="s">
        <v>69</v>
      </c>
      <c r="P1403" s="17">
        <v>7</v>
      </c>
      <c r="Q1403" s="65"/>
      <c r="R1403" s="53">
        <f>(R1397/(N_1*F_P_h))*SQRT('Valve Sizing'!$G$6/R1401)</f>
        <v>1.6416121905860901</v>
      </c>
      <c r="S1403" s="58"/>
      <c r="T1403" s="73"/>
      <c r="U1403" s="64">
        <f>(U1397/(N_1*U$27))*SQRT('Valve Sizing'!$G$6/U1401)</f>
        <v>17.202572842321036</v>
      </c>
      <c r="V1403" s="41"/>
      <c r="W1403" s="73"/>
      <c r="X1403" s="64">
        <f>(X1397/(N_1*X$27))*SQRT('Valve Sizing'!$G$6/X1401)</f>
        <v>42.618296908049224</v>
      </c>
      <c r="Y1403" s="41"/>
      <c r="Z1403" s="73"/>
      <c r="AA1403" s="64">
        <f>(AA1397/(N_1*AA$27))*SQRT('Valve Sizing'!$G$6/AA1401)</f>
        <v>91.13555000888779</v>
      </c>
      <c r="AB1403" s="41"/>
      <c r="AC1403" s="73"/>
      <c r="AD1403" s="64">
        <f>(AD1397/(N_1*AD$27))*SQRT('Valve Sizing'!$G$6/AD1401)</f>
        <v>229.79652408217751</v>
      </c>
      <c r="AE1403" s="41"/>
      <c r="AF1403" s="73"/>
      <c r="AG1403" s="64" t="e">
        <f>(AG1397/(N_1*AG$27))*SQRT('Valve Sizing'!$G$6/AG1401)</f>
        <v>#NUM!</v>
      </c>
      <c r="AH1403" s="41"/>
      <c r="AI1403" s="73"/>
      <c r="AJ1403" s="64" t="e">
        <f>(AJ1397/(N_1*AJ$27))*SQRT('Valve Sizing'!$G$6/AJ1401)</f>
        <v>#NUM!</v>
      </c>
      <c r="AK1403" s="41"/>
      <c r="AL1403" s="73"/>
      <c r="AM1403" s="64" t="e">
        <f>(AM1397/(N_1*AM$27))*SQRT('Valve Sizing'!$G$6/AM1401)</f>
        <v>#NUM!</v>
      </c>
      <c r="AN1403" s="41"/>
      <c r="AO1403" s="73"/>
      <c r="AP1403" s="64" t="e">
        <f>(AP1397/(N_1*AP$27))*SQRT('Valve Sizing'!$G$6/AP1401)</f>
        <v>#NUM!</v>
      </c>
      <c r="AQ1403" s="41"/>
      <c r="AR1403" s="73"/>
      <c r="AS1403" s="64" t="e">
        <f>(AS1397/(N_1*AS$27))*SQRT('Valve Sizing'!$G$6/AS1401)</f>
        <v>#NUM!</v>
      </c>
      <c r="AT1403" s="41"/>
      <c r="AU1403" s="73"/>
    </row>
    <row r="1404" spans="15:47" ht="13" x14ac:dyDescent="0.3">
      <c r="O1404" s="1" t="s">
        <v>72</v>
      </c>
      <c r="P1404" s="17">
        <v>7</v>
      </c>
      <c r="Q1404" s="65"/>
      <c r="R1404" s="53">
        <f>(R1397/(N_1*F_P_h))*SQRT('Valve Sizing'!$G$6/R1402)</f>
        <v>1.363404965477901</v>
      </c>
      <c r="S1404" s="56"/>
      <c r="T1404" s="72"/>
      <c r="U1404" s="85">
        <f>(U1397/(N_1*U$27))*SQRT('Valve Sizing'!$G$6/U1402)</f>
        <v>14.244960664965248</v>
      </c>
      <c r="V1404" s="44"/>
      <c r="W1404" s="72"/>
      <c r="X1404" s="85">
        <f>(X1397/(N_1*X$27))*SQRT('Valve Sizing'!$G$6/X1402)</f>
        <v>35.140485773428686</v>
      </c>
      <c r="Y1404" s="44"/>
      <c r="Z1404" s="72"/>
      <c r="AA1404" s="85">
        <f>(AA1397/(N_1*AA$27))*SQRT('Valve Sizing'!$G$6/AA1402)</f>
        <v>72.334797337199632</v>
      </c>
      <c r="AB1404" s="44"/>
      <c r="AC1404" s="72"/>
      <c r="AD1404" s="85">
        <f>(AD1397/(N_1*AD$27))*SQRT('Valve Sizing'!$G$6/AD1402)</f>
        <v>141.98696069172792</v>
      </c>
      <c r="AE1404" s="44"/>
      <c r="AF1404" s="72"/>
      <c r="AG1404" s="85">
        <f>(AG1397/(N_1*AG$27))*SQRT('Valve Sizing'!$G$6/AG1402)</f>
        <v>349.77532695932729</v>
      </c>
      <c r="AH1404" s="44"/>
      <c r="AI1404" s="72"/>
      <c r="AJ1404" s="85" t="e">
        <f>(AJ1397/(N_1*AJ$27))*SQRT('Valve Sizing'!$G$6/AJ1402)</f>
        <v>#NUM!</v>
      </c>
      <c r="AK1404" s="44"/>
      <c r="AL1404" s="72"/>
      <c r="AM1404" s="85" t="e">
        <f>(AM1397/(N_1*AM$27))*SQRT('Valve Sizing'!$G$6/AM1402)</f>
        <v>#NUM!</v>
      </c>
      <c r="AN1404" s="44"/>
      <c r="AO1404" s="72"/>
      <c r="AP1404" s="85" t="e">
        <f>(AP1397/(N_1*AP$27))*SQRT('Valve Sizing'!$G$6/AP1402)</f>
        <v>#NUM!</v>
      </c>
      <c r="AQ1404" s="44"/>
      <c r="AR1404" s="72"/>
      <c r="AS1404" s="85" t="e">
        <f>(AS1397/(N_1*AS$27))*SQRT('Valve Sizing'!$G$6/AS1402)</f>
        <v>#NUM!</v>
      </c>
      <c r="AT1404" s="44"/>
      <c r="AU1404" s="72"/>
    </row>
    <row r="1405" spans="15:47" x14ac:dyDescent="0.25">
      <c r="O1405" s="1" t="s">
        <v>246</v>
      </c>
      <c r="P1405" s="18"/>
      <c r="Q1405" s="65"/>
      <c r="R1405" s="53">
        <f>IF(R1401&lt;R1402,R1403,R1404)</f>
        <v>1.6416121905860901</v>
      </c>
      <c r="S1405" s="49"/>
      <c r="T1405" s="72"/>
      <c r="U1405" s="64">
        <f>IF(U1401&lt;U1402,U1403,U1404)</f>
        <v>17.202572842321036</v>
      </c>
      <c r="V1405" s="44"/>
      <c r="W1405" s="72"/>
      <c r="X1405" s="64">
        <f>IF(X1401&lt;X1402,X1403,X1404)</f>
        <v>42.618296908049224</v>
      </c>
      <c r="Y1405" s="44"/>
      <c r="Z1405" s="72"/>
      <c r="AA1405" s="64">
        <f>IF(AA1401&lt;AA1402,AA1403,AA1404)</f>
        <v>91.13555000888779</v>
      </c>
      <c r="AB1405" s="44"/>
      <c r="AC1405" s="72"/>
      <c r="AD1405" s="64">
        <f>IF(AD1401&lt;AD1402,AD1403,AD1404)</f>
        <v>229.79652408217751</v>
      </c>
      <c r="AE1405" s="44"/>
      <c r="AF1405" s="72"/>
      <c r="AG1405" s="64" t="e">
        <f>IF(AG1401&lt;AG1402,AG1403,AG1404)</f>
        <v>#NUM!</v>
      </c>
      <c r="AH1405" s="44"/>
      <c r="AI1405" s="72"/>
      <c r="AJ1405" s="64" t="e">
        <f>IF(AJ1401&lt;AJ1402,AJ1403,AJ1404)</f>
        <v>#NUM!</v>
      </c>
      <c r="AK1405" s="44"/>
      <c r="AL1405" s="72"/>
      <c r="AM1405" s="64" t="e">
        <f>IF(AM1401&lt;AM1402,AM1403,AM1404)</f>
        <v>#NUM!</v>
      </c>
      <c r="AN1405" s="44"/>
      <c r="AO1405" s="72"/>
      <c r="AP1405" s="64" t="e">
        <f>IF(AP1401&lt;AP1402,AP1403,AP1404)</f>
        <v>#NUM!</v>
      </c>
      <c r="AQ1405" s="44"/>
      <c r="AR1405" s="72"/>
      <c r="AS1405" s="64" t="e">
        <f>IF(AS1401&lt;AS1402,AS1403,AS1404)</f>
        <v>#NUM!</v>
      </c>
      <c r="AT1405" s="44"/>
      <c r="AU1405" s="72"/>
    </row>
    <row r="1406" spans="15:47" ht="13" x14ac:dyDescent="0.3">
      <c r="O1406" s="7" t="s">
        <v>264</v>
      </c>
      <c r="Q1406" s="61"/>
      <c r="R1406" s="53"/>
      <c r="S1406" s="69">
        <f>IFERROR(ABS(C_h-R1405),Q_max*10)</f>
        <v>3.3583878094139097</v>
      </c>
      <c r="T1406" s="76">
        <f>R1397</f>
        <v>9.322046940690548</v>
      </c>
      <c r="U1406" s="61"/>
      <c r="V1406" s="69">
        <f>IFERROR(ABS(U$23-U1405),Q_max*10)</f>
        <v>5.202572842321036</v>
      </c>
      <c r="W1406" s="75">
        <f>U1397</f>
        <v>97.044572938724613</v>
      </c>
      <c r="X1406" s="61"/>
      <c r="Y1406" s="69">
        <f>IFERROR(ABS(X$23-X1405),Q_max*10)</f>
        <v>19.618296908049224</v>
      </c>
      <c r="Z1406" s="75">
        <f>X1397</f>
        <v>232.94433113917157</v>
      </c>
      <c r="AA1406" s="61"/>
      <c r="AB1406" s="69">
        <f>IFERROR(ABS(AA$23-AA1405),Q_max*10)</f>
        <v>52.13555000888779</v>
      </c>
      <c r="AC1406" s="75">
        <f>AA1397</f>
        <v>444.77609948732317</v>
      </c>
      <c r="AD1406" s="61"/>
      <c r="AE1406" s="69">
        <f>IFERROR(ABS(AD$23-AD1405),Q_max*10)</f>
        <v>168.79652408217751</v>
      </c>
      <c r="AF1406" s="75">
        <f>AD1397</f>
        <v>731.49292681245254</v>
      </c>
      <c r="AG1406" s="61"/>
      <c r="AH1406" s="69">
        <f>IFERROR(ABS(AG$23-AG1405),Q_max*10)</f>
        <v>5500</v>
      </c>
      <c r="AI1406" s="75">
        <f>AG1397</f>
        <v>1089.0932901073634</v>
      </c>
      <c r="AJ1406" s="61"/>
      <c r="AK1406" s="69">
        <f>IFERROR(ABS(AJ$23-AJ1405),Q_max*10)</f>
        <v>5500</v>
      </c>
      <c r="AL1406" s="75">
        <f>AJ1397</f>
        <v>1453.3992175916392</v>
      </c>
      <c r="AM1406" s="61"/>
      <c r="AN1406" s="69">
        <f>IFERROR(ABS(AM$23-AM1405),Q_max*10)</f>
        <v>5500</v>
      </c>
      <c r="AO1406" s="75">
        <f>AM1397</f>
        <v>1773.4232493734858</v>
      </c>
      <c r="AP1406" s="61"/>
      <c r="AQ1406" s="69">
        <f>IFERROR(ABS(AP$23-AP1405),Q_max*10)</f>
        <v>5500</v>
      </c>
      <c r="AR1406" s="75">
        <f>AP1397</f>
        <v>2058.8893372540042</v>
      </c>
      <c r="AS1406" s="61"/>
      <c r="AT1406" s="69">
        <f>IFERROR(ABS(AS$23-AS1405),Q_max*10)</f>
        <v>5500</v>
      </c>
      <c r="AU1406" s="75">
        <f>AS1397</f>
        <v>2343.2081198845308</v>
      </c>
    </row>
    <row r="1407" spans="15:47" ht="14.5" x14ac:dyDescent="0.35">
      <c r="O1407" s="6"/>
      <c r="P1407" s="6"/>
      <c r="Q1407" s="60"/>
      <c r="R1407" s="67"/>
      <c r="S1407" s="56"/>
      <c r="T1407" s="72"/>
      <c r="V1407" s="11"/>
      <c r="W1407" s="38"/>
      <c r="Y1407" s="11"/>
      <c r="Z1407" s="38"/>
      <c r="AB1407" s="11"/>
      <c r="AC1407" s="38"/>
      <c r="AE1407" s="11"/>
      <c r="AF1407" s="38"/>
      <c r="AH1407" s="11"/>
      <c r="AI1407" s="38"/>
      <c r="AK1407" s="11"/>
      <c r="AL1407" s="38"/>
      <c r="AN1407" s="11"/>
      <c r="AO1407" s="38"/>
      <c r="AQ1407" s="11"/>
      <c r="AR1407" s="38"/>
      <c r="AT1407" s="11"/>
      <c r="AU1407" s="38"/>
    </row>
    <row r="1408" spans="15:47" ht="14" x14ac:dyDescent="0.3">
      <c r="O1408" s="8" t="s">
        <v>235</v>
      </c>
      <c r="P1408" s="6"/>
      <c r="Q1408" s="60"/>
      <c r="R1408" s="53">
        <f>R1397*1.02</f>
        <v>9.5084878795043597</v>
      </c>
      <c r="S1408" s="58" t="s">
        <v>238</v>
      </c>
      <c r="T1408" s="73" t="s">
        <v>241</v>
      </c>
      <c r="U1408" s="84">
        <f>U1397*1.01</f>
        <v>98.015018668111864</v>
      </c>
      <c r="V1408" s="58" t="s">
        <v>238</v>
      </c>
      <c r="W1408" s="73" t="s">
        <v>241</v>
      </c>
      <c r="X1408" s="84">
        <f>X1397*1.01</f>
        <v>235.27377445056328</v>
      </c>
      <c r="Y1408" s="58" t="s">
        <v>238</v>
      </c>
      <c r="Z1408" s="73" t="s">
        <v>241</v>
      </c>
      <c r="AA1408" s="84">
        <f>AA1397*1.01</f>
        <v>449.22386048219641</v>
      </c>
      <c r="AB1408" s="58" t="s">
        <v>238</v>
      </c>
      <c r="AC1408" s="73" t="s">
        <v>241</v>
      </c>
      <c r="AD1408" s="84">
        <f>AD1397*1.01</f>
        <v>738.80785608057704</v>
      </c>
      <c r="AE1408" s="58" t="s">
        <v>238</v>
      </c>
      <c r="AF1408" s="73" t="s">
        <v>241</v>
      </c>
      <c r="AG1408" s="84">
        <f>AG1397*1.01</f>
        <v>1099.9842230084371</v>
      </c>
      <c r="AH1408" s="58" t="s">
        <v>238</v>
      </c>
      <c r="AI1408" s="73" t="s">
        <v>241</v>
      </c>
      <c r="AJ1408" s="84">
        <f>AJ1397*1.01</f>
        <v>1467.9332097675556</v>
      </c>
      <c r="AK1408" s="58" t="s">
        <v>238</v>
      </c>
      <c r="AL1408" s="73" t="s">
        <v>241</v>
      </c>
      <c r="AM1408" s="84">
        <f>AM1397*1.01</f>
        <v>1791.1574818672207</v>
      </c>
      <c r="AN1408" s="58" t="s">
        <v>238</v>
      </c>
      <c r="AO1408" s="73" t="s">
        <v>241</v>
      </c>
      <c r="AP1408" s="84">
        <f>AP1397*1.01</f>
        <v>2079.4782306265442</v>
      </c>
      <c r="AQ1408" s="58" t="s">
        <v>238</v>
      </c>
      <c r="AR1408" s="73" t="s">
        <v>241</v>
      </c>
      <c r="AS1408" s="84">
        <f>AS1397*1.01</f>
        <v>2366.6402010833763</v>
      </c>
      <c r="AT1408" s="58" t="s">
        <v>238</v>
      </c>
      <c r="AU1408" s="73" t="s">
        <v>241</v>
      </c>
    </row>
    <row r="1409" spans="15:47" ht="13" x14ac:dyDescent="0.25">
      <c r="O1409" s="6"/>
      <c r="P1409" s="6"/>
      <c r="Q1409" s="60"/>
      <c r="R1409" s="70"/>
      <c r="S1409" s="63" t="s">
        <v>250</v>
      </c>
      <c r="T1409" s="71" t="s">
        <v>242</v>
      </c>
      <c r="U1409" s="61"/>
      <c r="V1409" s="63" t="s">
        <v>250</v>
      </c>
      <c r="W1409" s="71" t="s">
        <v>242</v>
      </c>
      <c r="X1409" s="61"/>
      <c r="Y1409" s="63" t="s">
        <v>250</v>
      </c>
      <c r="Z1409" s="71" t="s">
        <v>242</v>
      </c>
      <c r="AA1409" s="61"/>
      <c r="AB1409" s="63" t="s">
        <v>250</v>
      </c>
      <c r="AC1409" s="71" t="s">
        <v>242</v>
      </c>
      <c r="AD1409" s="61"/>
      <c r="AE1409" s="63" t="s">
        <v>250</v>
      </c>
      <c r="AF1409" s="71" t="s">
        <v>242</v>
      </c>
      <c r="AG1409" s="61"/>
      <c r="AH1409" s="63" t="s">
        <v>250</v>
      </c>
      <c r="AI1409" s="71" t="s">
        <v>242</v>
      </c>
      <c r="AJ1409" s="61"/>
      <c r="AK1409" s="63" t="s">
        <v>250</v>
      </c>
      <c r="AL1409" s="71" t="s">
        <v>242</v>
      </c>
      <c r="AM1409" s="61"/>
      <c r="AN1409" s="63" t="s">
        <v>250</v>
      </c>
      <c r="AO1409" s="71" t="s">
        <v>242</v>
      </c>
      <c r="AP1409" s="61"/>
      <c r="AQ1409" s="63" t="s">
        <v>250</v>
      </c>
      <c r="AR1409" s="71" t="s">
        <v>242</v>
      </c>
      <c r="AS1409" s="61"/>
      <c r="AT1409" s="63" t="s">
        <v>250</v>
      </c>
      <c r="AU1409" s="71" t="s">
        <v>242</v>
      </c>
    </row>
    <row r="1410" spans="15:47" ht="13" x14ac:dyDescent="0.3">
      <c r="O1410" s="6" t="s">
        <v>231</v>
      </c>
      <c r="P1410" s="6"/>
      <c r="Q1410" s="60"/>
      <c r="R1410" s="85">
        <f>P_1_minQ-(R1408^2*R_up)+dpup_minQ</f>
        <v>56.913089789201123</v>
      </c>
      <c r="S1410" s="56"/>
      <c r="T1410" s="72"/>
      <c r="U1410" s="53">
        <f>P_1_minQ-(U1408^2*R_up)+dpup_minQ</f>
        <v>56.591693891100633</v>
      </c>
      <c r="V1410" s="44"/>
      <c r="W1410" s="72"/>
      <c r="X1410" s="53">
        <f>P_1_minQ-(X1408^2*R_up)+dpup_minQ</f>
        <v>55.046715672265634</v>
      </c>
      <c r="Y1410" s="44"/>
      <c r="Z1410" s="72"/>
      <c r="AA1410" s="53">
        <f>P_1_minQ-(AA1408^2*R_up)+dpup_minQ</f>
        <v>50.100807942366501</v>
      </c>
      <c r="AB1410" s="44"/>
      <c r="AC1410" s="72"/>
      <c r="AD1410" s="53">
        <f>P_1_minQ-(AD1408^2*R_up)+dpup_minQ</f>
        <v>38.48193015176026</v>
      </c>
      <c r="AE1410" s="44"/>
      <c r="AF1410" s="72"/>
      <c r="AG1410" s="53">
        <f>P_1_minQ-(AG1408^2*R_up)+dpup_minQ</f>
        <v>16.052742625211916</v>
      </c>
      <c r="AH1410" s="44"/>
      <c r="AI1410" s="72"/>
      <c r="AJ1410" s="53">
        <f>P_1_minQ-(AJ1408^2*R_up)+dpup_minQ</f>
        <v>-15.857511257631831</v>
      </c>
      <c r="AK1410" s="44"/>
      <c r="AL1410" s="72"/>
      <c r="AM1410" s="53">
        <f>P_1_minQ-(AM1408^2*R_up)+dpup_minQ</f>
        <v>-51.433911680139239</v>
      </c>
      <c r="AN1410" s="44"/>
      <c r="AO1410" s="72"/>
      <c r="AP1410" s="53">
        <f>P_1_minQ-(AP1408^2*R_up)+dpup_minQ</f>
        <v>-89.123360744670805</v>
      </c>
      <c r="AQ1410" s="44"/>
      <c r="AR1410" s="72"/>
      <c r="AS1410" s="53">
        <f>P_1_minQ-(AS1408^2*R_up)+dpup_minQ</f>
        <v>-132.24244651752664</v>
      </c>
      <c r="AT1410" s="44"/>
      <c r="AU1410" s="72"/>
    </row>
    <row r="1411" spans="15:47" ht="13" x14ac:dyDescent="0.3">
      <c r="O1411" s="6" t="s">
        <v>233</v>
      </c>
      <c r="P1411" s="6"/>
      <c r="Q1411" s="60"/>
      <c r="R1411" s="85">
        <f>P_2_minQ+(R1408^2*R_dn)-dpdn_minQ</f>
        <v>24.657382042159774</v>
      </c>
      <c r="S1411" s="66"/>
      <c r="T1411" s="74"/>
      <c r="U1411" s="53">
        <f>P_2_minQ+(U1408^2*R_dn)-dpdn_minQ</f>
        <v>24.721661221779875</v>
      </c>
      <c r="V1411" s="45"/>
      <c r="W1411" s="74"/>
      <c r="X1411" s="53">
        <f>P_2_minQ+(X1408^2*R_dn)-dpdn_minQ</f>
        <v>25.030656865546874</v>
      </c>
      <c r="Y1411" s="45"/>
      <c r="Z1411" s="74"/>
      <c r="AA1411" s="53">
        <f>P_2_minQ+(AA1408^2*R_dn)-dpdn_minQ</f>
        <v>26.019838411526703</v>
      </c>
      <c r="AB1411" s="45"/>
      <c r="AC1411" s="74"/>
      <c r="AD1411" s="53">
        <f>P_2_minQ+(AD1408^2*R_dn)-dpdn_minQ</f>
        <v>28.343613969647947</v>
      </c>
      <c r="AE1411" s="45"/>
      <c r="AF1411" s="74"/>
      <c r="AG1411" s="53">
        <f>P_2_minQ+(AG1408^2*R_dn)-dpdn_minQ</f>
        <v>32.829451474957622</v>
      </c>
      <c r="AH1411" s="45"/>
      <c r="AI1411" s="74"/>
      <c r="AJ1411" s="53">
        <f>P_2_minQ+(AJ1408^2*R_dn)-dpdn_minQ</f>
        <v>39.211502251526369</v>
      </c>
      <c r="AK1411" s="45"/>
      <c r="AL1411" s="74"/>
      <c r="AM1411" s="53">
        <f>P_2_minQ+(AM1408^2*R_dn)-dpdn_minQ</f>
        <v>46.326782336027847</v>
      </c>
      <c r="AN1411" s="45"/>
      <c r="AO1411" s="74"/>
      <c r="AP1411" s="53">
        <f>P_2_minQ+(AP1408^2*R_dn)-dpdn_minQ</f>
        <v>53.864672148934169</v>
      </c>
      <c r="AQ1411" s="45"/>
      <c r="AR1411" s="74"/>
      <c r="AS1411" s="53">
        <f>P_2_minQ+(AS1408^2*R_dn)-dpdn_minQ</f>
        <v>62.488489303505332</v>
      </c>
      <c r="AT1411" s="45"/>
      <c r="AU1411" s="74"/>
    </row>
    <row r="1412" spans="15:47" x14ac:dyDescent="0.25">
      <c r="O1412" s="6" t="s">
        <v>243</v>
      </c>
      <c r="Q1412" s="60"/>
      <c r="R1412" s="53">
        <f>R1410-R1411</f>
        <v>32.255707747041349</v>
      </c>
      <c r="S1412" s="56"/>
      <c r="T1412" s="72"/>
      <c r="U1412" s="64">
        <f>U1410-U1411</f>
        <v>31.870032669320757</v>
      </c>
      <c r="V1412" s="44"/>
      <c r="W1412" s="72"/>
      <c r="X1412" s="64">
        <f>X1410-X1411</f>
        <v>30.01605880671876</v>
      </c>
      <c r="Y1412" s="44"/>
      <c r="Z1412" s="72"/>
      <c r="AA1412" s="64">
        <f>AA1410-AA1411</f>
        <v>24.080969530839798</v>
      </c>
      <c r="AB1412" s="44"/>
      <c r="AC1412" s="72"/>
      <c r="AD1412" s="64">
        <f>AD1410-AD1411</f>
        <v>10.138316182112312</v>
      </c>
      <c r="AE1412" s="44"/>
      <c r="AF1412" s="72"/>
      <c r="AG1412" s="64">
        <f>AG1410-AG1411</f>
        <v>-16.776708849745706</v>
      </c>
      <c r="AH1412" s="44"/>
      <c r="AI1412" s="72"/>
      <c r="AJ1412" s="64">
        <f>AJ1410-AJ1411</f>
        <v>-55.069013509158196</v>
      </c>
      <c r="AK1412" s="44"/>
      <c r="AL1412" s="72"/>
      <c r="AM1412" s="64">
        <f>AM1410-AM1411</f>
        <v>-97.760694016167093</v>
      </c>
      <c r="AN1412" s="44"/>
      <c r="AO1412" s="72"/>
      <c r="AP1412" s="64">
        <f>AP1410-AP1411</f>
        <v>-142.98803289360498</v>
      </c>
      <c r="AQ1412" s="44"/>
      <c r="AR1412" s="72"/>
      <c r="AS1412" s="64">
        <f>AS1410-AS1411</f>
        <v>-194.73093582103198</v>
      </c>
      <c r="AT1412" s="44"/>
      <c r="AU1412" s="72"/>
    </row>
    <row r="1413" spans="15:47" ht="13" x14ac:dyDescent="0.3">
      <c r="O1413" s="6" t="s">
        <v>75</v>
      </c>
      <c r="P1413" s="6">
        <v>3</v>
      </c>
      <c r="Q1413" s="65"/>
      <c r="R1413" s="85">
        <f>(F_LP_h/F_P_h)^2*(R1410-('Valve Sizing'!$V$4*'Valve Sizing'!$G$7))</f>
        <v>46.76263486155316</v>
      </c>
      <c r="S1413" s="58"/>
      <c r="T1413" s="73"/>
      <c r="U1413" s="53">
        <f>(U$29/U$27)^2*(U1410-('Valve Sizing'!$V$4*'Valve Sizing'!$G$7))</f>
        <v>46.483829162206483</v>
      </c>
      <c r="V1413" s="41"/>
      <c r="W1413" s="73"/>
      <c r="X1413" s="53">
        <f>(X$29/X$27)^2*(X1410-('Valve Sizing'!$V$4*'Valve Sizing'!$G$7))</f>
        <v>44.185171990028437</v>
      </c>
      <c r="Y1413" s="41"/>
      <c r="Z1413" s="73"/>
      <c r="AA1413" s="53">
        <f>(AA$29/AA$27)^2*(AA1410-('Valve Sizing'!$V$4*'Valve Sizing'!$G$7))</f>
        <v>38.377689821610794</v>
      </c>
      <c r="AB1413" s="41"/>
      <c r="AC1413" s="73"/>
      <c r="AD1413" s="53">
        <f>(AD$29/AD$27)^2*(AD1410-('Valve Sizing'!$V$4*'Valve Sizing'!$G$7))</f>
        <v>27.435319379979067</v>
      </c>
      <c r="AE1413" s="41"/>
      <c r="AF1413" s="73"/>
      <c r="AG1413" s="53">
        <f>(AG$29/AG$27)^2*(AG1410-('Valve Sizing'!$V$4*'Valve Sizing'!$G$7))</f>
        <v>10.055255307801533</v>
      </c>
      <c r="AH1413" s="41"/>
      <c r="AI1413" s="73"/>
      <c r="AJ1413" s="53">
        <f>(AJ$29/AJ$27)^2*(AJ1410-('Valve Sizing'!$V$4*'Valve Sizing'!$G$7))</f>
        <v>-9.4259326196614435</v>
      </c>
      <c r="AK1413" s="41"/>
      <c r="AL1413" s="73"/>
      <c r="AM1413" s="53">
        <f>(AM$29/AM$27)^2*(AM1410-('Valve Sizing'!$V$4*'Valve Sizing'!$G$7))</f>
        <v>-24.82024960742018</v>
      </c>
      <c r="AN1413" s="41"/>
      <c r="AO1413" s="73"/>
      <c r="AP1413" s="53">
        <f>(AP$29/AP$27)^2*(AP1410-('Valve Sizing'!$V$4*'Valve Sizing'!$G$7))</f>
        <v>-35.344127655943929</v>
      </c>
      <c r="AQ1413" s="41"/>
      <c r="AR1413" s="73"/>
      <c r="AS1413" s="53">
        <f>(AS$29/AS$27)^2*(AS1410-('Valve Sizing'!$V$4*'Valve Sizing'!$G$7))</f>
        <v>-49.907302488388375</v>
      </c>
      <c r="AT1413" s="41"/>
      <c r="AU1413" s="73"/>
    </row>
    <row r="1414" spans="15:47" ht="13" x14ac:dyDescent="0.25">
      <c r="O1414" s="1" t="s">
        <v>69</v>
      </c>
      <c r="P1414" s="17">
        <v>7</v>
      </c>
      <c r="Q1414" s="65"/>
      <c r="R1414" s="53">
        <f>(R1408/(N_1*F_P_h))*SQRT('Valve Sizing'!$G$6/R1412)</f>
        <v>1.6744481274076524</v>
      </c>
      <c r="S1414" s="58"/>
      <c r="T1414" s="73"/>
      <c r="U1414" s="64">
        <f>(U1408/(N_1*U$27))*SQRT('Valve Sizing'!$G$6/U1412)</f>
        <v>17.376689587653068</v>
      </c>
      <c r="V1414" s="41"/>
      <c r="W1414" s="73"/>
      <c r="X1414" s="64">
        <f>(X1408/(N_1*X$27))*SQRT('Valve Sizing'!$G$6/X1412)</f>
        <v>43.076162212758305</v>
      </c>
      <c r="Y1414" s="41"/>
      <c r="Z1414" s="73"/>
      <c r="AA1414" s="64">
        <f>(AA1408/(N_1*AA$27))*SQRT('Valve Sizing'!$G$6/AA1412)</f>
        <v>92.354375166576943</v>
      </c>
      <c r="AB1414" s="41"/>
      <c r="AC1414" s="73"/>
      <c r="AD1414" s="64">
        <f>(AD1408/(N_1*AD$27))*SQRT('Valve Sizing'!$G$6/AD1412)</f>
        <v>237.03115605983078</v>
      </c>
      <c r="AE1414" s="41"/>
      <c r="AF1414" s="73"/>
      <c r="AG1414" s="64" t="e">
        <f>(AG1408/(N_1*AG$27))*SQRT('Valve Sizing'!$G$6/AG1412)</f>
        <v>#NUM!</v>
      </c>
      <c r="AH1414" s="41"/>
      <c r="AI1414" s="73"/>
      <c r="AJ1414" s="64" t="e">
        <f>(AJ1408/(N_1*AJ$27))*SQRT('Valve Sizing'!$G$6/AJ1412)</f>
        <v>#NUM!</v>
      </c>
      <c r="AK1414" s="41"/>
      <c r="AL1414" s="73"/>
      <c r="AM1414" s="64" t="e">
        <f>(AM1408/(N_1*AM$27))*SQRT('Valve Sizing'!$G$6/AM1412)</f>
        <v>#NUM!</v>
      </c>
      <c r="AN1414" s="41"/>
      <c r="AO1414" s="73"/>
      <c r="AP1414" s="64" t="e">
        <f>(AP1408/(N_1*AP$27))*SQRT('Valve Sizing'!$G$6/AP1412)</f>
        <v>#NUM!</v>
      </c>
      <c r="AQ1414" s="41"/>
      <c r="AR1414" s="73"/>
      <c r="AS1414" s="64" t="e">
        <f>(AS1408/(N_1*AS$27))*SQRT('Valve Sizing'!$G$6/AS1412)</f>
        <v>#NUM!</v>
      </c>
      <c r="AT1414" s="41"/>
      <c r="AU1414" s="73"/>
    </row>
    <row r="1415" spans="15:47" ht="13" x14ac:dyDescent="0.3">
      <c r="O1415" s="1" t="s">
        <v>72</v>
      </c>
      <c r="P1415" s="17">
        <v>7</v>
      </c>
      <c r="Q1415" s="65"/>
      <c r="R1415" s="53">
        <f>(R1408/(N_1*F_P_h))*SQRT('Valve Sizing'!$G$6/R1413)</f>
        <v>1.3906745246744614</v>
      </c>
      <c r="S1415" s="56"/>
      <c r="T1415" s="72"/>
      <c r="U1415" s="85">
        <f>(U1408/(N_1*U$27))*SQRT('Valve Sizing'!$G$6/U1413)</f>
        <v>14.388229260508554</v>
      </c>
      <c r="V1415" s="44"/>
      <c r="W1415" s="72"/>
      <c r="X1415" s="85">
        <f>(X1408/(N_1*X$27))*SQRT('Valve Sizing'!$G$6/X1413)</f>
        <v>35.503859201127391</v>
      </c>
      <c r="Y1415" s="44"/>
      <c r="Z1415" s="72"/>
      <c r="AA1415" s="85">
        <f>(AA1408/(N_1*AA$27))*SQRT('Valve Sizing'!$G$6/AA1413)</f>
        <v>73.156857913702055</v>
      </c>
      <c r="AB1415" s="44"/>
      <c r="AC1415" s="72"/>
      <c r="AD1415" s="85">
        <f>(AD1408/(N_1*AD$27))*SQRT('Valve Sizing'!$G$6/AD1413)</f>
        <v>144.08983373775109</v>
      </c>
      <c r="AE1415" s="44"/>
      <c r="AF1415" s="72"/>
      <c r="AG1415" s="85">
        <f>(AG1408/(N_1*AG$27))*SQRT('Valve Sizing'!$G$6/AG1413)</f>
        <v>362.26798858936633</v>
      </c>
      <c r="AH1415" s="44"/>
      <c r="AI1415" s="72"/>
      <c r="AJ1415" s="85" t="e">
        <f>(AJ1408/(N_1*AJ$27))*SQRT('Valve Sizing'!$G$6/AJ1413)</f>
        <v>#NUM!</v>
      </c>
      <c r="AK1415" s="44"/>
      <c r="AL1415" s="72"/>
      <c r="AM1415" s="85" t="e">
        <f>(AM1408/(N_1*AM$27))*SQRT('Valve Sizing'!$G$6/AM1413)</f>
        <v>#NUM!</v>
      </c>
      <c r="AN1415" s="44"/>
      <c r="AO1415" s="72"/>
      <c r="AP1415" s="85" t="e">
        <f>(AP1408/(N_1*AP$27))*SQRT('Valve Sizing'!$G$6/AP1413)</f>
        <v>#NUM!</v>
      </c>
      <c r="AQ1415" s="44"/>
      <c r="AR1415" s="72"/>
      <c r="AS1415" s="85" t="e">
        <f>(AS1408/(N_1*AS$27))*SQRT('Valve Sizing'!$G$6/AS1413)</f>
        <v>#NUM!</v>
      </c>
      <c r="AT1415" s="44"/>
      <c r="AU1415" s="72"/>
    </row>
    <row r="1416" spans="15:47" x14ac:dyDescent="0.25">
      <c r="O1416" s="1" t="s">
        <v>246</v>
      </c>
      <c r="P1416" s="18"/>
      <c r="Q1416" s="65"/>
      <c r="R1416" s="53">
        <f>IF(R1412&lt;R1413,R1414,R1415)</f>
        <v>1.6744481274076524</v>
      </c>
      <c r="S1416" s="49"/>
      <c r="T1416" s="72"/>
      <c r="U1416" s="64">
        <f>IF(U1412&lt;U1413,U1414,U1415)</f>
        <v>17.376689587653068</v>
      </c>
      <c r="V1416" s="44"/>
      <c r="W1416" s="72"/>
      <c r="X1416" s="64">
        <f>IF(X1412&lt;X1413,X1414,X1415)</f>
        <v>43.076162212758305</v>
      </c>
      <c r="Y1416" s="44"/>
      <c r="Z1416" s="72"/>
      <c r="AA1416" s="64">
        <f>IF(AA1412&lt;AA1413,AA1414,AA1415)</f>
        <v>92.354375166576943</v>
      </c>
      <c r="AB1416" s="44"/>
      <c r="AC1416" s="72"/>
      <c r="AD1416" s="64">
        <f>IF(AD1412&lt;AD1413,AD1414,AD1415)</f>
        <v>237.03115605983078</v>
      </c>
      <c r="AE1416" s="44"/>
      <c r="AF1416" s="72"/>
      <c r="AG1416" s="64" t="e">
        <f>IF(AG1412&lt;AG1413,AG1414,AG1415)</f>
        <v>#NUM!</v>
      </c>
      <c r="AH1416" s="44"/>
      <c r="AI1416" s="72"/>
      <c r="AJ1416" s="64" t="e">
        <f>IF(AJ1412&lt;AJ1413,AJ1414,AJ1415)</f>
        <v>#NUM!</v>
      </c>
      <c r="AK1416" s="44"/>
      <c r="AL1416" s="72"/>
      <c r="AM1416" s="64" t="e">
        <f>IF(AM1412&lt;AM1413,AM1414,AM1415)</f>
        <v>#NUM!</v>
      </c>
      <c r="AN1416" s="44"/>
      <c r="AO1416" s="72"/>
      <c r="AP1416" s="64" t="e">
        <f>IF(AP1412&lt;AP1413,AP1414,AP1415)</f>
        <v>#NUM!</v>
      </c>
      <c r="AQ1416" s="44"/>
      <c r="AR1416" s="72"/>
      <c r="AS1416" s="64" t="e">
        <f>IF(AS1412&lt;AS1413,AS1414,AS1415)</f>
        <v>#NUM!</v>
      </c>
      <c r="AT1416" s="44"/>
      <c r="AU1416" s="72"/>
    </row>
    <row r="1417" spans="15:47" ht="13" x14ac:dyDescent="0.3">
      <c r="O1417" s="7" t="s">
        <v>264</v>
      </c>
      <c r="Q1417" s="61"/>
      <c r="R1417" s="53"/>
      <c r="S1417" s="69">
        <f>IFERROR(ABS(C_h-R1416),Q_max*10)</f>
        <v>3.3255518725923476</v>
      </c>
      <c r="T1417" s="76">
        <f>R1408</f>
        <v>9.5084878795043597</v>
      </c>
      <c r="U1417" s="61"/>
      <c r="V1417" s="69">
        <f>IFERROR(ABS(U$23-U1416),Q_max*10)</f>
        <v>5.3766895876530683</v>
      </c>
      <c r="W1417" s="75">
        <f>U1408</f>
        <v>98.015018668111864</v>
      </c>
      <c r="X1417" s="61"/>
      <c r="Y1417" s="69">
        <f>IFERROR(ABS(X$23-X1416),Q_max*10)</f>
        <v>20.076162212758305</v>
      </c>
      <c r="Z1417" s="75">
        <f>X1408</f>
        <v>235.27377445056328</v>
      </c>
      <c r="AA1417" s="61"/>
      <c r="AB1417" s="69">
        <f>IFERROR(ABS(AA$23-AA1416),Q_max*10)</f>
        <v>53.354375166576943</v>
      </c>
      <c r="AC1417" s="75">
        <f>AA1408</f>
        <v>449.22386048219641</v>
      </c>
      <c r="AD1417" s="61"/>
      <c r="AE1417" s="69">
        <f>IFERROR(ABS(AD$23-AD1416),Q_max*10)</f>
        <v>176.03115605983078</v>
      </c>
      <c r="AF1417" s="75">
        <f>AD1408</f>
        <v>738.80785608057704</v>
      </c>
      <c r="AG1417" s="61"/>
      <c r="AH1417" s="69">
        <f>IFERROR(ABS(AG$23-AG1416),Q_max*10)</f>
        <v>5500</v>
      </c>
      <c r="AI1417" s="75">
        <f>AG1408</f>
        <v>1099.9842230084371</v>
      </c>
      <c r="AJ1417" s="61"/>
      <c r="AK1417" s="69">
        <f>IFERROR(ABS(AJ$23-AJ1416),Q_max*10)</f>
        <v>5500</v>
      </c>
      <c r="AL1417" s="75">
        <f>AJ1408</f>
        <v>1467.9332097675556</v>
      </c>
      <c r="AM1417" s="61"/>
      <c r="AN1417" s="69">
        <f>IFERROR(ABS(AM$23-AM1416),Q_max*10)</f>
        <v>5500</v>
      </c>
      <c r="AO1417" s="75">
        <f>AM1408</f>
        <v>1791.1574818672207</v>
      </c>
      <c r="AP1417" s="61"/>
      <c r="AQ1417" s="69">
        <f>IFERROR(ABS(AP$23-AP1416),Q_max*10)</f>
        <v>5500</v>
      </c>
      <c r="AR1417" s="75">
        <f>AP1408</f>
        <v>2079.4782306265442</v>
      </c>
      <c r="AS1417" s="61"/>
      <c r="AT1417" s="69">
        <f>IFERROR(ABS(AS$23-AS1416),Q_max*10)</f>
        <v>5500</v>
      </c>
      <c r="AU1417" s="75">
        <f>AS1408</f>
        <v>2366.6402010833763</v>
      </c>
    </row>
    <row r="1418" spans="15:47" ht="14.5" x14ac:dyDescent="0.35">
      <c r="O1418" s="8"/>
      <c r="P1418" s="6"/>
      <c r="Q1418" s="60"/>
      <c r="R1418" s="67"/>
      <c r="S1418" s="66"/>
      <c r="T1418" s="74"/>
      <c r="V1418" s="11"/>
      <c r="W1418" s="38"/>
      <c r="Y1418" s="11"/>
      <c r="Z1418" s="38"/>
      <c r="AB1418" s="11"/>
      <c r="AC1418" s="38"/>
      <c r="AE1418" s="11"/>
      <c r="AF1418" s="38"/>
      <c r="AH1418" s="11"/>
      <c r="AI1418" s="38"/>
      <c r="AK1418" s="11"/>
      <c r="AL1418" s="38"/>
      <c r="AN1418" s="11"/>
      <c r="AO1418" s="38"/>
      <c r="AQ1418" s="11"/>
      <c r="AR1418" s="38"/>
      <c r="AT1418" s="11"/>
      <c r="AU1418" s="38"/>
    </row>
    <row r="1419" spans="15:47" ht="14" x14ac:dyDescent="0.3">
      <c r="O1419" s="8" t="s">
        <v>235</v>
      </c>
      <c r="P1419" s="6"/>
      <c r="Q1419" s="60"/>
      <c r="R1419" s="53">
        <f>R1408*1.02</f>
        <v>9.6986576370944473</v>
      </c>
      <c r="S1419" s="58" t="s">
        <v>238</v>
      </c>
      <c r="T1419" s="73" t="s">
        <v>241</v>
      </c>
      <c r="U1419" s="84">
        <f>U1408*1.01</f>
        <v>98.995168854792979</v>
      </c>
      <c r="V1419" s="58" t="s">
        <v>238</v>
      </c>
      <c r="W1419" s="73" t="s">
        <v>241</v>
      </c>
      <c r="X1419" s="84">
        <f>X1408*1.01</f>
        <v>237.62651219506893</v>
      </c>
      <c r="Y1419" s="58" t="s">
        <v>238</v>
      </c>
      <c r="Z1419" s="73" t="s">
        <v>241</v>
      </c>
      <c r="AA1419" s="84">
        <f>AA1408*1.01</f>
        <v>453.71609908701839</v>
      </c>
      <c r="AB1419" s="58" t="s">
        <v>238</v>
      </c>
      <c r="AC1419" s="73" t="s">
        <v>241</v>
      </c>
      <c r="AD1419" s="84">
        <f>AD1408*1.01</f>
        <v>746.19593464138279</v>
      </c>
      <c r="AE1419" s="58" t="s">
        <v>238</v>
      </c>
      <c r="AF1419" s="73" t="s">
        <v>241</v>
      </c>
      <c r="AG1419" s="84">
        <f>AG1408*1.01</f>
        <v>1110.9840652385215</v>
      </c>
      <c r="AH1419" s="58" t="s">
        <v>238</v>
      </c>
      <c r="AI1419" s="73" t="s">
        <v>241</v>
      </c>
      <c r="AJ1419" s="84">
        <f>AJ1408*1.01</f>
        <v>1482.6125418652312</v>
      </c>
      <c r="AK1419" s="58" t="s">
        <v>238</v>
      </c>
      <c r="AL1419" s="73" t="s">
        <v>241</v>
      </c>
      <c r="AM1419" s="84">
        <f>AM1408*1.01</f>
        <v>1809.069056685893</v>
      </c>
      <c r="AN1419" s="58" t="s">
        <v>238</v>
      </c>
      <c r="AO1419" s="73" t="s">
        <v>241</v>
      </c>
      <c r="AP1419" s="84">
        <f>AP1408*1.01</f>
        <v>2100.2730129328097</v>
      </c>
      <c r="AQ1419" s="58" t="s">
        <v>238</v>
      </c>
      <c r="AR1419" s="73" t="s">
        <v>241</v>
      </c>
      <c r="AS1419" s="84">
        <f>AS1408*1.01</f>
        <v>2390.30660309421</v>
      </c>
      <c r="AT1419" s="58" t="s">
        <v>238</v>
      </c>
      <c r="AU1419" s="73" t="s">
        <v>241</v>
      </c>
    </row>
    <row r="1420" spans="15:47" ht="13" x14ac:dyDescent="0.25">
      <c r="O1420" s="6"/>
      <c r="P1420" s="6"/>
      <c r="Q1420" s="60"/>
      <c r="R1420" s="70"/>
      <c r="S1420" s="63" t="s">
        <v>250</v>
      </c>
      <c r="T1420" s="71" t="s">
        <v>242</v>
      </c>
      <c r="U1420" s="61"/>
      <c r="V1420" s="63" t="s">
        <v>250</v>
      </c>
      <c r="W1420" s="71" t="s">
        <v>242</v>
      </c>
      <c r="X1420" s="61"/>
      <c r="Y1420" s="63" t="s">
        <v>250</v>
      </c>
      <c r="Z1420" s="71" t="s">
        <v>242</v>
      </c>
      <c r="AA1420" s="61"/>
      <c r="AB1420" s="63" t="s">
        <v>250</v>
      </c>
      <c r="AC1420" s="71" t="s">
        <v>242</v>
      </c>
      <c r="AD1420" s="61"/>
      <c r="AE1420" s="63" t="s">
        <v>250</v>
      </c>
      <c r="AF1420" s="71" t="s">
        <v>242</v>
      </c>
      <c r="AG1420" s="61"/>
      <c r="AH1420" s="63" t="s">
        <v>250</v>
      </c>
      <c r="AI1420" s="71" t="s">
        <v>242</v>
      </c>
      <c r="AJ1420" s="61"/>
      <c r="AK1420" s="63" t="s">
        <v>250</v>
      </c>
      <c r="AL1420" s="71" t="s">
        <v>242</v>
      </c>
      <c r="AM1420" s="61"/>
      <c r="AN1420" s="63" t="s">
        <v>250</v>
      </c>
      <c r="AO1420" s="71" t="s">
        <v>242</v>
      </c>
      <c r="AP1420" s="61"/>
      <c r="AQ1420" s="63" t="s">
        <v>250</v>
      </c>
      <c r="AR1420" s="71" t="s">
        <v>242</v>
      </c>
      <c r="AS1420" s="61"/>
      <c r="AT1420" s="63" t="s">
        <v>250</v>
      </c>
      <c r="AU1420" s="71" t="s">
        <v>242</v>
      </c>
    </row>
    <row r="1421" spans="15:47" ht="13" x14ac:dyDescent="0.3">
      <c r="O1421" s="6" t="s">
        <v>231</v>
      </c>
      <c r="P1421" s="6"/>
      <c r="Q1421" s="60"/>
      <c r="R1421" s="85">
        <f>P_1_minQ-(R1419^2*R_up)+dpup_minQ</f>
        <v>56.91296643161224</v>
      </c>
      <c r="S1421" s="56"/>
      <c r="T1421" s="72"/>
      <c r="U1421" s="53">
        <f>P_1_minQ-(U1419^2*R_up)+dpup_minQ</f>
        <v>56.585172460094938</v>
      </c>
      <c r="V1421" s="44"/>
      <c r="W1421" s="72"/>
      <c r="X1421" s="53">
        <f>P_1_minQ-(X1419^2*R_up)+dpup_minQ</f>
        <v>55.009140179061355</v>
      </c>
      <c r="Y1421" s="44"/>
      <c r="Z1421" s="72"/>
      <c r="AA1421" s="53">
        <f>P_1_minQ-(AA1419^2*R_up)+dpup_minQ</f>
        <v>49.963819703791252</v>
      </c>
      <c r="AB1421" s="44"/>
      <c r="AC1421" s="72"/>
      <c r="AD1421" s="53">
        <f>P_1_minQ-(AD1419^2*R_up)+dpup_minQ</f>
        <v>38.111402469593827</v>
      </c>
      <c r="AE1421" s="44"/>
      <c r="AF1421" s="72"/>
      <c r="AG1421" s="53">
        <f>P_1_minQ-(AG1419^2*R_up)+dpup_minQ</f>
        <v>15.231388273761855</v>
      </c>
      <c r="AH1421" s="44"/>
      <c r="AI1421" s="72"/>
      <c r="AJ1421" s="53">
        <f>P_1_minQ-(AJ1419^2*R_up)+dpup_minQ</f>
        <v>-17.320261712127053</v>
      </c>
      <c r="AK1421" s="44"/>
      <c r="AL1421" s="72"/>
      <c r="AM1421" s="53">
        <f>P_1_minQ-(AM1419^2*R_up)+dpup_minQ</f>
        <v>-53.61174778312688</v>
      </c>
      <c r="AN1421" s="44"/>
      <c r="AO1421" s="72"/>
      <c r="AP1421" s="53">
        <f>P_1_minQ-(AP1419^2*R_up)+dpup_minQ</f>
        <v>-92.058754773855526</v>
      </c>
      <c r="AQ1421" s="44"/>
      <c r="AR1421" s="72"/>
      <c r="AS1421" s="53">
        <f>P_1_minQ-(AS1419^2*R_up)+dpup_minQ</f>
        <v>-136.04453417074578</v>
      </c>
      <c r="AT1421" s="44"/>
      <c r="AU1421" s="72"/>
    </row>
    <row r="1422" spans="15:47" ht="13" x14ac:dyDescent="0.3">
      <c r="O1422" s="6" t="s">
        <v>233</v>
      </c>
      <c r="P1422" s="6"/>
      <c r="Q1422" s="60"/>
      <c r="R1422" s="85">
        <f>P_2_minQ+(R1419^2*R_dn)-dpdn_minQ</f>
        <v>24.657406713677553</v>
      </c>
      <c r="S1422" s="66"/>
      <c r="T1422" s="74"/>
      <c r="U1422" s="53">
        <f>P_2_minQ+(U1419^2*R_dn)-dpdn_minQ</f>
        <v>24.722965507981016</v>
      </c>
      <c r="V1422" s="45"/>
      <c r="W1422" s="74"/>
      <c r="X1422" s="53">
        <f>P_2_minQ+(X1419^2*R_dn)-dpdn_minQ</f>
        <v>25.038171964187729</v>
      </c>
      <c r="Y1422" s="45"/>
      <c r="Z1422" s="74"/>
      <c r="AA1422" s="53">
        <f>P_2_minQ+(AA1419^2*R_dn)-dpdn_minQ</f>
        <v>26.047236059241751</v>
      </c>
      <c r="AB1422" s="45"/>
      <c r="AC1422" s="74"/>
      <c r="AD1422" s="53">
        <f>P_2_minQ+(AD1419^2*R_dn)-dpdn_minQ</f>
        <v>28.417719506081237</v>
      </c>
      <c r="AE1422" s="45"/>
      <c r="AF1422" s="74"/>
      <c r="AG1422" s="53">
        <f>P_2_minQ+(AG1419^2*R_dn)-dpdn_minQ</f>
        <v>32.993722345247633</v>
      </c>
      <c r="AH1422" s="45"/>
      <c r="AI1422" s="74"/>
      <c r="AJ1422" s="53">
        <f>P_2_minQ+(AJ1419^2*R_dn)-dpdn_minQ</f>
        <v>39.50405234242541</v>
      </c>
      <c r="AK1422" s="45"/>
      <c r="AL1422" s="74"/>
      <c r="AM1422" s="53">
        <f>P_2_minQ+(AM1419^2*R_dn)-dpdn_minQ</f>
        <v>46.762349556625381</v>
      </c>
      <c r="AN1422" s="45"/>
      <c r="AO1422" s="74"/>
      <c r="AP1422" s="53">
        <f>P_2_minQ+(AP1419^2*R_dn)-dpdn_minQ</f>
        <v>54.451750954771107</v>
      </c>
      <c r="AQ1422" s="45"/>
      <c r="AR1422" s="74"/>
      <c r="AS1422" s="53">
        <f>P_2_minQ+(AS1419^2*R_dn)-dpdn_minQ</f>
        <v>63.248906834149153</v>
      </c>
      <c r="AT1422" s="45"/>
      <c r="AU1422" s="74"/>
    </row>
    <row r="1423" spans="15:47" x14ac:dyDescent="0.25">
      <c r="O1423" s="6" t="s">
        <v>243</v>
      </c>
      <c r="Q1423" s="60"/>
      <c r="R1423" s="53">
        <f>R1421-R1422</f>
        <v>32.255559717934688</v>
      </c>
      <c r="S1423" s="56"/>
      <c r="T1423" s="72"/>
      <c r="U1423" s="64">
        <f>U1421-U1422</f>
        <v>31.862206952113922</v>
      </c>
      <c r="V1423" s="44"/>
      <c r="W1423" s="72"/>
      <c r="X1423" s="64">
        <f>X1421-X1422</f>
        <v>29.970968214873626</v>
      </c>
      <c r="Y1423" s="44"/>
      <c r="Z1423" s="72"/>
      <c r="AA1423" s="64">
        <f>AA1421-AA1422</f>
        <v>23.916583644549501</v>
      </c>
      <c r="AB1423" s="44"/>
      <c r="AC1423" s="72"/>
      <c r="AD1423" s="64">
        <f>AD1421-AD1422</f>
        <v>9.6936829635125896</v>
      </c>
      <c r="AE1423" s="44"/>
      <c r="AF1423" s="72"/>
      <c r="AG1423" s="64">
        <f>AG1421-AG1422</f>
        <v>-17.762334071485778</v>
      </c>
      <c r="AH1423" s="44"/>
      <c r="AI1423" s="72"/>
      <c r="AJ1423" s="64">
        <f>AJ1421-AJ1422</f>
        <v>-56.82431405455246</v>
      </c>
      <c r="AK1423" s="44"/>
      <c r="AL1423" s="72"/>
      <c r="AM1423" s="64">
        <f>AM1421-AM1422</f>
        <v>-100.37409733975227</v>
      </c>
      <c r="AN1423" s="44"/>
      <c r="AO1423" s="72"/>
      <c r="AP1423" s="64">
        <f>AP1421-AP1422</f>
        <v>-146.51050572862664</v>
      </c>
      <c r="AQ1423" s="44"/>
      <c r="AR1423" s="72"/>
      <c r="AS1423" s="64">
        <f>AS1421-AS1422</f>
        <v>-199.29344100489493</v>
      </c>
      <c r="AT1423" s="44"/>
      <c r="AU1423" s="72"/>
    </row>
    <row r="1424" spans="15:47" ht="13" x14ac:dyDescent="0.3">
      <c r="O1424" s="6" t="s">
        <v>75</v>
      </c>
      <c r="P1424" s="6">
        <v>3</v>
      </c>
      <c r="Q1424" s="65"/>
      <c r="R1424" s="85">
        <f>(F_LP_h/F_P_h)^2*(R1421-('Valve Sizing'!$V$4*'Valve Sizing'!$G$7))</f>
        <v>46.762532714994535</v>
      </c>
      <c r="S1424" s="58"/>
      <c r="T1424" s="73"/>
      <c r="U1424" s="53">
        <f>(U$29/U$27)^2*(U1421-('Valve Sizing'!$V$4*'Valve Sizing'!$G$7))</f>
        <v>46.478430546864942</v>
      </c>
      <c r="V1424" s="41"/>
      <c r="W1424" s="73"/>
      <c r="X1424" s="53">
        <f>(X$29/X$27)^2*(X1421-('Valve Sizing'!$V$4*'Valve Sizing'!$G$7))</f>
        <v>44.15476764574975</v>
      </c>
      <c r="Y1424" s="41"/>
      <c r="Z1424" s="73"/>
      <c r="AA1424" s="53">
        <f>(AA$29/AA$27)^2*(AA1421-('Valve Sizing'!$V$4*'Valve Sizing'!$G$7))</f>
        <v>38.271825691481752</v>
      </c>
      <c r="AB1424" s="41"/>
      <c r="AC1424" s="73"/>
      <c r="AD1424" s="53">
        <f>(AD$29/AD$27)^2*(AD1421-('Valve Sizing'!$V$4*'Valve Sizing'!$G$7))</f>
        <v>27.168099481590637</v>
      </c>
      <c r="AE1424" s="41"/>
      <c r="AF1424" s="73"/>
      <c r="AG1424" s="53">
        <f>(AG$29/AG$27)^2*(AG1421-('Valve Sizing'!$V$4*'Valve Sizing'!$G$7))</f>
        <v>9.5262670059722012</v>
      </c>
      <c r="AH1424" s="41"/>
      <c r="AI1424" s="73"/>
      <c r="AJ1424" s="53">
        <f>(AJ$29/AJ$27)^2*(AJ1421-('Valve Sizing'!$V$4*'Valve Sizing'!$G$7))</f>
        <v>-10.271935314023697</v>
      </c>
      <c r="AK1424" s="41"/>
      <c r="AL1424" s="73"/>
      <c r="AM1424" s="53">
        <f>(AM$29/AM$27)^2*(AM1421-('Valve Sizing'!$V$4*'Valve Sizing'!$G$7))</f>
        <v>-25.862283528449652</v>
      </c>
      <c r="AN1424" s="41"/>
      <c r="AO1424" s="73"/>
      <c r="AP1424" s="53">
        <f>(AP$29/AP$27)^2*(AP1421-('Valve Sizing'!$V$4*'Valve Sizing'!$G$7))</f>
        <v>-36.502512888727885</v>
      </c>
      <c r="AQ1424" s="41"/>
      <c r="AR1424" s="73"/>
      <c r="AS1424" s="53">
        <f>(AS$29/AS$27)^2*(AS1421-('Valve Sizing'!$V$4*'Valve Sizing'!$G$7))</f>
        <v>-51.337422757522546</v>
      </c>
      <c r="AT1424" s="41"/>
      <c r="AU1424" s="73"/>
    </row>
    <row r="1425" spans="15:47" ht="13" x14ac:dyDescent="0.25">
      <c r="O1425" s="1" t="s">
        <v>69</v>
      </c>
      <c r="P1425" s="17">
        <v>7</v>
      </c>
      <c r="Q1425" s="65"/>
      <c r="R1425" s="53">
        <f>(R1419/(N_1*F_P_h))*SQRT('Valve Sizing'!$G$6/R1423)</f>
        <v>1.7079410090338467</v>
      </c>
      <c r="S1425" s="58"/>
      <c r="T1425" s="73"/>
      <c r="U1425" s="64">
        <f>(U1419/(N_1*U$27))*SQRT('Valve Sizing'!$G$6/U1423)</f>
        <v>17.552611646183088</v>
      </c>
      <c r="V1425" s="41"/>
      <c r="W1425" s="73"/>
      <c r="X1425" s="64">
        <f>(X1419/(N_1*X$27))*SQRT('Valve Sizing'!$G$6/X1423)</f>
        <v>43.539639088413104</v>
      </c>
      <c r="Y1425" s="41"/>
      <c r="Z1425" s="73"/>
      <c r="AA1425" s="64">
        <f>(AA1419/(N_1*AA$27))*SQRT('Valve Sizing'!$G$6/AA1423)</f>
        <v>93.597933592884175</v>
      </c>
      <c r="AB1425" s="41"/>
      <c r="AC1425" s="73"/>
      <c r="AD1425" s="64">
        <f>(AD1419/(N_1*AD$27))*SQRT('Valve Sizing'!$G$6/AD1423)</f>
        <v>244.83038654185037</v>
      </c>
      <c r="AE1425" s="41"/>
      <c r="AF1425" s="73"/>
      <c r="AG1425" s="64" t="e">
        <f>(AG1419/(N_1*AG$27))*SQRT('Valve Sizing'!$G$6/AG1423)</f>
        <v>#NUM!</v>
      </c>
      <c r="AH1425" s="41"/>
      <c r="AI1425" s="73"/>
      <c r="AJ1425" s="64" t="e">
        <f>(AJ1419/(N_1*AJ$27))*SQRT('Valve Sizing'!$G$6/AJ1423)</f>
        <v>#NUM!</v>
      </c>
      <c r="AK1425" s="41"/>
      <c r="AL1425" s="73"/>
      <c r="AM1425" s="64" t="e">
        <f>(AM1419/(N_1*AM$27))*SQRT('Valve Sizing'!$G$6/AM1423)</f>
        <v>#NUM!</v>
      </c>
      <c r="AN1425" s="41"/>
      <c r="AO1425" s="73"/>
      <c r="AP1425" s="64" t="e">
        <f>(AP1419/(N_1*AP$27))*SQRT('Valve Sizing'!$G$6/AP1423)</f>
        <v>#NUM!</v>
      </c>
      <c r="AQ1425" s="41"/>
      <c r="AR1425" s="73"/>
      <c r="AS1425" s="64" t="e">
        <f>(AS1419/(N_1*AS$27))*SQRT('Valve Sizing'!$G$6/AS1423)</f>
        <v>#NUM!</v>
      </c>
      <c r="AT1425" s="41"/>
      <c r="AU1425" s="73"/>
    </row>
    <row r="1426" spans="15:47" ht="13" x14ac:dyDescent="0.3">
      <c r="O1426" s="1" t="s">
        <v>72</v>
      </c>
      <c r="P1426" s="17">
        <v>7</v>
      </c>
      <c r="Q1426" s="65"/>
      <c r="R1426" s="53">
        <f>(R1419/(N_1*F_P_h))*SQRT('Valve Sizing'!$G$6/R1424)</f>
        <v>1.4184895644166939</v>
      </c>
      <c r="S1426" s="56"/>
      <c r="T1426" s="72"/>
      <c r="U1426" s="85">
        <f>(U1419/(N_1*U$27))*SQRT('Valve Sizing'!$G$6/U1424)</f>
        <v>14.532955503753069</v>
      </c>
      <c r="V1426" s="44"/>
      <c r="W1426" s="72"/>
      <c r="X1426" s="85">
        <f>(X1419/(N_1*X$27))*SQRT('Valve Sizing'!$G$6/X1424)</f>
        <v>35.871241631768228</v>
      </c>
      <c r="Y1426" s="44"/>
      <c r="Z1426" s="72"/>
      <c r="AA1426" s="85">
        <f>(AA1419/(N_1*AA$27))*SQRT('Valve Sizing'!$G$6/AA1424)</f>
        <v>73.990547728252395</v>
      </c>
      <c r="AB1426" s="44"/>
      <c r="AC1426" s="72"/>
      <c r="AD1426" s="85">
        <f>(AD1419/(N_1*AD$27))*SQRT('Valve Sizing'!$G$6/AD1424)</f>
        <v>146.24468612839269</v>
      </c>
      <c r="AE1426" s="44"/>
      <c r="AF1426" s="72"/>
      <c r="AG1426" s="85">
        <f>(AG1419/(N_1*AG$27))*SQRT('Valve Sizing'!$G$6/AG1424)</f>
        <v>375.91227695354075</v>
      </c>
      <c r="AH1426" s="44"/>
      <c r="AI1426" s="72"/>
      <c r="AJ1426" s="85" t="e">
        <f>(AJ1419/(N_1*AJ$27))*SQRT('Valve Sizing'!$G$6/AJ1424)</f>
        <v>#NUM!</v>
      </c>
      <c r="AK1426" s="44"/>
      <c r="AL1426" s="72"/>
      <c r="AM1426" s="85" t="e">
        <f>(AM1419/(N_1*AM$27))*SQRT('Valve Sizing'!$G$6/AM1424)</f>
        <v>#NUM!</v>
      </c>
      <c r="AN1426" s="44"/>
      <c r="AO1426" s="72"/>
      <c r="AP1426" s="85" t="e">
        <f>(AP1419/(N_1*AP$27))*SQRT('Valve Sizing'!$G$6/AP1424)</f>
        <v>#NUM!</v>
      </c>
      <c r="AQ1426" s="44"/>
      <c r="AR1426" s="72"/>
      <c r="AS1426" s="85" t="e">
        <f>(AS1419/(N_1*AS$27))*SQRT('Valve Sizing'!$G$6/AS1424)</f>
        <v>#NUM!</v>
      </c>
      <c r="AT1426" s="44"/>
      <c r="AU1426" s="72"/>
    </row>
    <row r="1427" spans="15:47" x14ac:dyDescent="0.25">
      <c r="O1427" s="1" t="s">
        <v>246</v>
      </c>
      <c r="P1427" s="18"/>
      <c r="Q1427" s="65"/>
      <c r="R1427" s="53">
        <f>IF(R1423&lt;R1424,R1425,R1426)</f>
        <v>1.7079410090338467</v>
      </c>
      <c r="S1427" s="49"/>
      <c r="T1427" s="72"/>
      <c r="U1427" s="64">
        <f>IF(U1423&lt;U1424,U1425,U1426)</f>
        <v>17.552611646183088</v>
      </c>
      <c r="V1427" s="44"/>
      <c r="W1427" s="72"/>
      <c r="X1427" s="64">
        <f>IF(X1423&lt;X1424,X1425,X1426)</f>
        <v>43.539639088413104</v>
      </c>
      <c r="Y1427" s="44"/>
      <c r="Z1427" s="72"/>
      <c r="AA1427" s="64">
        <f>IF(AA1423&lt;AA1424,AA1425,AA1426)</f>
        <v>93.597933592884175</v>
      </c>
      <c r="AB1427" s="44"/>
      <c r="AC1427" s="72"/>
      <c r="AD1427" s="64">
        <f>IF(AD1423&lt;AD1424,AD1425,AD1426)</f>
        <v>244.83038654185037</v>
      </c>
      <c r="AE1427" s="44"/>
      <c r="AF1427" s="72"/>
      <c r="AG1427" s="64" t="e">
        <f>IF(AG1423&lt;AG1424,AG1425,AG1426)</f>
        <v>#NUM!</v>
      </c>
      <c r="AH1427" s="44"/>
      <c r="AI1427" s="72"/>
      <c r="AJ1427" s="64" t="e">
        <f>IF(AJ1423&lt;AJ1424,AJ1425,AJ1426)</f>
        <v>#NUM!</v>
      </c>
      <c r="AK1427" s="44"/>
      <c r="AL1427" s="72"/>
      <c r="AM1427" s="64" t="e">
        <f>IF(AM1423&lt;AM1424,AM1425,AM1426)</f>
        <v>#NUM!</v>
      </c>
      <c r="AN1427" s="44"/>
      <c r="AO1427" s="72"/>
      <c r="AP1427" s="64" t="e">
        <f>IF(AP1423&lt;AP1424,AP1425,AP1426)</f>
        <v>#NUM!</v>
      </c>
      <c r="AQ1427" s="44"/>
      <c r="AR1427" s="72"/>
      <c r="AS1427" s="64" t="e">
        <f>IF(AS1423&lt;AS1424,AS1425,AS1426)</f>
        <v>#NUM!</v>
      </c>
      <c r="AT1427" s="44"/>
      <c r="AU1427" s="72"/>
    </row>
    <row r="1428" spans="15:47" ht="13" x14ac:dyDescent="0.3">
      <c r="O1428" s="7" t="s">
        <v>264</v>
      </c>
      <c r="Q1428" s="61"/>
      <c r="R1428" s="53"/>
      <c r="S1428" s="69">
        <f>IFERROR(ABS(C_h-R1427),Q_max*10)</f>
        <v>3.2920589909661535</v>
      </c>
      <c r="T1428" s="76">
        <f>R1419</f>
        <v>9.6986576370944473</v>
      </c>
      <c r="U1428" s="61"/>
      <c r="V1428" s="69">
        <f>IFERROR(ABS(U$23-U1427),Q_max*10)</f>
        <v>5.5526116461830881</v>
      </c>
      <c r="W1428" s="75">
        <f>U1419</f>
        <v>98.995168854792979</v>
      </c>
      <c r="X1428" s="61"/>
      <c r="Y1428" s="69">
        <f>IFERROR(ABS(X$23-X1427),Q_max*10)</f>
        <v>20.539639088413104</v>
      </c>
      <c r="Z1428" s="75">
        <f>X1419</f>
        <v>237.62651219506893</v>
      </c>
      <c r="AA1428" s="61"/>
      <c r="AB1428" s="69">
        <f>IFERROR(ABS(AA$23-AA1427),Q_max*10)</f>
        <v>54.597933592884175</v>
      </c>
      <c r="AC1428" s="75">
        <f>AA1419</f>
        <v>453.71609908701839</v>
      </c>
      <c r="AD1428" s="61"/>
      <c r="AE1428" s="69">
        <f>IFERROR(ABS(AD$23-AD1427),Q_max*10)</f>
        <v>183.83038654185037</v>
      </c>
      <c r="AF1428" s="75">
        <f>AD1419</f>
        <v>746.19593464138279</v>
      </c>
      <c r="AG1428" s="61"/>
      <c r="AH1428" s="69">
        <f>IFERROR(ABS(AG$23-AG1427),Q_max*10)</f>
        <v>5500</v>
      </c>
      <c r="AI1428" s="75">
        <f>AG1419</f>
        <v>1110.9840652385215</v>
      </c>
      <c r="AJ1428" s="61"/>
      <c r="AK1428" s="69">
        <f>IFERROR(ABS(AJ$23-AJ1427),Q_max*10)</f>
        <v>5500</v>
      </c>
      <c r="AL1428" s="75">
        <f>AJ1419</f>
        <v>1482.6125418652312</v>
      </c>
      <c r="AM1428" s="61"/>
      <c r="AN1428" s="69">
        <f>IFERROR(ABS(AM$23-AM1427),Q_max*10)</f>
        <v>5500</v>
      </c>
      <c r="AO1428" s="75">
        <f>AM1419</f>
        <v>1809.069056685893</v>
      </c>
      <c r="AP1428" s="61"/>
      <c r="AQ1428" s="69">
        <f>IFERROR(ABS(AP$23-AP1427),Q_max*10)</f>
        <v>5500</v>
      </c>
      <c r="AR1428" s="75">
        <f>AP1419</f>
        <v>2100.2730129328097</v>
      </c>
      <c r="AS1428" s="61"/>
      <c r="AT1428" s="69">
        <f>IFERROR(ABS(AS$23-AS1427),Q_max*10)</f>
        <v>5500</v>
      </c>
      <c r="AU1428" s="75">
        <f>AS1419</f>
        <v>2390.30660309421</v>
      </c>
    </row>
    <row r="1429" spans="15:47" ht="14.5" x14ac:dyDescent="0.35">
      <c r="O1429" s="6"/>
      <c r="P1429" s="6"/>
      <c r="Q1429" s="60"/>
      <c r="R1429" s="67"/>
      <c r="S1429" s="58"/>
      <c r="T1429" s="73"/>
      <c r="V1429" s="11"/>
      <c r="W1429" s="38"/>
      <c r="Y1429" s="11"/>
      <c r="Z1429" s="38"/>
      <c r="AB1429" s="11"/>
      <c r="AC1429" s="38"/>
      <c r="AE1429" s="11"/>
      <c r="AF1429" s="38"/>
      <c r="AH1429" s="11"/>
      <c r="AI1429" s="38"/>
      <c r="AK1429" s="11"/>
      <c r="AL1429" s="38"/>
      <c r="AN1429" s="11"/>
      <c r="AO1429" s="38"/>
      <c r="AQ1429" s="11"/>
      <c r="AR1429" s="38"/>
      <c r="AT1429" s="11"/>
      <c r="AU1429" s="38"/>
    </row>
    <row r="1430" spans="15:47" ht="14" x14ac:dyDescent="0.3">
      <c r="O1430" s="8" t="s">
        <v>235</v>
      </c>
      <c r="P1430" s="6"/>
      <c r="Q1430" s="60"/>
      <c r="R1430" s="53">
        <f>R1419*1.02</f>
        <v>9.8926307898363373</v>
      </c>
      <c r="S1430" s="58" t="s">
        <v>238</v>
      </c>
      <c r="T1430" s="73" t="s">
        <v>241</v>
      </c>
      <c r="U1430" s="84">
        <f>U1419*1.01</f>
        <v>99.985120543340912</v>
      </c>
      <c r="V1430" s="58" t="s">
        <v>238</v>
      </c>
      <c r="W1430" s="73" t="s">
        <v>241</v>
      </c>
      <c r="X1430" s="84">
        <f>X1419*1.01</f>
        <v>240.00277731701962</v>
      </c>
      <c r="Y1430" s="58" t="s">
        <v>238</v>
      </c>
      <c r="Z1430" s="73" t="s">
        <v>241</v>
      </c>
      <c r="AA1430" s="84">
        <f>AA1419*1.01</f>
        <v>458.25326007788857</v>
      </c>
      <c r="AB1430" s="58" t="s">
        <v>238</v>
      </c>
      <c r="AC1430" s="73" t="s">
        <v>241</v>
      </c>
      <c r="AD1430" s="84">
        <f>AD1419*1.01</f>
        <v>753.65789398779657</v>
      </c>
      <c r="AE1430" s="58" t="s">
        <v>238</v>
      </c>
      <c r="AF1430" s="73" t="s">
        <v>241</v>
      </c>
      <c r="AG1430" s="84">
        <f>AG1419*1.01</f>
        <v>1122.0939058909066</v>
      </c>
      <c r="AH1430" s="58" t="s">
        <v>238</v>
      </c>
      <c r="AI1430" s="73" t="s">
        <v>241</v>
      </c>
      <c r="AJ1430" s="84">
        <f>AJ1419*1.01</f>
        <v>1497.4386672838834</v>
      </c>
      <c r="AK1430" s="58" t="s">
        <v>238</v>
      </c>
      <c r="AL1430" s="73" t="s">
        <v>241</v>
      </c>
      <c r="AM1430" s="84">
        <f>AM1419*1.01</f>
        <v>1827.1597472527519</v>
      </c>
      <c r="AN1430" s="58" t="s">
        <v>238</v>
      </c>
      <c r="AO1430" s="73" t="s">
        <v>241</v>
      </c>
      <c r="AP1430" s="84">
        <f>AP1419*1.01</f>
        <v>2121.2757430621377</v>
      </c>
      <c r="AQ1430" s="58" t="s">
        <v>238</v>
      </c>
      <c r="AR1430" s="73" t="s">
        <v>241</v>
      </c>
      <c r="AS1430" s="84">
        <f>AS1419*1.01</f>
        <v>2414.2096691251522</v>
      </c>
      <c r="AT1430" s="58" t="s">
        <v>238</v>
      </c>
      <c r="AU1430" s="73" t="s">
        <v>241</v>
      </c>
    </row>
    <row r="1431" spans="15:47" ht="13" x14ac:dyDescent="0.25">
      <c r="O1431" s="6"/>
      <c r="P1431" s="6"/>
      <c r="Q1431" s="60"/>
      <c r="R1431" s="70"/>
      <c r="S1431" s="63" t="s">
        <v>250</v>
      </c>
      <c r="T1431" s="71" t="s">
        <v>242</v>
      </c>
      <c r="U1431" s="61"/>
      <c r="V1431" s="63" t="s">
        <v>250</v>
      </c>
      <c r="W1431" s="71" t="s">
        <v>242</v>
      </c>
      <c r="X1431" s="61"/>
      <c r="Y1431" s="63" t="s">
        <v>250</v>
      </c>
      <c r="Z1431" s="71" t="s">
        <v>242</v>
      </c>
      <c r="AA1431" s="61"/>
      <c r="AB1431" s="63" t="s">
        <v>250</v>
      </c>
      <c r="AC1431" s="71" t="s">
        <v>242</v>
      </c>
      <c r="AD1431" s="61"/>
      <c r="AE1431" s="63" t="s">
        <v>250</v>
      </c>
      <c r="AF1431" s="71" t="s">
        <v>242</v>
      </c>
      <c r="AG1431" s="61"/>
      <c r="AH1431" s="63" t="s">
        <v>250</v>
      </c>
      <c r="AI1431" s="71" t="s">
        <v>242</v>
      </c>
      <c r="AJ1431" s="61"/>
      <c r="AK1431" s="63" t="s">
        <v>250</v>
      </c>
      <c r="AL1431" s="71" t="s">
        <v>242</v>
      </c>
      <c r="AM1431" s="61"/>
      <c r="AN1431" s="63" t="s">
        <v>250</v>
      </c>
      <c r="AO1431" s="71" t="s">
        <v>242</v>
      </c>
      <c r="AP1431" s="61"/>
      <c r="AQ1431" s="63" t="s">
        <v>250</v>
      </c>
      <c r="AR1431" s="71" t="s">
        <v>242</v>
      </c>
      <c r="AS1431" s="61"/>
      <c r="AT1431" s="63" t="s">
        <v>250</v>
      </c>
      <c r="AU1431" s="71" t="s">
        <v>242</v>
      </c>
    </row>
    <row r="1432" spans="15:47" ht="13" x14ac:dyDescent="0.3">
      <c r="O1432" s="6" t="s">
        <v>231</v>
      </c>
      <c r="P1432" s="6"/>
      <c r="Q1432" s="60"/>
      <c r="R1432" s="85">
        <f>P_1_minQ-(R1430^2*R_up)+dpup_minQ</f>
        <v>56.912838090376766</v>
      </c>
      <c r="S1432" s="56"/>
      <c r="T1432" s="72"/>
      <c r="U1432" s="53">
        <f>P_1_minQ-(U1430^2*R_up)+dpup_minQ</f>
        <v>56.578519948326026</v>
      </c>
      <c r="V1432" s="44"/>
      <c r="W1432" s="72"/>
      <c r="X1432" s="53">
        <f>P_1_minQ-(X1430^2*R_up)+dpup_minQ</f>
        <v>54.970809418443672</v>
      </c>
      <c r="Y1432" s="44"/>
      <c r="Z1432" s="72"/>
      <c r="AA1432" s="53">
        <f>P_1_minQ-(AA1430^2*R_up)+dpup_minQ</f>
        <v>49.824078001620634</v>
      </c>
      <c r="AB1432" s="44"/>
      <c r="AC1432" s="72"/>
      <c r="AD1432" s="53">
        <f>P_1_minQ-(AD1430^2*R_up)+dpup_minQ</f>
        <v>37.733427181015848</v>
      </c>
      <c r="AE1432" s="44"/>
      <c r="AF1432" s="72"/>
      <c r="AG1432" s="53">
        <f>P_1_minQ-(AG1430^2*R_up)+dpup_minQ</f>
        <v>14.393524699847664</v>
      </c>
      <c r="AH1432" s="44"/>
      <c r="AI1432" s="72"/>
      <c r="AJ1432" s="53">
        <f>P_1_minQ-(AJ1430^2*R_up)+dpup_minQ</f>
        <v>-18.812413450757607</v>
      </c>
      <c r="AK1432" s="44"/>
      <c r="AL1432" s="72"/>
      <c r="AM1432" s="53">
        <f>P_1_minQ-(AM1430^2*R_up)+dpup_minQ</f>
        <v>-55.83335839178455</v>
      </c>
      <c r="AN1432" s="44"/>
      <c r="AO1432" s="72"/>
      <c r="AP1432" s="53">
        <f>P_1_minQ-(AP1430^2*R_up)+dpup_minQ</f>
        <v>-95.053150223026847</v>
      </c>
      <c r="AQ1432" s="44"/>
      <c r="AR1432" s="72"/>
      <c r="AS1432" s="53">
        <f>P_1_minQ-(AS1430^2*R_up)+dpup_minQ</f>
        <v>-139.92304378579459</v>
      </c>
      <c r="AT1432" s="44"/>
      <c r="AU1432" s="72"/>
    </row>
    <row r="1433" spans="15:47" ht="13" x14ac:dyDescent="0.3">
      <c r="O1433" s="6" t="s">
        <v>233</v>
      </c>
      <c r="P1433" s="6"/>
      <c r="Q1433" s="60"/>
      <c r="R1433" s="85">
        <f>P_2_minQ+(R1430^2*R_dn)-dpdn_minQ</f>
        <v>24.65743238192465</v>
      </c>
      <c r="S1433" s="66"/>
      <c r="T1433" s="74"/>
      <c r="U1433" s="53">
        <f>P_2_minQ+(U1430^2*R_dn)-dpdn_minQ</f>
        <v>24.724296010334797</v>
      </c>
      <c r="V1433" s="45"/>
      <c r="W1433" s="74"/>
      <c r="X1433" s="53">
        <f>P_2_minQ+(X1430^2*R_dn)-dpdn_minQ</f>
        <v>25.045838116311266</v>
      </c>
      <c r="Y1433" s="45"/>
      <c r="Z1433" s="74"/>
      <c r="AA1433" s="53">
        <f>P_2_minQ+(AA1430^2*R_dn)-dpdn_minQ</f>
        <v>26.075184399675873</v>
      </c>
      <c r="AB1433" s="45"/>
      <c r="AC1433" s="74"/>
      <c r="AD1433" s="53">
        <f>P_2_minQ+(AD1430^2*R_dn)-dpdn_minQ</f>
        <v>28.493314563796833</v>
      </c>
      <c r="AE1433" s="45"/>
      <c r="AF1433" s="74"/>
      <c r="AG1433" s="53">
        <f>P_2_minQ+(AG1430^2*R_dn)-dpdn_minQ</f>
        <v>33.161295060030469</v>
      </c>
      <c r="AH1433" s="45"/>
      <c r="AI1433" s="74"/>
      <c r="AJ1433" s="53">
        <f>P_2_minQ+(AJ1430^2*R_dn)-dpdn_minQ</f>
        <v>39.802482690151528</v>
      </c>
      <c r="AK1433" s="45"/>
      <c r="AL1433" s="74"/>
      <c r="AM1433" s="53">
        <f>P_2_minQ+(AM1430^2*R_dn)-dpdn_minQ</f>
        <v>47.206671678356912</v>
      </c>
      <c r="AN1433" s="45"/>
      <c r="AO1433" s="74"/>
      <c r="AP1433" s="53">
        <f>P_2_minQ+(AP1430^2*R_dn)-dpdn_minQ</f>
        <v>55.05063004460537</v>
      </c>
      <c r="AQ1433" s="45"/>
      <c r="AR1433" s="74"/>
      <c r="AS1433" s="53">
        <f>P_2_minQ+(AS1430^2*R_dn)-dpdn_minQ</f>
        <v>64.024608757158916</v>
      </c>
      <c r="AT1433" s="45"/>
      <c r="AU1433" s="74"/>
    </row>
    <row r="1434" spans="15:47" x14ac:dyDescent="0.25">
      <c r="O1434" s="6" t="s">
        <v>243</v>
      </c>
      <c r="Q1434" s="60"/>
      <c r="R1434" s="53">
        <f>R1432-R1433</f>
        <v>32.255405708452116</v>
      </c>
      <c r="S1434" s="56"/>
      <c r="T1434" s="72"/>
      <c r="U1434" s="64">
        <f>U1432-U1433</f>
        <v>31.854223937991229</v>
      </c>
      <c r="V1434" s="44"/>
      <c r="W1434" s="72"/>
      <c r="X1434" s="64">
        <f>X1432-X1433</f>
        <v>29.924971302132406</v>
      </c>
      <c r="Y1434" s="44"/>
      <c r="Z1434" s="72"/>
      <c r="AA1434" s="64">
        <f>AA1432-AA1433</f>
        <v>23.748893601944761</v>
      </c>
      <c r="AB1434" s="44"/>
      <c r="AC1434" s="72"/>
      <c r="AD1434" s="64">
        <f>AD1432-AD1433</f>
        <v>9.2401126172190153</v>
      </c>
      <c r="AE1434" s="44"/>
      <c r="AF1434" s="72"/>
      <c r="AG1434" s="64">
        <f>AG1432-AG1433</f>
        <v>-18.767770360182805</v>
      </c>
      <c r="AH1434" s="44"/>
      <c r="AI1434" s="72"/>
      <c r="AJ1434" s="64">
        <f>AJ1432-AJ1433</f>
        <v>-58.614896140909138</v>
      </c>
      <c r="AK1434" s="44"/>
      <c r="AL1434" s="72"/>
      <c r="AM1434" s="64">
        <f>AM1432-AM1433</f>
        <v>-103.04003007014146</v>
      </c>
      <c r="AN1434" s="44"/>
      <c r="AO1434" s="72"/>
      <c r="AP1434" s="64">
        <f>AP1432-AP1433</f>
        <v>-150.1037802676322</v>
      </c>
      <c r="AQ1434" s="44"/>
      <c r="AR1434" s="72"/>
      <c r="AS1434" s="64">
        <f>AS1432-AS1433</f>
        <v>-203.94765254295351</v>
      </c>
      <c r="AT1434" s="44"/>
      <c r="AU1434" s="72"/>
    </row>
    <row r="1435" spans="15:47" ht="13" x14ac:dyDescent="0.3">
      <c r="O1435" s="6" t="s">
        <v>75</v>
      </c>
      <c r="P1435" s="6">
        <v>3</v>
      </c>
      <c r="Q1435" s="65"/>
      <c r="R1435" s="85">
        <f>(F_LP_h/F_P_h)^2*(R1432-('Valve Sizing'!$V$4*'Valve Sizing'!$G$7))</f>
        <v>46.762426441714936</v>
      </c>
      <c r="S1435" s="58"/>
      <c r="T1435" s="73"/>
      <c r="U1435" s="53">
        <f>(U$29/U$27)^2*(U1432-('Valve Sizing'!$V$4*'Valve Sizing'!$G$7))</f>
        <v>46.472923419355027</v>
      </c>
      <c r="V1435" s="41"/>
      <c r="W1435" s="73"/>
      <c r="X1435" s="53">
        <f>(X$29/X$27)^2*(X1432-('Valve Sizing'!$V$4*'Valve Sizing'!$G$7))</f>
        <v>44.123752174151058</v>
      </c>
      <c r="Y1435" s="41"/>
      <c r="Z1435" s="73"/>
      <c r="AA1435" s="53">
        <f>(AA$29/AA$27)^2*(AA1432-('Valve Sizing'!$V$4*'Valve Sizing'!$G$7))</f>
        <v>38.163833692337114</v>
      </c>
      <c r="AB1435" s="41"/>
      <c r="AC1435" s="73"/>
      <c r="AD1435" s="53">
        <f>(AD$29/AD$27)^2*(AD1432-('Valve Sizing'!$V$4*'Valve Sizing'!$G$7))</f>
        <v>26.895508463244603</v>
      </c>
      <c r="AE1435" s="41"/>
      <c r="AF1435" s="73"/>
      <c r="AG1435" s="53">
        <f>(AG$29/AG$27)^2*(AG1432-('Valve Sizing'!$V$4*'Valve Sizing'!$G$7))</f>
        <v>8.9866460392761116</v>
      </c>
      <c r="AH1435" s="41"/>
      <c r="AI1435" s="73"/>
      <c r="AJ1435" s="53">
        <f>(AJ$29/AJ$27)^2*(AJ1432-('Valve Sizing'!$V$4*'Valve Sizing'!$G$7))</f>
        <v>-11.13494266254262</v>
      </c>
      <c r="AK1435" s="41"/>
      <c r="AL1435" s="73"/>
      <c r="AM1435" s="53">
        <f>(AM$29/AM$27)^2*(AM1432-('Valve Sizing'!$V$4*'Valve Sizing'!$G$7))</f>
        <v>-26.925262331291808</v>
      </c>
      <c r="AN1435" s="41"/>
      <c r="AO1435" s="73"/>
      <c r="AP1435" s="53">
        <f>(AP$29/AP$27)^2*(AP1432-('Valve Sizing'!$V$4*'Valve Sizing'!$G$7))</f>
        <v>-37.68418166469079</v>
      </c>
      <c r="AQ1435" s="41"/>
      <c r="AR1435" s="73"/>
      <c r="AS1435" s="53">
        <f>(AS$29/AS$27)^2*(AS1432-('Valve Sizing'!$V$4*'Valve Sizing'!$G$7))</f>
        <v>-52.796288444066306</v>
      </c>
      <c r="AT1435" s="41"/>
      <c r="AU1435" s="73"/>
    </row>
    <row r="1436" spans="15:47" ht="13" x14ac:dyDescent="0.25">
      <c r="O1436" s="1" t="s">
        <v>69</v>
      </c>
      <c r="P1436" s="17">
        <v>7</v>
      </c>
      <c r="Q1436" s="65"/>
      <c r="R1436" s="53">
        <f>(R1430/(N_1*F_P_h))*SQRT('Valve Sizing'!$G$6/R1434)</f>
        <v>1.7421039882007019</v>
      </c>
      <c r="S1436" s="58"/>
      <c r="T1436" s="73"/>
      <c r="U1436" s="64">
        <f>(U1430/(N_1*U$27))*SQRT('Valve Sizing'!$G$6/U1434)</f>
        <v>17.730359055316402</v>
      </c>
      <c r="V1436" s="41"/>
      <c r="W1436" s="73"/>
      <c r="X1436" s="64">
        <f>(X1430/(N_1*X$27))*SQRT('Valve Sizing'!$G$6/X1434)</f>
        <v>44.008818956979091</v>
      </c>
      <c r="Y1436" s="41"/>
      <c r="Z1436" s="73"/>
      <c r="AA1436" s="64">
        <f>(AA1430/(N_1*AA$27))*SQRT('Valve Sizing'!$G$6/AA1434)</f>
        <v>94.867076048325742</v>
      </c>
      <c r="AB1436" s="41"/>
      <c r="AC1436" s="73"/>
      <c r="AD1436" s="64">
        <f>(AD1430/(N_1*AD$27))*SQRT('Valve Sizing'!$G$6/AD1434)</f>
        <v>253.2750826502859</v>
      </c>
      <c r="AE1436" s="41"/>
      <c r="AF1436" s="73"/>
      <c r="AG1436" s="64" t="e">
        <f>(AG1430/(N_1*AG$27))*SQRT('Valve Sizing'!$G$6/AG1434)</f>
        <v>#NUM!</v>
      </c>
      <c r="AH1436" s="41"/>
      <c r="AI1436" s="73"/>
      <c r="AJ1436" s="64" t="e">
        <f>(AJ1430/(N_1*AJ$27))*SQRT('Valve Sizing'!$G$6/AJ1434)</f>
        <v>#NUM!</v>
      </c>
      <c r="AK1436" s="41"/>
      <c r="AL1436" s="73"/>
      <c r="AM1436" s="64" t="e">
        <f>(AM1430/(N_1*AM$27))*SQRT('Valve Sizing'!$G$6/AM1434)</f>
        <v>#NUM!</v>
      </c>
      <c r="AN1436" s="41"/>
      <c r="AO1436" s="73"/>
      <c r="AP1436" s="64" t="e">
        <f>(AP1430/(N_1*AP$27))*SQRT('Valve Sizing'!$G$6/AP1434)</f>
        <v>#NUM!</v>
      </c>
      <c r="AQ1436" s="41"/>
      <c r="AR1436" s="73"/>
      <c r="AS1436" s="64" t="e">
        <f>(AS1430/(N_1*AS$27))*SQRT('Valve Sizing'!$G$6/AS1434)</f>
        <v>#NUM!</v>
      </c>
      <c r="AT1436" s="41"/>
      <c r="AU1436" s="73"/>
    </row>
    <row r="1437" spans="15:47" ht="13" x14ac:dyDescent="0.3">
      <c r="O1437" s="1" t="s">
        <v>72</v>
      </c>
      <c r="P1437" s="17">
        <v>7</v>
      </c>
      <c r="Q1437" s="65"/>
      <c r="R1437" s="53">
        <f>(R1430/(N_1*F_P_h))*SQRT('Valve Sizing'!$G$6/R1435)</f>
        <v>1.4468609997856838</v>
      </c>
      <c r="S1437" s="56"/>
      <c r="T1437" s="72"/>
      <c r="U1437" s="85">
        <f>(U1430/(N_1*U$27))*SQRT('Valve Sizing'!$G$6/U1435)</f>
        <v>14.679154735011291</v>
      </c>
      <c r="V1437" s="44"/>
      <c r="W1437" s="72"/>
      <c r="X1437" s="85">
        <f>(X1430/(N_1*X$27))*SQRT('Valve Sizing'!$G$6/X1435)</f>
        <v>36.242685192411827</v>
      </c>
      <c r="Y1437" s="44"/>
      <c r="Z1437" s="72"/>
      <c r="AA1437" s="85">
        <f>(AA1430/(N_1*AA$27))*SQRT('Valve Sizing'!$G$6/AA1435)</f>
        <v>74.83611069859397</v>
      </c>
      <c r="AB1437" s="44"/>
      <c r="AC1437" s="72"/>
      <c r="AD1437" s="85">
        <f>(AD1430/(N_1*AD$27))*SQRT('Valve Sizing'!$G$6/AD1435)</f>
        <v>148.45376567963663</v>
      </c>
      <c r="AE1437" s="44"/>
      <c r="AF1437" s="72"/>
      <c r="AG1437" s="85">
        <f>(AG1430/(N_1*AG$27))*SQRT('Valve Sizing'!$G$6/AG1435)</f>
        <v>390.9042932048946</v>
      </c>
      <c r="AH1437" s="44"/>
      <c r="AI1437" s="72"/>
      <c r="AJ1437" s="85" t="e">
        <f>(AJ1430/(N_1*AJ$27))*SQRT('Valve Sizing'!$G$6/AJ1435)</f>
        <v>#NUM!</v>
      </c>
      <c r="AK1437" s="44"/>
      <c r="AL1437" s="72"/>
      <c r="AM1437" s="85" t="e">
        <f>(AM1430/(N_1*AM$27))*SQRT('Valve Sizing'!$G$6/AM1435)</f>
        <v>#NUM!</v>
      </c>
      <c r="AN1437" s="44"/>
      <c r="AO1437" s="72"/>
      <c r="AP1437" s="85" t="e">
        <f>(AP1430/(N_1*AP$27))*SQRT('Valve Sizing'!$G$6/AP1435)</f>
        <v>#NUM!</v>
      </c>
      <c r="AQ1437" s="44"/>
      <c r="AR1437" s="72"/>
      <c r="AS1437" s="85" t="e">
        <f>(AS1430/(N_1*AS$27))*SQRT('Valve Sizing'!$G$6/AS1435)</f>
        <v>#NUM!</v>
      </c>
      <c r="AT1437" s="44"/>
      <c r="AU1437" s="72"/>
    </row>
    <row r="1438" spans="15:47" x14ac:dyDescent="0.25">
      <c r="O1438" s="1" t="s">
        <v>246</v>
      </c>
      <c r="P1438" s="18"/>
      <c r="Q1438" s="65"/>
      <c r="R1438" s="53">
        <f>IF(R1434&lt;R1435,R1436,R1437)</f>
        <v>1.7421039882007019</v>
      </c>
      <c r="S1438" s="49"/>
      <c r="T1438" s="72"/>
      <c r="U1438" s="64">
        <f>IF(U1434&lt;U1435,U1436,U1437)</f>
        <v>17.730359055316402</v>
      </c>
      <c r="V1438" s="44"/>
      <c r="W1438" s="72"/>
      <c r="X1438" s="64">
        <f>IF(X1434&lt;X1435,X1436,X1437)</f>
        <v>44.008818956979091</v>
      </c>
      <c r="Y1438" s="44"/>
      <c r="Z1438" s="72"/>
      <c r="AA1438" s="64">
        <f>IF(AA1434&lt;AA1435,AA1436,AA1437)</f>
        <v>94.867076048325742</v>
      </c>
      <c r="AB1438" s="44"/>
      <c r="AC1438" s="72"/>
      <c r="AD1438" s="64">
        <f>IF(AD1434&lt;AD1435,AD1436,AD1437)</f>
        <v>253.2750826502859</v>
      </c>
      <c r="AE1438" s="44"/>
      <c r="AF1438" s="72"/>
      <c r="AG1438" s="64" t="e">
        <f>IF(AG1434&lt;AG1435,AG1436,AG1437)</f>
        <v>#NUM!</v>
      </c>
      <c r="AH1438" s="44"/>
      <c r="AI1438" s="72"/>
      <c r="AJ1438" s="64" t="e">
        <f>IF(AJ1434&lt;AJ1435,AJ1436,AJ1437)</f>
        <v>#NUM!</v>
      </c>
      <c r="AK1438" s="44"/>
      <c r="AL1438" s="72"/>
      <c r="AM1438" s="64" t="e">
        <f>IF(AM1434&lt;AM1435,AM1436,AM1437)</f>
        <v>#NUM!</v>
      </c>
      <c r="AN1438" s="44"/>
      <c r="AO1438" s="72"/>
      <c r="AP1438" s="64" t="e">
        <f>IF(AP1434&lt;AP1435,AP1436,AP1437)</f>
        <v>#NUM!</v>
      </c>
      <c r="AQ1438" s="44"/>
      <c r="AR1438" s="72"/>
      <c r="AS1438" s="64" t="e">
        <f>IF(AS1434&lt;AS1435,AS1436,AS1437)</f>
        <v>#NUM!</v>
      </c>
      <c r="AT1438" s="44"/>
      <c r="AU1438" s="72"/>
    </row>
    <row r="1439" spans="15:47" ht="13" x14ac:dyDescent="0.3">
      <c r="O1439" s="7" t="s">
        <v>264</v>
      </c>
      <c r="Q1439" s="61"/>
      <c r="R1439" s="53"/>
      <c r="S1439" s="69">
        <f>IFERROR(ABS(C_h-R1438),Q_max*10)</f>
        <v>3.2578960117992981</v>
      </c>
      <c r="T1439" s="76">
        <f>R1430</f>
        <v>9.8926307898363373</v>
      </c>
      <c r="U1439" s="61"/>
      <c r="V1439" s="69">
        <f>IFERROR(ABS(U$23-U1438),Q_max*10)</f>
        <v>5.7303590553164021</v>
      </c>
      <c r="W1439" s="75">
        <f>U1430</f>
        <v>99.985120543340912</v>
      </c>
      <c r="X1439" s="61"/>
      <c r="Y1439" s="69">
        <f>IFERROR(ABS(X$23-X1438),Q_max*10)</f>
        <v>21.008818956979091</v>
      </c>
      <c r="Z1439" s="75">
        <f>X1430</f>
        <v>240.00277731701962</v>
      </c>
      <c r="AA1439" s="61"/>
      <c r="AB1439" s="69">
        <f>IFERROR(ABS(AA$23-AA1438),Q_max*10)</f>
        <v>55.867076048325742</v>
      </c>
      <c r="AC1439" s="75">
        <f>AA1430</f>
        <v>458.25326007788857</v>
      </c>
      <c r="AD1439" s="61"/>
      <c r="AE1439" s="69">
        <f>IFERROR(ABS(AD$23-AD1438),Q_max*10)</f>
        <v>192.2750826502859</v>
      </c>
      <c r="AF1439" s="75">
        <f>AD1430</f>
        <v>753.65789398779657</v>
      </c>
      <c r="AG1439" s="61"/>
      <c r="AH1439" s="69">
        <f>IFERROR(ABS(AG$23-AG1438),Q_max*10)</f>
        <v>5500</v>
      </c>
      <c r="AI1439" s="75">
        <f>AG1430</f>
        <v>1122.0939058909066</v>
      </c>
      <c r="AJ1439" s="61"/>
      <c r="AK1439" s="69">
        <f>IFERROR(ABS(AJ$23-AJ1438),Q_max*10)</f>
        <v>5500</v>
      </c>
      <c r="AL1439" s="75">
        <f>AJ1430</f>
        <v>1497.4386672838834</v>
      </c>
      <c r="AM1439" s="61"/>
      <c r="AN1439" s="69">
        <f>IFERROR(ABS(AM$23-AM1438),Q_max*10)</f>
        <v>5500</v>
      </c>
      <c r="AO1439" s="75">
        <f>AM1430</f>
        <v>1827.1597472527519</v>
      </c>
      <c r="AP1439" s="61"/>
      <c r="AQ1439" s="69">
        <f>IFERROR(ABS(AP$23-AP1438),Q_max*10)</f>
        <v>5500</v>
      </c>
      <c r="AR1439" s="75">
        <f>AP1430</f>
        <v>2121.2757430621377</v>
      </c>
      <c r="AS1439" s="61"/>
      <c r="AT1439" s="69">
        <f>IFERROR(ABS(AS$23-AS1438),Q_max*10)</f>
        <v>5500</v>
      </c>
      <c r="AU1439" s="75">
        <f>AS1430</f>
        <v>2414.2096691251522</v>
      </c>
    </row>
    <row r="1440" spans="15:47" ht="14.5" x14ac:dyDescent="0.35">
      <c r="O1440" s="8"/>
      <c r="P1440" s="6"/>
      <c r="Q1440" s="60"/>
      <c r="R1440" s="67"/>
      <c r="S1440" s="56"/>
      <c r="T1440" s="72"/>
      <c r="V1440" s="11"/>
      <c r="W1440" s="38"/>
      <c r="Y1440" s="11"/>
      <c r="Z1440" s="38"/>
      <c r="AB1440" s="11"/>
      <c r="AC1440" s="38"/>
      <c r="AE1440" s="11"/>
      <c r="AF1440" s="38"/>
      <c r="AH1440" s="11"/>
      <c r="AI1440" s="38"/>
      <c r="AK1440" s="11"/>
      <c r="AL1440" s="38"/>
      <c r="AN1440" s="11"/>
      <c r="AO1440" s="38"/>
      <c r="AQ1440" s="11"/>
      <c r="AR1440" s="38"/>
      <c r="AT1440" s="11"/>
      <c r="AU1440" s="38"/>
    </row>
    <row r="1441" spans="15:47" ht="14" x14ac:dyDescent="0.3">
      <c r="O1441" s="8" t="s">
        <v>235</v>
      </c>
      <c r="P1441" s="6"/>
      <c r="Q1441" s="60"/>
      <c r="R1441" s="53">
        <f>R1430*1.02</f>
        <v>10.090483405633064</v>
      </c>
      <c r="S1441" s="58" t="s">
        <v>238</v>
      </c>
      <c r="T1441" s="73" t="s">
        <v>241</v>
      </c>
      <c r="U1441" s="84">
        <f>U1430*1.01</f>
        <v>100.98497174877433</v>
      </c>
      <c r="V1441" s="58" t="s">
        <v>238</v>
      </c>
      <c r="W1441" s="73" t="s">
        <v>241</v>
      </c>
      <c r="X1441" s="84">
        <f>X1430*1.01</f>
        <v>242.40280509018982</v>
      </c>
      <c r="Y1441" s="58" t="s">
        <v>238</v>
      </c>
      <c r="Z1441" s="73" t="s">
        <v>241</v>
      </c>
      <c r="AA1441" s="84">
        <f>AA1430*1.01</f>
        <v>462.83579267866747</v>
      </c>
      <c r="AB1441" s="58" t="s">
        <v>238</v>
      </c>
      <c r="AC1441" s="73" t="s">
        <v>241</v>
      </c>
      <c r="AD1441" s="84">
        <f>AD1430*1.01</f>
        <v>761.1944729276745</v>
      </c>
      <c r="AE1441" s="58" t="s">
        <v>238</v>
      </c>
      <c r="AF1441" s="73" t="s">
        <v>241</v>
      </c>
      <c r="AG1441" s="84">
        <f>AG1430*1.01</f>
        <v>1133.3148449498158</v>
      </c>
      <c r="AH1441" s="58" t="s">
        <v>238</v>
      </c>
      <c r="AI1441" s="73" t="s">
        <v>241</v>
      </c>
      <c r="AJ1441" s="84">
        <f>AJ1430*1.01</f>
        <v>1512.4130539567223</v>
      </c>
      <c r="AK1441" s="58" t="s">
        <v>238</v>
      </c>
      <c r="AL1441" s="73" t="s">
        <v>241</v>
      </c>
      <c r="AM1441" s="84">
        <f>AM1430*1.01</f>
        <v>1845.4313447252794</v>
      </c>
      <c r="AN1441" s="58" t="s">
        <v>238</v>
      </c>
      <c r="AO1441" s="73" t="s">
        <v>241</v>
      </c>
      <c r="AP1441" s="84">
        <f>AP1430*1.01</f>
        <v>2142.4885004927592</v>
      </c>
      <c r="AQ1441" s="58" t="s">
        <v>238</v>
      </c>
      <c r="AR1441" s="73" t="s">
        <v>241</v>
      </c>
      <c r="AS1441" s="84">
        <f>AS1430*1.01</f>
        <v>2438.3517658164037</v>
      </c>
      <c r="AT1441" s="58" t="s">
        <v>238</v>
      </c>
      <c r="AU1441" s="73" t="s">
        <v>241</v>
      </c>
    </row>
    <row r="1442" spans="15:47" ht="13" x14ac:dyDescent="0.25">
      <c r="O1442" s="6"/>
      <c r="P1442" s="6"/>
      <c r="Q1442" s="60"/>
      <c r="R1442" s="70"/>
      <c r="S1442" s="63" t="s">
        <v>250</v>
      </c>
      <c r="T1442" s="71" t="s">
        <v>242</v>
      </c>
      <c r="U1442" s="61"/>
      <c r="V1442" s="63" t="s">
        <v>250</v>
      </c>
      <c r="W1442" s="71" t="s">
        <v>242</v>
      </c>
      <c r="X1442" s="61"/>
      <c r="Y1442" s="63" t="s">
        <v>250</v>
      </c>
      <c r="Z1442" s="71" t="s">
        <v>242</v>
      </c>
      <c r="AA1442" s="61"/>
      <c r="AB1442" s="63" t="s">
        <v>250</v>
      </c>
      <c r="AC1442" s="71" t="s">
        <v>242</v>
      </c>
      <c r="AD1442" s="61"/>
      <c r="AE1442" s="63" t="s">
        <v>250</v>
      </c>
      <c r="AF1442" s="71" t="s">
        <v>242</v>
      </c>
      <c r="AG1442" s="61"/>
      <c r="AH1442" s="63" t="s">
        <v>250</v>
      </c>
      <c r="AI1442" s="71" t="s">
        <v>242</v>
      </c>
      <c r="AJ1442" s="61"/>
      <c r="AK1442" s="63" t="s">
        <v>250</v>
      </c>
      <c r="AL1442" s="71" t="s">
        <v>242</v>
      </c>
      <c r="AM1442" s="61"/>
      <c r="AN1442" s="63" t="s">
        <v>250</v>
      </c>
      <c r="AO1442" s="71" t="s">
        <v>242</v>
      </c>
      <c r="AP1442" s="61"/>
      <c r="AQ1442" s="63" t="s">
        <v>250</v>
      </c>
      <c r="AR1442" s="71" t="s">
        <v>242</v>
      </c>
      <c r="AS1442" s="61"/>
      <c r="AT1442" s="63" t="s">
        <v>250</v>
      </c>
      <c r="AU1442" s="71" t="s">
        <v>242</v>
      </c>
    </row>
    <row r="1443" spans="15:47" ht="13" x14ac:dyDescent="0.3">
      <c r="O1443" s="6" t="s">
        <v>231</v>
      </c>
      <c r="P1443" s="6"/>
      <c r="Q1443" s="60"/>
      <c r="R1443" s="85">
        <f>P_1_minQ-(R1441^2*R_up)+dpup_minQ</f>
        <v>56.912704564155376</v>
      </c>
      <c r="S1443" s="56"/>
      <c r="T1443" s="72"/>
      <c r="U1443" s="53">
        <f>P_1_minQ-(U1441^2*R_up)+dpup_minQ</f>
        <v>56.571733721070558</v>
      </c>
      <c r="V1443" s="44"/>
      <c r="W1443" s="72"/>
      <c r="X1443" s="53">
        <f>P_1_minQ-(X1441^2*R_up)+dpup_minQ</f>
        <v>54.931708209537568</v>
      </c>
      <c r="Y1443" s="44"/>
      <c r="Z1443" s="72"/>
      <c r="AA1443" s="53">
        <f>P_1_minQ-(AA1441^2*R_up)+dpup_minQ</f>
        <v>49.681527491236388</v>
      </c>
      <c r="AB1443" s="44"/>
      <c r="AC1443" s="72"/>
      <c r="AD1443" s="53">
        <f>P_1_minQ-(AD1441^2*R_up)+dpup_minQ</f>
        <v>37.347854589137448</v>
      </c>
      <c r="AE1443" s="44"/>
      <c r="AF1443" s="72"/>
      <c r="AG1443" s="53">
        <f>P_1_minQ-(AG1441^2*R_up)+dpup_minQ</f>
        <v>13.538820068097767</v>
      </c>
      <c r="AH1443" s="44"/>
      <c r="AI1443" s="72"/>
      <c r="AJ1443" s="53">
        <f>P_1_minQ-(AJ1441^2*R_up)+dpup_minQ</f>
        <v>-20.334557439334663</v>
      </c>
      <c r="AK1443" s="44"/>
      <c r="AL1443" s="72"/>
      <c r="AM1443" s="53">
        <f>P_1_minQ-(AM1441^2*R_up)+dpup_minQ</f>
        <v>-58.099623373676231</v>
      </c>
      <c r="AN1443" s="44"/>
      <c r="AO1443" s="72"/>
      <c r="AP1443" s="53">
        <f>P_1_minQ-(AP1441^2*R_up)+dpup_minQ</f>
        <v>-98.107733020726499</v>
      </c>
      <c r="AQ1443" s="44"/>
      <c r="AR1443" s="72"/>
      <c r="AS1443" s="53">
        <f>P_1_minQ-(AS1441^2*R_up)+dpup_minQ</f>
        <v>-143.87951144410587</v>
      </c>
      <c r="AT1443" s="44"/>
      <c r="AU1443" s="72"/>
    </row>
    <row r="1444" spans="15:47" ht="13" x14ac:dyDescent="0.3">
      <c r="O1444" s="6" t="s">
        <v>233</v>
      </c>
      <c r="P1444" s="6"/>
      <c r="Q1444" s="60"/>
      <c r="R1444" s="85">
        <f>P_2_minQ+(R1441^2*R_dn)-dpdn_minQ</f>
        <v>24.657459087168927</v>
      </c>
      <c r="S1444" s="66"/>
      <c r="T1444" s="74"/>
      <c r="U1444" s="53">
        <f>P_2_minQ+(U1441^2*R_dn)-dpdn_minQ</f>
        <v>24.72565325578589</v>
      </c>
      <c r="V1444" s="45"/>
      <c r="W1444" s="74"/>
      <c r="X1444" s="53">
        <f>P_2_minQ+(X1441^2*R_dn)-dpdn_minQ</f>
        <v>25.053658358092488</v>
      </c>
      <c r="Y1444" s="45"/>
      <c r="Z1444" s="74"/>
      <c r="AA1444" s="53">
        <f>P_2_minQ+(AA1441^2*R_dn)-dpdn_minQ</f>
        <v>26.103694501752724</v>
      </c>
      <c r="AB1444" s="45"/>
      <c r="AC1444" s="74"/>
      <c r="AD1444" s="53">
        <f>P_2_minQ+(AD1441^2*R_dn)-dpdn_minQ</f>
        <v>28.570429082172513</v>
      </c>
      <c r="AE1444" s="45"/>
      <c r="AF1444" s="74"/>
      <c r="AG1444" s="53">
        <f>P_2_minQ+(AG1441^2*R_dn)-dpdn_minQ</f>
        <v>33.332235986380454</v>
      </c>
      <c r="AH1444" s="45"/>
      <c r="AI1444" s="74"/>
      <c r="AJ1444" s="53">
        <f>P_2_minQ+(AJ1441^2*R_dn)-dpdn_minQ</f>
        <v>40.106911487866938</v>
      </c>
      <c r="AK1444" s="45"/>
      <c r="AL1444" s="74"/>
      <c r="AM1444" s="53">
        <f>P_2_minQ+(AM1441^2*R_dn)-dpdn_minQ</f>
        <v>47.659924674735251</v>
      </c>
      <c r="AN1444" s="45"/>
      <c r="AO1444" s="74"/>
      <c r="AP1444" s="53">
        <f>P_2_minQ+(AP1441^2*R_dn)-dpdn_minQ</f>
        <v>55.6615466041453</v>
      </c>
      <c r="AQ1444" s="45"/>
      <c r="AR1444" s="74"/>
      <c r="AS1444" s="53">
        <f>P_2_minQ+(AS1441^2*R_dn)-dpdn_minQ</f>
        <v>64.815902288821178</v>
      </c>
      <c r="AT1444" s="45"/>
      <c r="AU1444" s="74"/>
    </row>
    <row r="1445" spans="15:47" x14ac:dyDescent="0.25">
      <c r="O1445" s="6" t="s">
        <v>243</v>
      </c>
      <c r="Q1445" s="60"/>
      <c r="R1445" s="53">
        <f>R1443-R1444</f>
        <v>32.255245476986445</v>
      </c>
      <c r="S1445" s="56"/>
      <c r="T1445" s="72"/>
      <c r="U1445" s="64">
        <f>U1443-U1444</f>
        <v>31.846080465284668</v>
      </c>
      <c r="V1445" s="44"/>
      <c r="W1445" s="72"/>
      <c r="X1445" s="64">
        <f>X1443-X1444</f>
        <v>29.878049851445081</v>
      </c>
      <c r="Y1445" s="44"/>
      <c r="Z1445" s="72"/>
      <c r="AA1445" s="64">
        <f>AA1443-AA1444</f>
        <v>23.577832989483664</v>
      </c>
      <c r="AB1445" s="44"/>
      <c r="AC1445" s="72"/>
      <c r="AD1445" s="64">
        <f>AD1443-AD1444</f>
        <v>8.777425506964935</v>
      </c>
      <c r="AE1445" s="44"/>
      <c r="AF1445" s="72"/>
      <c r="AG1445" s="64">
        <f>AG1443-AG1444</f>
        <v>-19.793415918282687</v>
      </c>
      <c r="AH1445" s="44"/>
      <c r="AI1445" s="72"/>
      <c r="AJ1445" s="64">
        <f>AJ1443-AJ1444</f>
        <v>-60.441468927201598</v>
      </c>
      <c r="AK1445" s="44"/>
      <c r="AL1445" s="72"/>
      <c r="AM1445" s="64">
        <f>AM1443-AM1444</f>
        <v>-105.75954804841149</v>
      </c>
      <c r="AN1445" s="44"/>
      <c r="AO1445" s="72"/>
      <c r="AP1445" s="64">
        <f>AP1443-AP1444</f>
        <v>-153.76927962487179</v>
      </c>
      <c r="AQ1445" s="44"/>
      <c r="AR1445" s="72"/>
      <c r="AS1445" s="64">
        <f>AS1443-AS1444</f>
        <v>-208.69541373292705</v>
      </c>
      <c r="AT1445" s="44"/>
      <c r="AU1445" s="72"/>
    </row>
    <row r="1446" spans="15:47" ht="13" x14ac:dyDescent="0.3">
      <c r="O1446" s="6" t="s">
        <v>75</v>
      </c>
      <c r="P1446" s="6">
        <v>3</v>
      </c>
      <c r="Q1446" s="65"/>
      <c r="R1446" s="85">
        <f>(F_LP_h/F_P_h)^2*(R1443-('Valve Sizing'!$V$4*'Valve Sizing'!$G$7))</f>
        <v>46.762315874994847</v>
      </c>
      <c r="S1446" s="58"/>
      <c r="T1446" s="73"/>
      <c r="U1446" s="53">
        <f>(U$29/U$27)^2*(U1443-('Valve Sizing'!$V$4*'Valve Sizing'!$G$7))</f>
        <v>46.467305598582158</v>
      </c>
      <c r="V1446" s="41"/>
      <c r="W1446" s="73"/>
      <c r="X1446" s="53">
        <f>(X$29/X$27)^2*(X1443-('Valve Sizing'!$V$4*'Valve Sizing'!$G$7))</f>
        <v>44.092113291573227</v>
      </c>
      <c r="Y1446" s="41"/>
      <c r="Z1446" s="73"/>
      <c r="AA1446" s="53">
        <f>(AA$29/AA$27)^2*(AA1443-('Valve Sizing'!$V$4*'Valve Sizing'!$G$7))</f>
        <v>38.053671054009662</v>
      </c>
      <c r="AB1446" s="41"/>
      <c r="AC1446" s="73"/>
      <c r="AD1446" s="53">
        <f>(AD$29/AD$27)^2*(AD1443-('Valve Sizing'!$V$4*'Valve Sizing'!$G$7))</f>
        <v>26.617438365429809</v>
      </c>
      <c r="AE1446" s="41"/>
      <c r="AF1446" s="73"/>
      <c r="AG1446" s="53">
        <f>(AG$29/AG$27)^2*(AG1443-('Valve Sizing'!$V$4*'Valve Sizing'!$G$7))</f>
        <v>8.4361786911494114</v>
      </c>
      <c r="AH1446" s="41"/>
      <c r="AI1446" s="73"/>
      <c r="AJ1446" s="53">
        <f>(AJ$29/AJ$27)^2*(AJ1443-('Valve Sizing'!$V$4*'Valve Sizing'!$G$7))</f>
        <v>-12.015296458766789</v>
      </c>
      <c r="AK1446" s="41"/>
      <c r="AL1446" s="73"/>
      <c r="AM1446" s="53">
        <f>(AM$29/AM$27)^2*(AM1443-('Valve Sizing'!$V$4*'Valve Sizing'!$G$7))</f>
        <v>-28.009607008071089</v>
      </c>
      <c r="AN1446" s="41"/>
      <c r="AO1446" s="73"/>
      <c r="AP1446" s="53">
        <f>(AP$29/AP$27)^2*(AP1443-('Valve Sizing'!$V$4*'Valve Sizing'!$G$7))</f>
        <v>-38.889601983050547</v>
      </c>
      <c r="AQ1446" s="41"/>
      <c r="AR1446" s="73"/>
      <c r="AS1446" s="53">
        <f>(AS$29/AS$27)^2*(AS1443-('Valve Sizing'!$V$4*'Valve Sizing'!$G$7))</f>
        <v>-54.284477330909588</v>
      </c>
      <c r="AT1446" s="41"/>
      <c r="AU1446" s="73"/>
    </row>
    <row r="1447" spans="15:47" ht="13" x14ac:dyDescent="0.25">
      <c r="O1447" s="1" t="s">
        <v>69</v>
      </c>
      <c r="P1447" s="17">
        <v>7</v>
      </c>
      <c r="Q1447" s="65"/>
      <c r="R1447" s="53">
        <f>(R1441/(N_1*F_P_h))*SQRT('Valve Sizing'!$G$6/R1445)</f>
        <v>1.7769504815463693</v>
      </c>
      <c r="S1447" s="58"/>
      <c r="T1447" s="73"/>
      <c r="U1447" s="64">
        <f>(U1441/(N_1*U$27))*SQRT('Valve Sizing'!$G$6/U1445)</f>
        <v>17.909952115065543</v>
      </c>
      <c r="V1447" s="41"/>
      <c r="W1447" s="73"/>
      <c r="X1447" s="64">
        <f>(X1441/(N_1*X$27))*SQRT('Valve Sizing'!$G$6/X1445)</f>
        <v>44.483795451363129</v>
      </c>
      <c r="Y1447" s="41"/>
      <c r="Z1447" s="73"/>
      <c r="AA1447" s="64">
        <f>(AA1441/(N_1*AA$27))*SQRT('Valve Sizing'!$G$6/AA1445)</f>
        <v>96.162697251446474</v>
      </c>
      <c r="AB1447" s="41"/>
      <c r="AC1447" s="73"/>
      <c r="AD1447" s="64">
        <f>(AD1441/(N_1*AD$27))*SQRT('Valve Sizing'!$G$6/AD1445)</f>
        <v>262.46348768147129</v>
      </c>
      <c r="AE1447" s="41"/>
      <c r="AF1447" s="73"/>
      <c r="AG1447" s="64" t="e">
        <f>(AG1441/(N_1*AG$27))*SQRT('Valve Sizing'!$G$6/AG1445)</f>
        <v>#NUM!</v>
      </c>
      <c r="AH1447" s="41"/>
      <c r="AI1447" s="73"/>
      <c r="AJ1447" s="64" t="e">
        <f>(AJ1441/(N_1*AJ$27))*SQRT('Valve Sizing'!$G$6/AJ1445)</f>
        <v>#NUM!</v>
      </c>
      <c r="AK1447" s="41"/>
      <c r="AL1447" s="73"/>
      <c r="AM1447" s="64" t="e">
        <f>(AM1441/(N_1*AM$27))*SQRT('Valve Sizing'!$G$6/AM1445)</f>
        <v>#NUM!</v>
      </c>
      <c r="AN1447" s="41"/>
      <c r="AO1447" s="73"/>
      <c r="AP1447" s="64" t="e">
        <f>(AP1441/(N_1*AP$27))*SQRT('Valve Sizing'!$G$6/AP1445)</f>
        <v>#NUM!</v>
      </c>
      <c r="AQ1447" s="41"/>
      <c r="AR1447" s="73"/>
      <c r="AS1447" s="64" t="e">
        <f>(AS1441/(N_1*AS$27))*SQRT('Valve Sizing'!$G$6/AS1445)</f>
        <v>#NUM!</v>
      </c>
      <c r="AT1447" s="41"/>
      <c r="AU1447" s="73"/>
    </row>
    <row r="1448" spans="15:47" ht="13" x14ac:dyDescent="0.3">
      <c r="O1448" s="1" t="s">
        <v>72</v>
      </c>
      <c r="P1448" s="17">
        <v>7</v>
      </c>
      <c r="Q1448" s="65"/>
      <c r="R1448" s="53">
        <f>(R1441/(N_1*F_P_h))*SQRT('Valve Sizing'!$G$6/R1446)</f>
        <v>1.4757999644990101</v>
      </c>
      <c r="S1448" s="56"/>
      <c r="T1448" s="72"/>
      <c r="U1448" s="85">
        <f>(U1441/(N_1*U$27))*SQRT('Valve Sizing'!$G$6/U1446)</f>
        <v>14.826842471528074</v>
      </c>
      <c r="V1448" s="44"/>
      <c r="W1448" s="72"/>
      <c r="X1448" s="85">
        <f>(X1441/(N_1*X$27))*SQRT('Valve Sizing'!$G$6/X1446)</f>
        <v>36.61824293180338</v>
      </c>
      <c r="Y1448" s="44"/>
      <c r="Z1448" s="72"/>
      <c r="AA1448" s="85">
        <f>(AA1441/(N_1*AA$27))*SQRT('Valve Sizing'!$G$6/AA1446)</f>
        <v>75.693798541887972</v>
      </c>
      <c r="AB1448" s="44"/>
      <c r="AC1448" s="72"/>
      <c r="AD1448" s="85">
        <f>(AD1441/(N_1*AD$27))*SQRT('Valve Sizing'!$G$6/AD1446)</f>
        <v>150.71946475910835</v>
      </c>
      <c r="AE1448" s="44"/>
      <c r="AF1448" s="72"/>
      <c r="AG1448" s="85">
        <f>(AG1441/(N_1*AG$27))*SQRT('Valve Sizing'!$G$6/AG1446)</f>
        <v>407.49074277265356</v>
      </c>
      <c r="AH1448" s="44"/>
      <c r="AI1448" s="72"/>
      <c r="AJ1448" s="85" t="e">
        <f>(AJ1441/(N_1*AJ$27))*SQRT('Valve Sizing'!$G$6/AJ1446)</f>
        <v>#NUM!</v>
      </c>
      <c r="AK1448" s="44"/>
      <c r="AL1448" s="72"/>
      <c r="AM1448" s="85" t="e">
        <f>(AM1441/(N_1*AM$27))*SQRT('Valve Sizing'!$G$6/AM1446)</f>
        <v>#NUM!</v>
      </c>
      <c r="AN1448" s="44"/>
      <c r="AO1448" s="72"/>
      <c r="AP1448" s="85" t="e">
        <f>(AP1441/(N_1*AP$27))*SQRT('Valve Sizing'!$G$6/AP1446)</f>
        <v>#NUM!</v>
      </c>
      <c r="AQ1448" s="44"/>
      <c r="AR1448" s="72"/>
      <c r="AS1448" s="85" t="e">
        <f>(AS1441/(N_1*AS$27))*SQRT('Valve Sizing'!$G$6/AS1446)</f>
        <v>#NUM!</v>
      </c>
      <c r="AT1448" s="44"/>
      <c r="AU1448" s="72"/>
    </row>
    <row r="1449" spans="15:47" x14ac:dyDescent="0.25">
      <c r="O1449" s="1" t="s">
        <v>246</v>
      </c>
      <c r="P1449" s="18"/>
      <c r="Q1449" s="65"/>
      <c r="R1449" s="53">
        <f>IF(R1445&lt;R1446,R1447,R1448)</f>
        <v>1.7769504815463693</v>
      </c>
      <c r="S1449" s="49"/>
      <c r="T1449" s="72"/>
      <c r="U1449" s="64">
        <f>IF(U1445&lt;U1446,U1447,U1448)</f>
        <v>17.909952115065543</v>
      </c>
      <c r="V1449" s="44"/>
      <c r="W1449" s="72"/>
      <c r="X1449" s="64">
        <f>IF(X1445&lt;X1446,X1447,X1448)</f>
        <v>44.483795451363129</v>
      </c>
      <c r="Y1449" s="44"/>
      <c r="Z1449" s="72"/>
      <c r="AA1449" s="64">
        <f>IF(AA1445&lt;AA1446,AA1447,AA1448)</f>
        <v>96.162697251446474</v>
      </c>
      <c r="AB1449" s="44"/>
      <c r="AC1449" s="72"/>
      <c r="AD1449" s="64">
        <f>IF(AD1445&lt;AD1446,AD1447,AD1448)</f>
        <v>262.46348768147129</v>
      </c>
      <c r="AE1449" s="44"/>
      <c r="AF1449" s="72"/>
      <c r="AG1449" s="64" t="e">
        <f>IF(AG1445&lt;AG1446,AG1447,AG1448)</f>
        <v>#NUM!</v>
      </c>
      <c r="AH1449" s="44"/>
      <c r="AI1449" s="72"/>
      <c r="AJ1449" s="64" t="e">
        <f>IF(AJ1445&lt;AJ1446,AJ1447,AJ1448)</f>
        <v>#NUM!</v>
      </c>
      <c r="AK1449" s="44"/>
      <c r="AL1449" s="72"/>
      <c r="AM1449" s="64" t="e">
        <f>IF(AM1445&lt;AM1446,AM1447,AM1448)</f>
        <v>#NUM!</v>
      </c>
      <c r="AN1449" s="44"/>
      <c r="AO1449" s="72"/>
      <c r="AP1449" s="64" t="e">
        <f>IF(AP1445&lt;AP1446,AP1447,AP1448)</f>
        <v>#NUM!</v>
      </c>
      <c r="AQ1449" s="44"/>
      <c r="AR1449" s="72"/>
      <c r="AS1449" s="64" t="e">
        <f>IF(AS1445&lt;AS1446,AS1447,AS1448)</f>
        <v>#NUM!</v>
      </c>
      <c r="AT1449" s="44"/>
      <c r="AU1449" s="72"/>
    </row>
    <row r="1450" spans="15:47" ht="13" x14ac:dyDescent="0.3">
      <c r="O1450" s="7" t="s">
        <v>264</v>
      </c>
      <c r="Q1450" s="61"/>
      <c r="R1450" s="53"/>
      <c r="S1450" s="69">
        <f>IFERROR(ABS(C_h-R1449),Q_max*10)</f>
        <v>3.2230495184536307</v>
      </c>
      <c r="T1450" s="76">
        <f>R1441</f>
        <v>10.090483405633064</v>
      </c>
      <c r="U1450" s="61"/>
      <c r="V1450" s="69">
        <f>IFERROR(ABS(U$23-U1449),Q_max*10)</f>
        <v>5.9099521150655434</v>
      </c>
      <c r="W1450" s="75">
        <f>U1441</f>
        <v>100.98497174877433</v>
      </c>
      <c r="X1450" s="61"/>
      <c r="Y1450" s="69">
        <f>IFERROR(ABS(X$23-X1449),Q_max*10)</f>
        <v>21.483795451363129</v>
      </c>
      <c r="Z1450" s="75">
        <f>X1441</f>
        <v>242.40280509018982</v>
      </c>
      <c r="AA1450" s="61"/>
      <c r="AB1450" s="69">
        <f>IFERROR(ABS(AA$23-AA1449),Q_max*10)</f>
        <v>57.162697251446474</v>
      </c>
      <c r="AC1450" s="75">
        <f>AA1441</f>
        <v>462.83579267866747</v>
      </c>
      <c r="AD1450" s="61"/>
      <c r="AE1450" s="69">
        <f>IFERROR(ABS(AD$23-AD1449),Q_max*10)</f>
        <v>201.46348768147129</v>
      </c>
      <c r="AF1450" s="75">
        <f>AD1441</f>
        <v>761.1944729276745</v>
      </c>
      <c r="AG1450" s="61"/>
      <c r="AH1450" s="69">
        <f>IFERROR(ABS(AG$23-AG1449),Q_max*10)</f>
        <v>5500</v>
      </c>
      <c r="AI1450" s="75">
        <f>AG1441</f>
        <v>1133.3148449498158</v>
      </c>
      <c r="AJ1450" s="61"/>
      <c r="AK1450" s="69">
        <f>IFERROR(ABS(AJ$23-AJ1449),Q_max*10)</f>
        <v>5500</v>
      </c>
      <c r="AL1450" s="75">
        <f>AJ1441</f>
        <v>1512.4130539567223</v>
      </c>
      <c r="AM1450" s="61"/>
      <c r="AN1450" s="69">
        <f>IFERROR(ABS(AM$23-AM1449),Q_max*10)</f>
        <v>5500</v>
      </c>
      <c r="AO1450" s="75">
        <f>AM1441</f>
        <v>1845.4313447252794</v>
      </c>
      <c r="AP1450" s="61"/>
      <c r="AQ1450" s="69">
        <f>IFERROR(ABS(AP$23-AP1449),Q_max*10)</f>
        <v>5500</v>
      </c>
      <c r="AR1450" s="75">
        <f>AP1441</f>
        <v>2142.4885004927592</v>
      </c>
      <c r="AS1450" s="61"/>
      <c r="AT1450" s="69">
        <f>IFERROR(ABS(AS$23-AS1449),Q_max*10)</f>
        <v>5500</v>
      </c>
      <c r="AU1450" s="75">
        <f>AS1441</f>
        <v>2438.3517658164037</v>
      </c>
    </row>
    <row r="1451" spans="15:47" ht="14.5" x14ac:dyDescent="0.35">
      <c r="O1451" s="6"/>
      <c r="P1451" s="6"/>
      <c r="Q1451" s="60"/>
      <c r="R1451" s="67"/>
      <c r="S1451" s="66"/>
      <c r="T1451" s="74"/>
      <c r="V1451" s="11"/>
      <c r="W1451" s="38"/>
      <c r="Y1451" s="11"/>
      <c r="Z1451" s="38"/>
      <c r="AB1451" s="11"/>
      <c r="AC1451" s="38"/>
      <c r="AE1451" s="11"/>
      <c r="AF1451" s="38"/>
      <c r="AH1451" s="11"/>
      <c r="AI1451" s="38"/>
      <c r="AK1451" s="11"/>
      <c r="AL1451" s="38"/>
      <c r="AN1451" s="11"/>
      <c r="AO1451" s="38"/>
      <c r="AQ1451" s="11"/>
      <c r="AR1451" s="38"/>
      <c r="AT1451" s="11"/>
      <c r="AU1451" s="38"/>
    </row>
    <row r="1452" spans="15:47" ht="14" x14ac:dyDescent="0.3">
      <c r="O1452" s="8" t="s">
        <v>235</v>
      </c>
      <c r="P1452" s="6"/>
      <c r="Q1452" s="60"/>
      <c r="R1452" s="53">
        <f>R1441*1.02</f>
        <v>10.292293073745725</v>
      </c>
      <c r="S1452" s="58" t="s">
        <v>238</v>
      </c>
      <c r="T1452" s="73" t="s">
        <v>241</v>
      </c>
      <c r="U1452" s="84">
        <f>U1441*1.01</f>
        <v>101.99482146626207</v>
      </c>
      <c r="V1452" s="58" t="s">
        <v>238</v>
      </c>
      <c r="W1452" s="73" t="s">
        <v>241</v>
      </c>
      <c r="X1452" s="84">
        <f>X1441*1.01</f>
        <v>244.82683314109173</v>
      </c>
      <c r="Y1452" s="58" t="s">
        <v>238</v>
      </c>
      <c r="Z1452" s="73" t="s">
        <v>241</v>
      </c>
      <c r="AA1452" s="84">
        <f>AA1441*1.01</f>
        <v>467.46415060545417</v>
      </c>
      <c r="AB1452" s="58" t="s">
        <v>238</v>
      </c>
      <c r="AC1452" s="73" t="s">
        <v>241</v>
      </c>
      <c r="AD1452" s="84">
        <f>AD1441*1.01</f>
        <v>768.80641765695123</v>
      </c>
      <c r="AE1452" s="58" t="s">
        <v>238</v>
      </c>
      <c r="AF1452" s="73" t="s">
        <v>241</v>
      </c>
      <c r="AG1452" s="84">
        <f>AG1441*1.01</f>
        <v>1144.6479933993139</v>
      </c>
      <c r="AH1452" s="58" t="s">
        <v>238</v>
      </c>
      <c r="AI1452" s="73" t="s">
        <v>241</v>
      </c>
      <c r="AJ1452" s="84">
        <f>AJ1441*1.01</f>
        <v>1527.5371844962895</v>
      </c>
      <c r="AK1452" s="58" t="s">
        <v>238</v>
      </c>
      <c r="AL1452" s="73" t="s">
        <v>241</v>
      </c>
      <c r="AM1452" s="84">
        <f>AM1441*1.01</f>
        <v>1863.8856581725322</v>
      </c>
      <c r="AN1452" s="58" t="s">
        <v>238</v>
      </c>
      <c r="AO1452" s="73" t="s">
        <v>241</v>
      </c>
      <c r="AP1452" s="84">
        <f>AP1441*1.01</f>
        <v>2163.9133854976867</v>
      </c>
      <c r="AQ1452" s="58" t="s">
        <v>238</v>
      </c>
      <c r="AR1452" s="73" t="s">
        <v>241</v>
      </c>
      <c r="AS1452" s="84">
        <f>AS1441*1.01</f>
        <v>2462.735283474568</v>
      </c>
      <c r="AT1452" s="58" t="s">
        <v>238</v>
      </c>
      <c r="AU1452" s="73" t="s">
        <v>241</v>
      </c>
    </row>
    <row r="1453" spans="15:47" ht="13" x14ac:dyDescent="0.25">
      <c r="O1453" s="6"/>
      <c r="P1453" s="6"/>
      <c r="Q1453" s="60"/>
      <c r="R1453" s="70"/>
      <c r="S1453" s="63" t="s">
        <v>250</v>
      </c>
      <c r="T1453" s="71" t="s">
        <v>242</v>
      </c>
      <c r="U1453" s="61"/>
      <c r="V1453" s="63" t="s">
        <v>250</v>
      </c>
      <c r="W1453" s="71" t="s">
        <v>242</v>
      </c>
      <c r="X1453" s="61"/>
      <c r="Y1453" s="63" t="s">
        <v>250</v>
      </c>
      <c r="Z1453" s="71" t="s">
        <v>242</v>
      </c>
      <c r="AA1453" s="61"/>
      <c r="AB1453" s="63" t="s">
        <v>250</v>
      </c>
      <c r="AC1453" s="71" t="s">
        <v>242</v>
      </c>
      <c r="AD1453" s="61"/>
      <c r="AE1453" s="63" t="s">
        <v>250</v>
      </c>
      <c r="AF1453" s="71" t="s">
        <v>242</v>
      </c>
      <c r="AG1453" s="61"/>
      <c r="AH1453" s="63" t="s">
        <v>250</v>
      </c>
      <c r="AI1453" s="71" t="s">
        <v>242</v>
      </c>
      <c r="AJ1453" s="61"/>
      <c r="AK1453" s="63" t="s">
        <v>250</v>
      </c>
      <c r="AL1453" s="71" t="s">
        <v>242</v>
      </c>
      <c r="AM1453" s="61"/>
      <c r="AN1453" s="63" t="s">
        <v>250</v>
      </c>
      <c r="AO1453" s="71" t="s">
        <v>242</v>
      </c>
      <c r="AP1453" s="61"/>
      <c r="AQ1453" s="63" t="s">
        <v>250</v>
      </c>
      <c r="AR1453" s="71" t="s">
        <v>242</v>
      </c>
      <c r="AS1453" s="61"/>
      <c r="AT1453" s="63" t="s">
        <v>250</v>
      </c>
      <c r="AU1453" s="71" t="s">
        <v>242</v>
      </c>
    </row>
    <row r="1454" spans="15:47" ht="13" x14ac:dyDescent="0.3">
      <c r="O1454" s="6" t="s">
        <v>231</v>
      </c>
      <c r="P1454" s="6"/>
      <c r="Q1454" s="60"/>
      <c r="R1454" s="85">
        <f>P_1_minQ-(R1452^2*R_up)+dpup_minQ</f>
        <v>56.912565643474643</v>
      </c>
      <c r="S1454" s="56"/>
      <c r="T1454" s="72"/>
      <c r="U1454" s="53">
        <f>P_1_minQ-(U1452^2*R_up)+dpup_minQ</f>
        <v>56.564811090647261</v>
      </c>
      <c r="V1454" s="44"/>
      <c r="W1454" s="72"/>
      <c r="X1454" s="53">
        <f>P_1_minQ-(X1452^2*R_up)+dpup_minQ</f>
        <v>54.891821066332454</v>
      </c>
      <c r="Y1454" s="44"/>
      <c r="Z1454" s="72"/>
      <c r="AA1454" s="53">
        <f>P_1_minQ-(AA1452^2*R_up)+dpup_minQ</f>
        <v>49.536111715593421</v>
      </c>
      <c r="AB1454" s="44"/>
      <c r="AC1454" s="72"/>
      <c r="AD1454" s="53">
        <f>P_1_minQ-(AD1452^2*R_up)+dpup_minQ</f>
        <v>36.954531988162294</v>
      </c>
      <c r="AE1454" s="44"/>
      <c r="AF1454" s="72"/>
      <c r="AG1454" s="53">
        <f>P_1_minQ-(AG1452^2*R_up)+dpup_minQ</f>
        <v>12.666935873249717</v>
      </c>
      <c r="AH1454" s="44"/>
      <c r="AI1454" s="72"/>
      <c r="AJ1454" s="53">
        <f>P_1_minQ-(AJ1452^2*R_up)+dpup_minQ</f>
        <v>-21.887296522082099</v>
      </c>
      <c r="AK1454" s="44"/>
      <c r="AL1454" s="72"/>
      <c r="AM1454" s="53">
        <f>P_1_minQ-(AM1452^2*R_up)+dpup_minQ</f>
        <v>-60.411440281703939</v>
      </c>
      <c r="AN1454" s="44"/>
      <c r="AO1454" s="72"/>
      <c r="AP1454" s="53">
        <f>P_1_minQ-(AP1452^2*R_up)+dpup_minQ</f>
        <v>-101.22371293265991</v>
      </c>
      <c r="AQ1454" s="44"/>
      <c r="AR1454" s="72"/>
      <c r="AS1454" s="53">
        <f>P_1_minQ-(AS1452^2*R_up)+dpup_minQ</f>
        <v>-147.91550410234922</v>
      </c>
      <c r="AT1454" s="44"/>
      <c r="AU1454" s="72"/>
    </row>
    <row r="1455" spans="15:47" ht="13" x14ac:dyDescent="0.3">
      <c r="O1455" s="6" t="s">
        <v>233</v>
      </c>
      <c r="P1455" s="6"/>
      <c r="Q1455" s="60"/>
      <c r="R1455" s="85">
        <f>P_2_minQ+(R1452^2*R_dn)-dpdn_minQ</f>
        <v>24.657486871305075</v>
      </c>
      <c r="S1455" s="66"/>
      <c r="T1455" s="74"/>
      <c r="U1455" s="53">
        <f>P_2_minQ+(U1452^2*R_dn)-dpdn_minQ</f>
        <v>24.72703778187055</v>
      </c>
      <c r="V1455" s="45"/>
      <c r="W1455" s="74"/>
      <c r="X1455" s="53">
        <f>P_2_minQ+(X1452^2*R_dn)-dpdn_minQ</f>
        <v>25.061635786733511</v>
      </c>
      <c r="Y1455" s="45"/>
      <c r="Z1455" s="74"/>
      <c r="AA1455" s="53">
        <f>P_2_minQ+(AA1452^2*R_dn)-dpdn_minQ</f>
        <v>26.132777656881316</v>
      </c>
      <c r="AB1455" s="45"/>
      <c r="AC1455" s="74"/>
      <c r="AD1455" s="53">
        <f>P_2_minQ+(AD1452^2*R_dn)-dpdn_minQ</f>
        <v>28.649093602367543</v>
      </c>
      <c r="AE1455" s="45"/>
      <c r="AF1455" s="74"/>
      <c r="AG1455" s="53">
        <f>P_2_minQ+(AG1452^2*R_dn)-dpdn_minQ</f>
        <v>33.506612825350061</v>
      </c>
      <c r="AH1455" s="45"/>
      <c r="AI1455" s="74"/>
      <c r="AJ1455" s="53">
        <f>P_2_minQ+(AJ1452^2*R_dn)-dpdn_minQ</f>
        <v>40.417459304416425</v>
      </c>
      <c r="AK1455" s="45"/>
      <c r="AL1455" s="74"/>
      <c r="AM1455" s="53">
        <f>P_2_minQ+(AM1452^2*R_dn)-dpdn_minQ</f>
        <v>48.122288056340793</v>
      </c>
      <c r="AN1455" s="45"/>
      <c r="AO1455" s="74"/>
      <c r="AP1455" s="53">
        <f>P_2_minQ+(AP1452^2*R_dn)-dpdn_minQ</f>
        <v>56.284742586531983</v>
      </c>
      <c r="AQ1455" s="45"/>
      <c r="AR1455" s="74"/>
      <c r="AS1455" s="53">
        <f>P_2_minQ+(AS1452^2*R_dn)-dpdn_minQ</f>
        <v>65.623100820469844</v>
      </c>
      <c r="AT1455" s="45"/>
      <c r="AU1455" s="74"/>
    </row>
    <row r="1456" spans="15:47" x14ac:dyDescent="0.25">
      <c r="O1456" s="6" t="s">
        <v>243</v>
      </c>
      <c r="Q1456" s="60"/>
      <c r="R1456" s="53">
        <f>R1454-R1455</f>
        <v>32.255078772169568</v>
      </c>
      <c r="S1456" s="56"/>
      <c r="T1456" s="72"/>
      <c r="U1456" s="64">
        <f>U1454-U1455</f>
        <v>31.837773308776711</v>
      </c>
      <c r="V1456" s="44"/>
      <c r="W1456" s="72"/>
      <c r="X1456" s="64">
        <f>X1454-X1455</f>
        <v>29.830185279598943</v>
      </c>
      <c r="Y1456" s="44"/>
      <c r="Z1456" s="72"/>
      <c r="AA1456" s="64">
        <f>AA1454-AA1455</f>
        <v>23.403334058712105</v>
      </c>
      <c r="AB1456" s="44"/>
      <c r="AC1456" s="72"/>
      <c r="AD1456" s="64">
        <f>AD1454-AD1455</f>
        <v>8.3054383857947514</v>
      </c>
      <c r="AE1456" s="44"/>
      <c r="AF1456" s="72"/>
      <c r="AG1456" s="64">
        <f>AG1454-AG1455</f>
        <v>-20.839676952100344</v>
      </c>
      <c r="AH1456" s="44"/>
      <c r="AI1456" s="72"/>
      <c r="AJ1456" s="64">
        <f>AJ1454-AJ1455</f>
        <v>-62.304755826498521</v>
      </c>
      <c r="AK1456" s="44"/>
      <c r="AL1456" s="72"/>
      <c r="AM1456" s="64">
        <f>AM1454-AM1455</f>
        <v>-108.53372833804474</v>
      </c>
      <c r="AN1456" s="44"/>
      <c r="AO1456" s="72"/>
      <c r="AP1456" s="64">
        <f>AP1454-AP1455</f>
        <v>-157.5084555191919</v>
      </c>
      <c r="AQ1456" s="44"/>
      <c r="AR1456" s="72"/>
      <c r="AS1456" s="64">
        <f>AS1454-AS1455</f>
        <v>-213.53860492281905</v>
      </c>
      <c r="AT1456" s="44"/>
      <c r="AU1456" s="72"/>
    </row>
    <row r="1457" spans="15:47" ht="13" x14ac:dyDescent="0.3">
      <c r="O1457" s="6" t="s">
        <v>75</v>
      </c>
      <c r="P1457" s="6">
        <v>3</v>
      </c>
      <c r="Q1457" s="65"/>
      <c r="R1457" s="85">
        <f>(F_LP_h/F_P_h)^2*(R1454-('Valve Sizing'!$V$4*'Valve Sizing'!$G$7))</f>
        <v>46.762200841379261</v>
      </c>
      <c r="S1457" s="58"/>
      <c r="T1457" s="73"/>
      <c r="U1457" s="53">
        <f>(U$29/U$27)^2*(U1454-('Valve Sizing'!$V$4*'Valve Sizing'!$G$7))</f>
        <v>46.461574859611765</v>
      </c>
      <c r="V1457" s="41"/>
      <c r="W1457" s="73"/>
      <c r="X1457" s="53">
        <f>(X$29/X$27)^2*(X1454-('Valve Sizing'!$V$4*'Valve Sizing'!$G$7))</f>
        <v>44.059838467455592</v>
      </c>
      <c r="Y1457" s="41"/>
      <c r="Z1457" s="73"/>
      <c r="AA1457" s="53">
        <f>(AA$29/AA$27)^2*(AA1454-('Valve Sizing'!$V$4*'Valve Sizing'!$G$7))</f>
        <v>37.941294146651842</v>
      </c>
      <c r="AB1457" s="41"/>
      <c r="AC1457" s="73"/>
      <c r="AD1457" s="53">
        <f>(AD$29/AD$27)^2*(AD1454-('Valve Sizing'!$V$4*'Valve Sizing'!$G$7))</f>
        <v>26.33377905864894</v>
      </c>
      <c r="AE1457" s="41"/>
      <c r="AF1457" s="73"/>
      <c r="AG1457" s="53">
        <f>(AG$29/AG$27)^2*(AG1454-('Valve Sizing'!$V$4*'Valve Sizing'!$G$7))</f>
        <v>7.8746469493253768</v>
      </c>
      <c r="AH1457" s="41"/>
      <c r="AI1457" s="73"/>
      <c r="AJ1457" s="53">
        <f>(AJ$29/AJ$27)^2*(AJ1454-('Valve Sizing'!$V$4*'Valve Sizing'!$G$7))</f>
        <v>-12.913345366295054</v>
      </c>
      <c r="AK1457" s="41"/>
      <c r="AL1457" s="73"/>
      <c r="AM1457" s="53">
        <f>(AM$29/AM$27)^2*(AM1454-('Valve Sizing'!$V$4*'Valve Sizing'!$G$7))</f>
        <v>-29.115747012853632</v>
      </c>
      <c r="AN1457" s="41"/>
      <c r="AO1457" s="73"/>
      <c r="AP1457" s="53">
        <f>(AP$29/AP$27)^2*(AP1454-('Valve Sizing'!$V$4*'Valve Sizing'!$G$7))</f>
        <v>-40.119251249809338</v>
      </c>
      <c r="AQ1457" s="41"/>
      <c r="AR1457" s="73"/>
      <c r="AS1457" s="53">
        <f>(AS$29/AS$27)^2*(AS1454-('Valve Sizing'!$V$4*'Valve Sizing'!$G$7))</f>
        <v>-55.802578814378428</v>
      </c>
      <c r="AT1457" s="41"/>
      <c r="AU1457" s="73"/>
    </row>
    <row r="1458" spans="15:47" ht="13" x14ac:dyDescent="0.25">
      <c r="O1458" s="1" t="s">
        <v>69</v>
      </c>
      <c r="P1458" s="17">
        <v>7</v>
      </c>
      <c r="Q1458" s="65"/>
      <c r="R1458" s="53">
        <f>(R1452/(N_1*F_P_h))*SQRT('Valve Sizing'!$G$6/R1456)</f>
        <v>1.8124941749410604</v>
      </c>
      <c r="S1458" s="58"/>
      <c r="T1458" s="73"/>
      <c r="U1458" s="64">
        <f>(U1452/(N_1*U$27))*SQRT('Valve Sizing'!$G$6/U1456)</f>
        <v>18.091411392672335</v>
      </c>
      <c r="V1458" s="41"/>
      <c r="W1458" s="73"/>
      <c r="X1458" s="64">
        <f>(X1452/(N_1*X$27))*SQRT('Valve Sizing'!$G$6/X1456)</f>
        <v>44.964664490177341</v>
      </c>
      <c r="Y1458" s="41"/>
      <c r="Z1458" s="73"/>
      <c r="AA1458" s="64">
        <f>(AA1452/(N_1*AA$27))*SQRT('Valve Sizing'!$G$6/AA1456)</f>
        <v>97.485738884191292</v>
      </c>
      <c r="AB1458" s="41"/>
      <c r="AC1458" s="73"/>
      <c r="AD1458" s="64">
        <f>(AD1452/(N_1*AD$27))*SQRT('Valve Sizing'!$G$6/AD1456)</f>
        <v>272.51635102040535</v>
      </c>
      <c r="AE1458" s="41"/>
      <c r="AF1458" s="73"/>
      <c r="AG1458" s="64" t="e">
        <f>(AG1452/(N_1*AG$27))*SQRT('Valve Sizing'!$G$6/AG1456)</f>
        <v>#NUM!</v>
      </c>
      <c r="AH1458" s="41"/>
      <c r="AI1458" s="73"/>
      <c r="AJ1458" s="64" t="e">
        <f>(AJ1452/(N_1*AJ$27))*SQRT('Valve Sizing'!$G$6/AJ1456)</f>
        <v>#NUM!</v>
      </c>
      <c r="AK1458" s="41"/>
      <c r="AL1458" s="73"/>
      <c r="AM1458" s="64" t="e">
        <f>(AM1452/(N_1*AM$27))*SQRT('Valve Sizing'!$G$6/AM1456)</f>
        <v>#NUM!</v>
      </c>
      <c r="AN1458" s="41"/>
      <c r="AO1458" s="73"/>
      <c r="AP1458" s="64" t="e">
        <f>(AP1452/(N_1*AP$27))*SQRT('Valve Sizing'!$G$6/AP1456)</f>
        <v>#NUM!</v>
      </c>
      <c r="AQ1458" s="41"/>
      <c r="AR1458" s="73"/>
      <c r="AS1458" s="64" t="e">
        <f>(AS1452/(N_1*AS$27))*SQRT('Valve Sizing'!$G$6/AS1456)</f>
        <v>#NUM!</v>
      </c>
      <c r="AT1458" s="41"/>
      <c r="AU1458" s="73"/>
    </row>
    <row r="1459" spans="15:47" ht="13" x14ac:dyDescent="0.3">
      <c r="O1459" s="1" t="s">
        <v>72</v>
      </c>
      <c r="P1459" s="17">
        <v>7</v>
      </c>
      <c r="Q1459" s="65"/>
      <c r="R1459" s="53">
        <f>(R1452/(N_1*F_P_h))*SQRT('Valve Sizing'!$G$6/R1457)</f>
        <v>1.5053178153039779</v>
      </c>
      <c r="S1459" s="56"/>
      <c r="T1459" s="72"/>
      <c r="U1459" s="85">
        <f>(U1452/(N_1*U$27))*SQRT('Valve Sizing'!$G$6/U1457)</f>
        <v>14.976034409982741</v>
      </c>
      <c r="V1459" s="44"/>
      <c r="W1459" s="72"/>
      <c r="X1459" s="85">
        <f>(X1452/(N_1*X$27))*SQRT('Valve Sizing'!$G$6/X1457)</f>
        <v>36.997968843671337</v>
      </c>
      <c r="Y1459" s="44"/>
      <c r="Z1459" s="72"/>
      <c r="AA1459" s="85">
        <f>(AA1452/(N_1*AA$27))*SQRT('Valve Sizing'!$G$6/AA1457)</f>
        <v>76.563871112880548</v>
      </c>
      <c r="AB1459" s="44"/>
      <c r="AC1459" s="72"/>
      <c r="AD1459" s="85">
        <f>(AD1452/(N_1*AD$27))*SQRT('Valve Sizing'!$G$6/AD1457)</f>
        <v>153.0443325730057</v>
      </c>
      <c r="AE1459" s="44"/>
      <c r="AF1459" s="72"/>
      <c r="AG1459" s="85">
        <f>(AG1452/(N_1*AG$27))*SQRT('Valve Sizing'!$G$6/AG1457)</f>
        <v>425.98711204673373</v>
      </c>
      <c r="AH1459" s="44"/>
      <c r="AI1459" s="72"/>
      <c r="AJ1459" s="85" t="e">
        <f>(AJ1452/(N_1*AJ$27))*SQRT('Valve Sizing'!$G$6/AJ1457)</f>
        <v>#NUM!</v>
      </c>
      <c r="AK1459" s="44"/>
      <c r="AL1459" s="72"/>
      <c r="AM1459" s="85" t="e">
        <f>(AM1452/(N_1*AM$27))*SQRT('Valve Sizing'!$G$6/AM1457)</f>
        <v>#NUM!</v>
      </c>
      <c r="AN1459" s="44"/>
      <c r="AO1459" s="72"/>
      <c r="AP1459" s="85" t="e">
        <f>(AP1452/(N_1*AP$27))*SQRT('Valve Sizing'!$G$6/AP1457)</f>
        <v>#NUM!</v>
      </c>
      <c r="AQ1459" s="44"/>
      <c r="AR1459" s="72"/>
      <c r="AS1459" s="85" t="e">
        <f>(AS1452/(N_1*AS$27))*SQRT('Valve Sizing'!$G$6/AS1457)</f>
        <v>#NUM!</v>
      </c>
      <c r="AT1459" s="44"/>
      <c r="AU1459" s="72"/>
    </row>
    <row r="1460" spans="15:47" x14ac:dyDescent="0.25">
      <c r="O1460" s="1" t="s">
        <v>246</v>
      </c>
      <c r="P1460" s="18"/>
      <c r="Q1460" s="65"/>
      <c r="R1460" s="53">
        <f>IF(R1456&lt;R1457,R1458,R1459)</f>
        <v>1.8124941749410604</v>
      </c>
      <c r="S1460" s="49"/>
      <c r="T1460" s="72"/>
      <c r="U1460" s="64">
        <f>IF(U1456&lt;U1457,U1458,U1459)</f>
        <v>18.091411392672335</v>
      </c>
      <c r="V1460" s="44"/>
      <c r="W1460" s="72"/>
      <c r="X1460" s="64">
        <f>IF(X1456&lt;X1457,X1458,X1459)</f>
        <v>44.964664490177341</v>
      </c>
      <c r="Y1460" s="44"/>
      <c r="Z1460" s="72"/>
      <c r="AA1460" s="64">
        <f>IF(AA1456&lt;AA1457,AA1458,AA1459)</f>
        <v>97.485738884191292</v>
      </c>
      <c r="AB1460" s="44"/>
      <c r="AC1460" s="72"/>
      <c r="AD1460" s="64">
        <f>IF(AD1456&lt;AD1457,AD1458,AD1459)</f>
        <v>272.51635102040535</v>
      </c>
      <c r="AE1460" s="44"/>
      <c r="AF1460" s="72"/>
      <c r="AG1460" s="64" t="e">
        <f>IF(AG1456&lt;AG1457,AG1458,AG1459)</f>
        <v>#NUM!</v>
      </c>
      <c r="AH1460" s="44"/>
      <c r="AI1460" s="72"/>
      <c r="AJ1460" s="64" t="e">
        <f>IF(AJ1456&lt;AJ1457,AJ1458,AJ1459)</f>
        <v>#NUM!</v>
      </c>
      <c r="AK1460" s="44"/>
      <c r="AL1460" s="72"/>
      <c r="AM1460" s="64" t="e">
        <f>IF(AM1456&lt;AM1457,AM1458,AM1459)</f>
        <v>#NUM!</v>
      </c>
      <c r="AN1460" s="44"/>
      <c r="AO1460" s="72"/>
      <c r="AP1460" s="64" t="e">
        <f>IF(AP1456&lt;AP1457,AP1458,AP1459)</f>
        <v>#NUM!</v>
      </c>
      <c r="AQ1460" s="44"/>
      <c r="AR1460" s="72"/>
      <c r="AS1460" s="64" t="e">
        <f>IF(AS1456&lt;AS1457,AS1458,AS1459)</f>
        <v>#NUM!</v>
      </c>
      <c r="AT1460" s="44"/>
      <c r="AU1460" s="72"/>
    </row>
    <row r="1461" spans="15:47" ht="13" x14ac:dyDescent="0.3">
      <c r="O1461" s="7" t="s">
        <v>264</v>
      </c>
      <c r="Q1461" s="61"/>
      <c r="R1461" s="53"/>
      <c r="S1461" s="69">
        <f>IFERROR(ABS(C_h-R1460),Q_max*10)</f>
        <v>3.1875058250589396</v>
      </c>
      <c r="T1461" s="76">
        <f>R1452</f>
        <v>10.292293073745725</v>
      </c>
      <c r="U1461" s="61"/>
      <c r="V1461" s="69">
        <f>IFERROR(ABS(U$23-U1460),Q_max*10)</f>
        <v>6.0914113926723346</v>
      </c>
      <c r="W1461" s="75">
        <f>U1452</f>
        <v>101.99482146626207</v>
      </c>
      <c r="X1461" s="61"/>
      <c r="Y1461" s="69">
        <f>IFERROR(ABS(X$23-X1460),Q_max*10)</f>
        <v>21.964664490177341</v>
      </c>
      <c r="Z1461" s="75">
        <f>X1452</f>
        <v>244.82683314109173</v>
      </c>
      <c r="AA1461" s="61"/>
      <c r="AB1461" s="69">
        <f>IFERROR(ABS(AA$23-AA1460),Q_max*10)</f>
        <v>58.485738884191292</v>
      </c>
      <c r="AC1461" s="75">
        <f>AA1452</f>
        <v>467.46415060545417</v>
      </c>
      <c r="AD1461" s="61"/>
      <c r="AE1461" s="69">
        <f>IFERROR(ABS(AD$23-AD1460),Q_max*10)</f>
        <v>211.51635102040535</v>
      </c>
      <c r="AF1461" s="75">
        <f>AD1452</f>
        <v>768.80641765695123</v>
      </c>
      <c r="AG1461" s="61"/>
      <c r="AH1461" s="69">
        <f>IFERROR(ABS(AG$23-AG1460),Q_max*10)</f>
        <v>5500</v>
      </c>
      <c r="AI1461" s="75">
        <f>AG1452</f>
        <v>1144.6479933993139</v>
      </c>
      <c r="AJ1461" s="61"/>
      <c r="AK1461" s="69">
        <f>IFERROR(ABS(AJ$23-AJ1460),Q_max*10)</f>
        <v>5500</v>
      </c>
      <c r="AL1461" s="75">
        <f>AJ1452</f>
        <v>1527.5371844962895</v>
      </c>
      <c r="AM1461" s="61"/>
      <c r="AN1461" s="69">
        <f>IFERROR(ABS(AM$23-AM1460),Q_max*10)</f>
        <v>5500</v>
      </c>
      <c r="AO1461" s="75">
        <f>AM1452</f>
        <v>1863.8856581725322</v>
      </c>
      <c r="AP1461" s="61"/>
      <c r="AQ1461" s="69">
        <f>IFERROR(ABS(AP$23-AP1460),Q_max*10)</f>
        <v>5500</v>
      </c>
      <c r="AR1461" s="75">
        <f>AP1452</f>
        <v>2163.9133854976867</v>
      </c>
      <c r="AS1461" s="61"/>
      <c r="AT1461" s="69">
        <f>IFERROR(ABS(AS$23-AS1460),Q_max*10)</f>
        <v>5500</v>
      </c>
      <c r="AU1461" s="75">
        <f>AS1452</f>
        <v>2462.735283474568</v>
      </c>
    </row>
    <row r="1462" spans="15:47" ht="14.5" x14ac:dyDescent="0.35">
      <c r="O1462" s="6"/>
      <c r="P1462" s="6"/>
      <c r="Q1462" s="60"/>
      <c r="R1462" s="67"/>
      <c r="S1462" s="56"/>
      <c r="T1462" s="72"/>
      <c r="V1462" s="11"/>
      <c r="W1462" s="38"/>
      <c r="Y1462" s="11"/>
      <c r="Z1462" s="38"/>
      <c r="AB1462" s="11"/>
      <c r="AC1462" s="38"/>
      <c r="AE1462" s="11"/>
      <c r="AF1462" s="38"/>
      <c r="AH1462" s="11"/>
      <c r="AI1462" s="38"/>
      <c r="AK1462" s="11"/>
      <c r="AL1462" s="38"/>
      <c r="AN1462" s="11"/>
      <c r="AO1462" s="38"/>
      <c r="AQ1462" s="11"/>
      <c r="AR1462" s="38"/>
      <c r="AT1462" s="11"/>
      <c r="AU1462" s="38"/>
    </row>
    <row r="1463" spans="15:47" ht="14" x14ac:dyDescent="0.3">
      <c r="O1463" s="8" t="s">
        <v>235</v>
      </c>
      <c r="P1463" s="6"/>
      <c r="Q1463" s="60"/>
      <c r="R1463" s="53">
        <f>R1452*1.02</f>
        <v>10.49813893522064</v>
      </c>
      <c r="S1463" s="58" t="s">
        <v>238</v>
      </c>
      <c r="T1463" s="73" t="s">
        <v>241</v>
      </c>
      <c r="U1463" s="84">
        <f>U1452*1.01</f>
        <v>103.01476968092469</v>
      </c>
      <c r="V1463" s="58" t="s">
        <v>238</v>
      </c>
      <c r="W1463" s="73" t="s">
        <v>241</v>
      </c>
      <c r="X1463" s="84">
        <f>X1452*1.01</f>
        <v>247.27510147250266</v>
      </c>
      <c r="Y1463" s="58" t="s">
        <v>238</v>
      </c>
      <c r="Z1463" s="73" t="s">
        <v>241</v>
      </c>
      <c r="AA1463" s="84">
        <f>AA1452*1.01</f>
        <v>472.13879211150874</v>
      </c>
      <c r="AB1463" s="58" t="s">
        <v>238</v>
      </c>
      <c r="AC1463" s="73" t="s">
        <v>241</v>
      </c>
      <c r="AD1463" s="84">
        <f>AD1452*1.01</f>
        <v>776.49448183352069</v>
      </c>
      <c r="AE1463" s="58" t="s">
        <v>238</v>
      </c>
      <c r="AF1463" s="73" t="s">
        <v>241</v>
      </c>
      <c r="AG1463" s="84">
        <f>AG1452*1.01</f>
        <v>1156.0944733333072</v>
      </c>
      <c r="AH1463" s="58" t="s">
        <v>238</v>
      </c>
      <c r="AI1463" s="73" t="s">
        <v>241</v>
      </c>
      <c r="AJ1463" s="84">
        <f>AJ1452*1.01</f>
        <v>1542.8125563412523</v>
      </c>
      <c r="AK1463" s="58" t="s">
        <v>238</v>
      </c>
      <c r="AL1463" s="73" t="s">
        <v>241</v>
      </c>
      <c r="AM1463" s="84">
        <f>AM1452*1.01</f>
        <v>1882.5245147542576</v>
      </c>
      <c r="AN1463" s="58" t="s">
        <v>238</v>
      </c>
      <c r="AO1463" s="73" t="s">
        <v>241</v>
      </c>
      <c r="AP1463" s="84">
        <f>AP1452*1.01</f>
        <v>2185.5525193526637</v>
      </c>
      <c r="AQ1463" s="58" t="s">
        <v>238</v>
      </c>
      <c r="AR1463" s="73" t="s">
        <v>241</v>
      </c>
      <c r="AS1463" s="84">
        <f>AS1452*1.01</f>
        <v>2487.3626363093135</v>
      </c>
      <c r="AT1463" s="58" t="s">
        <v>238</v>
      </c>
      <c r="AU1463" s="73" t="s">
        <v>241</v>
      </c>
    </row>
    <row r="1464" spans="15:47" ht="13" x14ac:dyDescent="0.25">
      <c r="O1464" s="6"/>
      <c r="P1464" s="6"/>
      <c r="Q1464" s="60"/>
      <c r="R1464" s="70"/>
      <c r="S1464" s="63" t="s">
        <v>250</v>
      </c>
      <c r="T1464" s="71" t="s">
        <v>242</v>
      </c>
      <c r="U1464" s="61"/>
      <c r="V1464" s="63" t="s">
        <v>250</v>
      </c>
      <c r="W1464" s="71" t="s">
        <v>242</v>
      </c>
      <c r="X1464" s="61"/>
      <c r="Y1464" s="63" t="s">
        <v>250</v>
      </c>
      <c r="Z1464" s="71" t="s">
        <v>242</v>
      </c>
      <c r="AA1464" s="61"/>
      <c r="AB1464" s="63" t="s">
        <v>250</v>
      </c>
      <c r="AC1464" s="71" t="s">
        <v>242</v>
      </c>
      <c r="AD1464" s="61"/>
      <c r="AE1464" s="63" t="s">
        <v>250</v>
      </c>
      <c r="AF1464" s="71" t="s">
        <v>242</v>
      </c>
      <c r="AG1464" s="61"/>
      <c r="AH1464" s="63" t="s">
        <v>250</v>
      </c>
      <c r="AI1464" s="71" t="s">
        <v>242</v>
      </c>
      <c r="AJ1464" s="61"/>
      <c r="AK1464" s="63" t="s">
        <v>250</v>
      </c>
      <c r="AL1464" s="71" t="s">
        <v>242</v>
      </c>
      <c r="AM1464" s="61"/>
      <c r="AN1464" s="63" t="s">
        <v>250</v>
      </c>
      <c r="AO1464" s="71" t="s">
        <v>242</v>
      </c>
      <c r="AP1464" s="61"/>
      <c r="AQ1464" s="63" t="s">
        <v>250</v>
      </c>
      <c r="AR1464" s="71" t="s">
        <v>242</v>
      </c>
      <c r="AS1464" s="61"/>
      <c r="AT1464" s="63" t="s">
        <v>250</v>
      </c>
      <c r="AU1464" s="71" t="s">
        <v>242</v>
      </c>
    </row>
    <row r="1465" spans="15:47" ht="13" x14ac:dyDescent="0.3">
      <c r="O1465" s="6" t="s">
        <v>231</v>
      </c>
      <c r="P1465" s="6"/>
      <c r="Q1465" s="60"/>
      <c r="R1465" s="85">
        <f>P_1_minQ-(R1463^2*R_up)+dpup_minQ</f>
        <v>56.912421110398405</v>
      </c>
      <c r="S1465" s="56"/>
      <c r="T1465" s="72"/>
      <c r="U1465" s="53">
        <f>P_1_minQ-(U1463^2*R_up)+dpup_minQ</f>
        <v>56.557749315352453</v>
      </c>
      <c r="V1465" s="44"/>
      <c r="W1465" s="72"/>
      <c r="X1465" s="53">
        <f>P_1_minQ-(X1463^2*R_up)+dpup_minQ</f>
        <v>54.851132191548921</v>
      </c>
      <c r="Y1465" s="44"/>
      <c r="Z1465" s="72"/>
      <c r="AA1465" s="53">
        <f>P_1_minQ-(AA1463^2*R_up)+dpup_minQ</f>
        <v>49.387773082860029</v>
      </c>
      <c r="AB1465" s="44"/>
      <c r="AC1465" s="72"/>
      <c r="AD1465" s="53">
        <f>P_1_minQ-(AD1463^2*R_up)+dpup_minQ</f>
        <v>36.55330360290754</v>
      </c>
      <c r="AE1465" s="44"/>
      <c r="AF1465" s="72"/>
      <c r="AG1465" s="53">
        <f>P_1_minQ-(AG1463^2*R_up)+dpup_minQ</f>
        <v>11.777526806085216</v>
      </c>
      <c r="AH1465" s="44"/>
      <c r="AI1465" s="72"/>
      <c r="AJ1465" s="53">
        <f>P_1_minQ-(AJ1463^2*R_up)+dpup_minQ</f>
        <v>-23.471245660392771</v>
      </c>
      <c r="AK1465" s="44"/>
      <c r="AL1465" s="72"/>
      <c r="AM1465" s="53">
        <f>P_1_minQ-(AM1463^2*R_up)+dpup_minQ</f>
        <v>-62.769724709583009</v>
      </c>
      <c r="AN1465" s="44"/>
      <c r="AO1465" s="72"/>
      <c r="AP1465" s="53">
        <f>P_1_minQ-(AP1463^2*R_up)+dpup_minQ</f>
        <v>-104.4023240408232</v>
      </c>
      <c r="AQ1465" s="44"/>
      <c r="AR1465" s="72"/>
      <c r="AS1465" s="53">
        <f>P_1_minQ-(AS1463^2*R_up)+dpup_minQ</f>
        <v>-152.03262021302325</v>
      </c>
      <c r="AT1465" s="44"/>
      <c r="AU1465" s="72"/>
    </row>
    <row r="1466" spans="15:47" ht="13" x14ac:dyDescent="0.3">
      <c r="O1466" s="6" t="s">
        <v>233</v>
      </c>
      <c r="P1466" s="6"/>
      <c r="Q1466" s="60"/>
      <c r="R1466" s="85">
        <f>P_2_minQ+(R1463^2*R_dn)-dpdn_minQ</f>
        <v>24.65751577792032</v>
      </c>
      <c r="S1466" s="66"/>
      <c r="T1466" s="74"/>
      <c r="U1466" s="53">
        <f>P_2_minQ+(U1463^2*R_dn)-dpdn_minQ</f>
        <v>24.72845013692951</v>
      </c>
      <c r="V1466" s="45"/>
      <c r="W1466" s="74"/>
      <c r="X1466" s="53">
        <f>P_2_minQ+(X1463^2*R_dn)-dpdn_minQ</f>
        <v>25.069773561690216</v>
      </c>
      <c r="Y1466" s="45"/>
      <c r="Z1466" s="74"/>
      <c r="AA1466" s="53">
        <f>P_2_minQ+(AA1463^2*R_dn)-dpdn_minQ</f>
        <v>26.162445383427993</v>
      </c>
      <c r="AB1466" s="45"/>
      <c r="AC1466" s="74"/>
      <c r="AD1466" s="53">
        <f>P_2_minQ+(AD1463^2*R_dn)-dpdn_minQ</f>
        <v>28.729339279418493</v>
      </c>
      <c r="AE1466" s="45"/>
      <c r="AF1466" s="74"/>
      <c r="AG1466" s="53">
        <f>P_2_minQ+(AG1463^2*R_dn)-dpdn_minQ</f>
        <v>33.684494638782965</v>
      </c>
      <c r="AH1466" s="45"/>
      <c r="AI1466" s="74"/>
      <c r="AJ1466" s="53">
        <f>P_2_minQ+(AJ1463^2*R_dn)-dpdn_minQ</f>
        <v>40.73424913207856</v>
      </c>
      <c r="AK1466" s="45"/>
      <c r="AL1466" s="74"/>
      <c r="AM1466" s="53">
        <f>P_2_minQ+(AM1463^2*R_dn)-dpdn_minQ</f>
        <v>48.593944941916604</v>
      </c>
      <c r="AN1466" s="45"/>
      <c r="AO1466" s="74"/>
      <c r="AP1466" s="53">
        <f>P_2_minQ+(AP1463^2*R_dn)-dpdn_minQ</f>
        <v>56.920464808164645</v>
      </c>
      <c r="AQ1466" s="45"/>
      <c r="AR1466" s="74"/>
      <c r="AS1466" s="53">
        <f>P_2_minQ+(AS1463^2*R_dn)-dpdn_minQ</f>
        <v>66.446524042604651</v>
      </c>
      <c r="AT1466" s="45"/>
      <c r="AU1466" s="74"/>
    </row>
    <row r="1467" spans="15:47" x14ac:dyDescent="0.25">
      <c r="O1467" s="6" t="s">
        <v>243</v>
      </c>
      <c r="Q1467" s="60"/>
      <c r="R1467" s="53">
        <f>R1465-R1466</f>
        <v>32.254905332478089</v>
      </c>
      <c r="S1467" s="56"/>
      <c r="T1467" s="72"/>
      <c r="U1467" s="64">
        <f>U1465-U1466</f>
        <v>31.829299178422943</v>
      </c>
      <c r="V1467" s="44"/>
      <c r="W1467" s="72"/>
      <c r="X1467" s="64">
        <f>X1465-X1466</f>
        <v>29.781358629858705</v>
      </c>
      <c r="Y1467" s="44"/>
      <c r="Z1467" s="72"/>
      <c r="AA1467" s="64">
        <f>AA1465-AA1466</f>
        <v>23.225327699432036</v>
      </c>
      <c r="AB1467" s="44"/>
      <c r="AC1467" s="72"/>
      <c r="AD1467" s="64">
        <f>AD1465-AD1466</f>
        <v>7.8239643234890472</v>
      </c>
      <c r="AE1467" s="44"/>
      <c r="AF1467" s="72"/>
      <c r="AG1467" s="64">
        <f>AG1465-AG1466</f>
        <v>-21.906967832697749</v>
      </c>
      <c r="AH1467" s="44"/>
      <c r="AI1467" s="72"/>
      <c r="AJ1467" s="64">
        <f>AJ1465-AJ1466</f>
        <v>-64.205494792471328</v>
      </c>
      <c r="AK1467" s="44"/>
      <c r="AL1467" s="72"/>
      <c r="AM1467" s="64">
        <f>AM1465-AM1466</f>
        <v>-111.36366965149961</v>
      </c>
      <c r="AN1467" s="44"/>
      <c r="AO1467" s="72"/>
      <c r="AP1467" s="64">
        <f>AP1465-AP1466</f>
        <v>-161.32278884898784</v>
      </c>
      <c r="AQ1467" s="44"/>
      <c r="AR1467" s="72"/>
      <c r="AS1467" s="64">
        <f>AS1465-AS1466</f>
        <v>-218.47914425562789</v>
      </c>
      <c r="AT1467" s="44"/>
      <c r="AU1467" s="72"/>
    </row>
    <row r="1468" spans="15:47" ht="13" x14ac:dyDescent="0.3">
      <c r="O1468" s="6" t="s">
        <v>75</v>
      </c>
      <c r="P1468" s="6">
        <v>3</v>
      </c>
      <c r="Q1468" s="65"/>
      <c r="R1468" s="85">
        <f>(F_LP_h/F_P_h)^2*(R1465-('Valve Sizing'!$V$4*'Valve Sizing'!$G$7))</f>
        <v>46.7620811604056</v>
      </c>
      <c r="S1468" s="58"/>
      <c r="T1468" s="73"/>
      <c r="U1468" s="53">
        <f>(U$29/U$27)^2*(U1465-('Valve Sizing'!$V$4*'Valve Sizing'!$G$7))</f>
        <v>46.455728932788062</v>
      </c>
      <c r="V1468" s="41"/>
      <c r="W1468" s="73"/>
      <c r="X1468" s="53">
        <f>(X$29/X$27)^2*(X1465-('Valve Sizing'!$V$4*'Valve Sizing'!$G$7))</f>
        <v>44.026914919373183</v>
      </c>
      <c r="Y1468" s="41"/>
      <c r="Z1468" s="73"/>
      <c r="AA1468" s="53">
        <f>(AA$29/AA$27)^2*(AA1465-('Valve Sizing'!$V$4*'Valve Sizing'!$G$7))</f>
        <v>37.82665846345612</v>
      </c>
      <c r="AB1468" s="41"/>
      <c r="AC1468" s="73"/>
      <c r="AD1468" s="53">
        <f>(AD$29/AD$27)^2*(AD1465-('Valve Sizing'!$V$4*'Valve Sizing'!$G$7))</f>
        <v>26.044418199801772</v>
      </c>
      <c r="AE1468" s="41"/>
      <c r="AF1468" s="73"/>
      <c r="AG1468" s="53">
        <f>(AG$29/AG$27)^2*(AG1465-('Valve Sizing'!$V$4*'Valve Sizing'!$G$7))</f>
        <v>7.3018284194906764</v>
      </c>
      <c r="AH1468" s="41"/>
      <c r="AI1468" s="73"/>
      <c r="AJ1468" s="53">
        <f>(AJ$29/AJ$27)^2*(AJ1465-('Valve Sizing'!$V$4*'Valve Sizing'!$G$7))</f>
        <v>-13.829445056864643</v>
      </c>
      <c r="AK1468" s="41"/>
      <c r="AL1468" s="73"/>
      <c r="AM1468" s="53">
        <f>(AM$29/AM$27)^2*(AM1465-('Valve Sizing'!$V$4*'Valve Sizing'!$G$7))</f>
        <v>-30.244120431732309</v>
      </c>
      <c r="AN1468" s="41"/>
      <c r="AO1468" s="73"/>
      <c r="AP1468" s="53">
        <f>(AP$29/AP$27)^2*(AP1465-('Valve Sizing'!$V$4*'Valve Sizing'!$G$7))</f>
        <v>-41.373616466829986</v>
      </c>
      <c r="AQ1468" s="41"/>
      <c r="AR1468" s="73"/>
      <c r="AS1468" s="53">
        <f>(AS$29/AS$27)^2*(AS1465-('Valve Sizing'!$V$4*'Valve Sizing'!$G$7))</f>
        <v>-57.35119413766499</v>
      </c>
      <c r="AT1468" s="41"/>
      <c r="AU1468" s="73"/>
    </row>
    <row r="1469" spans="15:47" ht="13" x14ac:dyDescent="0.25">
      <c r="O1469" s="1" t="s">
        <v>69</v>
      </c>
      <c r="P1469" s="17">
        <v>7</v>
      </c>
      <c r="Q1469" s="65"/>
      <c r="R1469" s="53">
        <f>(R1463/(N_1*F_P_h))*SQRT('Valve Sizing'!$G$6/R1467)</f>
        <v>1.8487490289267698</v>
      </c>
      <c r="S1469" s="58"/>
      <c r="T1469" s="73"/>
      <c r="U1469" s="64">
        <f>(U1463/(N_1*U$27))*SQRT('Valve Sizing'!$G$6/U1467)</f>
        <v>18.274757727342429</v>
      </c>
      <c r="V1469" s="41"/>
      <c r="W1469" s="73"/>
      <c r="X1469" s="64">
        <f>(X1463/(N_1*X$27))*SQRT('Valve Sizing'!$G$6/X1467)</f>
        <v>45.451524355673882</v>
      </c>
      <c r="Y1469" s="41"/>
      <c r="Z1469" s="73"/>
      <c r="AA1469" s="64">
        <f>(AA1463/(N_1*AA$27))*SQRT('Valve Sizing'!$G$6/AA1467)</f>
        <v>98.837192853008915</v>
      </c>
      <c r="AB1469" s="41"/>
      <c r="AC1469" s="73"/>
      <c r="AD1469" s="64">
        <f>(AD1463/(N_1*AD$27))*SQRT('Valve Sizing'!$G$6/AD1467)</f>
        <v>283.58404214711459</v>
      </c>
      <c r="AE1469" s="41"/>
      <c r="AF1469" s="73"/>
      <c r="AG1469" s="64" t="e">
        <f>(AG1463/(N_1*AG$27))*SQRT('Valve Sizing'!$G$6/AG1467)</f>
        <v>#NUM!</v>
      </c>
      <c r="AH1469" s="41"/>
      <c r="AI1469" s="73"/>
      <c r="AJ1469" s="64" t="e">
        <f>(AJ1463/(N_1*AJ$27))*SQRT('Valve Sizing'!$G$6/AJ1467)</f>
        <v>#NUM!</v>
      </c>
      <c r="AK1469" s="41"/>
      <c r="AL1469" s="73"/>
      <c r="AM1469" s="64" t="e">
        <f>(AM1463/(N_1*AM$27))*SQRT('Valve Sizing'!$G$6/AM1467)</f>
        <v>#NUM!</v>
      </c>
      <c r="AN1469" s="41"/>
      <c r="AO1469" s="73"/>
      <c r="AP1469" s="64" t="e">
        <f>(AP1463/(N_1*AP$27))*SQRT('Valve Sizing'!$G$6/AP1467)</f>
        <v>#NUM!</v>
      </c>
      <c r="AQ1469" s="41"/>
      <c r="AR1469" s="73"/>
      <c r="AS1469" s="64" t="e">
        <f>(AS1463/(N_1*AS$27))*SQRT('Valve Sizing'!$G$6/AS1467)</f>
        <v>#NUM!</v>
      </c>
      <c r="AT1469" s="41"/>
      <c r="AU1469" s="73"/>
    </row>
    <row r="1470" spans="15:47" ht="13" x14ac:dyDescent="0.3">
      <c r="O1470" s="1" t="s">
        <v>72</v>
      </c>
      <c r="P1470" s="17">
        <v>7</v>
      </c>
      <c r="Q1470" s="65"/>
      <c r="R1470" s="53">
        <f>(R1463/(N_1*F_P_h))*SQRT('Valve Sizing'!$G$6/R1468)</f>
        <v>1.5354261364599713</v>
      </c>
      <c r="S1470" s="56"/>
      <c r="T1470" s="72"/>
      <c r="U1470" s="85">
        <f>(U1463/(N_1*U$27))*SQRT('Valve Sizing'!$G$6/U1468)</f>
        <v>15.126746429039462</v>
      </c>
      <c r="V1470" s="44"/>
      <c r="W1470" s="72"/>
      <c r="X1470" s="85">
        <f>(X1463/(N_1*X$27))*SQRT('Valve Sizing'!$G$6/X1468)</f>
        <v>37.381917890795116</v>
      </c>
      <c r="Y1470" s="44"/>
      <c r="Z1470" s="72"/>
      <c r="AA1470" s="85">
        <f>(AA1463/(N_1*AA$27))*SQRT('Valve Sizing'!$G$6/AA1468)</f>
        <v>77.446596760262352</v>
      </c>
      <c r="AB1470" s="44"/>
      <c r="AC1470" s="72"/>
      <c r="AD1470" s="85">
        <f>(AD1463/(N_1*AD$27))*SQRT('Valve Sizing'!$G$6/AD1468)</f>
        <v>155.43108875770176</v>
      </c>
      <c r="AE1470" s="44"/>
      <c r="AF1470" s="72"/>
      <c r="AG1470" s="85">
        <f>(AG1463/(N_1*AG$27))*SQRT('Valve Sizing'!$G$6/AG1468)</f>
        <v>446.804530301554</v>
      </c>
      <c r="AH1470" s="44"/>
      <c r="AI1470" s="72"/>
      <c r="AJ1470" s="85" t="e">
        <f>(AJ1463/(N_1*AJ$27))*SQRT('Valve Sizing'!$G$6/AJ1468)</f>
        <v>#NUM!</v>
      </c>
      <c r="AK1470" s="44"/>
      <c r="AL1470" s="72"/>
      <c r="AM1470" s="85" t="e">
        <f>(AM1463/(N_1*AM$27))*SQRT('Valve Sizing'!$G$6/AM1468)</f>
        <v>#NUM!</v>
      </c>
      <c r="AN1470" s="44"/>
      <c r="AO1470" s="72"/>
      <c r="AP1470" s="85" t="e">
        <f>(AP1463/(N_1*AP$27))*SQRT('Valve Sizing'!$G$6/AP1468)</f>
        <v>#NUM!</v>
      </c>
      <c r="AQ1470" s="44"/>
      <c r="AR1470" s="72"/>
      <c r="AS1470" s="85" t="e">
        <f>(AS1463/(N_1*AS$27))*SQRT('Valve Sizing'!$G$6/AS1468)</f>
        <v>#NUM!</v>
      </c>
      <c r="AT1470" s="44"/>
      <c r="AU1470" s="72"/>
    </row>
    <row r="1471" spans="15:47" x14ac:dyDescent="0.25">
      <c r="O1471" s="1" t="s">
        <v>246</v>
      </c>
      <c r="P1471" s="18"/>
      <c r="Q1471" s="65"/>
      <c r="R1471" s="53">
        <f>IF(R1467&lt;R1468,R1469,R1470)</f>
        <v>1.8487490289267698</v>
      </c>
      <c r="S1471" s="49"/>
      <c r="T1471" s="72"/>
      <c r="U1471" s="64">
        <f>IF(U1467&lt;U1468,U1469,U1470)</f>
        <v>18.274757727342429</v>
      </c>
      <c r="V1471" s="44"/>
      <c r="W1471" s="72"/>
      <c r="X1471" s="64">
        <f>IF(X1467&lt;X1468,X1469,X1470)</f>
        <v>45.451524355673882</v>
      </c>
      <c r="Y1471" s="44"/>
      <c r="Z1471" s="72"/>
      <c r="AA1471" s="64">
        <f>IF(AA1467&lt;AA1468,AA1469,AA1470)</f>
        <v>98.837192853008915</v>
      </c>
      <c r="AB1471" s="44"/>
      <c r="AC1471" s="72"/>
      <c r="AD1471" s="64">
        <f>IF(AD1467&lt;AD1468,AD1469,AD1470)</f>
        <v>283.58404214711459</v>
      </c>
      <c r="AE1471" s="44"/>
      <c r="AF1471" s="72"/>
      <c r="AG1471" s="64" t="e">
        <f>IF(AG1467&lt;AG1468,AG1469,AG1470)</f>
        <v>#NUM!</v>
      </c>
      <c r="AH1471" s="44"/>
      <c r="AI1471" s="72"/>
      <c r="AJ1471" s="64" t="e">
        <f>IF(AJ1467&lt;AJ1468,AJ1469,AJ1470)</f>
        <v>#NUM!</v>
      </c>
      <c r="AK1471" s="44"/>
      <c r="AL1471" s="72"/>
      <c r="AM1471" s="64" t="e">
        <f>IF(AM1467&lt;AM1468,AM1469,AM1470)</f>
        <v>#NUM!</v>
      </c>
      <c r="AN1471" s="44"/>
      <c r="AO1471" s="72"/>
      <c r="AP1471" s="64" t="e">
        <f>IF(AP1467&lt;AP1468,AP1469,AP1470)</f>
        <v>#NUM!</v>
      </c>
      <c r="AQ1471" s="44"/>
      <c r="AR1471" s="72"/>
      <c r="AS1471" s="64" t="e">
        <f>IF(AS1467&lt;AS1468,AS1469,AS1470)</f>
        <v>#NUM!</v>
      </c>
      <c r="AT1471" s="44"/>
      <c r="AU1471" s="72"/>
    </row>
    <row r="1472" spans="15:47" ht="13" x14ac:dyDescent="0.3">
      <c r="O1472" s="7" t="s">
        <v>264</v>
      </c>
      <c r="Q1472" s="61"/>
      <c r="R1472" s="53"/>
      <c r="S1472" s="69">
        <f>IFERROR(ABS(C_h-R1471),Q_max*10)</f>
        <v>3.1512509710732299</v>
      </c>
      <c r="T1472" s="76">
        <f>R1463</f>
        <v>10.49813893522064</v>
      </c>
      <c r="U1472" s="61"/>
      <c r="V1472" s="69">
        <f>IFERROR(ABS(U$23-U1471),Q_max*10)</f>
        <v>6.2747577273424291</v>
      </c>
      <c r="W1472" s="75">
        <f>U1463</f>
        <v>103.01476968092469</v>
      </c>
      <c r="X1472" s="61"/>
      <c r="Y1472" s="69">
        <f>IFERROR(ABS(X$23-X1471),Q_max*10)</f>
        <v>22.451524355673882</v>
      </c>
      <c r="Z1472" s="75">
        <f>X1463</f>
        <v>247.27510147250266</v>
      </c>
      <c r="AA1472" s="61"/>
      <c r="AB1472" s="69">
        <f>IFERROR(ABS(AA$23-AA1471),Q_max*10)</f>
        <v>59.837192853008915</v>
      </c>
      <c r="AC1472" s="75">
        <f>AA1463</f>
        <v>472.13879211150874</v>
      </c>
      <c r="AD1472" s="61"/>
      <c r="AE1472" s="69">
        <f>IFERROR(ABS(AD$23-AD1471),Q_max*10)</f>
        <v>222.58404214711459</v>
      </c>
      <c r="AF1472" s="75">
        <f>AD1463</f>
        <v>776.49448183352069</v>
      </c>
      <c r="AG1472" s="61"/>
      <c r="AH1472" s="69">
        <f>IFERROR(ABS(AG$23-AG1471),Q_max*10)</f>
        <v>5500</v>
      </c>
      <c r="AI1472" s="75">
        <f>AG1463</f>
        <v>1156.0944733333072</v>
      </c>
      <c r="AJ1472" s="61"/>
      <c r="AK1472" s="69">
        <f>IFERROR(ABS(AJ$23-AJ1471),Q_max*10)</f>
        <v>5500</v>
      </c>
      <c r="AL1472" s="75">
        <f>AJ1463</f>
        <v>1542.8125563412523</v>
      </c>
      <c r="AM1472" s="61"/>
      <c r="AN1472" s="69">
        <f>IFERROR(ABS(AM$23-AM1471),Q_max*10)</f>
        <v>5500</v>
      </c>
      <c r="AO1472" s="75">
        <f>AM1463</f>
        <v>1882.5245147542576</v>
      </c>
      <c r="AP1472" s="61"/>
      <c r="AQ1472" s="69">
        <f>IFERROR(ABS(AP$23-AP1471),Q_max*10)</f>
        <v>5500</v>
      </c>
      <c r="AR1472" s="75">
        <f>AP1463</f>
        <v>2185.5525193526637</v>
      </c>
      <c r="AS1472" s="61"/>
      <c r="AT1472" s="69">
        <f>IFERROR(ABS(AS$23-AS1471),Q_max*10)</f>
        <v>5500</v>
      </c>
      <c r="AU1472" s="75">
        <f>AS1463</f>
        <v>2487.3626363093135</v>
      </c>
    </row>
    <row r="1473" spans="15:47" ht="14.5" x14ac:dyDescent="0.35">
      <c r="O1473" s="6"/>
      <c r="P1473" s="6"/>
      <c r="Q1473" s="60"/>
      <c r="R1473" s="67"/>
      <c r="S1473" s="58"/>
      <c r="T1473" s="73"/>
      <c r="V1473" s="11"/>
      <c r="W1473" s="38"/>
      <c r="Y1473" s="11"/>
      <c r="Z1473" s="38"/>
      <c r="AB1473" s="11"/>
      <c r="AC1473" s="38"/>
      <c r="AE1473" s="11"/>
      <c r="AF1473" s="38"/>
      <c r="AH1473" s="11"/>
      <c r="AI1473" s="38"/>
      <c r="AK1473" s="11"/>
      <c r="AL1473" s="38"/>
      <c r="AN1473" s="11"/>
      <c r="AO1473" s="38"/>
      <c r="AQ1473" s="11"/>
      <c r="AR1473" s="38"/>
      <c r="AT1473" s="11"/>
      <c r="AU1473" s="38"/>
    </row>
    <row r="1474" spans="15:47" ht="14" x14ac:dyDescent="0.3">
      <c r="O1474" s="8" t="s">
        <v>235</v>
      </c>
      <c r="P1474" s="6"/>
      <c r="Q1474" s="60"/>
      <c r="R1474" s="53">
        <f>R1463*1.02</f>
        <v>10.708101713925053</v>
      </c>
      <c r="S1474" s="58" t="s">
        <v>238</v>
      </c>
      <c r="T1474" s="73" t="s">
        <v>241</v>
      </c>
      <c r="U1474" s="84">
        <f>U1463*1.01</f>
        <v>104.04491737773394</v>
      </c>
      <c r="V1474" s="58" t="s">
        <v>238</v>
      </c>
      <c r="W1474" s="73" t="s">
        <v>241</v>
      </c>
      <c r="X1474" s="84">
        <f>X1463*1.01</f>
        <v>249.74785248722768</v>
      </c>
      <c r="Y1474" s="58" t="s">
        <v>238</v>
      </c>
      <c r="Z1474" s="73" t="s">
        <v>241</v>
      </c>
      <c r="AA1474" s="84">
        <f>AA1463*1.01</f>
        <v>476.86018003262382</v>
      </c>
      <c r="AB1474" s="58" t="s">
        <v>238</v>
      </c>
      <c r="AC1474" s="73" t="s">
        <v>241</v>
      </c>
      <c r="AD1474" s="84">
        <f>AD1463*1.01</f>
        <v>784.25942665185596</v>
      </c>
      <c r="AE1474" s="58" t="s">
        <v>238</v>
      </c>
      <c r="AF1474" s="73" t="s">
        <v>241</v>
      </c>
      <c r="AG1474" s="84">
        <f>AG1463*1.01</f>
        <v>1167.6554180666403</v>
      </c>
      <c r="AH1474" s="58" t="s">
        <v>238</v>
      </c>
      <c r="AI1474" s="73" t="s">
        <v>241</v>
      </c>
      <c r="AJ1474" s="84">
        <f>AJ1463*1.01</f>
        <v>1558.2406819046648</v>
      </c>
      <c r="AK1474" s="58" t="s">
        <v>238</v>
      </c>
      <c r="AL1474" s="73" t="s">
        <v>241</v>
      </c>
      <c r="AM1474" s="84">
        <f>AM1463*1.01</f>
        <v>1901.3497599018001</v>
      </c>
      <c r="AN1474" s="58" t="s">
        <v>238</v>
      </c>
      <c r="AO1474" s="73" t="s">
        <v>241</v>
      </c>
      <c r="AP1474" s="84">
        <f>AP1463*1.01</f>
        <v>2207.4080445461905</v>
      </c>
      <c r="AQ1474" s="58" t="s">
        <v>238</v>
      </c>
      <c r="AR1474" s="73" t="s">
        <v>241</v>
      </c>
      <c r="AS1474" s="84">
        <f>AS1463*1.01</f>
        <v>2512.2362626724066</v>
      </c>
      <c r="AT1474" s="58" t="s">
        <v>238</v>
      </c>
      <c r="AU1474" s="73" t="s">
        <v>241</v>
      </c>
    </row>
    <row r="1475" spans="15:47" ht="13" x14ac:dyDescent="0.25">
      <c r="O1475" s="6"/>
      <c r="P1475" s="6"/>
      <c r="Q1475" s="60"/>
      <c r="R1475" s="70"/>
      <c r="S1475" s="63" t="s">
        <v>250</v>
      </c>
      <c r="T1475" s="71" t="s">
        <v>242</v>
      </c>
      <c r="U1475" s="61"/>
      <c r="V1475" s="63" t="s">
        <v>250</v>
      </c>
      <c r="W1475" s="71" t="s">
        <v>242</v>
      </c>
      <c r="X1475" s="61"/>
      <c r="Y1475" s="63" t="s">
        <v>250</v>
      </c>
      <c r="Z1475" s="71" t="s">
        <v>242</v>
      </c>
      <c r="AA1475" s="61"/>
      <c r="AB1475" s="63" t="s">
        <v>250</v>
      </c>
      <c r="AC1475" s="71" t="s">
        <v>242</v>
      </c>
      <c r="AD1475" s="61"/>
      <c r="AE1475" s="63" t="s">
        <v>250</v>
      </c>
      <c r="AF1475" s="71" t="s">
        <v>242</v>
      </c>
      <c r="AG1475" s="61"/>
      <c r="AH1475" s="63" t="s">
        <v>250</v>
      </c>
      <c r="AI1475" s="71" t="s">
        <v>242</v>
      </c>
      <c r="AJ1475" s="61"/>
      <c r="AK1475" s="63" t="s">
        <v>250</v>
      </c>
      <c r="AL1475" s="71" t="s">
        <v>242</v>
      </c>
      <c r="AM1475" s="61"/>
      <c r="AN1475" s="63" t="s">
        <v>250</v>
      </c>
      <c r="AO1475" s="71" t="s">
        <v>242</v>
      </c>
      <c r="AP1475" s="61"/>
      <c r="AQ1475" s="63" t="s">
        <v>250</v>
      </c>
      <c r="AR1475" s="71" t="s">
        <v>242</v>
      </c>
      <c r="AS1475" s="61"/>
      <c r="AT1475" s="63" t="s">
        <v>250</v>
      </c>
      <c r="AU1475" s="71" t="s">
        <v>242</v>
      </c>
    </row>
    <row r="1476" spans="15:47" ht="13" x14ac:dyDescent="0.3">
      <c r="O1476" s="6" t="s">
        <v>231</v>
      </c>
      <c r="P1476" s="6"/>
      <c r="Q1476" s="60"/>
      <c r="R1476" s="85">
        <f>P_1_minQ-(R1474^2*R_up)+dpup_minQ</f>
        <v>56.912270738185889</v>
      </c>
      <c r="S1476" s="56"/>
      <c r="T1476" s="72"/>
      <c r="U1476" s="53">
        <f>P_1_minQ-(U1474^2*R_up)+dpup_minQ</f>
        <v>56.550545598374214</v>
      </c>
      <c r="V1476" s="44"/>
      <c r="W1476" s="72"/>
      <c r="X1476" s="53">
        <f>P_1_minQ-(X1474^2*R_up)+dpup_minQ</f>
        <v>54.809625470382237</v>
      </c>
      <c r="Y1476" s="44"/>
      <c r="Z1476" s="72"/>
      <c r="AA1476" s="53">
        <f>P_1_minQ-(AA1474^2*R_up)+dpup_minQ</f>
        <v>49.236452843608696</v>
      </c>
      <c r="AB1476" s="44"/>
      <c r="AC1476" s="72"/>
      <c r="AD1476" s="53">
        <f>P_1_minQ-(AD1474^2*R_up)+dpup_minQ</f>
        <v>36.144010527109153</v>
      </c>
      <c r="AE1476" s="44"/>
      <c r="AF1476" s="72"/>
      <c r="AG1476" s="53">
        <f>P_1_minQ-(AG1474^2*R_up)+dpup_minQ</f>
        <v>10.870240616670703</v>
      </c>
      <c r="AH1476" s="44"/>
      <c r="AI1476" s="72"/>
      <c r="AJ1476" s="53">
        <f>P_1_minQ-(AJ1474^2*R_up)+dpup_minQ</f>
        <v>-25.087032176383477</v>
      </c>
      <c r="AK1476" s="44"/>
      <c r="AL1476" s="72"/>
      <c r="AM1476" s="53">
        <f>P_1_minQ-(AM1474^2*R_up)+dpup_minQ</f>
        <v>-65.175410654462439</v>
      </c>
      <c r="AN1476" s="44"/>
      <c r="AO1476" s="72"/>
      <c r="AP1476" s="53">
        <f>P_1_minQ-(AP1474^2*R_up)+dpup_minQ</f>
        <v>-107.64482523226062</v>
      </c>
      <c r="AQ1476" s="44"/>
      <c r="AR1476" s="72"/>
      <c r="AS1476" s="53">
        <f>P_1_minQ-(AS1474^2*R_up)+dpup_minQ</f>
        <v>-156.23249035752181</v>
      </c>
      <c r="AT1476" s="44"/>
      <c r="AU1476" s="72"/>
    </row>
    <row r="1477" spans="15:47" ht="13" x14ac:dyDescent="0.3">
      <c r="O1477" s="6" t="s">
        <v>233</v>
      </c>
      <c r="P1477" s="6"/>
      <c r="Q1477" s="60"/>
      <c r="R1477" s="85">
        <f>P_2_minQ+(R1474^2*R_dn)-dpdn_minQ</f>
        <v>24.657545852362823</v>
      </c>
      <c r="S1477" s="66"/>
      <c r="T1477" s="74"/>
      <c r="U1477" s="53">
        <f>P_2_minQ+(U1474^2*R_dn)-dpdn_minQ</f>
        <v>24.729890880325158</v>
      </c>
      <c r="V1477" s="45"/>
      <c r="W1477" s="74"/>
      <c r="X1477" s="53">
        <f>P_2_minQ+(X1474^2*R_dn)-dpdn_minQ</f>
        <v>25.078074905923554</v>
      </c>
      <c r="Y1477" s="45"/>
      <c r="Z1477" s="74"/>
      <c r="AA1477" s="53">
        <f>P_2_minQ+(AA1474^2*R_dn)-dpdn_minQ</f>
        <v>26.19270943127826</v>
      </c>
      <c r="AB1477" s="45"/>
      <c r="AC1477" s="74"/>
      <c r="AD1477" s="53">
        <f>P_2_minQ+(AD1474^2*R_dn)-dpdn_minQ</f>
        <v>28.811197894578168</v>
      </c>
      <c r="AE1477" s="45"/>
      <c r="AF1477" s="74"/>
      <c r="AG1477" s="53">
        <f>P_2_minQ+(AG1474^2*R_dn)-dpdn_minQ</f>
        <v>33.865951876665861</v>
      </c>
      <c r="AH1477" s="45"/>
      <c r="AI1477" s="74"/>
      <c r="AJ1477" s="53">
        <f>P_2_minQ+(AJ1474^2*R_dn)-dpdn_minQ</f>
        <v>41.057406435276704</v>
      </c>
      <c r="AK1477" s="45"/>
      <c r="AL1477" s="74"/>
      <c r="AM1477" s="53">
        <f>P_2_minQ+(AM1474^2*R_dn)-dpdn_minQ</f>
        <v>49.07508213089249</v>
      </c>
      <c r="AN1477" s="45"/>
      <c r="AO1477" s="74"/>
      <c r="AP1477" s="53">
        <f>P_2_minQ+(AP1474^2*R_dn)-dpdn_minQ</f>
        <v>57.568965046452128</v>
      </c>
      <c r="AQ1477" s="45"/>
      <c r="AR1477" s="74"/>
      <c r="AS1477" s="53">
        <f>P_2_minQ+(AS1474^2*R_dn)-dpdn_minQ</f>
        <v>67.286498071504369</v>
      </c>
      <c r="AT1477" s="45"/>
      <c r="AU1477" s="74"/>
    </row>
    <row r="1478" spans="15:47" x14ac:dyDescent="0.25">
      <c r="O1478" s="6" t="s">
        <v>243</v>
      </c>
      <c r="Q1478" s="60"/>
      <c r="R1478" s="53">
        <f>R1476-R1477</f>
        <v>32.254724885823066</v>
      </c>
      <c r="S1478" s="56"/>
      <c r="T1478" s="72"/>
      <c r="U1478" s="64">
        <f>U1476-U1477</f>
        <v>31.820654718049056</v>
      </c>
      <c r="V1478" s="44"/>
      <c r="W1478" s="72"/>
      <c r="X1478" s="64">
        <f>X1476-X1477</f>
        <v>29.731550564458683</v>
      </c>
      <c r="Y1478" s="44"/>
      <c r="Z1478" s="72"/>
      <c r="AA1478" s="64">
        <f>AA1476-AA1477</f>
        <v>23.043743412330436</v>
      </c>
      <c r="AB1478" s="44"/>
      <c r="AC1478" s="72"/>
      <c r="AD1478" s="64">
        <f>AD1476-AD1477</f>
        <v>7.3328126325309846</v>
      </c>
      <c r="AE1478" s="44"/>
      <c r="AF1478" s="72"/>
      <c r="AG1478" s="64">
        <f>AG1476-AG1477</f>
        <v>-22.995711259995158</v>
      </c>
      <c r="AH1478" s="44"/>
      <c r="AI1478" s="72"/>
      <c r="AJ1478" s="64">
        <f>AJ1476-AJ1477</f>
        <v>-66.144438611660178</v>
      </c>
      <c r="AK1478" s="44"/>
      <c r="AL1478" s="72"/>
      <c r="AM1478" s="64">
        <f>AM1476-AM1477</f>
        <v>-114.25049278535494</v>
      </c>
      <c r="AN1478" s="44"/>
      <c r="AO1478" s="72"/>
      <c r="AP1478" s="64">
        <f>AP1476-AP1477</f>
        <v>-165.21379027871274</v>
      </c>
      <c r="AQ1478" s="44"/>
      <c r="AR1478" s="72"/>
      <c r="AS1478" s="64">
        <f>AS1476-AS1477</f>
        <v>-223.51898842902619</v>
      </c>
      <c r="AT1478" s="44"/>
      <c r="AU1478" s="72"/>
    </row>
    <row r="1479" spans="15:47" ht="13" x14ac:dyDescent="0.3">
      <c r="O1479" s="6" t="s">
        <v>75</v>
      </c>
      <c r="P1479" s="6">
        <v>3</v>
      </c>
      <c r="Q1479" s="65"/>
      <c r="R1479" s="85">
        <f>(F_LP_h/F_P_h)^2*(R1476-('Valve Sizing'!$V$4*'Valve Sizing'!$G$7))</f>
        <v>46.761956644320612</v>
      </c>
      <c r="S1479" s="58"/>
      <c r="T1479" s="73"/>
      <c r="U1479" s="53">
        <f>(U$29/U$27)^2*(U1476-('Valve Sizing'!$V$4*'Valve Sizing'!$G$7))</f>
        <v>46.449765502835199</v>
      </c>
      <c r="V1479" s="41"/>
      <c r="W1479" s="73"/>
      <c r="X1479" s="53">
        <f>(X$29/X$27)^2*(X1476-('Valve Sizing'!$V$4*'Valve Sizing'!$G$7))</f>
        <v>43.993329607974324</v>
      </c>
      <c r="Y1479" s="41"/>
      <c r="Z1479" s="73"/>
      <c r="AA1479" s="53">
        <f>(AA$29/AA$27)^2*(AA1476-('Valve Sizing'!$V$4*'Valve Sizing'!$G$7))</f>
        <v>37.709718603028165</v>
      </c>
      <c r="AB1479" s="41"/>
      <c r="AC1479" s="73"/>
      <c r="AD1479" s="53">
        <f>(AD$29/AD$27)^2*(AD1476-('Valve Sizing'!$V$4*'Valve Sizing'!$G$7))</f>
        <v>25.749241187691769</v>
      </c>
      <c r="AE1479" s="41"/>
      <c r="AF1479" s="73"/>
      <c r="AG1479" s="53">
        <f>(AG$29/AG$27)^2*(AG1476-('Valve Sizing'!$V$4*'Valve Sizing'!$G$7))</f>
        <v>6.7174962372062943</v>
      </c>
      <c r="AH1479" s="41"/>
      <c r="AI1479" s="73"/>
      <c r="AJ1479" s="53">
        <f>(AJ$29/AJ$27)^2*(AJ1476-('Valve Sizing'!$V$4*'Valve Sizing'!$G$7))</f>
        <v>-14.763958351214676</v>
      </c>
      <c r="AK1479" s="41"/>
      <c r="AL1479" s="73"/>
      <c r="AM1479" s="53">
        <f>(AM$29/AM$27)^2*(AM1476-('Valve Sizing'!$V$4*'Valve Sizing'!$G$7))</f>
        <v>-31.395174156330441</v>
      </c>
      <c r="AN1479" s="41"/>
      <c r="AO1479" s="73"/>
      <c r="AP1479" s="53">
        <f>(AP$29/AP$27)^2*(AP1476-('Valve Sizing'!$V$4*'Valve Sizing'!$G$7))</f>
        <v>-42.653194424712758</v>
      </c>
      <c r="AQ1479" s="41"/>
      <c r="AR1479" s="73"/>
      <c r="AS1479" s="53">
        <f>(AS$29/AS$27)^2*(AS1476-('Valve Sizing'!$V$4*'Valve Sizing'!$G$7))</f>
        <v>-58.930936628949603</v>
      </c>
      <c r="AT1479" s="41"/>
      <c r="AU1479" s="73"/>
    </row>
    <row r="1480" spans="15:47" ht="13" x14ac:dyDescent="0.25">
      <c r="O1480" s="1" t="s">
        <v>69</v>
      </c>
      <c r="P1480" s="17">
        <v>7</v>
      </c>
      <c r="Q1480" s="65"/>
      <c r="R1480" s="53">
        <f>(R1474/(N_1*F_P_h))*SQRT('Valve Sizing'!$G$6/R1478)</f>
        <v>1.8857292842691598</v>
      </c>
      <c r="S1480" s="58"/>
      <c r="T1480" s="73"/>
      <c r="U1480" s="64">
        <f>(U1474/(N_1*U$27))*SQRT('Valve Sizing'!$G$6/U1478)</f>
        <v>18.460012235095842</v>
      </c>
      <c r="V1480" s="41"/>
      <c r="W1480" s="73"/>
      <c r="X1480" s="64">
        <f>(X1474/(N_1*X$27))*SQRT('Valve Sizing'!$G$6/X1478)</f>
        <v>45.944475775010318</v>
      </c>
      <c r="Y1480" s="41"/>
      <c r="Z1480" s="73"/>
      <c r="AA1480" s="64">
        <f>(AA1474/(N_1*AA$27))*SQRT('Valve Sizing'!$G$6/AA1478)</f>
        <v>100.2181048318587</v>
      </c>
      <c r="AB1480" s="41"/>
      <c r="AC1480" s="73"/>
      <c r="AD1480" s="64">
        <f>(AD1474/(N_1*AD$27))*SQRT('Valve Sizing'!$G$6/AD1478)</f>
        <v>295.85662521889157</v>
      </c>
      <c r="AE1480" s="41"/>
      <c r="AF1480" s="73"/>
      <c r="AG1480" s="64" t="e">
        <f>(AG1474/(N_1*AG$27))*SQRT('Valve Sizing'!$G$6/AG1478)</f>
        <v>#NUM!</v>
      </c>
      <c r="AH1480" s="41"/>
      <c r="AI1480" s="73"/>
      <c r="AJ1480" s="64" t="e">
        <f>(AJ1474/(N_1*AJ$27))*SQRT('Valve Sizing'!$G$6/AJ1478)</f>
        <v>#NUM!</v>
      </c>
      <c r="AK1480" s="41"/>
      <c r="AL1480" s="73"/>
      <c r="AM1480" s="64" t="e">
        <f>(AM1474/(N_1*AM$27))*SQRT('Valve Sizing'!$G$6/AM1478)</f>
        <v>#NUM!</v>
      </c>
      <c r="AN1480" s="41"/>
      <c r="AO1480" s="73"/>
      <c r="AP1480" s="64" t="e">
        <f>(AP1474/(N_1*AP$27))*SQRT('Valve Sizing'!$G$6/AP1478)</f>
        <v>#NUM!</v>
      </c>
      <c r="AQ1480" s="41"/>
      <c r="AR1480" s="73"/>
      <c r="AS1480" s="64" t="e">
        <f>(AS1474/(N_1*AS$27))*SQRT('Valve Sizing'!$G$6/AS1478)</f>
        <v>#NUM!</v>
      </c>
      <c r="AT1480" s="41"/>
      <c r="AU1480" s="73"/>
    </row>
    <row r="1481" spans="15:47" ht="13" x14ac:dyDescent="0.3">
      <c r="O1481" s="1" t="s">
        <v>72</v>
      </c>
      <c r="P1481" s="17">
        <v>7</v>
      </c>
      <c r="Q1481" s="65"/>
      <c r="R1481" s="53">
        <f>(R1474/(N_1*F_P_h))*SQRT('Valve Sizing'!$G$6/R1479)</f>
        <v>1.5661367443117844</v>
      </c>
      <c r="S1481" s="56"/>
      <c r="T1481" s="72"/>
      <c r="U1481" s="85">
        <f>(U1474/(N_1*U$27))*SQRT('Valve Sizing'!$G$6/U1479)</f>
        <v>15.27899459194712</v>
      </c>
      <c r="V1481" s="44"/>
      <c r="W1481" s="72"/>
      <c r="X1481" s="85">
        <f>(X1474/(N_1*X$27))*SQRT('Valve Sizing'!$G$6/X1479)</f>
        <v>37.770146029871945</v>
      </c>
      <c r="Y1481" s="44"/>
      <c r="Z1481" s="72"/>
      <c r="AA1481" s="85">
        <f>(AA1474/(N_1*AA$27))*SQRT('Valve Sizing'!$G$6/AA1479)</f>
        <v>78.342252702388237</v>
      </c>
      <c r="AB1481" s="44"/>
      <c r="AC1481" s="72"/>
      <c r="AD1481" s="85">
        <f>(AD1474/(N_1*AD$27))*SQRT('Valve Sizing'!$G$6/AD1479)</f>
        <v>157.88263844326642</v>
      </c>
      <c r="AE1481" s="44"/>
      <c r="AF1481" s="72"/>
      <c r="AG1481" s="85">
        <f>(AG1474/(N_1*AG$27))*SQRT('Valve Sizing'!$G$6/AG1479)</f>
        <v>470.49069376153898</v>
      </c>
      <c r="AH1481" s="44"/>
      <c r="AI1481" s="72"/>
      <c r="AJ1481" s="85" t="e">
        <f>(AJ1474/(N_1*AJ$27))*SQRT('Valve Sizing'!$G$6/AJ1479)</f>
        <v>#NUM!</v>
      </c>
      <c r="AK1481" s="44"/>
      <c r="AL1481" s="72"/>
      <c r="AM1481" s="85" t="e">
        <f>(AM1474/(N_1*AM$27))*SQRT('Valve Sizing'!$G$6/AM1479)</f>
        <v>#NUM!</v>
      </c>
      <c r="AN1481" s="44"/>
      <c r="AO1481" s="72"/>
      <c r="AP1481" s="85" t="e">
        <f>(AP1474/(N_1*AP$27))*SQRT('Valve Sizing'!$G$6/AP1479)</f>
        <v>#NUM!</v>
      </c>
      <c r="AQ1481" s="44"/>
      <c r="AR1481" s="72"/>
      <c r="AS1481" s="85" t="e">
        <f>(AS1474/(N_1*AS$27))*SQRT('Valve Sizing'!$G$6/AS1479)</f>
        <v>#NUM!</v>
      </c>
      <c r="AT1481" s="44"/>
      <c r="AU1481" s="72"/>
    </row>
    <row r="1482" spans="15:47" x14ac:dyDescent="0.25">
      <c r="O1482" s="1" t="s">
        <v>246</v>
      </c>
      <c r="P1482" s="18"/>
      <c r="Q1482" s="65"/>
      <c r="R1482" s="53">
        <f>IF(R1478&lt;R1479,R1480,R1481)</f>
        <v>1.8857292842691598</v>
      </c>
      <c r="S1482" s="49"/>
      <c r="T1482" s="72"/>
      <c r="U1482" s="64">
        <f>IF(U1478&lt;U1479,U1480,U1481)</f>
        <v>18.460012235095842</v>
      </c>
      <c r="V1482" s="44"/>
      <c r="W1482" s="72"/>
      <c r="X1482" s="64">
        <f>IF(X1478&lt;X1479,X1480,X1481)</f>
        <v>45.944475775010318</v>
      </c>
      <c r="Y1482" s="44"/>
      <c r="Z1482" s="72"/>
      <c r="AA1482" s="64">
        <f>IF(AA1478&lt;AA1479,AA1480,AA1481)</f>
        <v>100.2181048318587</v>
      </c>
      <c r="AB1482" s="44"/>
      <c r="AC1482" s="72"/>
      <c r="AD1482" s="64">
        <f>IF(AD1478&lt;AD1479,AD1480,AD1481)</f>
        <v>295.85662521889157</v>
      </c>
      <c r="AE1482" s="44"/>
      <c r="AF1482" s="72"/>
      <c r="AG1482" s="64" t="e">
        <f>IF(AG1478&lt;AG1479,AG1480,AG1481)</f>
        <v>#NUM!</v>
      </c>
      <c r="AH1482" s="44"/>
      <c r="AI1482" s="72"/>
      <c r="AJ1482" s="64" t="e">
        <f>IF(AJ1478&lt;AJ1479,AJ1480,AJ1481)</f>
        <v>#NUM!</v>
      </c>
      <c r="AK1482" s="44"/>
      <c r="AL1482" s="72"/>
      <c r="AM1482" s="64" t="e">
        <f>IF(AM1478&lt;AM1479,AM1480,AM1481)</f>
        <v>#NUM!</v>
      </c>
      <c r="AN1482" s="44"/>
      <c r="AO1482" s="72"/>
      <c r="AP1482" s="64" t="e">
        <f>IF(AP1478&lt;AP1479,AP1480,AP1481)</f>
        <v>#NUM!</v>
      </c>
      <c r="AQ1482" s="44"/>
      <c r="AR1482" s="72"/>
      <c r="AS1482" s="64" t="e">
        <f>IF(AS1478&lt;AS1479,AS1480,AS1481)</f>
        <v>#NUM!</v>
      </c>
      <c r="AT1482" s="44"/>
      <c r="AU1482" s="72"/>
    </row>
    <row r="1483" spans="15:47" ht="13" x14ac:dyDescent="0.3">
      <c r="O1483" s="7" t="s">
        <v>264</v>
      </c>
      <c r="Q1483" s="61"/>
      <c r="R1483" s="53"/>
      <c r="S1483" s="69">
        <f>IFERROR(ABS(C_h-R1482),Q_max*10)</f>
        <v>3.1142707157308402</v>
      </c>
      <c r="T1483" s="76">
        <f>R1474</f>
        <v>10.708101713925053</v>
      </c>
      <c r="U1483" s="61"/>
      <c r="V1483" s="69">
        <f>IFERROR(ABS(U$23-U1482),Q_max*10)</f>
        <v>6.4600122350958422</v>
      </c>
      <c r="W1483" s="75">
        <f>U1474</f>
        <v>104.04491737773394</v>
      </c>
      <c r="X1483" s="61"/>
      <c r="Y1483" s="69">
        <f>IFERROR(ABS(X$23-X1482),Q_max*10)</f>
        <v>22.944475775010318</v>
      </c>
      <c r="Z1483" s="75">
        <f>X1474</f>
        <v>249.74785248722768</v>
      </c>
      <c r="AA1483" s="61"/>
      <c r="AB1483" s="69">
        <f>IFERROR(ABS(AA$23-AA1482),Q_max*10)</f>
        <v>61.218104831858696</v>
      </c>
      <c r="AC1483" s="75">
        <f>AA1474</f>
        <v>476.86018003262382</v>
      </c>
      <c r="AD1483" s="61"/>
      <c r="AE1483" s="69">
        <f>IFERROR(ABS(AD$23-AD1482),Q_max*10)</f>
        <v>234.85662521889157</v>
      </c>
      <c r="AF1483" s="75">
        <f>AD1474</f>
        <v>784.25942665185596</v>
      </c>
      <c r="AG1483" s="61"/>
      <c r="AH1483" s="69">
        <f>IFERROR(ABS(AG$23-AG1482),Q_max*10)</f>
        <v>5500</v>
      </c>
      <c r="AI1483" s="75">
        <f>AG1474</f>
        <v>1167.6554180666403</v>
      </c>
      <c r="AJ1483" s="61"/>
      <c r="AK1483" s="69">
        <f>IFERROR(ABS(AJ$23-AJ1482),Q_max*10)</f>
        <v>5500</v>
      </c>
      <c r="AL1483" s="75">
        <f>AJ1474</f>
        <v>1558.2406819046648</v>
      </c>
      <c r="AM1483" s="61"/>
      <c r="AN1483" s="69">
        <f>IFERROR(ABS(AM$23-AM1482),Q_max*10)</f>
        <v>5500</v>
      </c>
      <c r="AO1483" s="75">
        <f>AM1474</f>
        <v>1901.3497599018001</v>
      </c>
      <c r="AP1483" s="61"/>
      <c r="AQ1483" s="69">
        <f>IFERROR(ABS(AP$23-AP1482),Q_max*10)</f>
        <v>5500</v>
      </c>
      <c r="AR1483" s="75">
        <f>AP1474</f>
        <v>2207.4080445461905</v>
      </c>
      <c r="AS1483" s="61"/>
      <c r="AT1483" s="69">
        <f>IFERROR(ABS(AS$23-AS1482),Q_max*10)</f>
        <v>5500</v>
      </c>
      <c r="AU1483" s="75">
        <f>AS1474</f>
        <v>2512.2362626724066</v>
      </c>
    </row>
    <row r="1484" spans="15:47" ht="14.5" x14ac:dyDescent="0.35">
      <c r="O1484" s="8"/>
      <c r="P1484" s="6"/>
      <c r="Q1484" s="60"/>
      <c r="R1484" s="67"/>
      <c r="S1484" s="56"/>
      <c r="T1484" s="72"/>
      <c r="V1484" s="11"/>
      <c r="W1484" s="38"/>
      <c r="Y1484" s="11"/>
      <c r="Z1484" s="38"/>
      <c r="AB1484" s="11"/>
      <c r="AC1484" s="38"/>
      <c r="AE1484" s="11"/>
      <c r="AF1484" s="38"/>
      <c r="AH1484" s="11"/>
      <c r="AI1484" s="38"/>
      <c r="AK1484" s="11"/>
      <c r="AL1484" s="38"/>
      <c r="AN1484" s="11"/>
      <c r="AO1484" s="38"/>
      <c r="AQ1484" s="11"/>
      <c r="AR1484" s="38"/>
      <c r="AT1484" s="11"/>
      <c r="AU1484" s="38"/>
    </row>
    <row r="1485" spans="15:47" ht="14" x14ac:dyDescent="0.3">
      <c r="O1485" s="8" t="s">
        <v>235</v>
      </c>
      <c r="P1485" s="6"/>
      <c r="Q1485" s="60"/>
      <c r="R1485" s="53">
        <f>R1474*1.02</f>
        <v>10.922263748203555</v>
      </c>
      <c r="S1485" s="58" t="s">
        <v>238</v>
      </c>
      <c r="T1485" s="73" t="s">
        <v>241</v>
      </c>
      <c r="U1485" s="84">
        <f>U1474*1.01</f>
        <v>105.08536655151129</v>
      </c>
      <c r="V1485" s="58" t="s">
        <v>238</v>
      </c>
      <c r="W1485" s="73" t="s">
        <v>241</v>
      </c>
      <c r="X1485" s="84">
        <f>X1474*1.01</f>
        <v>252.24533101209997</v>
      </c>
      <c r="Y1485" s="58" t="s">
        <v>238</v>
      </c>
      <c r="Z1485" s="73" t="s">
        <v>241</v>
      </c>
      <c r="AA1485" s="84">
        <f>AA1474*1.01</f>
        <v>481.62878183295004</v>
      </c>
      <c r="AB1485" s="58" t="s">
        <v>238</v>
      </c>
      <c r="AC1485" s="73" t="s">
        <v>241</v>
      </c>
      <c r="AD1485" s="84">
        <f>AD1474*1.01</f>
        <v>792.10202091837448</v>
      </c>
      <c r="AE1485" s="58" t="s">
        <v>238</v>
      </c>
      <c r="AF1485" s="73" t="s">
        <v>241</v>
      </c>
      <c r="AG1485" s="84">
        <f>AG1474*1.01</f>
        <v>1179.3319722473068</v>
      </c>
      <c r="AH1485" s="58" t="s">
        <v>238</v>
      </c>
      <c r="AI1485" s="73" t="s">
        <v>241</v>
      </c>
      <c r="AJ1485" s="84">
        <f>AJ1474*1.01</f>
        <v>1573.8230887237114</v>
      </c>
      <c r="AK1485" s="58" t="s">
        <v>238</v>
      </c>
      <c r="AL1485" s="73" t="s">
        <v>241</v>
      </c>
      <c r="AM1485" s="84">
        <f>AM1474*1.01</f>
        <v>1920.363257500818</v>
      </c>
      <c r="AN1485" s="58" t="s">
        <v>238</v>
      </c>
      <c r="AO1485" s="73" t="s">
        <v>241</v>
      </c>
      <c r="AP1485" s="84">
        <f>AP1474*1.01</f>
        <v>2229.4821249916522</v>
      </c>
      <c r="AQ1485" s="58" t="s">
        <v>238</v>
      </c>
      <c r="AR1485" s="73" t="s">
        <v>241</v>
      </c>
      <c r="AS1485" s="84">
        <f>AS1474*1.01</f>
        <v>2537.3586252991308</v>
      </c>
      <c r="AT1485" s="58" t="s">
        <v>238</v>
      </c>
      <c r="AU1485" s="73" t="s">
        <v>241</v>
      </c>
    </row>
    <row r="1486" spans="15:47" ht="13" x14ac:dyDescent="0.25">
      <c r="O1486" s="6"/>
      <c r="P1486" s="6"/>
      <c r="Q1486" s="60"/>
      <c r="R1486" s="70"/>
      <c r="S1486" s="63" t="s">
        <v>250</v>
      </c>
      <c r="T1486" s="71" t="s">
        <v>242</v>
      </c>
      <c r="U1486" s="61"/>
      <c r="V1486" s="63" t="s">
        <v>250</v>
      </c>
      <c r="W1486" s="71" t="s">
        <v>242</v>
      </c>
      <c r="X1486" s="61"/>
      <c r="Y1486" s="63" t="s">
        <v>250</v>
      </c>
      <c r="Z1486" s="71" t="s">
        <v>242</v>
      </c>
      <c r="AA1486" s="61"/>
      <c r="AB1486" s="63" t="s">
        <v>250</v>
      </c>
      <c r="AC1486" s="71" t="s">
        <v>242</v>
      </c>
      <c r="AD1486" s="61"/>
      <c r="AE1486" s="63" t="s">
        <v>250</v>
      </c>
      <c r="AF1486" s="71" t="s">
        <v>242</v>
      </c>
      <c r="AG1486" s="61"/>
      <c r="AH1486" s="63" t="s">
        <v>250</v>
      </c>
      <c r="AI1486" s="71" t="s">
        <v>242</v>
      </c>
      <c r="AJ1486" s="61"/>
      <c r="AK1486" s="63" t="s">
        <v>250</v>
      </c>
      <c r="AL1486" s="71" t="s">
        <v>242</v>
      </c>
      <c r="AM1486" s="61"/>
      <c r="AN1486" s="63" t="s">
        <v>250</v>
      </c>
      <c r="AO1486" s="71" t="s">
        <v>242</v>
      </c>
      <c r="AP1486" s="61"/>
      <c r="AQ1486" s="63" t="s">
        <v>250</v>
      </c>
      <c r="AR1486" s="71" t="s">
        <v>242</v>
      </c>
      <c r="AS1486" s="61"/>
      <c r="AT1486" s="63" t="s">
        <v>250</v>
      </c>
      <c r="AU1486" s="71" t="s">
        <v>242</v>
      </c>
    </row>
    <row r="1487" spans="15:47" ht="13" x14ac:dyDescent="0.3">
      <c r="O1487" s="6" t="s">
        <v>231</v>
      </c>
      <c r="P1487" s="6"/>
      <c r="Q1487" s="60"/>
      <c r="R1487" s="85">
        <f>P_1_minQ-(R1485^2*R_up)+dpup_minQ</f>
        <v>56.912114290935989</v>
      </c>
      <c r="S1487" s="56"/>
      <c r="T1487" s="72"/>
      <c r="U1487" s="53">
        <f>P_1_minQ-(U1485^2*R_up)+dpup_minQ</f>
        <v>56.543197086684721</v>
      </c>
      <c r="V1487" s="44"/>
      <c r="W1487" s="72"/>
      <c r="X1487" s="53">
        <f>P_1_minQ-(X1485^2*R_up)+dpup_minQ</f>
        <v>54.767284464120095</v>
      </c>
      <c r="Y1487" s="44"/>
      <c r="Z1487" s="72"/>
      <c r="AA1487" s="53">
        <f>P_1_minQ-(AA1485^2*R_up)+dpup_minQ</f>
        <v>49.082091067548419</v>
      </c>
      <c r="AB1487" s="44"/>
      <c r="AC1487" s="72"/>
      <c r="AD1487" s="53">
        <f>P_1_minQ-(AD1485^2*R_up)+dpup_minQ</f>
        <v>35.726490660487237</v>
      </c>
      <c r="AE1487" s="44"/>
      <c r="AF1487" s="72"/>
      <c r="AG1487" s="53">
        <f>P_1_minQ-(AG1485^2*R_up)+dpup_minQ</f>
        <v>9.9447179748489596</v>
      </c>
      <c r="AH1487" s="44"/>
      <c r="AI1487" s="72"/>
      <c r="AJ1487" s="53">
        <f>P_1_minQ-(AJ1485^2*R_up)+dpup_minQ</f>
        <v>-26.735296001345592</v>
      </c>
      <c r="AK1487" s="44"/>
      <c r="AL1487" s="72"/>
      <c r="AM1487" s="53">
        <f>P_1_minQ-(AM1485^2*R_up)+dpup_minQ</f>
        <v>-67.629450886833951</v>
      </c>
      <c r="AN1487" s="44"/>
      <c r="AO1487" s="72"/>
      <c r="AP1487" s="53">
        <f>P_1_minQ-(AP1485^2*R_up)+dpup_minQ</f>
        <v>-110.95250069764583</v>
      </c>
      <c r="AQ1487" s="44"/>
      <c r="AR1487" s="72"/>
      <c r="AS1487" s="53">
        <f>P_1_minQ-(AS1485^2*R_up)+dpup_minQ</f>
        <v>-160.51677789192487</v>
      </c>
      <c r="AT1487" s="44"/>
      <c r="AU1487" s="72"/>
    </row>
    <row r="1488" spans="15:47" ht="13" x14ac:dyDescent="0.3">
      <c r="O1488" s="6" t="s">
        <v>233</v>
      </c>
      <c r="P1488" s="6"/>
      <c r="Q1488" s="60"/>
      <c r="R1488" s="85">
        <f>P_2_minQ+(R1485^2*R_dn)-dpdn_minQ</f>
        <v>24.657577141812805</v>
      </c>
      <c r="S1488" s="66"/>
      <c r="T1488" s="74"/>
      <c r="U1488" s="53">
        <f>P_2_minQ+(U1485^2*R_dn)-dpdn_minQ</f>
        <v>24.731360582663058</v>
      </c>
      <c r="V1488" s="45"/>
      <c r="W1488" s="74"/>
      <c r="X1488" s="53">
        <f>P_2_minQ+(X1485^2*R_dn)-dpdn_minQ</f>
        <v>25.086543107175981</v>
      </c>
      <c r="Y1488" s="45"/>
      <c r="Z1488" s="74"/>
      <c r="AA1488" s="53">
        <f>P_2_minQ+(AA1485^2*R_dn)-dpdn_minQ</f>
        <v>26.223581786490318</v>
      </c>
      <c r="AB1488" s="45"/>
      <c r="AC1488" s="74"/>
      <c r="AD1488" s="53">
        <f>P_2_minQ+(AD1485^2*R_dn)-dpdn_minQ</f>
        <v>28.894701867902555</v>
      </c>
      <c r="AE1488" s="45"/>
      <c r="AF1488" s="74"/>
      <c r="AG1488" s="53">
        <f>P_2_minQ+(AG1485^2*R_dn)-dpdn_minQ</f>
        <v>34.051056405030209</v>
      </c>
      <c r="AH1488" s="45"/>
      <c r="AI1488" s="74"/>
      <c r="AJ1488" s="53">
        <f>P_2_minQ+(AJ1485^2*R_dn)-dpdn_minQ</f>
        <v>41.387059200269121</v>
      </c>
      <c r="AK1488" s="45"/>
      <c r="AL1488" s="74"/>
      <c r="AM1488" s="53">
        <f>P_2_minQ+(AM1485^2*R_dn)-dpdn_minQ</f>
        <v>49.565890177366796</v>
      </c>
      <c r="AN1488" s="45"/>
      <c r="AO1488" s="74"/>
      <c r="AP1488" s="53">
        <f>P_2_minQ+(AP1485^2*R_dn)-dpdn_minQ</f>
        <v>58.23050013952917</v>
      </c>
      <c r="AQ1488" s="45"/>
      <c r="AR1488" s="74"/>
      <c r="AS1488" s="53">
        <f>P_2_minQ+(AS1485^2*R_dn)-dpdn_minQ</f>
        <v>68.143355578384984</v>
      </c>
      <c r="AT1488" s="45"/>
      <c r="AU1488" s="74"/>
    </row>
    <row r="1489" spans="15:47" x14ac:dyDescent="0.25">
      <c r="O1489" s="6" t="s">
        <v>243</v>
      </c>
      <c r="Q1489" s="60"/>
      <c r="R1489" s="53">
        <f>R1487-R1488</f>
        <v>32.25453714912318</v>
      </c>
      <c r="S1489" s="56"/>
      <c r="T1489" s="72"/>
      <c r="U1489" s="64">
        <f>U1487-U1488</f>
        <v>31.811836504021663</v>
      </c>
      <c r="V1489" s="44"/>
      <c r="W1489" s="72"/>
      <c r="X1489" s="64">
        <f>X1487-X1488</f>
        <v>29.680741356944115</v>
      </c>
      <c r="Y1489" s="44"/>
      <c r="Z1489" s="72"/>
      <c r="AA1489" s="64">
        <f>AA1487-AA1488</f>
        <v>22.858509281058101</v>
      </c>
      <c r="AB1489" s="44"/>
      <c r="AC1489" s="72"/>
      <c r="AD1489" s="64">
        <f>AD1487-AD1488</f>
        <v>6.8317887925846819</v>
      </c>
      <c r="AE1489" s="44"/>
      <c r="AF1489" s="72"/>
      <c r="AG1489" s="64">
        <f>AG1487-AG1488</f>
        <v>-24.10633843018125</v>
      </c>
      <c r="AH1489" s="44"/>
      <c r="AI1489" s="72"/>
      <c r="AJ1489" s="64">
        <f>AJ1487-AJ1488</f>
        <v>-68.12235520161471</v>
      </c>
      <c r="AK1489" s="44"/>
      <c r="AL1489" s="72"/>
      <c r="AM1489" s="64">
        <f>AM1487-AM1488</f>
        <v>-117.19534106420075</v>
      </c>
      <c r="AN1489" s="44"/>
      <c r="AO1489" s="72"/>
      <c r="AP1489" s="64">
        <f>AP1487-AP1488</f>
        <v>-169.183000837175</v>
      </c>
      <c r="AQ1489" s="44"/>
      <c r="AR1489" s="72"/>
      <c r="AS1489" s="64">
        <f>AS1487-AS1488</f>
        <v>-228.66013347030986</v>
      </c>
      <c r="AT1489" s="44"/>
      <c r="AU1489" s="72"/>
    </row>
    <row r="1490" spans="15:47" ht="13" x14ac:dyDescent="0.3">
      <c r="O1490" s="6" t="s">
        <v>75</v>
      </c>
      <c r="P1490" s="6">
        <v>3</v>
      </c>
      <c r="Q1490" s="65"/>
      <c r="R1490" s="85">
        <f>(F_LP_h/F_P_h)^2*(R1487-('Valve Sizing'!$V$4*'Valve Sizing'!$G$7))</f>
        <v>46.761827097785783</v>
      </c>
      <c r="S1490" s="58"/>
      <c r="T1490" s="73"/>
      <c r="U1490" s="53">
        <f>(U$29/U$27)^2*(U1487-('Valve Sizing'!$V$4*'Valve Sizing'!$G$7))</f>
        <v>46.443682207940292</v>
      </c>
      <c r="V1490" s="41"/>
      <c r="W1490" s="73"/>
      <c r="X1490" s="53">
        <f>(X$29/X$27)^2*(X1487-('Valve Sizing'!$V$4*'Valve Sizing'!$G$7))</f>
        <v>43.959069231816343</v>
      </c>
      <c r="Y1490" s="41"/>
      <c r="Z1490" s="73"/>
      <c r="AA1490" s="53">
        <f>(AA$29/AA$27)^2*(AA1487-('Valve Sizing'!$V$4*'Valve Sizing'!$G$7))</f>
        <v>37.590428251405619</v>
      </c>
      <c r="AB1490" s="41"/>
      <c r="AC1490" s="73"/>
      <c r="AD1490" s="53">
        <f>(AD$29/AD$27)^2*(AD1487-('Valve Sizing'!$V$4*'Valve Sizing'!$G$7))</f>
        <v>25.448131117638372</v>
      </c>
      <c r="AE1490" s="41"/>
      <c r="AF1490" s="73"/>
      <c r="AG1490" s="53">
        <f>(AG$29/AG$27)^2*(AG1487-('Valve Sizing'!$V$4*'Valve Sizing'!$G$7))</f>
        <v>6.1214189780579975</v>
      </c>
      <c r="AH1490" s="41"/>
      <c r="AI1490" s="73"/>
      <c r="AJ1490" s="53">
        <f>(AJ$29/AJ$27)^2*(AJ1487-('Valve Sizing'!$V$4*'Valve Sizing'!$G$7))</f>
        <v>-15.71725536278114</v>
      </c>
      <c r="AK1490" s="41"/>
      <c r="AL1490" s="73"/>
      <c r="AM1490" s="53">
        <f>(AM$29/AM$27)^2*(AM1487-('Valve Sizing'!$V$4*'Valve Sizing'!$G$7))</f>
        <v>-32.569364060792999</v>
      </c>
      <c r="AN1490" s="41"/>
      <c r="AO1490" s="73"/>
      <c r="AP1490" s="53">
        <f>(AP$29/AP$27)^2*(AP1487-('Valve Sizing'!$V$4*'Valve Sizing'!$G$7))</f>
        <v>-43.958491899548946</v>
      </c>
      <c r="AQ1490" s="41"/>
      <c r="AR1490" s="73"/>
      <c r="AS1490" s="53">
        <f>(AS$29/AS$27)^2*(AS1487-('Valve Sizing'!$V$4*'Valve Sizing'!$G$7))</f>
        <v>-60.542431944309065</v>
      </c>
      <c r="AT1490" s="41"/>
      <c r="AU1490" s="73"/>
    </row>
    <row r="1491" spans="15:47" ht="13" x14ac:dyDescent="0.25">
      <c r="O1491" s="1" t="s">
        <v>69</v>
      </c>
      <c r="P1491" s="17">
        <v>7</v>
      </c>
      <c r="Q1491" s="65"/>
      <c r="R1491" s="53">
        <f>(R1485/(N_1*F_P_h))*SQRT('Valve Sizing'!$G$6/R1489)</f>
        <v>1.9234494676240654</v>
      </c>
      <c r="S1491" s="58"/>
      <c r="T1491" s="73"/>
      <c r="U1491" s="64">
        <f>(U1485/(N_1*U$27))*SQRT('Valve Sizing'!$G$6/U1489)</f>
        <v>18.647196313737012</v>
      </c>
      <c r="V1491" s="41"/>
      <c r="W1491" s="73"/>
      <c r="X1491" s="64">
        <f>(X1485/(N_1*X$27))*SQRT('Valve Sizing'!$G$6/X1489)</f>
        <v>46.443622005014788</v>
      </c>
      <c r="Y1491" s="41"/>
      <c r="Z1491" s="73"/>
      <c r="AA1491" s="64">
        <f>(AA1485/(N_1*AA$27))*SQRT('Valve Sizing'!$G$6/AA1489)</f>
        <v>101.62957811643844</v>
      </c>
      <c r="AB1491" s="41"/>
      <c r="AC1491" s="73"/>
      <c r="AD1491" s="64">
        <f>(AD1485/(N_1*AD$27))*SQRT('Valve Sizing'!$G$6/AD1489)</f>
        <v>309.57847111014314</v>
      </c>
      <c r="AE1491" s="41"/>
      <c r="AF1491" s="73"/>
      <c r="AG1491" s="64" t="e">
        <f>(AG1485/(N_1*AG$27))*SQRT('Valve Sizing'!$G$6/AG1489)</f>
        <v>#NUM!</v>
      </c>
      <c r="AH1491" s="41"/>
      <c r="AI1491" s="73"/>
      <c r="AJ1491" s="64" t="e">
        <f>(AJ1485/(N_1*AJ$27))*SQRT('Valve Sizing'!$G$6/AJ1489)</f>
        <v>#NUM!</v>
      </c>
      <c r="AK1491" s="41"/>
      <c r="AL1491" s="73"/>
      <c r="AM1491" s="64" t="e">
        <f>(AM1485/(N_1*AM$27))*SQRT('Valve Sizing'!$G$6/AM1489)</f>
        <v>#NUM!</v>
      </c>
      <c r="AN1491" s="41"/>
      <c r="AO1491" s="73"/>
      <c r="AP1491" s="64" t="e">
        <f>(AP1485/(N_1*AP$27))*SQRT('Valve Sizing'!$G$6/AP1489)</f>
        <v>#NUM!</v>
      </c>
      <c r="AQ1491" s="41"/>
      <c r="AR1491" s="73"/>
      <c r="AS1491" s="64" t="e">
        <f>(AS1485/(N_1*AS$27))*SQRT('Valve Sizing'!$G$6/AS1489)</f>
        <v>#NUM!</v>
      </c>
      <c r="AT1491" s="41"/>
      <c r="AU1491" s="73"/>
    </row>
    <row r="1492" spans="15:47" ht="13" x14ac:dyDescent="0.3">
      <c r="O1492" s="1" t="s">
        <v>72</v>
      </c>
      <c r="P1492" s="17">
        <v>7</v>
      </c>
      <c r="Q1492" s="65"/>
      <c r="R1492" s="53">
        <f>(R1485/(N_1*F_P_h))*SQRT('Valve Sizing'!$G$6/R1490)</f>
        <v>1.5974616919558353</v>
      </c>
      <c r="S1492" s="56"/>
      <c r="T1492" s="72"/>
      <c r="U1492" s="85">
        <f>(U1485/(N_1*U$27))*SQRT('Valve Sizing'!$G$6/U1490)</f>
        <v>15.432795149189955</v>
      </c>
      <c r="V1492" s="44"/>
      <c r="W1492" s="72"/>
      <c r="X1492" s="85">
        <f>(X1485/(N_1*X$27))*SQRT('Valve Sizing'!$G$6/X1490)</f>
        <v>38.162710237214682</v>
      </c>
      <c r="Y1492" s="44"/>
      <c r="Z1492" s="72"/>
      <c r="AA1492" s="85">
        <f>(AA1485/(N_1*AA$27))*SQRT('Valve Sizing'!$G$6/AA1490)</f>
        <v>79.251125423613232</v>
      </c>
      <c r="AB1492" s="44"/>
      <c r="AC1492" s="72"/>
      <c r="AD1492" s="85">
        <f>(AD1485/(N_1*AD$27))*SQRT('Valve Sizing'!$G$6/AD1490)</f>
        <v>160.40208898141952</v>
      </c>
      <c r="AE1492" s="44"/>
      <c r="AF1492" s="72"/>
      <c r="AG1492" s="85">
        <f>(AG1485/(N_1*AG$27))*SQRT('Valve Sizing'!$G$6/AG1490)</f>
        <v>497.79447771589935</v>
      </c>
      <c r="AH1492" s="44"/>
      <c r="AI1492" s="72"/>
      <c r="AJ1492" s="85" t="e">
        <f>(AJ1485/(N_1*AJ$27))*SQRT('Valve Sizing'!$G$6/AJ1490)</f>
        <v>#NUM!</v>
      </c>
      <c r="AK1492" s="44"/>
      <c r="AL1492" s="72"/>
      <c r="AM1492" s="85" t="e">
        <f>(AM1485/(N_1*AM$27))*SQRT('Valve Sizing'!$G$6/AM1490)</f>
        <v>#NUM!</v>
      </c>
      <c r="AN1492" s="44"/>
      <c r="AO1492" s="72"/>
      <c r="AP1492" s="85" t="e">
        <f>(AP1485/(N_1*AP$27))*SQRT('Valve Sizing'!$G$6/AP1490)</f>
        <v>#NUM!</v>
      </c>
      <c r="AQ1492" s="44"/>
      <c r="AR1492" s="72"/>
      <c r="AS1492" s="85" t="e">
        <f>(AS1485/(N_1*AS$27))*SQRT('Valve Sizing'!$G$6/AS1490)</f>
        <v>#NUM!</v>
      </c>
      <c r="AT1492" s="44"/>
      <c r="AU1492" s="72"/>
    </row>
    <row r="1493" spans="15:47" x14ac:dyDescent="0.25">
      <c r="O1493" s="1" t="s">
        <v>246</v>
      </c>
      <c r="P1493" s="18"/>
      <c r="Q1493" s="65"/>
      <c r="R1493" s="53">
        <f>IF(R1489&lt;R1490,R1491,R1492)</f>
        <v>1.9234494676240654</v>
      </c>
      <c r="S1493" s="49"/>
      <c r="T1493" s="72"/>
      <c r="U1493" s="64">
        <f>IF(U1489&lt;U1490,U1491,U1492)</f>
        <v>18.647196313737012</v>
      </c>
      <c r="V1493" s="44"/>
      <c r="W1493" s="72"/>
      <c r="X1493" s="64">
        <f>IF(X1489&lt;X1490,X1491,X1492)</f>
        <v>46.443622005014788</v>
      </c>
      <c r="Y1493" s="44"/>
      <c r="Z1493" s="72"/>
      <c r="AA1493" s="64">
        <f>IF(AA1489&lt;AA1490,AA1491,AA1492)</f>
        <v>101.62957811643844</v>
      </c>
      <c r="AB1493" s="44"/>
      <c r="AC1493" s="72"/>
      <c r="AD1493" s="64">
        <f>IF(AD1489&lt;AD1490,AD1491,AD1492)</f>
        <v>309.57847111014314</v>
      </c>
      <c r="AE1493" s="44"/>
      <c r="AF1493" s="72"/>
      <c r="AG1493" s="64" t="e">
        <f>IF(AG1489&lt;AG1490,AG1491,AG1492)</f>
        <v>#NUM!</v>
      </c>
      <c r="AH1493" s="44"/>
      <c r="AI1493" s="72"/>
      <c r="AJ1493" s="64" t="e">
        <f>IF(AJ1489&lt;AJ1490,AJ1491,AJ1492)</f>
        <v>#NUM!</v>
      </c>
      <c r="AK1493" s="44"/>
      <c r="AL1493" s="72"/>
      <c r="AM1493" s="64" t="e">
        <f>IF(AM1489&lt;AM1490,AM1491,AM1492)</f>
        <v>#NUM!</v>
      </c>
      <c r="AN1493" s="44"/>
      <c r="AO1493" s="72"/>
      <c r="AP1493" s="64" t="e">
        <f>IF(AP1489&lt;AP1490,AP1491,AP1492)</f>
        <v>#NUM!</v>
      </c>
      <c r="AQ1493" s="44"/>
      <c r="AR1493" s="72"/>
      <c r="AS1493" s="64" t="e">
        <f>IF(AS1489&lt;AS1490,AS1491,AS1492)</f>
        <v>#NUM!</v>
      </c>
      <c r="AT1493" s="44"/>
      <c r="AU1493" s="72"/>
    </row>
    <row r="1494" spans="15:47" ht="13" x14ac:dyDescent="0.3">
      <c r="O1494" s="7" t="s">
        <v>264</v>
      </c>
      <c r="Q1494" s="61"/>
      <c r="R1494" s="53"/>
      <c r="S1494" s="69">
        <f>IFERROR(ABS(C_h-R1493),Q_max*10)</f>
        <v>3.0765505323759346</v>
      </c>
      <c r="T1494" s="76">
        <f>R1485</f>
        <v>10.922263748203555</v>
      </c>
      <c r="U1494" s="61"/>
      <c r="V1494" s="69">
        <f>IFERROR(ABS(U$23-U1493),Q_max*10)</f>
        <v>6.6471963137370125</v>
      </c>
      <c r="W1494" s="75">
        <f>U1485</f>
        <v>105.08536655151129</v>
      </c>
      <c r="X1494" s="61"/>
      <c r="Y1494" s="69">
        <f>IFERROR(ABS(X$23-X1493),Q_max*10)</f>
        <v>23.443622005014788</v>
      </c>
      <c r="Z1494" s="75">
        <f>X1485</f>
        <v>252.24533101209997</v>
      </c>
      <c r="AA1494" s="61"/>
      <c r="AB1494" s="69">
        <f>IFERROR(ABS(AA$23-AA1493),Q_max*10)</f>
        <v>62.629578116438438</v>
      </c>
      <c r="AC1494" s="75">
        <f>AA1485</f>
        <v>481.62878183295004</v>
      </c>
      <c r="AD1494" s="61"/>
      <c r="AE1494" s="69">
        <f>IFERROR(ABS(AD$23-AD1493),Q_max*10)</f>
        <v>248.57847111014314</v>
      </c>
      <c r="AF1494" s="75">
        <f>AD1485</f>
        <v>792.10202091837448</v>
      </c>
      <c r="AG1494" s="61"/>
      <c r="AH1494" s="69">
        <f>IFERROR(ABS(AG$23-AG1493),Q_max*10)</f>
        <v>5500</v>
      </c>
      <c r="AI1494" s="75">
        <f>AG1485</f>
        <v>1179.3319722473068</v>
      </c>
      <c r="AJ1494" s="61"/>
      <c r="AK1494" s="69">
        <f>IFERROR(ABS(AJ$23-AJ1493),Q_max*10)</f>
        <v>5500</v>
      </c>
      <c r="AL1494" s="75">
        <f>AJ1485</f>
        <v>1573.8230887237114</v>
      </c>
      <c r="AM1494" s="61"/>
      <c r="AN1494" s="69">
        <f>IFERROR(ABS(AM$23-AM1493),Q_max*10)</f>
        <v>5500</v>
      </c>
      <c r="AO1494" s="75">
        <f>AM1485</f>
        <v>1920.363257500818</v>
      </c>
      <c r="AP1494" s="61"/>
      <c r="AQ1494" s="69">
        <f>IFERROR(ABS(AP$23-AP1493),Q_max*10)</f>
        <v>5500</v>
      </c>
      <c r="AR1494" s="75">
        <f>AP1485</f>
        <v>2229.4821249916522</v>
      </c>
      <c r="AS1494" s="61"/>
      <c r="AT1494" s="69">
        <f>IFERROR(ABS(AS$23-AS1493),Q_max*10)</f>
        <v>5500</v>
      </c>
      <c r="AU1494" s="75">
        <f>AS1485</f>
        <v>2537.3586252991308</v>
      </c>
    </row>
    <row r="1495" spans="15:47" ht="14.5" x14ac:dyDescent="0.35">
      <c r="O1495" s="6"/>
      <c r="P1495" s="6"/>
      <c r="Q1495" s="60"/>
      <c r="R1495" s="67"/>
      <c r="S1495" s="56"/>
      <c r="T1495" s="72"/>
      <c r="V1495" s="11"/>
      <c r="W1495" s="38"/>
      <c r="Y1495" s="11"/>
      <c r="Z1495" s="38"/>
      <c r="AB1495" s="11"/>
      <c r="AC1495" s="38"/>
      <c r="AE1495" s="11"/>
      <c r="AF1495" s="38"/>
      <c r="AH1495" s="11"/>
      <c r="AI1495" s="38"/>
      <c r="AK1495" s="11"/>
      <c r="AL1495" s="38"/>
      <c r="AN1495" s="11"/>
      <c r="AO1495" s="38"/>
      <c r="AQ1495" s="11"/>
      <c r="AR1495" s="38"/>
      <c r="AT1495" s="11"/>
      <c r="AU1495" s="38"/>
    </row>
    <row r="1496" spans="15:47" ht="14" x14ac:dyDescent="0.3">
      <c r="O1496" s="8" t="s">
        <v>235</v>
      </c>
      <c r="P1496" s="6"/>
      <c r="Q1496" s="60"/>
      <c r="R1496" s="53">
        <f>R1485*1.02</f>
        <v>11.140709023167627</v>
      </c>
      <c r="S1496" s="58" t="s">
        <v>238</v>
      </c>
      <c r="T1496" s="73" t="s">
        <v>241</v>
      </c>
      <c r="U1496" s="84">
        <f>U1485*1.01</f>
        <v>106.13622021702641</v>
      </c>
      <c r="V1496" s="58" t="s">
        <v>238</v>
      </c>
      <c r="W1496" s="73" t="s">
        <v>241</v>
      </c>
      <c r="X1496" s="84">
        <f>X1485*1.01</f>
        <v>254.76778432222096</v>
      </c>
      <c r="Y1496" s="58" t="s">
        <v>238</v>
      </c>
      <c r="Z1496" s="73" t="s">
        <v>241</v>
      </c>
      <c r="AA1496" s="84">
        <f>AA1485*1.01</f>
        <v>486.44506965127954</v>
      </c>
      <c r="AB1496" s="58" t="s">
        <v>238</v>
      </c>
      <c r="AC1496" s="73" t="s">
        <v>241</v>
      </c>
      <c r="AD1496" s="84">
        <f>AD1485*1.01</f>
        <v>800.02304112755826</v>
      </c>
      <c r="AE1496" s="58" t="s">
        <v>238</v>
      </c>
      <c r="AF1496" s="73" t="s">
        <v>241</v>
      </c>
      <c r="AG1496" s="84">
        <f>AG1485*1.01</f>
        <v>1191.1252919697799</v>
      </c>
      <c r="AH1496" s="58" t="s">
        <v>238</v>
      </c>
      <c r="AI1496" s="73" t="s">
        <v>241</v>
      </c>
      <c r="AJ1496" s="84">
        <f>AJ1485*1.01</f>
        <v>1589.5613196109484</v>
      </c>
      <c r="AK1496" s="58" t="s">
        <v>238</v>
      </c>
      <c r="AL1496" s="73" t="s">
        <v>241</v>
      </c>
      <c r="AM1496" s="84">
        <f>AM1485*1.01</f>
        <v>1939.5668900758262</v>
      </c>
      <c r="AN1496" s="58" t="s">
        <v>238</v>
      </c>
      <c r="AO1496" s="73" t="s">
        <v>241</v>
      </c>
      <c r="AP1496" s="84">
        <f>AP1485*1.01</f>
        <v>2251.7769462415686</v>
      </c>
      <c r="AQ1496" s="58" t="s">
        <v>238</v>
      </c>
      <c r="AR1496" s="73" t="s">
        <v>241</v>
      </c>
      <c r="AS1496" s="84">
        <f>AS1485*1.01</f>
        <v>2562.732211552122</v>
      </c>
      <c r="AT1496" s="58" t="s">
        <v>238</v>
      </c>
      <c r="AU1496" s="73" t="s">
        <v>241</v>
      </c>
    </row>
    <row r="1497" spans="15:47" ht="13" x14ac:dyDescent="0.25">
      <c r="O1497" s="6"/>
      <c r="P1497" s="6"/>
      <c r="Q1497" s="60"/>
      <c r="R1497" s="70"/>
      <c r="S1497" s="63" t="s">
        <v>250</v>
      </c>
      <c r="T1497" s="71" t="s">
        <v>242</v>
      </c>
      <c r="U1497" s="61"/>
      <c r="V1497" s="63" t="s">
        <v>250</v>
      </c>
      <c r="W1497" s="71" t="s">
        <v>242</v>
      </c>
      <c r="X1497" s="61"/>
      <c r="Y1497" s="63" t="s">
        <v>250</v>
      </c>
      <c r="Z1497" s="71" t="s">
        <v>242</v>
      </c>
      <c r="AA1497" s="61"/>
      <c r="AB1497" s="63" t="s">
        <v>250</v>
      </c>
      <c r="AC1497" s="71" t="s">
        <v>242</v>
      </c>
      <c r="AD1497" s="61"/>
      <c r="AE1497" s="63" t="s">
        <v>250</v>
      </c>
      <c r="AF1497" s="71" t="s">
        <v>242</v>
      </c>
      <c r="AG1497" s="61"/>
      <c r="AH1497" s="63" t="s">
        <v>250</v>
      </c>
      <c r="AI1497" s="71" t="s">
        <v>242</v>
      </c>
      <c r="AJ1497" s="61"/>
      <c r="AK1497" s="63" t="s">
        <v>250</v>
      </c>
      <c r="AL1497" s="71" t="s">
        <v>242</v>
      </c>
      <c r="AM1497" s="61"/>
      <c r="AN1497" s="63" t="s">
        <v>250</v>
      </c>
      <c r="AO1497" s="71" t="s">
        <v>242</v>
      </c>
      <c r="AP1497" s="61"/>
      <c r="AQ1497" s="63" t="s">
        <v>250</v>
      </c>
      <c r="AR1497" s="71" t="s">
        <v>242</v>
      </c>
      <c r="AS1497" s="61"/>
      <c r="AT1497" s="63" t="s">
        <v>250</v>
      </c>
      <c r="AU1497" s="71" t="s">
        <v>242</v>
      </c>
    </row>
    <row r="1498" spans="15:47" ht="13" x14ac:dyDescent="0.3">
      <c r="O1498" s="6" t="s">
        <v>231</v>
      </c>
      <c r="P1498" s="6"/>
      <c r="Q1498" s="60"/>
      <c r="R1498" s="85">
        <f>P_1_minQ-(R1496^2*R_up)+dpup_minQ</f>
        <v>56.911951523217191</v>
      </c>
      <c r="S1498" s="56"/>
      <c r="T1498" s="72"/>
      <c r="U1498" s="53">
        <f>P_1_minQ-(U1496^2*R_up)+dpup_minQ</f>
        <v>56.535700869910265</v>
      </c>
      <c r="V1498" s="44"/>
      <c r="W1498" s="72"/>
      <c r="X1498" s="53">
        <f>P_1_minQ-(X1496^2*R_up)+dpup_minQ</f>
        <v>54.724092403632092</v>
      </c>
      <c r="Y1498" s="44"/>
      <c r="Z1498" s="72"/>
      <c r="AA1498" s="53">
        <f>P_1_minQ-(AA1496^2*R_up)+dpup_minQ</f>
        <v>48.924626619789322</v>
      </c>
      <c r="AB1498" s="44"/>
      <c r="AC1498" s="72"/>
      <c r="AD1498" s="53">
        <f>P_1_minQ-(AD1496^2*R_up)+dpup_minQ</f>
        <v>35.300578644546206</v>
      </c>
      <c r="AE1498" s="44"/>
      <c r="AF1498" s="72"/>
      <c r="AG1498" s="53">
        <f>P_1_minQ-(AG1496^2*R_up)+dpup_minQ</f>
        <v>9.0005923279266007</v>
      </c>
      <c r="AH1498" s="44"/>
      <c r="AI1498" s="72"/>
      <c r="AJ1498" s="53">
        <f>P_1_minQ-(AJ1496^2*R_up)+dpup_minQ</f>
        <v>-28.416689929189463</v>
      </c>
      <c r="AK1498" s="44"/>
      <c r="AL1498" s="72"/>
      <c r="AM1498" s="53">
        <f>P_1_minQ-(AM1496^2*R_up)+dpup_minQ</f>
        <v>-70.132817327876126</v>
      </c>
      <c r="AN1498" s="44"/>
      <c r="AO1498" s="72"/>
      <c r="AP1498" s="53">
        <f>P_1_minQ-(AP1496^2*R_up)+dpup_minQ</f>
        <v>-114.32666043988533</v>
      </c>
      <c r="AQ1498" s="44"/>
      <c r="AR1498" s="72"/>
      <c r="AS1498" s="53">
        <f>P_1_minQ-(AS1496^2*R_up)+dpup_minQ</f>
        <v>-164.88717960576932</v>
      </c>
      <c r="AT1498" s="44"/>
      <c r="AU1498" s="72"/>
    </row>
    <row r="1499" spans="15:47" ht="13" x14ac:dyDescent="0.3">
      <c r="O1499" s="6" t="s">
        <v>233</v>
      </c>
      <c r="P1499" s="6"/>
      <c r="Q1499" s="60"/>
      <c r="R1499" s="85">
        <f>P_2_minQ+(R1496^2*R_dn)-dpdn_minQ</f>
        <v>24.657609695356562</v>
      </c>
      <c r="S1499" s="66"/>
      <c r="T1499" s="74"/>
      <c r="U1499" s="53">
        <f>P_2_minQ+(U1496^2*R_dn)-dpdn_minQ</f>
        <v>24.73285982601795</v>
      </c>
      <c r="V1499" s="45"/>
      <c r="W1499" s="74"/>
      <c r="X1499" s="53">
        <f>P_2_minQ+(X1496^2*R_dn)-dpdn_minQ</f>
        <v>25.095181519273581</v>
      </c>
      <c r="Y1499" s="45"/>
      <c r="Z1499" s="74"/>
      <c r="AA1499" s="53">
        <f>P_2_minQ+(AA1496^2*R_dn)-dpdn_minQ</f>
        <v>26.255074676042138</v>
      </c>
      <c r="AB1499" s="45"/>
      <c r="AC1499" s="74"/>
      <c r="AD1499" s="53">
        <f>P_2_minQ+(AD1496^2*R_dn)-dpdn_minQ</f>
        <v>28.979884271090757</v>
      </c>
      <c r="AE1499" s="45"/>
      <c r="AF1499" s="74"/>
      <c r="AG1499" s="53">
        <f>P_2_minQ+(AG1496^2*R_dn)-dpdn_minQ</f>
        <v>34.239881534414685</v>
      </c>
      <c r="AH1499" s="45"/>
      <c r="AI1499" s="74"/>
      <c r="AJ1499" s="53">
        <f>P_2_minQ+(AJ1496^2*R_dn)-dpdn_minQ</f>
        <v>41.723337985837894</v>
      </c>
      <c r="AK1499" s="45"/>
      <c r="AL1499" s="74"/>
      <c r="AM1499" s="53">
        <f>P_2_minQ+(AM1496^2*R_dn)-dpdn_minQ</f>
        <v>50.066563465575229</v>
      </c>
      <c r="AN1499" s="45"/>
      <c r="AO1499" s="74"/>
      <c r="AP1499" s="53">
        <f>P_2_minQ+(AP1496^2*R_dn)-dpdn_minQ</f>
        <v>58.905332087977065</v>
      </c>
      <c r="AQ1499" s="45"/>
      <c r="AR1499" s="74"/>
      <c r="AS1499" s="53">
        <f>P_2_minQ+(AS1496^2*R_dn)-dpdn_minQ</f>
        <v>69.017435921153861</v>
      </c>
      <c r="AT1499" s="45"/>
      <c r="AU1499" s="74"/>
    </row>
    <row r="1500" spans="15:47" x14ac:dyDescent="0.25">
      <c r="O1500" s="6" t="s">
        <v>243</v>
      </c>
      <c r="Q1500" s="60"/>
      <c r="R1500" s="53">
        <f>R1498-R1499</f>
        <v>32.254341827860628</v>
      </c>
      <c r="S1500" s="56"/>
      <c r="T1500" s="72"/>
      <c r="U1500" s="64">
        <f>U1498-U1499</f>
        <v>31.802841043892315</v>
      </c>
      <c r="V1500" s="44"/>
      <c r="W1500" s="72"/>
      <c r="X1500" s="64">
        <f>X1498-X1499</f>
        <v>29.628910884358511</v>
      </c>
      <c r="Y1500" s="44"/>
      <c r="Z1500" s="72"/>
      <c r="AA1500" s="64">
        <f>AA1498-AA1499</f>
        <v>22.669551943747184</v>
      </c>
      <c r="AB1500" s="44"/>
      <c r="AC1500" s="72"/>
      <c r="AD1500" s="64">
        <f>AD1498-AD1499</f>
        <v>6.3206943734554493</v>
      </c>
      <c r="AE1500" s="44"/>
      <c r="AF1500" s="72"/>
      <c r="AG1500" s="64">
        <f>AG1498-AG1499</f>
        <v>-25.239289206488085</v>
      </c>
      <c r="AH1500" s="44"/>
      <c r="AI1500" s="72"/>
      <c r="AJ1500" s="64">
        <f>AJ1498-AJ1499</f>
        <v>-70.14002791502736</v>
      </c>
      <c r="AK1500" s="44"/>
      <c r="AL1500" s="72"/>
      <c r="AM1500" s="64">
        <f>AM1498-AM1499</f>
        <v>-120.19938079345135</v>
      </c>
      <c r="AN1500" s="44"/>
      <c r="AO1500" s="72"/>
      <c r="AP1500" s="64">
        <f>AP1498-AP1499</f>
        <v>-173.23199252786239</v>
      </c>
      <c r="AQ1500" s="44"/>
      <c r="AR1500" s="72"/>
      <c r="AS1500" s="64">
        <f>AS1498-AS1499</f>
        <v>-233.90461552692318</v>
      </c>
      <c r="AT1500" s="44"/>
      <c r="AU1500" s="72"/>
    </row>
    <row r="1501" spans="15:47" ht="13" x14ac:dyDescent="0.3">
      <c r="O1501" s="6" t="s">
        <v>75</v>
      </c>
      <c r="P1501" s="6">
        <v>3</v>
      </c>
      <c r="Q1501" s="65"/>
      <c r="R1501" s="85">
        <f>(F_LP_h/F_P_h)^2*(R1498-('Valve Sizing'!$V$4*'Valve Sizing'!$G$7))</f>
        <v>46.761692317570954</v>
      </c>
      <c r="S1501" s="58"/>
      <c r="T1501" s="73"/>
      <c r="U1501" s="53">
        <f>(U$29/U$27)^2*(U1498-('Valve Sizing'!$V$4*'Valve Sizing'!$G$7))</f>
        <v>46.437476638817991</v>
      </c>
      <c r="V1501" s="41"/>
      <c r="W1501" s="73"/>
      <c r="X1501" s="53">
        <f>(X$29/X$27)^2*(X1498-('Valve Sizing'!$V$4*'Valve Sizing'!$G$7))</f>
        <v>43.924120222097592</v>
      </c>
      <c r="Y1501" s="41"/>
      <c r="Z1501" s="73"/>
      <c r="AA1501" s="53">
        <f>(AA$29/AA$27)^2*(AA1498-('Valve Sizing'!$V$4*'Valve Sizing'!$G$7))</f>
        <v>37.468740163715452</v>
      </c>
      <c r="AB1501" s="41"/>
      <c r="AC1501" s="73"/>
      <c r="AD1501" s="53">
        <f>(AD$29/AD$27)^2*(AD1498-('Valve Sizing'!$V$4*'Valve Sizing'!$G$7))</f>
        <v>25.140968735176887</v>
      </c>
      <c r="AE1501" s="41"/>
      <c r="AF1501" s="73"/>
      <c r="AG1501" s="53">
        <f>(AG$29/AG$27)^2*(AG1498-('Valve Sizing'!$V$4*'Valve Sizing'!$G$7))</f>
        <v>5.5133605660008209</v>
      </c>
      <c r="AH1501" s="41"/>
      <c r="AI1501" s="73"/>
      <c r="AJ1501" s="53">
        <f>(AJ$29/AJ$27)^2*(AJ1498-('Valve Sizing'!$V$4*'Valve Sizing'!$G$7))</f>
        <v>-16.689713644280101</v>
      </c>
      <c r="AK1501" s="41"/>
      <c r="AL1501" s="73"/>
      <c r="AM1501" s="53">
        <f>(AM$29/AM$27)^2*(AM1498-('Valve Sizing'!$V$4*'Valve Sizing'!$G$7))</f>
        <v>-33.767155182335252</v>
      </c>
      <c r="AN1501" s="41"/>
      <c r="AO1501" s="73"/>
      <c r="AP1501" s="53">
        <f>(AP$29/AP$27)^2*(AP1498-('Valve Sizing'!$V$4*'Valve Sizing'!$G$7))</f>
        <v>-45.290025853629352</v>
      </c>
      <c r="AQ1501" s="41"/>
      <c r="AR1501" s="73"/>
      <c r="AS1501" s="53">
        <f>(AS$29/AS$27)^2*(AS1498-('Valve Sizing'!$V$4*'Valve Sizing'!$G$7))</f>
        <v>-62.186318315507208</v>
      </c>
      <c r="AT1501" s="41"/>
      <c r="AU1501" s="73"/>
    </row>
    <row r="1502" spans="15:47" ht="13" x14ac:dyDescent="0.25">
      <c r="O1502" s="1" t="s">
        <v>69</v>
      </c>
      <c r="P1502" s="17">
        <v>7</v>
      </c>
      <c r="Q1502" s="65"/>
      <c r="R1502" s="53">
        <f>(R1496/(N_1*F_P_h))*SQRT('Valve Sizing'!$G$6/R1500)</f>
        <v>1.961924397321136</v>
      </c>
      <c r="S1502" s="58"/>
      <c r="T1502" s="73"/>
      <c r="U1502" s="64">
        <f>(U1496/(N_1*U$27))*SQRT('Valve Sizing'!$G$6/U1500)</f>
        <v>18.8363316479481</v>
      </c>
      <c r="V1502" s="41"/>
      <c r="W1502" s="73"/>
      <c r="X1502" s="64">
        <f>(X1496/(N_1*X$27))*SQRT('Valve Sizing'!$G$6/X1500)</f>
        <v>46.949068920629927</v>
      </c>
      <c r="Y1502" s="41"/>
      <c r="Z1502" s="73"/>
      <c r="AA1502" s="64">
        <f>(AA1496/(N_1*AA$27))*SQRT('Valve Sizing'!$G$6/AA1500)</f>
        <v>103.07277782252875</v>
      </c>
      <c r="AB1502" s="41"/>
      <c r="AC1502" s="73"/>
      <c r="AD1502" s="64">
        <f>(AD1496/(N_1*AD$27))*SQRT('Valve Sizing'!$G$6/AD1500)</f>
        <v>325.07004022942635</v>
      </c>
      <c r="AE1502" s="41"/>
      <c r="AF1502" s="73"/>
      <c r="AG1502" s="64" t="e">
        <f>(AG1496/(N_1*AG$27))*SQRT('Valve Sizing'!$G$6/AG1500)</f>
        <v>#NUM!</v>
      </c>
      <c r="AH1502" s="41"/>
      <c r="AI1502" s="73"/>
      <c r="AJ1502" s="64" t="e">
        <f>(AJ1496/(N_1*AJ$27))*SQRT('Valve Sizing'!$G$6/AJ1500)</f>
        <v>#NUM!</v>
      </c>
      <c r="AK1502" s="41"/>
      <c r="AL1502" s="73"/>
      <c r="AM1502" s="64" t="e">
        <f>(AM1496/(N_1*AM$27))*SQRT('Valve Sizing'!$G$6/AM1500)</f>
        <v>#NUM!</v>
      </c>
      <c r="AN1502" s="41"/>
      <c r="AO1502" s="73"/>
      <c r="AP1502" s="64" t="e">
        <f>(AP1496/(N_1*AP$27))*SQRT('Valve Sizing'!$G$6/AP1500)</f>
        <v>#NUM!</v>
      </c>
      <c r="AQ1502" s="41"/>
      <c r="AR1502" s="73"/>
      <c r="AS1502" s="64" t="e">
        <f>(AS1496/(N_1*AS$27))*SQRT('Valve Sizing'!$G$6/AS1500)</f>
        <v>#NUM!</v>
      </c>
      <c r="AT1502" s="41"/>
      <c r="AU1502" s="73"/>
    </row>
    <row r="1503" spans="15:47" ht="13" x14ac:dyDescent="0.3">
      <c r="O1503" s="1" t="s">
        <v>72</v>
      </c>
      <c r="P1503" s="17">
        <v>7</v>
      </c>
      <c r="Q1503" s="65"/>
      <c r="R1503" s="53">
        <f>(R1496/(N_1*F_P_h))*SQRT('Valve Sizing'!$G$6/R1501)</f>
        <v>1.6294132740012028</v>
      </c>
      <c r="S1503" s="56"/>
      <c r="T1503" s="72"/>
      <c r="U1503" s="85">
        <f>(U1496/(N_1*U$27))*SQRT('Valve Sizing'!$G$6/U1501)</f>
        <v>15.588164541190279</v>
      </c>
      <c r="V1503" s="44"/>
      <c r="W1503" s="72"/>
      <c r="X1503" s="85">
        <f>(X1496/(N_1*X$27))*SQRT('Valve Sizing'!$G$6/X1501)</f>
        <v>38.559668535313563</v>
      </c>
      <c r="Y1503" s="44"/>
      <c r="Z1503" s="72"/>
      <c r="AA1503" s="85">
        <f>(AA1496/(N_1*AA$27))*SQRT('Valve Sizing'!$G$6/AA1501)</f>
        <v>80.173511092595263</v>
      </c>
      <c r="AB1503" s="44"/>
      <c r="AC1503" s="72"/>
      <c r="AD1503" s="85">
        <f>(AD1496/(N_1*AD$27))*SQRT('Valve Sizing'!$G$6/AD1501)</f>
        <v>162.99276856011136</v>
      </c>
      <c r="AE1503" s="44"/>
      <c r="AF1503" s="72"/>
      <c r="AG1503" s="85">
        <f>(AG1496/(N_1*AG$27))*SQRT('Valve Sizing'!$G$6/AG1501)</f>
        <v>529.7723688664779</v>
      </c>
      <c r="AH1503" s="44"/>
      <c r="AI1503" s="72"/>
      <c r="AJ1503" s="85" t="e">
        <f>(AJ1496/(N_1*AJ$27))*SQRT('Valve Sizing'!$G$6/AJ1501)</f>
        <v>#NUM!</v>
      </c>
      <c r="AK1503" s="44"/>
      <c r="AL1503" s="72"/>
      <c r="AM1503" s="85" t="e">
        <f>(AM1496/(N_1*AM$27))*SQRT('Valve Sizing'!$G$6/AM1501)</f>
        <v>#NUM!</v>
      </c>
      <c r="AN1503" s="44"/>
      <c r="AO1503" s="72"/>
      <c r="AP1503" s="85" t="e">
        <f>(AP1496/(N_1*AP$27))*SQRT('Valve Sizing'!$G$6/AP1501)</f>
        <v>#NUM!</v>
      </c>
      <c r="AQ1503" s="44"/>
      <c r="AR1503" s="72"/>
      <c r="AS1503" s="85" t="e">
        <f>(AS1496/(N_1*AS$27))*SQRT('Valve Sizing'!$G$6/AS1501)</f>
        <v>#NUM!</v>
      </c>
      <c r="AT1503" s="44"/>
      <c r="AU1503" s="72"/>
    </row>
    <row r="1504" spans="15:47" x14ac:dyDescent="0.25">
      <c r="O1504" s="1" t="s">
        <v>246</v>
      </c>
      <c r="P1504" s="18"/>
      <c r="Q1504" s="65"/>
      <c r="R1504" s="53">
        <f>IF(R1500&lt;R1501,R1502,R1503)</f>
        <v>1.961924397321136</v>
      </c>
      <c r="S1504" s="49"/>
      <c r="T1504" s="72"/>
      <c r="U1504" s="64">
        <f>IF(U1500&lt;U1501,U1502,U1503)</f>
        <v>18.8363316479481</v>
      </c>
      <c r="V1504" s="44"/>
      <c r="W1504" s="72"/>
      <c r="X1504" s="64">
        <f>IF(X1500&lt;X1501,X1502,X1503)</f>
        <v>46.949068920629927</v>
      </c>
      <c r="Y1504" s="44"/>
      <c r="Z1504" s="72"/>
      <c r="AA1504" s="64">
        <f>IF(AA1500&lt;AA1501,AA1502,AA1503)</f>
        <v>103.07277782252875</v>
      </c>
      <c r="AB1504" s="44"/>
      <c r="AC1504" s="72"/>
      <c r="AD1504" s="64">
        <f>IF(AD1500&lt;AD1501,AD1502,AD1503)</f>
        <v>325.07004022942635</v>
      </c>
      <c r="AE1504" s="44"/>
      <c r="AF1504" s="72"/>
      <c r="AG1504" s="64" t="e">
        <f>IF(AG1500&lt;AG1501,AG1502,AG1503)</f>
        <v>#NUM!</v>
      </c>
      <c r="AH1504" s="44"/>
      <c r="AI1504" s="72"/>
      <c r="AJ1504" s="64" t="e">
        <f>IF(AJ1500&lt;AJ1501,AJ1502,AJ1503)</f>
        <v>#NUM!</v>
      </c>
      <c r="AK1504" s="44"/>
      <c r="AL1504" s="72"/>
      <c r="AM1504" s="64" t="e">
        <f>IF(AM1500&lt;AM1501,AM1502,AM1503)</f>
        <v>#NUM!</v>
      </c>
      <c r="AN1504" s="44"/>
      <c r="AO1504" s="72"/>
      <c r="AP1504" s="64" t="e">
        <f>IF(AP1500&lt;AP1501,AP1502,AP1503)</f>
        <v>#NUM!</v>
      </c>
      <c r="AQ1504" s="44"/>
      <c r="AR1504" s="72"/>
      <c r="AS1504" s="64" t="e">
        <f>IF(AS1500&lt;AS1501,AS1502,AS1503)</f>
        <v>#NUM!</v>
      </c>
      <c r="AT1504" s="44"/>
      <c r="AU1504" s="72"/>
    </row>
    <row r="1505" spans="15:47" ht="13" x14ac:dyDescent="0.3">
      <c r="O1505" s="7" t="s">
        <v>264</v>
      </c>
      <c r="Q1505" s="61"/>
      <c r="R1505" s="53"/>
      <c r="S1505" s="69">
        <f>IFERROR(ABS(C_h-R1504),Q_max*10)</f>
        <v>3.0380756026788642</v>
      </c>
      <c r="T1505" s="76">
        <f>R1496</f>
        <v>11.140709023167627</v>
      </c>
      <c r="U1505" s="61"/>
      <c r="V1505" s="69">
        <f>IFERROR(ABS(U$23-U1504),Q_max*10)</f>
        <v>6.8363316479481</v>
      </c>
      <c r="W1505" s="75">
        <f>U1496</f>
        <v>106.13622021702641</v>
      </c>
      <c r="X1505" s="61"/>
      <c r="Y1505" s="69">
        <f>IFERROR(ABS(X$23-X1504),Q_max*10)</f>
        <v>23.949068920629927</v>
      </c>
      <c r="Z1505" s="75">
        <f>X1496</f>
        <v>254.76778432222096</v>
      </c>
      <c r="AA1505" s="61"/>
      <c r="AB1505" s="69">
        <f>IFERROR(ABS(AA$23-AA1504),Q_max*10)</f>
        <v>64.072777822528749</v>
      </c>
      <c r="AC1505" s="75">
        <f>AA1496</f>
        <v>486.44506965127954</v>
      </c>
      <c r="AD1505" s="61"/>
      <c r="AE1505" s="69">
        <f>IFERROR(ABS(AD$23-AD1504),Q_max*10)</f>
        <v>264.07004022942635</v>
      </c>
      <c r="AF1505" s="75">
        <f>AD1496</f>
        <v>800.02304112755826</v>
      </c>
      <c r="AG1505" s="61"/>
      <c r="AH1505" s="69">
        <f>IFERROR(ABS(AG$23-AG1504),Q_max*10)</f>
        <v>5500</v>
      </c>
      <c r="AI1505" s="75">
        <f>AG1496</f>
        <v>1191.1252919697799</v>
      </c>
      <c r="AJ1505" s="61"/>
      <c r="AK1505" s="69">
        <f>IFERROR(ABS(AJ$23-AJ1504),Q_max*10)</f>
        <v>5500</v>
      </c>
      <c r="AL1505" s="75">
        <f>AJ1496</f>
        <v>1589.5613196109484</v>
      </c>
      <c r="AM1505" s="61"/>
      <c r="AN1505" s="69">
        <f>IFERROR(ABS(AM$23-AM1504),Q_max*10)</f>
        <v>5500</v>
      </c>
      <c r="AO1505" s="75">
        <f>AM1496</f>
        <v>1939.5668900758262</v>
      </c>
      <c r="AP1505" s="61"/>
      <c r="AQ1505" s="69">
        <f>IFERROR(ABS(AP$23-AP1504),Q_max*10)</f>
        <v>5500</v>
      </c>
      <c r="AR1505" s="75">
        <f>AP1496</f>
        <v>2251.7769462415686</v>
      </c>
      <c r="AS1505" s="61"/>
      <c r="AT1505" s="69">
        <f>IFERROR(ABS(AS$23-AS1504),Q_max*10)</f>
        <v>5500</v>
      </c>
      <c r="AU1505" s="75">
        <f>AS1496</f>
        <v>2562.732211552122</v>
      </c>
    </row>
    <row r="1506" spans="15:47" ht="14.5" x14ac:dyDescent="0.35">
      <c r="O1506" s="8"/>
      <c r="P1506" s="6"/>
      <c r="Q1506" s="60"/>
      <c r="R1506" s="67"/>
      <c r="S1506" s="56"/>
      <c r="T1506" s="72"/>
      <c r="V1506" s="11"/>
      <c r="W1506" s="38"/>
      <c r="Y1506" s="11"/>
      <c r="Z1506" s="38"/>
      <c r="AB1506" s="11"/>
      <c r="AC1506" s="38"/>
      <c r="AE1506" s="11"/>
      <c r="AF1506" s="38"/>
      <c r="AH1506" s="11"/>
      <c r="AI1506" s="38"/>
      <c r="AK1506" s="11"/>
      <c r="AL1506" s="38"/>
      <c r="AN1506" s="11"/>
      <c r="AO1506" s="38"/>
      <c r="AQ1506" s="11"/>
      <c r="AR1506" s="38"/>
      <c r="AT1506" s="11"/>
      <c r="AU1506" s="38"/>
    </row>
    <row r="1507" spans="15:47" ht="14" x14ac:dyDescent="0.3">
      <c r="O1507" s="8" t="s">
        <v>235</v>
      </c>
      <c r="P1507" s="6"/>
      <c r="Q1507" s="60"/>
      <c r="R1507" s="53">
        <f>R1496*1.02</f>
        <v>11.363523203630979</v>
      </c>
      <c r="S1507" s="58" t="s">
        <v>238</v>
      </c>
      <c r="T1507" s="73" t="s">
        <v>241</v>
      </c>
      <c r="U1507" s="84">
        <f>U1496*1.01</f>
        <v>107.19758241919666</v>
      </c>
      <c r="V1507" s="58" t="s">
        <v>238</v>
      </c>
      <c r="W1507" s="73" t="s">
        <v>241</v>
      </c>
      <c r="X1507" s="84">
        <f>X1496*1.01</f>
        <v>257.31546216544319</v>
      </c>
      <c r="Y1507" s="58" t="s">
        <v>238</v>
      </c>
      <c r="Z1507" s="73" t="s">
        <v>241</v>
      </c>
      <c r="AA1507" s="84">
        <f>AA1496*1.01</f>
        <v>491.30952034779233</v>
      </c>
      <c r="AB1507" s="58" t="s">
        <v>238</v>
      </c>
      <c r="AC1507" s="73" t="s">
        <v>241</v>
      </c>
      <c r="AD1507" s="84">
        <f>AD1496*1.01</f>
        <v>808.0232715388338</v>
      </c>
      <c r="AE1507" s="58" t="s">
        <v>238</v>
      </c>
      <c r="AF1507" s="73" t="s">
        <v>241</v>
      </c>
      <c r="AG1507" s="84">
        <f>AG1496*1.01</f>
        <v>1203.0365448894777</v>
      </c>
      <c r="AH1507" s="58" t="s">
        <v>238</v>
      </c>
      <c r="AI1507" s="73" t="s">
        <v>241</v>
      </c>
      <c r="AJ1507" s="84">
        <f>AJ1496*1.01</f>
        <v>1605.4569328070579</v>
      </c>
      <c r="AK1507" s="58" t="s">
        <v>238</v>
      </c>
      <c r="AL1507" s="73" t="s">
        <v>241</v>
      </c>
      <c r="AM1507" s="84">
        <f>AM1496*1.01</f>
        <v>1958.9625589765844</v>
      </c>
      <c r="AN1507" s="58" t="s">
        <v>238</v>
      </c>
      <c r="AO1507" s="73" t="s">
        <v>241</v>
      </c>
      <c r="AP1507" s="84">
        <f>AP1496*1.01</f>
        <v>2274.2947157039844</v>
      </c>
      <c r="AQ1507" s="58" t="s">
        <v>238</v>
      </c>
      <c r="AR1507" s="73" t="s">
        <v>241</v>
      </c>
      <c r="AS1507" s="84">
        <f>AS1496*1.01</f>
        <v>2588.3595336676431</v>
      </c>
      <c r="AT1507" s="58" t="s">
        <v>238</v>
      </c>
      <c r="AU1507" s="73" t="s">
        <v>241</v>
      </c>
    </row>
    <row r="1508" spans="15:47" ht="13" x14ac:dyDescent="0.25">
      <c r="O1508" s="6"/>
      <c r="P1508" s="6"/>
      <c r="Q1508" s="60"/>
      <c r="R1508" s="70"/>
      <c r="S1508" s="63" t="s">
        <v>250</v>
      </c>
      <c r="T1508" s="71" t="s">
        <v>242</v>
      </c>
      <c r="U1508" s="61"/>
      <c r="V1508" s="63" t="s">
        <v>250</v>
      </c>
      <c r="W1508" s="71" t="s">
        <v>242</v>
      </c>
      <c r="X1508" s="61"/>
      <c r="Y1508" s="63" t="s">
        <v>250</v>
      </c>
      <c r="Z1508" s="71" t="s">
        <v>242</v>
      </c>
      <c r="AA1508" s="61"/>
      <c r="AB1508" s="63" t="s">
        <v>250</v>
      </c>
      <c r="AC1508" s="71" t="s">
        <v>242</v>
      </c>
      <c r="AD1508" s="61"/>
      <c r="AE1508" s="63" t="s">
        <v>250</v>
      </c>
      <c r="AF1508" s="71" t="s">
        <v>242</v>
      </c>
      <c r="AG1508" s="61"/>
      <c r="AH1508" s="63" t="s">
        <v>250</v>
      </c>
      <c r="AI1508" s="71" t="s">
        <v>242</v>
      </c>
      <c r="AJ1508" s="61"/>
      <c r="AK1508" s="63" t="s">
        <v>250</v>
      </c>
      <c r="AL1508" s="71" t="s">
        <v>242</v>
      </c>
      <c r="AM1508" s="61"/>
      <c r="AN1508" s="63" t="s">
        <v>250</v>
      </c>
      <c r="AO1508" s="71" t="s">
        <v>242</v>
      </c>
      <c r="AP1508" s="61"/>
      <c r="AQ1508" s="63" t="s">
        <v>250</v>
      </c>
      <c r="AR1508" s="71" t="s">
        <v>242</v>
      </c>
      <c r="AS1508" s="61"/>
      <c r="AT1508" s="63" t="s">
        <v>250</v>
      </c>
      <c r="AU1508" s="71" t="s">
        <v>242</v>
      </c>
    </row>
    <row r="1509" spans="15:47" ht="13" x14ac:dyDescent="0.3">
      <c r="O1509" s="6" t="s">
        <v>231</v>
      </c>
      <c r="P1509" s="6"/>
      <c r="Q1509" s="60"/>
      <c r="R1509" s="85">
        <f>P_1_minQ-(R1507^2*R_up)+dpup_minQ</f>
        <v>56.911782179682561</v>
      </c>
      <c r="S1509" s="56"/>
      <c r="T1509" s="72"/>
      <c r="U1509" s="53">
        <f>P_1_minQ-(U1507^2*R_up)+dpup_minQ</f>
        <v>56.528053979178644</v>
      </c>
      <c r="V1509" s="44"/>
      <c r="W1509" s="72"/>
      <c r="X1509" s="53">
        <f>P_1_minQ-(X1507^2*R_up)+dpup_minQ</f>
        <v>54.680032182728283</v>
      </c>
      <c r="Y1509" s="44"/>
      <c r="Z1509" s="72"/>
      <c r="AA1509" s="53">
        <f>P_1_minQ-(AA1507^2*R_up)+dpup_minQ</f>
        <v>48.763997136630266</v>
      </c>
      <c r="AB1509" s="44"/>
      <c r="AC1509" s="72"/>
      <c r="AD1509" s="53">
        <f>P_1_minQ-(AD1507^2*R_up)+dpup_minQ</f>
        <v>34.866105797084764</v>
      </c>
      <c r="AE1509" s="44"/>
      <c r="AF1509" s="72"/>
      <c r="AG1509" s="53">
        <f>P_1_minQ-(AG1507^2*R_up)+dpup_minQ</f>
        <v>8.0374897555011096</v>
      </c>
      <c r="AH1509" s="44"/>
      <c r="AI1509" s="72"/>
      <c r="AJ1509" s="53">
        <f>P_1_minQ-(AJ1507^2*R_up)+dpup_minQ</f>
        <v>-30.131879874982989</v>
      </c>
      <c r="AK1509" s="44"/>
      <c r="AL1509" s="72"/>
      <c r="AM1509" s="53">
        <f>P_1_minQ-(AM1507^2*R_up)+dpup_minQ</f>
        <v>-72.686501434383246</v>
      </c>
      <c r="AN1509" s="44"/>
      <c r="AO1509" s="72"/>
      <c r="AP1509" s="53">
        <f>P_1_minQ-(AP1507^2*R_up)+dpup_minQ</f>
        <v>-117.76864079294384</v>
      </c>
      <c r="AQ1509" s="44"/>
      <c r="AR1509" s="72"/>
      <c r="AS1509" s="53">
        <f>P_1_minQ-(AS1507^2*R_up)+dpup_minQ</f>
        <v>-169.34542639406212</v>
      </c>
      <c r="AT1509" s="44"/>
      <c r="AU1509" s="72"/>
    </row>
    <row r="1510" spans="15:47" ht="13" x14ac:dyDescent="0.3">
      <c r="O1510" s="6" t="s">
        <v>233</v>
      </c>
      <c r="P1510" s="6"/>
      <c r="Q1510" s="60"/>
      <c r="R1510" s="85">
        <f>P_2_minQ+(R1507^2*R_dn)-dpdn_minQ</f>
        <v>24.657643564063491</v>
      </c>
      <c r="S1510" s="66"/>
      <c r="T1510" s="74"/>
      <c r="U1510" s="53">
        <f>P_2_minQ+(U1507^2*R_dn)-dpdn_minQ</f>
        <v>24.734389204164273</v>
      </c>
      <c r="V1510" s="45"/>
      <c r="W1510" s="74"/>
      <c r="X1510" s="53">
        <f>P_2_minQ+(X1507^2*R_dn)-dpdn_minQ</f>
        <v>25.103993563454345</v>
      </c>
      <c r="Y1510" s="45"/>
      <c r="Z1510" s="74"/>
      <c r="AA1510" s="53">
        <f>P_2_minQ+(AA1507^2*R_dn)-dpdn_minQ</f>
        <v>26.287200572673949</v>
      </c>
      <c r="AB1510" s="45"/>
      <c r="AC1510" s="74"/>
      <c r="AD1510" s="53">
        <f>P_2_minQ+(AD1507^2*R_dn)-dpdn_minQ</f>
        <v>29.066778840583048</v>
      </c>
      <c r="AE1510" s="45"/>
      <c r="AF1510" s="74"/>
      <c r="AG1510" s="53">
        <f>P_2_minQ+(AG1507^2*R_dn)-dpdn_minQ</f>
        <v>34.432502048899785</v>
      </c>
      <c r="AH1510" s="45"/>
      <c r="AI1510" s="74"/>
      <c r="AJ1510" s="53">
        <f>P_2_minQ+(AJ1507^2*R_dn)-dpdn_minQ</f>
        <v>42.066375974996603</v>
      </c>
      <c r="AK1510" s="45"/>
      <c r="AL1510" s="74"/>
      <c r="AM1510" s="53">
        <f>P_2_minQ+(AM1507^2*R_dn)-dpdn_minQ</f>
        <v>50.57730028687665</v>
      </c>
      <c r="AN1510" s="45"/>
      <c r="AO1510" s="74"/>
      <c r="AP1510" s="53">
        <f>P_2_minQ+(AP1507^2*R_dn)-dpdn_minQ</f>
        <v>59.593728158588767</v>
      </c>
      <c r="AQ1510" s="45"/>
      <c r="AR1510" s="74"/>
      <c r="AS1510" s="53">
        <f>P_2_minQ+(AS1507^2*R_dn)-dpdn_minQ</f>
        <v>69.909085278812427</v>
      </c>
      <c r="AT1510" s="45"/>
      <c r="AU1510" s="74"/>
    </row>
    <row r="1511" spans="15:47" x14ac:dyDescent="0.25">
      <c r="O1511" s="6" t="s">
        <v>243</v>
      </c>
      <c r="Q1511" s="60"/>
      <c r="R1511" s="53">
        <f>R1509-R1510</f>
        <v>32.25413861561907</v>
      </c>
      <c r="S1511" s="56"/>
      <c r="T1511" s="72"/>
      <c r="U1511" s="64">
        <f>U1509-U1510</f>
        <v>31.793664775014371</v>
      </c>
      <c r="V1511" s="44"/>
      <c r="W1511" s="72"/>
      <c r="X1511" s="64">
        <f>X1509-X1510</f>
        <v>29.576038619273938</v>
      </c>
      <c r="Y1511" s="44"/>
      <c r="Z1511" s="72"/>
      <c r="AA1511" s="64">
        <f>AA1509-AA1510</f>
        <v>22.476796563956317</v>
      </c>
      <c r="AB1511" s="44"/>
      <c r="AC1511" s="72"/>
      <c r="AD1511" s="64">
        <f>AD1509-AD1510</f>
        <v>5.7993269565017158</v>
      </c>
      <c r="AE1511" s="44"/>
      <c r="AF1511" s="72"/>
      <c r="AG1511" s="64">
        <f>AG1509-AG1510</f>
        <v>-26.395012293398675</v>
      </c>
      <c r="AH1511" s="44"/>
      <c r="AI1511" s="72"/>
      <c r="AJ1511" s="64">
        <f>AJ1509-AJ1510</f>
        <v>-72.198255849979589</v>
      </c>
      <c r="AK1511" s="44"/>
      <c r="AL1511" s="72"/>
      <c r="AM1511" s="64">
        <f>AM1509-AM1510</f>
        <v>-123.2638017212599</v>
      </c>
      <c r="AN1511" s="44"/>
      <c r="AO1511" s="72"/>
      <c r="AP1511" s="64">
        <f>AP1509-AP1510</f>
        <v>-177.3623689515326</v>
      </c>
      <c r="AQ1511" s="44"/>
      <c r="AR1511" s="72"/>
      <c r="AS1511" s="64">
        <f>AS1509-AS1510</f>
        <v>-239.25451167287454</v>
      </c>
      <c r="AT1511" s="44"/>
      <c r="AU1511" s="72"/>
    </row>
    <row r="1512" spans="15:47" ht="13" x14ac:dyDescent="0.3">
      <c r="O1512" s="6" t="s">
        <v>75</v>
      </c>
      <c r="P1512" s="6">
        <v>3</v>
      </c>
      <c r="Q1512" s="65"/>
      <c r="R1512" s="85">
        <f>(F_LP_h/F_P_h)^2*(R1509-('Valve Sizing'!$V$4*'Valve Sizing'!$G$7))</f>
        <v>46.761552092235448</v>
      </c>
      <c r="S1512" s="58"/>
      <c r="T1512" s="73"/>
      <c r="U1512" s="53">
        <f>(U$29/U$27)^2*(U1509-('Valve Sizing'!$V$4*'Valve Sizing'!$G$7))</f>
        <v>46.431146337756338</v>
      </c>
      <c r="V1512" s="41"/>
      <c r="W1512" s="73"/>
      <c r="X1512" s="53">
        <f>(X$29/X$27)^2*(X1509-('Valve Sizing'!$V$4*'Valve Sizing'!$G$7))</f>
        <v>43.888468737283496</v>
      </c>
      <c r="Y1512" s="41"/>
      <c r="Z1512" s="73"/>
      <c r="AA1512" s="53">
        <f>(AA$29/AA$27)^2*(AA1509-('Valve Sizing'!$V$4*'Valve Sizing'!$G$7))</f>
        <v>37.344606145462713</v>
      </c>
      <c r="AB1512" s="41"/>
      <c r="AC1512" s="73"/>
      <c r="AD1512" s="53">
        <f>(AD$29/AD$27)^2*(AD1509-('Valve Sizing'!$V$4*'Valve Sizing'!$G$7))</f>
        <v>24.827632388827933</v>
      </c>
      <c r="AE1512" s="41"/>
      <c r="AF1512" s="73"/>
      <c r="AG1512" s="53">
        <f>(AG$29/AG$27)^2*(AG1509-('Valve Sizing'!$V$4*'Valve Sizing'!$G$7))</f>
        <v>4.8930801798612986</v>
      </c>
      <c r="AH1512" s="41"/>
      <c r="AI1512" s="73"/>
      <c r="AJ1512" s="53">
        <f>(AJ$29/AJ$27)^2*(AJ1509-('Valve Sizing'!$V$4*'Valve Sizing'!$G$7))</f>
        <v>-17.681718337237189</v>
      </c>
      <c r="AK1512" s="41"/>
      <c r="AL1512" s="73"/>
      <c r="AM1512" s="53">
        <f>(AM$29/AM$27)^2*(AM1509-('Valve Sizing'!$V$4*'Valve Sizing'!$G$7))</f>
        <v>-34.989021905420508</v>
      </c>
      <c r="AN1512" s="41"/>
      <c r="AO1512" s="73"/>
      <c r="AP1512" s="53">
        <f>(AP$29/AP$27)^2*(AP1509-('Valve Sizing'!$V$4*'Valve Sizing'!$G$7))</f>
        <v>-46.648323640186781</v>
      </c>
      <c r="AQ1512" s="41"/>
      <c r="AR1512" s="73"/>
      <c r="AS1512" s="53">
        <f>(AS$29/AS$27)^2*(AS1509-('Valve Sizing'!$V$4*'Valve Sizing'!$G$7))</f>
        <v>-63.863246802766461</v>
      </c>
      <c r="AT1512" s="41"/>
      <c r="AU1512" s="73"/>
    </row>
    <row r="1513" spans="15:47" ht="13" x14ac:dyDescent="0.25">
      <c r="O1513" s="1" t="s">
        <v>69</v>
      </c>
      <c r="P1513" s="17">
        <v>7</v>
      </c>
      <c r="Q1513" s="65"/>
      <c r="R1513" s="53">
        <f>(R1507/(N_1*F_P_h))*SQRT('Valve Sizing'!$G$6/R1511)</f>
        <v>2.0011691892671779</v>
      </c>
      <c r="S1513" s="58"/>
      <c r="T1513" s="73"/>
      <c r="U1513" s="64">
        <f>(U1507/(N_1*U$27))*SQRT('Valve Sizing'!$G$6/U1511)</f>
        <v>19.027440214509348</v>
      </c>
      <c r="V1513" s="41"/>
      <c r="W1513" s="73"/>
      <c r="X1513" s="64">
        <f>(X1507/(N_1*X$27))*SQRT('Valve Sizing'!$G$6/X1511)</f>
        <v>47.460925107225307</v>
      </c>
      <c r="Y1513" s="41"/>
      <c r="Z1513" s="73"/>
      <c r="AA1513" s="64">
        <f>(AA1507/(N_1*AA$27))*SQRT('Valve Sizing'!$G$6/AA1511)</f>
        <v>104.54893546543489</v>
      </c>
      <c r="AB1513" s="41"/>
      <c r="AC1513" s="73"/>
      <c r="AD1513" s="64">
        <f>(AD1507/(N_1*AD$27))*SQRT('Valve Sizing'!$G$6/AD1511)</f>
        <v>342.7614073116867</v>
      </c>
      <c r="AE1513" s="41"/>
      <c r="AF1513" s="73"/>
      <c r="AG1513" s="64" t="e">
        <f>(AG1507/(N_1*AG$27))*SQRT('Valve Sizing'!$G$6/AG1511)</f>
        <v>#NUM!</v>
      </c>
      <c r="AH1513" s="41"/>
      <c r="AI1513" s="73"/>
      <c r="AJ1513" s="64" t="e">
        <f>(AJ1507/(N_1*AJ$27))*SQRT('Valve Sizing'!$G$6/AJ1511)</f>
        <v>#NUM!</v>
      </c>
      <c r="AK1513" s="41"/>
      <c r="AL1513" s="73"/>
      <c r="AM1513" s="64" t="e">
        <f>(AM1507/(N_1*AM$27))*SQRT('Valve Sizing'!$G$6/AM1511)</f>
        <v>#NUM!</v>
      </c>
      <c r="AN1513" s="41"/>
      <c r="AO1513" s="73"/>
      <c r="AP1513" s="64" t="e">
        <f>(AP1507/(N_1*AP$27))*SQRT('Valve Sizing'!$G$6/AP1511)</f>
        <v>#NUM!</v>
      </c>
      <c r="AQ1513" s="41"/>
      <c r="AR1513" s="73"/>
      <c r="AS1513" s="64" t="e">
        <f>(AS1507/(N_1*AS$27))*SQRT('Valve Sizing'!$G$6/AS1511)</f>
        <v>#NUM!</v>
      </c>
      <c r="AT1513" s="41"/>
      <c r="AU1513" s="73"/>
    </row>
    <row r="1514" spans="15:47" ht="13" x14ac:dyDescent="0.3">
      <c r="O1514" s="1" t="s">
        <v>72</v>
      </c>
      <c r="P1514" s="17">
        <v>7</v>
      </c>
      <c r="Q1514" s="65"/>
      <c r="R1514" s="53">
        <f>(R1507/(N_1*F_P_h))*SQRT('Valve Sizing'!$G$6/R1512)</f>
        <v>1.6620040314274769</v>
      </c>
      <c r="S1514" s="56"/>
      <c r="T1514" s="72"/>
      <c r="U1514" s="85">
        <f>(U1507/(N_1*U$27))*SQRT('Valve Sizing'!$G$6/U1512)</f>
        <v>15.745119401064679</v>
      </c>
      <c r="V1514" s="44"/>
      <c r="W1514" s="72"/>
      <c r="X1514" s="85">
        <f>(X1507/(N_1*X$27))*SQRT('Valve Sizing'!$G$6/X1512)</f>
        <v>38.961080020296514</v>
      </c>
      <c r="Y1514" s="44"/>
      <c r="Z1514" s="72"/>
      <c r="AA1514" s="85">
        <f>(AA1507/(N_1*AA$27))*SQRT('Valve Sizing'!$G$6/AA1512)</f>
        <v>81.109716004018779</v>
      </c>
      <c r="AB1514" s="44"/>
      <c r="AC1514" s="72"/>
      <c r="AD1514" s="85">
        <f>(AD1507/(N_1*AD$27))*SQRT('Valve Sizing'!$G$6/AD1512)</f>
        <v>165.65824696190757</v>
      </c>
      <c r="AE1514" s="44"/>
      <c r="AF1514" s="72"/>
      <c r="AG1514" s="85">
        <f>(AG1507/(N_1*AG$27))*SQRT('Valve Sizing'!$G$6/AG1512)</f>
        <v>567.97302318124741</v>
      </c>
      <c r="AH1514" s="44"/>
      <c r="AI1514" s="72"/>
      <c r="AJ1514" s="85" t="e">
        <f>(AJ1507/(N_1*AJ$27))*SQRT('Valve Sizing'!$G$6/AJ1512)</f>
        <v>#NUM!</v>
      </c>
      <c r="AK1514" s="44"/>
      <c r="AL1514" s="72"/>
      <c r="AM1514" s="85" t="e">
        <f>(AM1507/(N_1*AM$27))*SQRT('Valve Sizing'!$G$6/AM1512)</f>
        <v>#NUM!</v>
      </c>
      <c r="AN1514" s="44"/>
      <c r="AO1514" s="72"/>
      <c r="AP1514" s="85" t="e">
        <f>(AP1507/(N_1*AP$27))*SQRT('Valve Sizing'!$G$6/AP1512)</f>
        <v>#NUM!</v>
      </c>
      <c r="AQ1514" s="44"/>
      <c r="AR1514" s="72"/>
      <c r="AS1514" s="85" t="e">
        <f>(AS1507/(N_1*AS$27))*SQRT('Valve Sizing'!$G$6/AS1512)</f>
        <v>#NUM!</v>
      </c>
      <c r="AT1514" s="44"/>
      <c r="AU1514" s="72"/>
    </row>
    <row r="1515" spans="15:47" x14ac:dyDescent="0.25">
      <c r="O1515" s="1" t="s">
        <v>246</v>
      </c>
      <c r="P1515" s="18"/>
      <c r="Q1515" s="65"/>
      <c r="R1515" s="53">
        <f>IF(R1511&lt;R1512,R1513,R1514)</f>
        <v>2.0011691892671779</v>
      </c>
      <c r="S1515" s="49"/>
      <c r="T1515" s="72"/>
      <c r="U1515" s="64">
        <f>IF(U1511&lt;U1512,U1513,U1514)</f>
        <v>19.027440214509348</v>
      </c>
      <c r="V1515" s="44"/>
      <c r="W1515" s="72"/>
      <c r="X1515" s="64">
        <f>IF(X1511&lt;X1512,X1513,X1514)</f>
        <v>47.460925107225307</v>
      </c>
      <c r="Y1515" s="44"/>
      <c r="Z1515" s="72"/>
      <c r="AA1515" s="64">
        <f>IF(AA1511&lt;AA1512,AA1513,AA1514)</f>
        <v>104.54893546543489</v>
      </c>
      <c r="AB1515" s="44"/>
      <c r="AC1515" s="72"/>
      <c r="AD1515" s="64">
        <f>IF(AD1511&lt;AD1512,AD1513,AD1514)</f>
        <v>342.7614073116867</v>
      </c>
      <c r="AE1515" s="44"/>
      <c r="AF1515" s="72"/>
      <c r="AG1515" s="64" t="e">
        <f>IF(AG1511&lt;AG1512,AG1513,AG1514)</f>
        <v>#NUM!</v>
      </c>
      <c r="AH1515" s="44"/>
      <c r="AI1515" s="72"/>
      <c r="AJ1515" s="64" t="e">
        <f>IF(AJ1511&lt;AJ1512,AJ1513,AJ1514)</f>
        <v>#NUM!</v>
      </c>
      <c r="AK1515" s="44"/>
      <c r="AL1515" s="72"/>
      <c r="AM1515" s="64" t="e">
        <f>IF(AM1511&lt;AM1512,AM1513,AM1514)</f>
        <v>#NUM!</v>
      </c>
      <c r="AN1515" s="44"/>
      <c r="AO1515" s="72"/>
      <c r="AP1515" s="64" t="e">
        <f>IF(AP1511&lt;AP1512,AP1513,AP1514)</f>
        <v>#NUM!</v>
      </c>
      <c r="AQ1515" s="44"/>
      <c r="AR1515" s="72"/>
      <c r="AS1515" s="64" t="e">
        <f>IF(AS1511&lt;AS1512,AS1513,AS1514)</f>
        <v>#NUM!</v>
      </c>
      <c r="AT1515" s="44"/>
      <c r="AU1515" s="72"/>
    </row>
    <row r="1516" spans="15:47" ht="13" x14ac:dyDescent="0.3">
      <c r="O1516" s="7" t="s">
        <v>264</v>
      </c>
      <c r="Q1516" s="61"/>
      <c r="R1516" s="53"/>
      <c r="S1516" s="69">
        <f>IFERROR(ABS(C_h-R1515),Q_max*10)</f>
        <v>2.9988308107328221</v>
      </c>
      <c r="T1516" s="76">
        <f>R1507</f>
        <v>11.363523203630979</v>
      </c>
      <c r="U1516" s="61"/>
      <c r="V1516" s="69">
        <f>IFERROR(ABS(U$23-U1515),Q_max*10)</f>
        <v>7.0274402145093475</v>
      </c>
      <c r="W1516" s="75">
        <f>U1507</f>
        <v>107.19758241919666</v>
      </c>
      <c r="X1516" s="61"/>
      <c r="Y1516" s="69">
        <f>IFERROR(ABS(X$23-X1515),Q_max*10)</f>
        <v>24.460925107225307</v>
      </c>
      <c r="Z1516" s="75">
        <f>X1507</f>
        <v>257.31546216544319</v>
      </c>
      <c r="AA1516" s="61"/>
      <c r="AB1516" s="69">
        <f>IFERROR(ABS(AA$23-AA1515),Q_max*10)</f>
        <v>65.548935465434894</v>
      </c>
      <c r="AC1516" s="75">
        <f>AA1507</f>
        <v>491.30952034779233</v>
      </c>
      <c r="AD1516" s="61"/>
      <c r="AE1516" s="69">
        <f>IFERROR(ABS(AD$23-AD1515),Q_max*10)</f>
        <v>281.7614073116867</v>
      </c>
      <c r="AF1516" s="75">
        <f>AD1507</f>
        <v>808.0232715388338</v>
      </c>
      <c r="AG1516" s="61"/>
      <c r="AH1516" s="69">
        <f>IFERROR(ABS(AG$23-AG1515),Q_max*10)</f>
        <v>5500</v>
      </c>
      <c r="AI1516" s="75">
        <f>AG1507</f>
        <v>1203.0365448894777</v>
      </c>
      <c r="AJ1516" s="61"/>
      <c r="AK1516" s="69">
        <f>IFERROR(ABS(AJ$23-AJ1515),Q_max*10)</f>
        <v>5500</v>
      </c>
      <c r="AL1516" s="75">
        <f>AJ1507</f>
        <v>1605.4569328070579</v>
      </c>
      <c r="AM1516" s="61"/>
      <c r="AN1516" s="69">
        <f>IFERROR(ABS(AM$23-AM1515),Q_max*10)</f>
        <v>5500</v>
      </c>
      <c r="AO1516" s="75">
        <f>AM1507</f>
        <v>1958.9625589765844</v>
      </c>
      <c r="AP1516" s="61"/>
      <c r="AQ1516" s="69">
        <f>IFERROR(ABS(AP$23-AP1515),Q_max*10)</f>
        <v>5500</v>
      </c>
      <c r="AR1516" s="75">
        <f>AP1507</f>
        <v>2274.2947157039844</v>
      </c>
      <c r="AS1516" s="61"/>
      <c r="AT1516" s="69">
        <f>IFERROR(ABS(AS$23-AS1515),Q_max*10)</f>
        <v>5500</v>
      </c>
      <c r="AU1516" s="75">
        <f>AS1507</f>
        <v>2588.3595336676431</v>
      </c>
    </row>
    <row r="1517" spans="15:47" ht="14.5" x14ac:dyDescent="0.35">
      <c r="O1517" s="6"/>
      <c r="P1517" s="6"/>
      <c r="Q1517" s="60"/>
      <c r="R1517" s="67"/>
      <c r="S1517" s="58"/>
      <c r="T1517" s="73"/>
      <c r="V1517" s="11"/>
      <c r="W1517" s="38"/>
      <c r="Y1517" s="11"/>
      <c r="Z1517" s="38"/>
      <c r="AB1517" s="11"/>
      <c r="AC1517" s="38"/>
      <c r="AE1517" s="11"/>
      <c r="AF1517" s="38"/>
      <c r="AH1517" s="11"/>
      <c r="AI1517" s="38"/>
      <c r="AK1517" s="11"/>
      <c r="AL1517" s="38"/>
      <c r="AN1517" s="11"/>
      <c r="AO1517" s="38"/>
      <c r="AQ1517" s="11"/>
      <c r="AR1517" s="38"/>
      <c r="AT1517" s="11"/>
      <c r="AU1517" s="38"/>
    </row>
    <row r="1518" spans="15:47" ht="14" x14ac:dyDescent="0.3">
      <c r="O1518" s="8" t="s">
        <v>235</v>
      </c>
      <c r="P1518" s="6"/>
      <c r="Q1518" s="60"/>
      <c r="R1518" s="53">
        <f>R1507*1.02</f>
        <v>11.590793667703599</v>
      </c>
      <c r="S1518" s="58" t="s">
        <v>238</v>
      </c>
      <c r="T1518" s="73" t="s">
        <v>241</v>
      </c>
      <c r="U1518" s="84">
        <f>U1507*1.01</f>
        <v>108.26955824338863</v>
      </c>
      <c r="V1518" s="58" t="s">
        <v>238</v>
      </c>
      <c r="W1518" s="73" t="s">
        <v>241</v>
      </c>
      <c r="X1518" s="84">
        <f>X1507*1.01</f>
        <v>259.88861678709765</v>
      </c>
      <c r="Y1518" s="58" t="s">
        <v>238</v>
      </c>
      <c r="Z1518" s="73" t="s">
        <v>241</v>
      </c>
      <c r="AA1518" s="84">
        <f>AA1507*1.01</f>
        <v>496.22261555127028</v>
      </c>
      <c r="AB1518" s="58" t="s">
        <v>238</v>
      </c>
      <c r="AC1518" s="73" t="s">
        <v>241</v>
      </c>
      <c r="AD1518" s="84">
        <f>AD1507*1.01</f>
        <v>816.10350425422212</v>
      </c>
      <c r="AE1518" s="58" t="s">
        <v>238</v>
      </c>
      <c r="AF1518" s="73" t="s">
        <v>241</v>
      </c>
      <c r="AG1518" s="84">
        <f>AG1507*1.01</f>
        <v>1215.0669103383725</v>
      </c>
      <c r="AH1518" s="58" t="s">
        <v>238</v>
      </c>
      <c r="AI1518" s="73" t="s">
        <v>241</v>
      </c>
      <c r="AJ1518" s="84">
        <f>AJ1507*1.01</f>
        <v>1621.5115021351285</v>
      </c>
      <c r="AK1518" s="58" t="s">
        <v>238</v>
      </c>
      <c r="AL1518" s="73" t="s">
        <v>241</v>
      </c>
      <c r="AM1518" s="84">
        <f>AM1507*1.01</f>
        <v>1978.5521845663502</v>
      </c>
      <c r="AN1518" s="58" t="s">
        <v>238</v>
      </c>
      <c r="AO1518" s="73" t="s">
        <v>241</v>
      </c>
      <c r="AP1518" s="84">
        <f>AP1507*1.01</f>
        <v>2297.0376628610243</v>
      </c>
      <c r="AQ1518" s="58" t="s">
        <v>238</v>
      </c>
      <c r="AR1518" s="73" t="s">
        <v>241</v>
      </c>
      <c r="AS1518" s="84">
        <f>AS1507*1.01</f>
        <v>2614.2431290043196</v>
      </c>
      <c r="AT1518" s="58" t="s">
        <v>238</v>
      </c>
      <c r="AU1518" s="73" t="s">
        <v>241</v>
      </c>
    </row>
    <row r="1519" spans="15:47" ht="13" x14ac:dyDescent="0.25">
      <c r="O1519" s="6"/>
      <c r="P1519" s="6"/>
      <c r="Q1519" s="60"/>
      <c r="R1519" s="70"/>
      <c r="S1519" s="63" t="s">
        <v>250</v>
      </c>
      <c r="T1519" s="71" t="s">
        <v>242</v>
      </c>
      <c r="U1519" s="61"/>
      <c r="V1519" s="63" t="s">
        <v>250</v>
      </c>
      <c r="W1519" s="71" t="s">
        <v>242</v>
      </c>
      <c r="X1519" s="61"/>
      <c r="Y1519" s="63" t="s">
        <v>250</v>
      </c>
      <c r="Z1519" s="71" t="s">
        <v>242</v>
      </c>
      <c r="AA1519" s="61"/>
      <c r="AB1519" s="63" t="s">
        <v>250</v>
      </c>
      <c r="AC1519" s="71" t="s">
        <v>242</v>
      </c>
      <c r="AD1519" s="61"/>
      <c r="AE1519" s="63" t="s">
        <v>250</v>
      </c>
      <c r="AF1519" s="71" t="s">
        <v>242</v>
      </c>
      <c r="AG1519" s="61"/>
      <c r="AH1519" s="63" t="s">
        <v>250</v>
      </c>
      <c r="AI1519" s="71" t="s">
        <v>242</v>
      </c>
      <c r="AJ1519" s="61"/>
      <c r="AK1519" s="63" t="s">
        <v>250</v>
      </c>
      <c r="AL1519" s="71" t="s">
        <v>242</v>
      </c>
      <c r="AM1519" s="61"/>
      <c r="AN1519" s="63" t="s">
        <v>250</v>
      </c>
      <c r="AO1519" s="71" t="s">
        <v>242</v>
      </c>
      <c r="AP1519" s="61"/>
      <c r="AQ1519" s="63" t="s">
        <v>250</v>
      </c>
      <c r="AR1519" s="71" t="s">
        <v>242</v>
      </c>
      <c r="AS1519" s="61"/>
      <c r="AT1519" s="63" t="s">
        <v>250</v>
      </c>
      <c r="AU1519" s="71" t="s">
        <v>242</v>
      </c>
    </row>
    <row r="1520" spans="15:47" ht="13" x14ac:dyDescent="0.3">
      <c r="O1520" s="6" t="s">
        <v>231</v>
      </c>
      <c r="P1520" s="6"/>
      <c r="Q1520" s="60"/>
      <c r="R1520" s="85">
        <f>P_1_minQ-(R1518^2*R_up)+dpup_minQ</f>
        <v>56.911605994669124</v>
      </c>
      <c r="S1520" s="56"/>
      <c r="T1520" s="72"/>
      <c r="U1520" s="53">
        <f>P_1_minQ-(U1518^2*R_up)+dpup_minQ</f>
        <v>56.520253385943313</v>
      </c>
      <c r="V1520" s="44"/>
      <c r="W1520" s="72"/>
      <c r="X1520" s="53">
        <f>P_1_minQ-(X1518^2*R_up)+dpup_minQ</f>
        <v>54.635086351384302</v>
      </c>
      <c r="Y1520" s="44"/>
      <c r="Z1520" s="72"/>
      <c r="AA1520" s="53">
        <f>P_1_minQ-(AA1518^2*R_up)+dpup_minQ</f>
        <v>48.60013900085972</v>
      </c>
      <c r="AB1520" s="44"/>
      <c r="AC1520" s="72"/>
      <c r="AD1520" s="53">
        <f>P_1_minQ-(AD1518^2*R_up)+dpup_minQ</f>
        <v>34.422900045389355</v>
      </c>
      <c r="AE1520" s="44"/>
      <c r="AF1520" s="72"/>
      <c r="AG1520" s="53">
        <f>P_1_minQ-(AG1518^2*R_up)+dpup_minQ</f>
        <v>7.0550288213698478</v>
      </c>
      <c r="AH1520" s="44"/>
      <c r="AI1520" s="72"/>
      <c r="AJ1520" s="53">
        <f>P_1_minQ-(AJ1518^2*R_up)+dpup_minQ</f>
        <v>-31.881545138686949</v>
      </c>
      <c r="AK1520" s="44"/>
      <c r="AL1520" s="72"/>
      <c r="AM1520" s="53">
        <f>P_1_minQ-(AM1518^2*R_up)+dpup_minQ</f>
        <v>-75.291514591431167</v>
      </c>
      <c r="AN1520" s="44"/>
      <c r="AO1520" s="72"/>
      <c r="AP1520" s="53">
        <f>P_1_minQ-(AP1518^2*R_up)+dpup_minQ</f>
        <v>-121.27980495109887</v>
      </c>
      <c r="AQ1520" s="44"/>
      <c r="AR1520" s="72"/>
      <c r="AS1520" s="53">
        <f>P_1_minQ-(AS1518^2*R_up)+dpup_minQ</f>
        <v>-173.89328394279957</v>
      </c>
      <c r="AT1520" s="44"/>
      <c r="AU1520" s="72"/>
    </row>
    <row r="1521" spans="15:47" ht="13" x14ac:dyDescent="0.3">
      <c r="O1521" s="6" t="s">
        <v>233</v>
      </c>
      <c r="P1521" s="6"/>
      <c r="Q1521" s="60"/>
      <c r="R1521" s="85">
        <f>P_2_minQ+(R1518^2*R_dn)-dpdn_minQ</f>
        <v>24.657678801066176</v>
      </c>
      <c r="S1521" s="66"/>
      <c r="T1521" s="74"/>
      <c r="U1521" s="53">
        <f>P_2_minQ+(U1518^2*R_dn)-dpdn_minQ</f>
        <v>24.73594932281134</v>
      </c>
      <c r="V1521" s="45"/>
      <c r="W1521" s="74"/>
      <c r="X1521" s="53">
        <f>P_2_minQ+(X1518^2*R_dn)-dpdn_minQ</f>
        <v>25.112982729723143</v>
      </c>
      <c r="Y1521" s="45"/>
      <c r="Z1521" s="74"/>
      <c r="AA1521" s="53">
        <f>P_2_minQ+(AA1518^2*R_dn)-dpdn_minQ</f>
        <v>26.319972199828058</v>
      </c>
      <c r="AB1521" s="45"/>
      <c r="AC1521" s="74"/>
      <c r="AD1521" s="53">
        <f>P_2_minQ+(AD1518^2*R_dn)-dpdn_minQ</f>
        <v>29.15541999092213</v>
      </c>
      <c r="AE1521" s="45"/>
      <c r="AF1521" s="74"/>
      <c r="AG1521" s="53">
        <f>P_2_minQ+(AG1518^2*R_dn)-dpdn_minQ</f>
        <v>34.628994235726033</v>
      </c>
      <c r="AH1521" s="45"/>
      <c r="AI1521" s="74"/>
      <c r="AJ1521" s="53">
        <f>P_2_minQ+(AJ1518^2*R_dn)-dpdn_minQ</f>
        <v>42.416309027737398</v>
      </c>
      <c r="AK1521" s="45"/>
      <c r="AL1521" s="74"/>
      <c r="AM1521" s="53">
        <f>P_2_minQ+(AM1518^2*R_dn)-dpdn_minQ</f>
        <v>51.098302918286237</v>
      </c>
      <c r="AN1521" s="45"/>
      <c r="AO1521" s="74"/>
      <c r="AP1521" s="53">
        <f>P_2_minQ+(AP1518^2*R_dn)-dpdn_minQ</f>
        <v>60.295960990219776</v>
      </c>
      <c r="AQ1521" s="45"/>
      <c r="AR1521" s="74"/>
      <c r="AS1521" s="53">
        <f>P_2_minQ+(AS1518^2*R_dn)-dpdn_minQ</f>
        <v>70.81865678855992</v>
      </c>
      <c r="AT1521" s="45"/>
      <c r="AU1521" s="74"/>
    </row>
    <row r="1522" spans="15:47" x14ac:dyDescent="0.25">
      <c r="O1522" s="6" t="s">
        <v>243</v>
      </c>
      <c r="Q1522" s="60"/>
      <c r="R1522" s="53">
        <f>R1520-R1521</f>
        <v>32.253927193602948</v>
      </c>
      <c r="S1522" s="56"/>
      <c r="T1522" s="72"/>
      <c r="U1522" s="64">
        <f>U1520-U1521</f>
        <v>31.784304063131973</v>
      </c>
      <c r="V1522" s="44"/>
      <c r="W1522" s="72"/>
      <c r="X1522" s="64">
        <f>X1520-X1521</f>
        <v>29.522103621661159</v>
      </c>
      <c r="Y1522" s="44"/>
      <c r="Z1522" s="72"/>
      <c r="AA1522" s="64">
        <f>AA1520-AA1521</f>
        <v>22.280166801031662</v>
      </c>
      <c r="AB1522" s="44"/>
      <c r="AC1522" s="72"/>
      <c r="AD1522" s="64">
        <f>AD1520-AD1521</f>
        <v>5.2674800544672244</v>
      </c>
      <c r="AE1522" s="44"/>
      <c r="AF1522" s="72"/>
      <c r="AG1522" s="64">
        <f>AG1520-AG1521</f>
        <v>-27.573965414356184</v>
      </c>
      <c r="AH1522" s="44"/>
      <c r="AI1522" s="72"/>
      <c r="AJ1522" s="64">
        <f>AJ1520-AJ1521</f>
        <v>-74.297854166424344</v>
      </c>
      <c r="AK1522" s="44"/>
      <c r="AL1522" s="72"/>
      <c r="AM1522" s="64">
        <f>AM1520-AM1521</f>
        <v>-126.3898175097174</v>
      </c>
      <c r="AN1522" s="44"/>
      <c r="AO1522" s="72"/>
      <c r="AP1522" s="64">
        <f>AP1520-AP1521</f>
        <v>-181.57576594131865</v>
      </c>
      <c r="AQ1522" s="44"/>
      <c r="AR1522" s="72"/>
      <c r="AS1522" s="64">
        <f>AS1520-AS1521</f>
        <v>-244.7119407313595</v>
      </c>
      <c r="AT1522" s="44"/>
      <c r="AU1522" s="72"/>
    </row>
    <row r="1523" spans="15:47" ht="13" x14ac:dyDescent="0.3">
      <c r="O1523" s="6" t="s">
        <v>75</v>
      </c>
      <c r="P1523" s="6">
        <v>3</v>
      </c>
      <c r="Q1523" s="65"/>
      <c r="R1523" s="85">
        <f>(F_LP_h/F_P_h)^2*(R1520-('Valve Sizing'!$V$4*'Valve Sizing'!$G$7))</f>
        <v>46.761406201796383</v>
      </c>
      <c r="S1523" s="58"/>
      <c r="T1523" s="73"/>
      <c r="U1523" s="53">
        <f>(U$29/U$27)^2*(U1520-('Valve Sizing'!$V$4*'Valve Sizing'!$G$7))</f>
        <v>46.424688797643341</v>
      </c>
      <c r="V1523" s="41"/>
      <c r="W1523" s="73"/>
      <c r="X1523" s="53">
        <f>(X$29/X$27)^2*(X1520-('Valve Sizing'!$V$4*'Valve Sizing'!$G$7))</f>
        <v>43.852100657624625</v>
      </c>
      <c r="Y1523" s="41"/>
      <c r="Z1523" s="73"/>
      <c r="AA1523" s="53">
        <f>(AA$29/AA$27)^2*(AA1520-('Valve Sizing'!$V$4*'Valve Sizing'!$G$7))</f>
        <v>37.217977033443091</v>
      </c>
      <c r="AB1523" s="41"/>
      <c r="AC1523" s="73"/>
      <c r="AD1523" s="53">
        <f>(AD$29/AD$27)^2*(AD1520-('Valve Sizing'!$V$4*'Valve Sizing'!$G$7))</f>
        <v>24.507997981917367</v>
      </c>
      <c r="AE1523" s="41"/>
      <c r="AF1523" s="73"/>
      <c r="AG1523" s="53">
        <f>(AG$29/AG$27)^2*(AG1520-('Valve Sizing'!$V$4*'Valve Sizing'!$G$7))</f>
        <v>4.2603321579603612</v>
      </c>
      <c r="AH1523" s="41"/>
      <c r="AI1523" s="73"/>
      <c r="AJ1523" s="53">
        <f>(AJ$29/AJ$27)^2*(AJ1520-('Valve Sizing'!$V$4*'Valve Sizing'!$G$7))</f>
        <v>-18.693662324522702</v>
      </c>
      <c r="AK1523" s="41"/>
      <c r="AL1523" s="73"/>
      <c r="AM1523" s="53">
        <f>(AM$29/AM$27)^2*(AM1520-('Valve Sizing'!$V$4*'Valve Sizing'!$G$7))</f>
        <v>-36.235448149639772</v>
      </c>
      <c r="AN1523" s="41"/>
      <c r="AO1523" s="73"/>
      <c r="AP1523" s="53">
        <f>(AP$29/AP$27)^2*(AP1520-('Valve Sizing'!$V$4*'Valve Sizing'!$G$7))</f>
        <v>-48.033923212254024</v>
      </c>
      <c r="AQ1523" s="41"/>
      <c r="AR1523" s="73"/>
      <c r="AS1523" s="53">
        <f>(AS$29/AS$27)^2*(AS1520-('Valve Sizing'!$V$4*'Valve Sizing'!$G$7))</f>
        <v>-65.573881552619611</v>
      </c>
      <c r="AT1523" s="41"/>
      <c r="AU1523" s="73"/>
    </row>
    <row r="1524" spans="15:47" ht="13" x14ac:dyDescent="0.25">
      <c r="O1524" s="1" t="s">
        <v>69</v>
      </c>
      <c r="P1524" s="17">
        <v>7</v>
      </c>
      <c r="Q1524" s="65"/>
      <c r="R1524" s="53">
        <f>(R1518/(N_1*F_P_h))*SQRT('Valve Sizing'!$G$6/R1522)</f>
        <v>2.0411992629718498</v>
      </c>
      <c r="S1524" s="58"/>
      <c r="T1524" s="73"/>
      <c r="U1524" s="64">
        <f>(U1518/(N_1*U$27))*SQRT('Valve Sizing'!$G$6/U1522)</f>
        <v>19.220544287650466</v>
      </c>
      <c r="V1524" s="41"/>
      <c r="W1524" s="73"/>
      <c r="X1524" s="64">
        <f>(X1518/(N_1*X$27))*SQRT('Valve Sizing'!$G$6/X1522)</f>
        <v>47.979301956979334</v>
      </c>
      <c r="Y1524" s="41"/>
      <c r="Z1524" s="73"/>
      <c r="AA1524" s="64">
        <f>(AA1518/(N_1*AA$27))*SQRT('Valve Sizing'!$G$6/AA1522)</f>
        <v>106.05935396217561</v>
      </c>
      <c r="AB1524" s="41"/>
      <c r="AC1524" s="73"/>
      <c r="AD1524" s="64">
        <f>(AD1518/(N_1*AD$27))*SQRT('Valve Sizing'!$G$6/AD1522)</f>
        <v>363.24583076940905</v>
      </c>
      <c r="AE1524" s="41"/>
      <c r="AF1524" s="73"/>
      <c r="AG1524" s="64" t="e">
        <f>(AG1518/(N_1*AG$27))*SQRT('Valve Sizing'!$G$6/AG1522)</f>
        <v>#NUM!</v>
      </c>
      <c r="AH1524" s="41"/>
      <c r="AI1524" s="73"/>
      <c r="AJ1524" s="64" t="e">
        <f>(AJ1518/(N_1*AJ$27))*SQRT('Valve Sizing'!$G$6/AJ1522)</f>
        <v>#NUM!</v>
      </c>
      <c r="AK1524" s="41"/>
      <c r="AL1524" s="73"/>
      <c r="AM1524" s="64" t="e">
        <f>(AM1518/(N_1*AM$27))*SQRT('Valve Sizing'!$G$6/AM1522)</f>
        <v>#NUM!</v>
      </c>
      <c r="AN1524" s="41"/>
      <c r="AO1524" s="73"/>
      <c r="AP1524" s="64" t="e">
        <f>(AP1518/(N_1*AP$27))*SQRT('Valve Sizing'!$G$6/AP1522)</f>
        <v>#NUM!</v>
      </c>
      <c r="AQ1524" s="41"/>
      <c r="AR1524" s="73"/>
      <c r="AS1524" s="64" t="e">
        <f>(AS1518/(N_1*AS$27))*SQRT('Valve Sizing'!$G$6/AS1522)</f>
        <v>#NUM!</v>
      </c>
      <c r="AT1524" s="41"/>
      <c r="AU1524" s="73"/>
    </row>
    <row r="1525" spans="15:47" ht="13" x14ac:dyDescent="0.3">
      <c r="O1525" s="1" t="s">
        <v>72</v>
      </c>
      <c r="P1525" s="17">
        <v>7</v>
      </c>
      <c r="Q1525" s="65"/>
      <c r="R1525" s="53">
        <f>(R1518/(N_1*F_P_h))*SQRT('Valve Sizing'!$G$6/R1523)</f>
        <v>1.695246756541458</v>
      </c>
      <c r="S1525" s="56"/>
      <c r="T1525" s="72"/>
      <c r="U1525" s="85">
        <f>(U1518/(N_1*U$27))*SQRT('Valve Sizing'!$G$6/U1523)</f>
        <v>15.903676557435046</v>
      </c>
      <c r="V1525" s="44"/>
      <c r="W1525" s="72"/>
      <c r="X1525" s="85">
        <f>(X1518/(N_1*X$27))*SQRT('Valve Sizing'!$G$6/X1523)</f>
        <v>39.367004890324182</v>
      </c>
      <c r="Y1525" s="44"/>
      <c r="Z1525" s="72"/>
      <c r="AA1525" s="85">
        <f>(AA1518/(N_1*AA$27))*SQRT('Valve Sizing'!$G$6/AA1523)</f>
        <v>82.060057045305925</v>
      </c>
      <c r="AB1525" s="44"/>
      <c r="AC1525" s="72"/>
      <c r="AD1525" s="85">
        <f>(AD1518/(N_1*AD$27))*SQRT('Valve Sizing'!$G$6/AD1523)</f>
        <v>168.40235876472221</v>
      </c>
      <c r="AE1525" s="44"/>
      <c r="AF1525" s="72"/>
      <c r="AG1525" s="85">
        <f>(AG1518/(N_1*AG$27))*SQRT('Valve Sizing'!$G$6/AG1523)</f>
        <v>614.77828410773373</v>
      </c>
      <c r="AH1525" s="44"/>
      <c r="AI1525" s="72"/>
      <c r="AJ1525" s="85" t="e">
        <f>(AJ1518/(N_1*AJ$27))*SQRT('Valve Sizing'!$G$6/AJ1523)</f>
        <v>#NUM!</v>
      </c>
      <c r="AK1525" s="44"/>
      <c r="AL1525" s="72"/>
      <c r="AM1525" s="85" t="e">
        <f>(AM1518/(N_1*AM$27))*SQRT('Valve Sizing'!$G$6/AM1523)</f>
        <v>#NUM!</v>
      </c>
      <c r="AN1525" s="44"/>
      <c r="AO1525" s="72"/>
      <c r="AP1525" s="85" t="e">
        <f>(AP1518/(N_1*AP$27))*SQRT('Valve Sizing'!$G$6/AP1523)</f>
        <v>#NUM!</v>
      </c>
      <c r="AQ1525" s="44"/>
      <c r="AR1525" s="72"/>
      <c r="AS1525" s="85" t="e">
        <f>(AS1518/(N_1*AS$27))*SQRT('Valve Sizing'!$G$6/AS1523)</f>
        <v>#NUM!</v>
      </c>
      <c r="AT1525" s="44"/>
      <c r="AU1525" s="72"/>
    </row>
    <row r="1526" spans="15:47" x14ac:dyDescent="0.25">
      <c r="O1526" s="1" t="s">
        <v>246</v>
      </c>
      <c r="P1526" s="18"/>
      <c r="Q1526" s="65"/>
      <c r="R1526" s="53">
        <f>IF(R1522&lt;R1523,R1524,R1525)</f>
        <v>2.0411992629718498</v>
      </c>
      <c r="S1526" s="49"/>
      <c r="T1526" s="72"/>
      <c r="U1526" s="64">
        <f>IF(U1522&lt;U1523,U1524,U1525)</f>
        <v>19.220544287650466</v>
      </c>
      <c r="V1526" s="44"/>
      <c r="W1526" s="72"/>
      <c r="X1526" s="64">
        <f>IF(X1522&lt;X1523,X1524,X1525)</f>
        <v>47.979301956979334</v>
      </c>
      <c r="Y1526" s="44"/>
      <c r="Z1526" s="72"/>
      <c r="AA1526" s="64">
        <f>IF(AA1522&lt;AA1523,AA1524,AA1525)</f>
        <v>106.05935396217561</v>
      </c>
      <c r="AB1526" s="44"/>
      <c r="AC1526" s="72"/>
      <c r="AD1526" s="64">
        <f>IF(AD1522&lt;AD1523,AD1524,AD1525)</f>
        <v>363.24583076940905</v>
      </c>
      <c r="AE1526" s="44"/>
      <c r="AF1526" s="72"/>
      <c r="AG1526" s="64" t="e">
        <f>IF(AG1522&lt;AG1523,AG1524,AG1525)</f>
        <v>#NUM!</v>
      </c>
      <c r="AH1526" s="44"/>
      <c r="AI1526" s="72"/>
      <c r="AJ1526" s="64" t="e">
        <f>IF(AJ1522&lt;AJ1523,AJ1524,AJ1525)</f>
        <v>#NUM!</v>
      </c>
      <c r="AK1526" s="44"/>
      <c r="AL1526" s="72"/>
      <c r="AM1526" s="64" t="e">
        <f>IF(AM1522&lt;AM1523,AM1524,AM1525)</f>
        <v>#NUM!</v>
      </c>
      <c r="AN1526" s="44"/>
      <c r="AO1526" s="72"/>
      <c r="AP1526" s="64" t="e">
        <f>IF(AP1522&lt;AP1523,AP1524,AP1525)</f>
        <v>#NUM!</v>
      </c>
      <c r="AQ1526" s="44"/>
      <c r="AR1526" s="72"/>
      <c r="AS1526" s="64" t="e">
        <f>IF(AS1522&lt;AS1523,AS1524,AS1525)</f>
        <v>#NUM!</v>
      </c>
      <c r="AT1526" s="44"/>
      <c r="AU1526" s="72"/>
    </row>
    <row r="1527" spans="15:47" ht="13" x14ac:dyDescent="0.3">
      <c r="O1527" s="7" t="s">
        <v>264</v>
      </c>
      <c r="Q1527" s="61"/>
      <c r="R1527" s="53"/>
      <c r="S1527" s="69">
        <f>IFERROR(ABS(C_h-R1526),Q_max*10)</f>
        <v>2.9588007370281502</v>
      </c>
      <c r="T1527" s="76">
        <f>R1518</f>
        <v>11.590793667703599</v>
      </c>
      <c r="U1527" s="61"/>
      <c r="V1527" s="69">
        <f>IFERROR(ABS(U$23-U1526),Q_max*10)</f>
        <v>7.2205442876504655</v>
      </c>
      <c r="W1527" s="75">
        <f>U1518</f>
        <v>108.26955824338863</v>
      </c>
      <c r="X1527" s="61"/>
      <c r="Y1527" s="69">
        <f>IFERROR(ABS(X$23-X1526),Q_max*10)</f>
        <v>24.979301956979334</v>
      </c>
      <c r="Z1527" s="75">
        <f>X1518</f>
        <v>259.88861678709765</v>
      </c>
      <c r="AA1527" s="61"/>
      <c r="AB1527" s="69">
        <f>IFERROR(ABS(AA$23-AA1526),Q_max*10)</f>
        <v>67.059353962175607</v>
      </c>
      <c r="AC1527" s="75">
        <f>AA1518</f>
        <v>496.22261555127028</v>
      </c>
      <c r="AD1527" s="61"/>
      <c r="AE1527" s="69">
        <f>IFERROR(ABS(AD$23-AD1526),Q_max*10)</f>
        <v>302.24583076940905</v>
      </c>
      <c r="AF1527" s="75">
        <f>AD1518</f>
        <v>816.10350425422212</v>
      </c>
      <c r="AG1527" s="61"/>
      <c r="AH1527" s="69">
        <f>IFERROR(ABS(AG$23-AG1526),Q_max*10)</f>
        <v>5500</v>
      </c>
      <c r="AI1527" s="75">
        <f>AG1518</f>
        <v>1215.0669103383725</v>
      </c>
      <c r="AJ1527" s="61"/>
      <c r="AK1527" s="69">
        <f>IFERROR(ABS(AJ$23-AJ1526),Q_max*10)</f>
        <v>5500</v>
      </c>
      <c r="AL1527" s="75">
        <f>AJ1518</f>
        <v>1621.5115021351285</v>
      </c>
      <c r="AM1527" s="61"/>
      <c r="AN1527" s="69">
        <f>IFERROR(ABS(AM$23-AM1526),Q_max*10)</f>
        <v>5500</v>
      </c>
      <c r="AO1527" s="75">
        <f>AM1518</f>
        <v>1978.5521845663502</v>
      </c>
      <c r="AP1527" s="61"/>
      <c r="AQ1527" s="69">
        <f>IFERROR(ABS(AP$23-AP1526),Q_max*10)</f>
        <v>5500</v>
      </c>
      <c r="AR1527" s="75">
        <f>AP1518</f>
        <v>2297.0376628610243</v>
      </c>
      <c r="AS1527" s="61"/>
      <c r="AT1527" s="69">
        <f>IFERROR(ABS(AS$23-AS1526),Q_max*10)</f>
        <v>5500</v>
      </c>
      <c r="AU1527" s="75">
        <f>AS1518</f>
        <v>2614.2431290043196</v>
      </c>
    </row>
    <row r="1528" spans="15:47" ht="14.5" x14ac:dyDescent="0.35">
      <c r="O1528" s="8"/>
      <c r="P1528" s="6"/>
      <c r="Q1528" s="60"/>
      <c r="R1528" s="67"/>
      <c r="S1528" s="56"/>
      <c r="T1528" s="72"/>
      <c r="V1528" s="11"/>
      <c r="W1528" s="38"/>
      <c r="Y1528" s="11"/>
      <c r="Z1528" s="38"/>
      <c r="AB1528" s="11"/>
      <c r="AC1528" s="38"/>
      <c r="AE1528" s="11"/>
      <c r="AF1528" s="38"/>
      <c r="AH1528" s="11"/>
      <c r="AI1528" s="38"/>
      <c r="AK1528" s="11"/>
      <c r="AL1528" s="38"/>
      <c r="AN1528" s="11"/>
      <c r="AO1528" s="38"/>
      <c r="AQ1528" s="11"/>
      <c r="AR1528" s="38"/>
      <c r="AT1528" s="11"/>
      <c r="AU1528" s="38"/>
    </row>
    <row r="1529" spans="15:47" ht="14" x14ac:dyDescent="0.3">
      <c r="O1529" s="8" t="s">
        <v>235</v>
      </c>
      <c r="P1529" s="6"/>
      <c r="Q1529" s="60"/>
      <c r="R1529" s="53">
        <f>R1518*1.02</f>
        <v>11.822609541057671</v>
      </c>
      <c r="S1529" s="58" t="s">
        <v>238</v>
      </c>
      <c r="T1529" s="73" t="s">
        <v>241</v>
      </c>
      <c r="U1529" s="84">
        <f>U1518*1.01</f>
        <v>109.35225382582252</v>
      </c>
      <c r="V1529" s="58" t="s">
        <v>238</v>
      </c>
      <c r="W1529" s="73" t="s">
        <v>241</v>
      </c>
      <c r="X1529" s="84">
        <f>X1518*1.01</f>
        <v>262.48750295496865</v>
      </c>
      <c r="Y1529" s="58" t="s">
        <v>238</v>
      </c>
      <c r="Z1529" s="73" t="s">
        <v>241</v>
      </c>
      <c r="AA1529" s="84">
        <f>AA1518*1.01</f>
        <v>501.184841706783</v>
      </c>
      <c r="AB1529" s="58" t="s">
        <v>238</v>
      </c>
      <c r="AC1529" s="73" t="s">
        <v>241</v>
      </c>
      <c r="AD1529" s="84">
        <f>AD1518*1.01</f>
        <v>824.26453929676438</v>
      </c>
      <c r="AE1529" s="58" t="s">
        <v>238</v>
      </c>
      <c r="AF1529" s="73" t="s">
        <v>241</v>
      </c>
      <c r="AG1529" s="84">
        <f>AG1518*1.01</f>
        <v>1227.2175794417562</v>
      </c>
      <c r="AH1529" s="58" t="s">
        <v>238</v>
      </c>
      <c r="AI1529" s="73" t="s">
        <v>241</v>
      </c>
      <c r="AJ1529" s="84">
        <f>AJ1518*1.01</f>
        <v>1637.7266171564797</v>
      </c>
      <c r="AK1529" s="58" t="s">
        <v>238</v>
      </c>
      <c r="AL1529" s="73" t="s">
        <v>241</v>
      </c>
      <c r="AM1529" s="84">
        <f>AM1518*1.01</f>
        <v>1998.3377064120136</v>
      </c>
      <c r="AN1529" s="58" t="s">
        <v>238</v>
      </c>
      <c r="AO1529" s="73" t="s">
        <v>241</v>
      </c>
      <c r="AP1529" s="84">
        <f>AP1518*1.01</f>
        <v>2320.0080394896345</v>
      </c>
      <c r="AQ1529" s="58" t="s">
        <v>238</v>
      </c>
      <c r="AR1529" s="73" t="s">
        <v>241</v>
      </c>
      <c r="AS1529" s="84">
        <f>AS1518*1.01</f>
        <v>2640.3855602943627</v>
      </c>
      <c r="AT1529" s="58" t="s">
        <v>238</v>
      </c>
      <c r="AU1529" s="73" t="s">
        <v>241</v>
      </c>
    </row>
    <row r="1530" spans="15:47" ht="13" x14ac:dyDescent="0.25">
      <c r="O1530" s="6"/>
      <c r="P1530" s="6"/>
      <c r="Q1530" s="60"/>
      <c r="R1530" s="70"/>
      <c r="S1530" s="63" t="s">
        <v>250</v>
      </c>
      <c r="T1530" s="71" t="s">
        <v>242</v>
      </c>
      <c r="U1530" s="61"/>
      <c r="V1530" s="63" t="s">
        <v>250</v>
      </c>
      <c r="W1530" s="71" t="s">
        <v>242</v>
      </c>
      <c r="X1530" s="61"/>
      <c r="Y1530" s="63" t="s">
        <v>250</v>
      </c>
      <c r="Z1530" s="71" t="s">
        <v>242</v>
      </c>
      <c r="AA1530" s="61"/>
      <c r="AB1530" s="63" t="s">
        <v>250</v>
      </c>
      <c r="AC1530" s="71" t="s">
        <v>242</v>
      </c>
      <c r="AD1530" s="61"/>
      <c r="AE1530" s="63" t="s">
        <v>250</v>
      </c>
      <c r="AF1530" s="71" t="s">
        <v>242</v>
      </c>
      <c r="AG1530" s="61"/>
      <c r="AH1530" s="63" t="s">
        <v>250</v>
      </c>
      <c r="AI1530" s="71" t="s">
        <v>242</v>
      </c>
      <c r="AJ1530" s="61"/>
      <c r="AK1530" s="63" t="s">
        <v>250</v>
      </c>
      <c r="AL1530" s="71" t="s">
        <v>242</v>
      </c>
      <c r="AM1530" s="61"/>
      <c r="AN1530" s="63" t="s">
        <v>250</v>
      </c>
      <c r="AO1530" s="71" t="s">
        <v>242</v>
      </c>
      <c r="AP1530" s="61"/>
      <c r="AQ1530" s="63" t="s">
        <v>250</v>
      </c>
      <c r="AR1530" s="71" t="s">
        <v>242</v>
      </c>
      <c r="AS1530" s="61"/>
      <c r="AT1530" s="63" t="s">
        <v>250</v>
      </c>
      <c r="AU1530" s="71" t="s">
        <v>242</v>
      </c>
    </row>
    <row r="1531" spans="15:47" ht="13" x14ac:dyDescent="0.3">
      <c r="O1531" s="6" t="s">
        <v>231</v>
      </c>
      <c r="P1531" s="6"/>
      <c r="Q1531" s="60"/>
      <c r="R1531" s="85">
        <f>P_1_minQ-(R1529^2*R_up)+dpup_minQ</f>
        <v>56.911422691781148</v>
      </c>
      <c r="S1531" s="56"/>
      <c r="T1531" s="72"/>
      <c r="U1531" s="53">
        <f>P_1_minQ-(U1529^2*R_up)+dpup_minQ</f>
        <v>56.512296000783955</v>
      </c>
      <c r="V1531" s="44"/>
      <c r="W1531" s="72"/>
      <c r="X1531" s="53">
        <f>P_1_minQ-(X1529^2*R_up)+dpup_minQ</f>
        <v>54.589237108830304</v>
      </c>
      <c r="Y1531" s="44"/>
      <c r="Z1531" s="72"/>
      <c r="AA1531" s="53">
        <f>P_1_minQ-(AA1529^2*R_up)+dpup_minQ</f>
        <v>48.43298731656018</v>
      </c>
      <c r="AB1531" s="44"/>
      <c r="AC1531" s="72"/>
      <c r="AD1531" s="53">
        <f>P_1_minQ-(AD1529^2*R_up)+dpup_minQ</f>
        <v>33.970785858084859</v>
      </c>
      <c r="AE1531" s="44"/>
      <c r="AF1531" s="72"/>
      <c r="AG1531" s="53">
        <f>P_1_minQ-(AG1529^2*R_up)+dpup_minQ</f>
        <v>6.0528204224625695</v>
      </c>
      <c r="AH1531" s="44"/>
      <c r="AI1531" s="72"/>
      <c r="AJ1531" s="53">
        <f>P_1_minQ-(AJ1529^2*R_up)+dpup_minQ</f>
        <v>-33.666378674191371</v>
      </c>
      <c r="AK1531" s="44"/>
      <c r="AL1531" s="72"/>
      <c r="AM1531" s="53">
        <f>P_1_minQ-(AM1529^2*R_up)+dpup_minQ</f>
        <v>-77.948888512935724</v>
      </c>
      <c r="AN1531" s="44"/>
      <c r="AO1531" s="72"/>
      <c r="AP1531" s="53">
        <f>P_1_minQ-(AP1529^2*R_up)+dpup_minQ</f>
        <v>-124.86154350883274</v>
      </c>
      <c r="AQ1531" s="44"/>
      <c r="AR1531" s="72"/>
      <c r="AS1531" s="53">
        <f>P_1_minQ-(AS1529^2*R_up)+dpup_minQ</f>
        <v>-178.53255342826665</v>
      </c>
      <c r="AT1531" s="44"/>
      <c r="AU1531" s="72"/>
    </row>
    <row r="1532" spans="15:47" ht="13" x14ac:dyDescent="0.3">
      <c r="O1532" s="6" t="s">
        <v>233</v>
      </c>
      <c r="P1532" s="6"/>
      <c r="Q1532" s="60"/>
      <c r="R1532" s="85">
        <f>P_2_minQ+(R1529^2*R_dn)-dpdn_minQ</f>
        <v>24.657715461643772</v>
      </c>
      <c r="S1532" s="66"/>
      <c r="T1532" s="74"/>
      <c r="U1532" s="53">
        <f>P_2_minQ+(U1529^2*R_dn)-dpdn_minQ</f>
        <v>24.73754079984321</v>
      </c>
      <c r="V1532" s="45"/>
      <c r="W1532" s="74"/>
      <c r="X1532" s="53">
        <f>P_2_minQ+(X1529^2*R_dn)-dpdn_minQ</f>
        <v>25.122152578233941</v>
      </c>
      <c r="Y1532" s="45"/>
      <c r="Z1532" s="74"/>
      <c r="AA1532" s="53">
        <f>P_2_minQ+(AA1529^2*R_dn)-dpdn_minQ</f>
        <v>26.353402536687966</v>
      </c>
      <c r="AB1532" s="45"/>
      <c r="AC1532" s="74"/>
      <c r="AD1532" s="53">
        <f>P_2_minQ+(AD1529^2*R_dn)-dpdn_minQ</f>
        <v>29.245842828383029</v>
      </c>
      <c r="AE1532" s="45"/>
      <c r="AF1532" s="74"/>
      <c r="AG1532" s="53">
        <f>P_2_minQ+(AG1529^2*R_dn)-dpdn_minQ</f>
        <v>34.829435915507489</v>
      </c>
      <c r="AH1532" s="45"/>
      <c r="AI1532" s="74"/>
      <c r="AJ1532" s="53">
        <f>P_2_minQ+(AJ1529^2*R_dn)-dpdn_minQ</f>
        <v>42.773275734838279</v>
      </c>
      <c r="AK1532" s="45"/>
      <c r="AL1532" s="74"/>
      <c r="AM1532" s="53">
        <f>P_2_minQ+(AM1529^2*R_dn)-dpdn_minQ</f>
        <v>51.629777702587148</v>
      </c>
      <c r="AN1532" s="45"/>
      <c r="AO1532" s="74"/>
      <c r="AP1532" s="53">
        <f>P_2_minQ+(AP1529^2*R_dn)-dpdn_minQ</f>
        <v>61.01230870176655</v>
      </c>
      <c r="AQ1532" s="45"/>
      <c r="AR1532" s="74"/>
      <c r="AS1532" s="53">
        <f>P_2_minQ+(AS1529^2*R_dn)-dpdn_minQ</f>
        <v>71.746510685653334</v>
      </c>
      <c r="AT1532" s="45"/>
      <c r="AU1532" s="74"/>
    </row>
    <row r="1533" spans="15:47" x14ac:dyDescent="0.25">
      <c r="O1533" s="6" t="s">
        <v>243</v>
      </c>
      <c r="Q1533" s="60"/>
      <c r="R1533" s="53">
        <f>R1531-R1532</f>
        <v>32.25370723013738</v>
      </c>
      <c r="S1533" s="56"/>
      <c r="T1533" s="72"/>
      <c r="U1533" s="64">
        <f>U1531-U1532</f>
        <v>31.774755200940746</v>
      </c>
      <c r="V1533" s="44"/>
      <c r="W1533" s="72"/>
      <c r="X1533" s="64">
        <f>X1531-X1532</f>
        <v>29.467084530596363</v>
      </c>
      <c r="Y1533" s="44"/>
      <c r="Z1533" s="72"/>
      <c r="AA1533" s="64">
        <f>AA1531-AA1532</f>
        <v>22.079584779872214</v>
      </c>
      <c r="AB1533" s="44"/>
      <c r="AC1533" s="72"/>
      <c r="AD1533" s="64">
        <f>AD1531-AD1532</f>
        <v>4.72494302970183</v>
      </c>
      <c r="AE1533" s="44"/>
      <c r="AF1533" s="72"/>
      <c r="AG1533" s="64">
        <f>AG1531-AG1532</f>
        <v>-28.776615493044918</v>
      </c>
      <c r="AH1533" s="44"/>
      <c r="AI1533" s="72"/>
      <c r="AJ1533" s="64">
        <f>AJ1531-AJ1532</f>
        <v>-76.439654409029657</v>
      </c>
      <c r="AK1533" s="44"/>
      <c r="AL1533" s="72"/>
      <c r="AM1533" s="64">
        <f>AM1531-AM1532</f>
        <v>-129.57866621552287</v>
      </c>
      <c r="AN1533" s="44"/>
      <c r="AO1533" s="72"/>
      <c r="AP1533" s="64">
        <f>AP1531-AP1532</f>
        <v>-185.8738522105993</v>
      </c>
      <c r="AQ1533" s="44"/>
      <c r="AR1533" s="72"/>
      <c r="AS1533" s="64">
        <f>AS1531-AS1532</f>
        <v>-250.27906411391999</v>
      </c>
      <c r="AT1533" s="44"/>
      <c r="AU1533" s="72"/>
    </row>
    <row r="1534" spans="15:47" ht="13" x14ac:dyDescent="0.3">
      <c r="O1534" s="6" t="s">
        <v>75</v>
      </c>
      <c r="P1534" s="6">
        <v>3</v>
      </c>
      <c r="Q1534" s="65"/>
      <c r="R1534" s="85">
        <f>(F_LP_h/F_P_h)^2*(R1531-('Valve Sizing'!$V$4*'Valve Sizing'!$G$7))</f>
        <v>46.761254417383583</v>
      </c>
      <c r="S1534" s="58"/>
      <c r="T1534" s="73"/>
      <c r="U1534" s="53">
        <f>(U$29/U$27)^2*(U1531-('Valve Sizing'!$V$4*'Valve Sizing'!$G$7))</f>
        <v>46.418101460974071</v>
      </c>
      <c r="V1534" s="41"/>
      <c r="W1534" s="73"/>
      <c r="X1534" s="53">
        <f>(X$29/X$27)^2*(X1531-('Valve Sizing'!$V$4*'Valve Sizing'!$G$7))</f>
        <v>43.815001579564615</v>
      </c>
      <c r="Y1534" s="41"/>
      <c r="Z1534" s="73"/>
      <c r="AA1534" s="53">
        <f>(AA$29/AA$27)^2*(AA1531-('Valve Sizing'!$V$4*'Valve Sizing'!$G$7))</f>
        <v>37.088802676271875</v>
      </c>
      <c r="AB1534" s="41"/>
      <c r="AC1534" s="73"/>
      <c r="AD1534" s="53">
        <f>(AD$29/AD$27)^2*(AD1531-('Valve Sizing'!$V$4*'Valve Sizing'!$G$7))</f>
        <v>24.181938923427893</v>
      </c>
      <c r="AE1534" s="41"/>
      <c r="AF1534" s="73"/>
      <c r="AG1534" s="53">
        <f>(AG$29/AG$27)^2*(AG1531-('Valve Sizing'!$V$4*'Valve Sizing'!$G$7))</f>
        <v>3.614865900819229</v>
      </c>
      <c r="AH1534" s="41"/>
      <c r="AI1534" s="73"/>
      <c r="AJ1534" s="53">
        <f>(AJ$29/AJ$27)^2*(AJ1531-('Valve Sizing'!$V$4*'Valve Sizing'!$G$7))</f>
        <v>-19.725946385952664</v>
      </c>
      <c r="AK1534" s="41"/>
      <c r="AL1534" s="73"/>
      <c r="AM1534" s="53">
        <f>(AM$29/AM$27)^2*(AM1531-('Valve Sizing'!$V$4*'Valve Sizing'!$G$7))</f>
        <v>-37.506927561367839</v>
      </c>
      <c r="AN1534" s="41"/>
      <c r="AO1534" s="73"/>
      <c r="AP1534" s="53">
        <f>(AP$29/AP$27)^2*(AP1531-('Valve Sizing'!$V$4*'Valve Sizing'!$G$7))</f>
        <v>-49.447373335719789</v>
      </c>
      <c r="AQ1534" s="41"/>
      <c r="AR1534" s="73"/>
      <c r="AS1534" s="53">
        <f>(AS$29/AS$27)^2*(AS1531-('Valve Sizing'!$V$4*'Valve Sizing'!$G$7))</f>
        <v>-67.318900060944827</v>
      </c>
      <c r="AT1534" s="41"/>
      <c r="AU1534" s="73"/>
    </row>
    <row r="1535" spans="15:47" ht="13" x14ac:dyDescent="0.25">
      <c r="O1535" s="1" t="s">
        <v>69</v>
      </c>
      <c r="P1535" s="17">
        <v>7</v>
      </c>
      <c r="Q1535" s="65"/>
      <c r="R1535" s="53">
        <f>(R1529/(N_1*F_P_h))*SQRT('Valve Sizing'!$G$6/R1533)</f>
        <v>2.0820303476984114</v>
      </c>
      <c r="S1535" s="58"/>
      <c r="T1535" s="73"/>
      <c r="U1535" s="64">
        <f>(U1529/(N_1*U$27))*SQRT('Valve Sizing'!$G$6/U1533)</f>
        <v>19.415666444537091</v>
      </c>
      <c r="V1535" s="41"/>
      <c r="W1535" s="73"/>
      <c r="X1535" s="64">
        <f>(X1529/(N_1*X$27))*SQRT('Valve Sizing'!$G$6/X1533)</f>
        <v>48.504313769543984</v>
      </c>
      <c r="Y1535" s="41"/>
      <c r="Z1535" s="73"/>
      <c r="AA1535" s="64">
        <f>(AA1529/(N_1*AA$27))*SQRT('Valve Sizing'!$G$6/AA1533)</f>
        <v>107.60541310341746</v>
      </c>
      <c r="AB1535" s="41"/>
      <c r="AC1535" s="73"/>
      <c r="AD1535" s="64">
        <f>(AD1529/(N_1*AD$27))*SQRT('Valve Sizing'!$G$6/AD1533)</f>
        <v>387.36927766053458</v>
      </c>
      <c r="AE1535" s="41"/>
      <c r="AF1535" s="73"/>
      <c r="AG1535" s="64" t="e">
        <f>(AG1529/(N_1*AG$27))*SQRT('Valve Sizing'!$G$6/AG1533)</f>
        <v>#NUM!</v>
      </c>
      <c r="AH1535" s="41"/>
      <c r="AI1535" s="73"/>
      <c r="AJ1535" s="64" t="e">
        <f>(AJ1529/(N_1*AJ$27))*SQRT('Valve Sizing'!$G$6/AJ1533)</f>
        <v>#NUM!</v>
      </c>
      <c r="AK1535" s="41"/>
      <c r="AL1535" s="73"/>
      <c r="AM1535" s="64" t="e">
        <f>(AM1529/(N_1*AM$27))*SQRT('Valve Sizing'!$G$6/AM1533)</f>
        <v>#NUM!</v>
      </c>
      <c r="AN1535" s="41"/>
      <c r="AO1535" s="73"/>
      <c r="AP1535" s="64" t="e">
        <f>(AP1529/(N_1*AP$27))*SQRT('Valve Sizing'!$G$6/AP1533)</f>
        <v>#NUM!</v>
      </c>
      <c r="AQ1535" s="41"/>
      <c r="AR1535" s="73"/>
      <c r="AS1535" s="64" t="e">
        <f>(AS1529/(N_1*AS$27))*SQRT('Valve Sizing'!$G$6/AS1533)</f>
        <v>#NUM!</v>
      </c>
      <c r="AT1535" s="41"/>
      <c r="AU1535" s="73"/>
    </row>
    <row r="1536" spans="15:47" ht="13" x14ac:dyDescent="0.3">
      <c r="O1536" s="1" t="s">
        <v>72</v>
      </c>
      <c r="P1536" s="17">
        <v>7</v>
      </c>
      <c r="Q1536" s="65"/>
      <c r="R1536" s="53">
        <f>(R1529/(N_1*F_P_h))*SQRT('Valve Sizing'!$G$6/R1534)</f>
        <v>1.7291544980347817</v>
      </c>
      <c r="S1536" s="56"/>
      <c r="T1536" s="72"/>
      <c r="U1536" s="85">
        <f>(U1529/(N_1*U$27))*SQRT('Valve Sizing'!$G$6/U1534)</f>
        <v>16.063853037295878</v>
      </c>
      <c r="V1536" s="44"/>
      <c r="W1536" s="72"/>
      <c r="X1536" s="85">
        <f>(X1529/(N_1*X$27))*SQRT('Valve Sizing'!$G$6/X1534)</f>
        <v>39.777504474957738</v>
      </c>
      <c r="Y1536" s="44"/>
      <c r="Z1536" s="72"/>
      <c r="AA1536" s="85">
        <f>(AA1529/(N_1*AA$27))*SQRT('Valve Sizing'!$G$6/AA1534)</f>
        <v>83.024862190003645</v>
      </c>
      <c r="AB1536" s="44"/>
      <c r="AC1536" s="72"/>
      <c r="AD1536" s="85">
        <f>(AD1529/(N_1*AD$27))*SQRT('Valve Sizing'!$G$6/AD1534)</f>
        <v>171.22922933251283</v>
      </c>
      <c r="AE1536" s="44"/>
      <c r="AF1536" s="72"/>
      <c r="AG1536" s="85">
        <f>(AG1529/(N_1*AG$27))*SQRT('Valve Sizing'!$G$6/AG1534)</f>
        <v>674.08634057626682</v>
      </c>
      <c r="AH1536" s="44"/>
      <c r="AI1536" s="72"/>
      <c r="AJ1536" s="85" t="e">
        <f>(AJ1529/(N_1*AJ$27))*SQRT('Valve Sizing'!$G$6/AJ1534)</f>
        <v>#NUM!</v>
      </c>
      <c r="AK1536" s="44"/>
      <c r="AL1536" s="72"/>
      <c r="AM1536" s="85" t="e">
        <f>(AM1529/(N_1*AM$27))*SQRT('Valve Sizing'!$G$6/AM1534)</f>
        <v>#NUM!</v>
      </c>
      <c r="AN1536" s="44"/>
      <c r="AO1536" s="72"/>
      <c r="AP1536" s="85" t="e">
        <f>(AP1529/(N_1*AP$27))*SQRT('Valve Sizing'!$G$6/AP1534)</f>
        <v>#NUM!</v>
      </c>
      <c r="AQ1536" s="44"/>
      <c r="AR1536" s="72"/>
      <c r="AS1536" s="85" t="e">
        <f>(AS1529/(N_1*AS$27))*SQRT('Valve Sizing'!$G$6/AS1534)</f>
        <v>#NUM!</v>
      </c>
      <c r="AT1536" s="44"/>
      <c r="AU1536" s="72"/>
    </row>
    <row r="1537" spans="15:47" x14ac:dyDescent="0.25">
      <c r="O1537" s="1" t="s">
        <v>246</v>
      </c>
      <c r="P1537" s="18"/>
      <c r="Q1537" s="65"/>
      <c r="R1537" s="53">
        <f>IF(R1533&lt;R1534,R1535,R1536)</f>
        <v>2.0820303476984114</v>
      </c>
      <c r="S1537" s="49"/>
      <c r="T1537" s="72"/>
      <c r="U1537" s="64">
        <f>IF(U1533&lt;U1534,U1535,U1536)</f>
        <v>19.415666444537091</v>
      </c>
      <c r="V1537" s="44"/>
      <c r="W1537" s="72"/>
      <c r="X1537" s="64">
        <f>IF(X1533&lt;X1534,X1535,X1536)</f>
        <v>48.504313769543984</v>
      </c>
      <c r="Y1537" s="44"/>
      <c r="Z1537" s="72"/>
      <c r="AA1537" s="64">
        <f>IF(AA1533&lt;AA1534,AA1535,AA1536)</f>
        <v>107.60541310341746</v>
      </c>
      <c r="AB1537" s="44"/>
      <c r="AC1537" s="72"/>
      <c r="AD1537" s="64">
        <f>IF(AD1533&lt;AD1534,AD1535,AD1536)</f>
        <v>387.36927766053458</v>
      </c>
      <c r="AE1537" s="44"/>
      <c r="AF1537" s="72"/>
      <c r="AG1537" s="64" t="e">
        <f>IF(AG1533&lt;AG1534,AG1535,AG1536)</f>
        <v>#NUM!</v>
      </c>
      <c r="AH1537" s="44"/>
      <c r="AI1537" s="72"/>
      <c r="AJ1537" s="64" t="e">
        <f>IF(AJ1533&lt;AJ1534,AJ1535,AJ1536)</f>
        <v>#NUM!</v>
      </c>
      <c r="AK1537" s="44"/>
      <c r="AL1537" s="72"/>
      <c r="AM1537" s="64" t="e">
        <f>IF(AM1533&lt;AM1534,AM1535,AM1536)</f>
        <v>#NUM!</v>
      </c>
      <c r="AN1537" s="44"/>
      <c r="AO1537" s="72"/>
      <c r="AP1537" s="64" t="e">
        <f>IF(AP1533&lt;AP1534,AP1535,AP1536)</f>
        <v>#NUM!</v>
      </c>
      <c r="AQ1537" s="44"/>
      <c r="AR1537" s="72"/>
      <c r="AS1537" s="64" t="e">
        <f>IF(AS1533&lt;AS1534,AS1535,AS1536)</f>
        <v>#NUM!</v>
      </c>
      <c r="AT1537" s="44"/>
      <c r="AU1537" s="72"/>
    </row>
    <row r="1538" spans="15:47" ht="13" x14ac:dyDescent="0.3">
      <c r="O1538" s="7" t="s">
        <v>264</v>
      </c>
      <c r="Q1538" s="61"/>
      <c r="R1538" s="53"/>
      <c r="S1538" s="69">
        <f>IFERROR(ABS(C_h-R1537),Q_max*10)</f>
        <v>2.9179696523015886</v>
      </c>
      <c r="T1538" s="76">
        <f>R1529</f>
        <v>11.822609541057671</v>
      </c>
      <c r="U1538" s="61"/>
      <c r="V1538" s="69">
        <f>IFERROR(ABS(U$23-U1537),Q_max*10)</f>
        <v>7.4156664445370915</v>
      </c>
      <c r="W1538" s="75">
        <f>U1529</f>
        <v>109.35225382582252</v>
      </c>
      <c r="X1538" s="61"/>
      <c r="Y1538" s="69">
        <f>IFERROR(ABS(X$23-X1537),Q_max*10)</f>
        <v>25.504313769543984</v>
      </c>
      <c r="Z1538" s="75">
        <f>X1529</f>
        <v>262.48750295496865</v>
      </c>
      <c r="AA1538" s="61"/>
      <c r="AB1538" s="69">
        <f>IFERROR(ABS(AA$23-AA1537),Q_max*10)</f>
        <v>68.605413103417462</v>
      </c>
      <c r="AC1538" s="75">
        <f>AA1529</f>
        <v>501.184841706783</v>
      </c>
      <c r="AD1538" s="61"/>
      <c r="AE1538" s="69">
        <f>IFERROR(ABS(AD$23-AD1537),Q_max*10)</f>
        <v>326.36927766053458</v>
      </c>
      <c r="AF1538" s="75">
        <f>AD1529</f>
        <v>824.26453929676438</v>
      </c>
      <c r="AG1538" s="61"/>
      <c r="AH1538" s="69">
        <f>IFERROR(ABS(AG$23-AG1537),Q_max*10)</f>
        <v>5500</v>
      </c>
      <c r="AI1538" s="75">
        <f>AG1529</f>
        <v>1227.2175794417562</v>
      </c>
      <c r="AJ1538" s="61"/>
      <c r="AK1538" s="69">
        <f>IFERROR(ABS(AJ$23-AJ1537),Q_max*10)</f>
        <v>5500</v>
      </c>
      <c r="AL1538" s="75">
        <f>AJ1529</f>
        <v>1637.7266171564797</v>
      </c>
      <c r="AM1538" s="61"/>
      <c r="AN1538" s="69">
        <f>IFERROR(ABS(AM$23-AM1537),Q_max*10)</f>
        <v>5500</v>
      </c>
      <c r="AO1538" s="75">
        <f>AM1529</f>
        <v>1998.3377064120136</v>
      </c>
      <c r="AP1538" s="61"/>
      <c r="AQ1538" s="69">
        <f>IFERROR(ABS(AP$23-AP1537),Q_max*10)</f>
        <v>5500</v>
      </c>
      <c r="AR1538" s="75">
        <f>AP1529</f>
        <v>2320.0080394896345</v>
      </c>
      <c r="AS1538" s="61"/>
      <c r="AT1538" s="69">
        <f>IFERROR(ABS(AS$23-AS1537),Q_max*10)</f>
        <v>5500</v>
      </c>
      <c r="AU1538" s="75">
        <f>AS1529</f>
        <v>2640.3855602943627</v>
      </c>
    </row>
    <row r="1539" spans="15:47" ht="14.5" x14ac:dyDescent="0.35">
      <c r="O1539" s="6"/>
      <c r="P1539" s="6"/>
      <c r="Q1539" s="60"/>
      <c r="R1539" s="67"/>
      <c r="S1539" s="66"/>
      <c r="T1539" s="74"/>
      <c r="V1539" s="11"/>
      <c r="W1539" s="38"/>
      <c r="Y1539" s="11"/>
      <c r="Z1539" s="38"/>
      <c r="AB1539" s="11"/>
      <c r="AC1539" s="38"/>
      <c r="AE1539" s="11"/>
      <c r="AF1539" s="38"/>
      <c r="AH1539" s="11"/>
      <c r="AI1539" s="38"/>
      <c r="AK1539" s="11"/>
      <c r="AL1539" s="38"/>
      <c r="AN1539" s="11"/>
      <c r="AO1539" s="38"/>
      <c r="AQ1539" s="11"/>
      <c r="AR1539" s="38"/>
      <c r="AT1539" s="11"/>
      <c r="AU1539" s="38"/>
    </row>
    <row r="1540" spans="15:47" ht="14" x14ac:dyDescent="0.3">
      <c r="O1540" s="8" t="s">
        <v>235</v>
      </c>
      <c r="P1540" s="6"/>
      <c r="Q1540" s="60"/>
      <c r="R1540" s="53">
        <f>R1529*1.02</f>
        <v>12.059061731878826</v>
      </c>
      <c r="S1540" s="58" t="s">
        <v>238</v>
      </c>
      <c r="T1540" s="73" t="s">
        <v>241</v>
      </c>
      <c r="U1540" s="84">
        <f>U1529*1.01</f>
        <v>110.44577636408074</v>
      </c>
      <c r="V1540" s="58" t="s">
        <v>238</v>
      </c>
      <c r="W1540" s="73" t="s">
        <v>241</v>
      </c>
      <c r="X1540" s="84">
        <f>X1529*1.01</f>
        <v>265.11237798451833</v>
      </c>
      <c r="Y1540" s="58" t="s">
        <v>238</v>
      </c>
      <c r="Z1540" s="73" t="s">
        <v>241</v>
      </c>
      <c r="AA1540" s="84">
        <f>AA1529*1.01</f>
        <v>506.19669012385083</v>
      </c>
      <c r="AB1540" s="58" t="s">
        <v>238</v>
      </c>
      <c r="AC1540" s="73" t="s">
        <v>241</v>
      </c>
      <c r="AD1540" s="84">
        <f>AD1529*1.01</f>
        <v>832.50718468973207</v>
      </c>
      <c r="AE1540" s="58" t="s">
        <v>238</v>
      </c>
      <c r="AF1540" s="73" t="s">
        <v>241</v>
      </c>
      <c r="AG1540" s="84">
        <f>AG1529*1.01</f>
        <v>1239.4897552361738</v>
      </c>
      <c r="AH1540" s="58" t="s">
        <v>238</v>
      </c>
      <c r="AI1540" s="73" t="s">
        <v>241</v>
      </c>
      <c r="AJ1540" s="84">
        <f>AJ1529*1.01</f>
        <v>1654.1038833280445</v>
      </c>
      <c r="AK1540" s="58" t="s">
        <v>238</v>
      </c>
      <c r="AL1540" s="73" t="s">
        <v>241</v>
      </c>
      <c r="AM1540" s="84">
        <f>AM1529*1.01</f>
        <v>2018.3210834761337</v>
      </c>
      <c r="AN1540" s="58" t="s">
        <v>238</v>
      </c>
      <c r="AO1540" s="73" t="s">
        <v>241</v>
      </c>
      <c r="AP1540" s="84">
        <f>AP1529*1.01</f>
        <v>2343.2081198845308</v>
      </c>
      <c r="AQ1540" s="58" t="s">
        <v>238</v>
      </c>
      <c r="AR1540" s="73" t="s">
        <v>241</v>
      </c>
      <c r="AS1540" s="84">
        <f>AS1529*1.01</f>
        <v>2666.7894158973063</v>
      </c>
      <c r="AT1540" s="58" t="s">
        <v>238</v>
      </c>
      <c r="AU1540" s="73" t="s">
        <v>241</v>
      </c>
    </row>
    <row r="1541" spans="15:47" ht="13" x14ac:dyDescent="0.25">
      <c r="O1541" s="6"/>
      <c r="P1541" s="6"/>
      <c r="Q1541" s="60"/>
      <c r="R1541" s="70"/>
      <c r="S1541" s="63" t="s">
        <v>250</v>
      </c>
      <c r="T1541" s="71" t="s">
        <v>242</v>
      </c>
      <c r="U1541" s="61"/>
      <c r="V1541" s="63" t="s">
        <v>250</v>
      </c>
      <c r="W1541" s="71" t="s">
        <v>242</v>
      </c>
      <c r="X1541" s="61"/>
      <c r="Y1541" s="63" t="s">
        <v>250</v>
      </c>
      <c r="Z1541" s="71" t="s">
        <v>242</v>
      </c>
      <c r="AA1541" s="61"/>
      <c r="AB1541" s="63" t="s">
        <v>250</v>
      </c>
      <c r="AC1541" s="71" t="s">
        <v>242</v>
      </c>
      <c r="AD1541" s="61"/>
      <c r="AE1541" s="63" t="s">
        <v>250</v>
      </c>
      <c r="AF1541" s="71" t="s">
        <v>242</v>
      </c>
      <c r="AG1541" s="61"/>
      <c r="AH1541" s="63" t="s">
        <v>250</v>
      </c>
      <c r="AI1541" s="71" t="s">
        <v>242</v>
      </c>
      <c r="AJ1541" s="61"/>
      <c r="AK1541" s="63" t="s">
        <v>250</v>
      </c>
      <c r="AL1541" s="71" t="s">
        <v>242</v>
      </c>
      <c r="AM1541" s="61"/>
      <c r="AN1541" s="63" t="s">
        <v>250</v>
      </c>
      <c r="AO1541" s="71" t="s">
        <v>242</v>
      </c>
      <c r="AP1541" s="61"/>
      <c r="AQ1541" s="63" t="s">
        <v>250</v>
      </c>
      <c r="AR1541" s="71" t="s">
        <v>242</v>
      </c>
      <c r="AS1541" s="61"/>
      <c r="AT1541" s="63" t="s">
        <v>250</v>
      </c>
      <c r="AU1541" s="71" t="s">
        <v>242</v>
      </c>
    </row>
    <row r="1542" spans="15:47" ht="13" x14ac:dyDescent="0.3">
      <c r="O1542" s="6" t="s">
        <v>231</v>
      </c>
      <c r="P1542" s="6"/>
      <c r="Q1542" s="60"/>
      <c r="R1542" s="85">
        <f>P_1_minQ-(R1540^2*R_up)+dpup_minQ</f>
        <v>56.911231983456496</v>
      </c>
      <c r="S1542" s="56"/>
      <c r="T1542" s="72"/>
      <c r="U1542" s="53">
        <f>P_1_minQ-(U1540^2*R_up)+dpup_minQ</f>
        <v>56.504178672182896</v>
      </c>
      <c r="V1542" s="44"/>
      <c r="W1542" s="72"/>
      <c r="X1542" s="53">
        <f>P_1_minQ-(X1540^2*R_up)+dpup_minQ</f>
        <v>54.542466296500976</v>
      </c>
      <c r="Y1542" s="44"/>
      <c r="Z1542" s="72"/>
      <c r="AA1542" s="53">
        <f>P_1_minQ-(AA1540^2*R_up)+dpup_minQ</f>
        <v>48.262475883406218</v>
      </c>
      <c r="AB1542" s="44"/>
      <c r="AC1542" s="72"/>
      <c r="AD1542" s="53">
        <f>P_1_minQ-(AD1540^2*R_up)+dpup_minQ</f>
        <v>33.509584175615551</v>
      </c>
      <c r="AE1542" s="44"/>
      <c r="AF1542" s="72"/>
      <c r="AG1542" s="53">
        <f>P_1_minQ-(AG1540^2*R_up)+dpup_minQ</f>
        <v>5.0304676347372519</v>
      </c>
      <c r="AH1542" s="44"/>
      <c r="AI1542" s="72"/>
      <c r="AJ1542" s="53">
        <f>P_1_minQ-(AJ1540^2*R_up)+dpup_minQ</f>
        <v>-35.48708736375945</v>
      </c>
      <c r="AK1542" s="44"/>
      <c r="AL1542" s="72"/>
      <c r="AM1542" s="53">
        <f>P_1_minQ-(AM1540^2*R_up)+dpup_minQ</f>
        <v>-80.659675650262557</v>
      </c>
      <c r="AN1542" s="44"/>
      <c r="AO1542" s="72"/>
      <c r="AP1542" s="53">
        <f>P_1_minQ-(AP1540^2*R_up)+dpup_minQ</f>
        <v>-128.51527501157713</v>
      </c>
      <c r="AQ1542" s="44"/>
      <c r="AR1542" s="72"/>
      <c r="AS1542" s="53">
        <f>P_1_minQ-(AS1540^2*R_up)+dpup_minQ</f>
        <v>-183.26507223039167</v>
      </c>
      <c r="AT1542" s="44"/>
      <c r="AU1542" s="72"/>
    </row>
    <row r="1543" spans="15:47" ht="13" x14ac:dyDescent="0.3">
      <c r="O1543" s="6" t="s">
        <v>233</v>
      </c>
      <c r="P1543" s="6"/>
      <c r="Q1543" s="60"/>
      <c r="R1543" s="85">
        <f>P_2_minQ+(R1540^2*R_dn)-dpdn_minQ</f>
        <v>24.657753603308702</v>
      </c>
      <c r="S1543" s="66"/>
      <c r="T1543" s="74"/>
      <c r="U1543" s="53">
        <f>P_2_minQ+(U1540^2*R_dn)-dpdn_minQ</f>
        <v>24.739164265563424</v>
      </c>
      <c r="V1543" s="45"/>
      <c r="W1543" s="74"/>
      <c r="X1543" s="53">
        <f>P_2_minQ+(X1540^2*R_dn)-dpdn_minQ</f>
        <v>25.131506740699805</v>
      </c>
      <c r="Y1543" s="45"/>
      <c r="Z1543" s="74"/>
      <c r="AA1543" s="53">
        <f>P_2_minQ+(AA1540^2*R_dn)-dpdn_minQ</f>
        <v>26.387504823318757</v>
      </c>
      <c r="AB1543" s="45"/>
      <c r="AC1543" s="74"/>
      <c r="AD1543" s="53">
        <f>P_2_minQ+(AD1540^2*R_dn)-dpdn_minQ</f>
        <v>29.338083164876892</v>
      </c>
      <c r="AE1543" s="45"/>
      <c r="AF1543" s="74"/>
      <c r="AG1543" s="53">
        <f>P_2_minQ+(AG1540^2*R_dn)-dpdn_minQ</f>
        <v>35.033906473052554</v>
      </c>
      <c r="AH1543" s="45"/>
      <c r="AI1543" s="74"/>
      <c r="AJ1543" s="53">
        <f>P_2_minQ+(AJ1540^2*R_dn)-dpdn_minQ</f>
        <v>43.137417472751892</v>
      </c>
      <c r="AK1543" s="45"/>
      <c r="AL1543" s="74"/>
      <c r="AM1543" s="53">
        <f>P_2_minQ+(AM1540^2*R_dn)-dpdn_minQ</f>
        <v>52.171935130052518</v>
      </c>
      <c r="AN1543" s="45"/>
      <c r="AO1543" s="74"/>
      <c r="AP1543" s="53">
        <f>P_2_minQ+(AP1540^2*R_dn)-dpdn_minQ</f>
        <v>61.743055002315423</v>
      </c>
      <c r="AQ1543" s="45"/>
      <c r="AR1543" s="74"/>
      <c r="AS1543" s="53">
        <f>P_2_minQ+(AS1540^2*R_dn)-dpdn_minQ</f>
        <v>72.693014446078337</v>
      </c>
      <c r="AT1543" s="45"/>
      <c r="AU1543" s="74"/>
    </row>
    <row r="1544" spans="15:47" x14ac:dyDescent="0.25">
      <c r="O1544" s="6" t="s">
        <v>243</v>
      </c>
      <c r="Q1544" s="60"/>
      <c r="R1544" s="53">
        <f>R1542-R1543</f>
        <v>32.253478380147797</v>
      </c>
      <c r="S1544" s="56"/>
      <c r="T1544" s="72"/>
      <c r="U1544" s="64">
        <f>U1542-U1543</f>
        <v>31.765014406619471</v>
      </c>
      <c r="V1544" s="44"/>
      <c r="W1544" s="72"/>
      <c r="X1544" s="64">
        <f>X1542-X1543</f>
        <v>29.41095955580117</v>
      </c>
      <c r="Y1544" s="44"/>
      <c r="Z1544" s="72"/>
      <c r="AA1544" s="64">
        <f>AA1542-AA1543</f>
        <v>21.874971060087461</v>
      </c>
      <c r="AB1544" s="44"/>
      <c r="AC1544" s="72"/>
      <c r="AD1544" s="64">
        <f>AD1542-AD1543</f>
        <v>4.171501010738659</v>
      </c>
      <c r="AE1544" s="44"/>
      <c r="AF1544" s="72"/>
      <c r="AG1544" s="64">
        <f>AG1542-AG1543</f>
        <v>-30.003438838315301</v>
      </c>
      <c r="AH1544" s="44"/>
      <c r="AI1544" s="72"/>
      <c r="AJ1544" s="64">
        <f>AJ1542-AJ1543</f>
        <v>-78.624504836511335</v>
      </c>
      <c r="AK1544" s="44"/>
      <c r="AL1544" s="72"/>
      <c r="AM1544" s="64">
        <f>AM1542-AM1543</f>
        <v>-132.83161078031509</v>
      </c>
      <c r="AN1544" s="44"/>
      <c r="AO1544" s="72"/>
      <c r="AP1544" s="64">
        <f>AP1542-AP1543</f>
        <v>-190.25833001389256</v>
      </c>
      <c r="AQ1544" s="44"/>
      <c r="AR1544" s="72"/>
      <c r="AS1544" s="64">
        <f>AS1542-AS1543</f>
        <v>-255.95808667647</v>
      </c>
      <c r="AT1544" s="44"/>
      <c r="AU1544" s="72"/>
    </row>
    <row r="1545" spans="15:47" ht="13" x14ac:dyDescent="0.3">
      <c r="O1545" s="6" t="s">
        <v>75</v>
      </c>
      <c r="P1545" s="6">
        <v>3</v>
      </c>
      <c r="Q1545" s="65"/>
      <c r="R1545" s="85">
        <f>(F_LP_h/F_P_h)^2*(R1542-('Valve Sizing'!$V$4*'Valve Sizing'!$G$7))</f>
        <v>46.761096500880498</v>
      </c>
      <c r="S1545" s="58"/>
      <c r="T1545" s="73"/>
      <c r="U1545" s="53">
        <f>(U$29/U$27)^2*(U1542-('Valve Sizing'!$V$4*'Valve Sizing'!$G$7))</f>
        <v>46.411381718837752</v>
      </c>
      <c r="V1545" s="41"/>
      <c r="W1545" s="73"/>
      <c r="X1545" s="53">
        <f>(X$29/X$27)^2*(X1542-('Valve Sizing'!$V$4*'Valve Sizing'!$G$7))</f>
        <v>43.777156810035606</v>
      </c>
      <c r="Y1545" s="41"/>
      <c r="Z1545" s="73"/>
      <c r="AA1545" s="53">
        <f>(AA$29/AA$27)^2*(AA1542-('Valve Sizing'!$V$4*'Valve Sizing'!$G$7))</f>
        <v>36.957031914521522</v>
      </c>
      <c r="AB1545" s="41"/>
      <c r="AC1545" s="73"/>
      <c r="AD1545" s="53">
        <f>(AD$29/AD$27)^2*(AD1542-('Valve Sizing'!$V$4*'Valve Sizing'!$G$7))</f>
        <v>23.849326077862788</v>
      </c>
      <c r="AE1545" s="41"/>
      <c r="AF1545" s="73"/>
      <c r="AG1545" s="53">
        <f>(AG$29/AG$27)^2*(AG1542-('Valve Sizing'!$V$4*'Valve Sizing'!$G$7))</f>
        <v>2.9564257719095579</v>
      </c>
      <c r="AH1545" s="41"/>
      <c r="AI1545" s="73"/>
      <c r="AJ1545" s="53">
        <f>(AJ$29/AJ$27)^2*(AJ1542-('Valve Sizing'!$V$4*'Valve Sizing'!$G$7))</f>
        <v>-20.778979357017377</v>
      </c>
      <c r="AK1545" s="41"/>
      <c r="AL1545" s="73"/>
      <c r="AM1545" s="53">
        <f>(AM$29/AM$27)^2*(AM1542-('Valve Sizing'!$V$4*'Valve Sizing'!$G$7))</f>
        <v>-38.803963709271656</v>
      </c>
      <c r="AN1545" s="41"/>
      <c r="AO1545" s="73"/>
      <c r="AP1545" s="53">
        <f>(AP$29/AP$27)^2*(AP1542-('Valve Sizing'!$V$4*'Valve Sizing'!$G$7))</f>
        <v>-50.889233806667242</v>
      </c>
      <c r="AQ1545" s="41"/>
      <c r="AR1545" s="73"/>
      <c r="AS1545" s="53">
        <f>(AS$29/AS$27)^2*(AS1542-('Valve Sizing'!$V$4*'Valve Sizing'!$G$7))</f>
        <v>-69.098993441287377</v>
      </c>
      <c r="AT1545" s="41"/>
      <c r="AU1545" s="73"/>
    </row>
    <row r="1546" spans="15:47" ht="13" x14ac:dyDescent="0.25">
      <c r="O1546" s="1" t="s">
        <v>69</v>
      </c>
      <c r="P1546" s="17">
        <v>7</v>
      </c>
      <c r="Q1546" s="65"/>
      <c r="R1546" s="53">
        <f>(R1540/(N_1*F_P_h))*SQRT('Valve Sizing'!$G$6/R1544)</f>
        <v>2.1236784887423168</v>
      </c>
      <c r="S1546" s="58"/>
      <c r="T1546" s="73"/>
      <c r="U1546" s="64">
        <f>(U1540/(N_1*U$27))*SQRT('Valve Sizing'!$G$6/U1544)</f>
        <v>19.612829570896739</v>
      </c>
      <c r="V1546" s="41"/>
      <c r="W1546" s="73"/>
      <c r="X1546" s="64">
        <f>(X1540/(N_1*X$27))*SQRT('Valve Sizing'!$G$6/X1544)</f>
        <v>49.036077857218423</v>
      </c>
      <c r="Y1546" s="41"/>
      <c r="Z1546" s="73"/>
      <c r="AA1546" s="64">
        <f>(AA1540/(N_1*AA$27))*SQRT('Valve Sizing'!$G$6/AA1544)</f>
        <v>109.18857554829451</v>
      </c>
      <c r="AB1546" s="41"/>
      <c r="AC1546" s="73"/>
      <c r="AD1546" s="64">
        <f>(AD1540/(N_1*AD$27))*SQRT('Valve Sizing'!$G$6/AD1544)</f>
        <v>416.38843549328203</v>
      </c>
      <c r="AE1546" s="41"/>
      <c r="AF1546" s="73"/>
      <c r="AG1546" s="64" t="e">
        <f>(AG1540/(N_1*AG$27))*SQRT('Valve Sizing'!$G$6/AG1544)</f>
        <v>#NUM!</v>
      </c>
      <c r="AH1546" s="41"/>
      <c r="AI1546" s="73"/>
      <c r="AJ1546" s="64" t="e">
        <f>(AJ1540/(N_1*AJ$27))*SQRT('Valve Sizing'!$G$6/AJ1544)</f>
        <v>#NUM!</v>
      </c>
      <c r="AK1546" s="41"/>
      <c r="AL1546" s="73"/>
      <c r="AM1546" s="64" t="e">
        <f>(AM1540/(N_1*AM$27))*SQRT('Valve Sizing'!$G$6/AM1544)</f>
        <v>#NUM!</v>
      </c>
      <c r="AN1546" s="41"/>
      <c r="AO1546" s="73"/>
      <c r="AP1546" s="64" t="e">
        <f>(AP1540/(N_1*AP$27))*SQRT('Valve Sizing'!$G$6/AP1544)</f>
        <v>#NUM!</v>
      </c>
      <c r="AQ1546" s="41"/>
      <c r="AR1546" s="73"/>
      <c r="AS1546" s="64" t="e">
        <f>(AS1540/(N_1*AS$27))*SQRT('Valve Sizing'!$G$6/AS1544)</f>
        <v>#NUM!</v>
      </c>
      <c r="AT1546" s="41"/>
      <c r="AU1546" s="73"/>
    </row>
    <row r="1547" spans="15:47" ht="13" x14ac:dyDescent="0.3">
      <c r="O1547" s="1" t="s">
        <v>72</v>
      </c>
      <c r="P1547" s="17">
        <v>7</v>
      </c>
      <c r="Q1547" s="65"/>
      <c r="R1547" s="53">
        <f>(R1540/(N_1*F_P_h))*SQRT('Valve Sizing'!$G$6/R1545)</f>
        <v>1.7637405661446008</v>
      </c>
      <c r="S1547" s="56"/>
      <c r="T1547" s="72"/>
      <c r="U1547" s="85">
        <f>(U1540/(N_1*U$27))*SQRT('Valve Sizing'!$G$6/U1545)</f>
        <v>16.225666068939429</v>
      </c>
      <c r="V1547" s="44"/>
      <c r="W1547" s="72"/>
      <c r="X1547" s="85">
        <f>(X1540/(N_1*X$27))*SQRT('Valve Sizing'!$G$6/X1545)</f>
        <v>40.192641265538818</v>
      </c>
      <c r="Y1547" s="44"/>
      <c r="Z1547" s="72"/>
      <c r="AA1547" s="85">
        <f>(AA1540/(N_1*AA$27))*SQRT('Valve Sizing'!$G$6/AA1545)</f>
        <v>84.00447101966931</v>
      </c>
      <c r="AB1547" s="44"/>
      <c r="AC1547" s="72"/>
      <c r="AD1547" s="85">
        <f>(AD1540/(N_1*AD$27))*SQRT('Valve Sizing'!$G$6/AD1545)</f>
        <v>174.14330400198259</v>
      </c>
      <c r="AE1547" s="44"/>
      <c r="AF1547" s="72"/>
      <c r="AG1547" s="85">
        <f>(AG1540/(N_1*AG$27))*SQRT('Valve Sizing'!$G$6/AG1545)</f>
        <v>752.8344882762616</v>
      </c>
      <c r="AH1547" s="44"/>
      <c r="AI1547" s="72"/>
      <c r="AJ1547" s="85" t="e">
        <f>(AJ1540/(N_1*AJ$27))*SQRT('Valve Sizing'!$G$6/AJ1545)</f>
        <v>#NUM!</v>
      </c>
      <c r="AK1547" s="44"/>
      <c r="AL1547" s="72"/>
      <c r="AM1547" s="85" t="e">
        <f>(AM1540/(N_1*AM$27))*SQRT('Valve Sizing'!$G$6/AM1545)</f>
        <v>#NUM!</v>
      </c>
      <c r="AN1547" s="44"/>
      <c r="AO1547" s="72"/>
      <c r="AP1547" s="85" t="e">
        <f>(AP1540/(N_1*AP$27))*SQRT('Valve Sizing'!$G$6/AP1545)</f>
        <v>#NUM!</v>
      </c>
      <c r="AQ1547" s="44"/>
      <c r="AR1547" s="72"/>
      <c r="AS1547" s="85" t="e">
        <f>(AS1540/(N_1*AS$27))*SQRT('Valve Sizing'!$G$6/AS1545)</f>
        <v>#NUM!</v>
      </c>
      <c r="AT1547" s="44"/>
      <c r="AU1547" s="72"/>
    </row>
    <row r="1548" spans="15:47" x14ac:dyDescent="0.25">
      <c r="O1548" s="1" t="s">
        <v>246</v>
      </c>
      <c r="P1548" s="18"/>
      <c r="Q1548" s="65"/>
      <c r="R1548" s="53">
        <f>IF(R1544&lt;R1545,R1546,R1547)</f>
        <v>2.1236784887423168</v>
      </c>
      <c r="S1548" s="49"/>
      <c r="T1548" s="72"/>
      <c r="U1548" s="64">
        <f>IF(U1544&lt;U1545,U1546,U1547)</f>
        <v>19.612829570896739</v>
      </c>
      <c r="V1548" s="44"/>
      <c r="W1548" s="72"/>
      <c r="X1548" s="64">
        <f>IF(X1544&lt;X1545,X1546,X1547)</f>
        <v>49.036077857218423</v>
      </c>
      <c r="Y1548" s="44"/>
      <c r="Z1548" s="72"/>
      <c r="AA1548" s="64">
        <f>IF(AA1544&lt;AA1545,AA1546,AA1547)</f>
        <v>109.18857554829451</v>
      </c>
      <c r="AB1548" s="44"/>
      <c r="AC1548" s="72"/>
      <c r="AD1548" s="64">
        <f>IF(AD1544&lt;AD1545,AD1546,AD1547)</f>
        <v>416.38843549328203</v>
      </c>
      <c r="AE1548" s="44"/>
      <c r="AF1548" s="72"/>
      <c r="AG1548" s="64" t="e">
        <f>IF(AG1544&lt;AG1545,AG1546,AG1547)</f>
        <v>#NUM!</v>
      </c>
      <c r="AH1548" s="44"/>
      <c r="AI1548" s="72"/>
      <c r="AJ1548" s="64" t="e">
        <f>IF(AJ1544&lt;AJ1545,AJ1546,AJ1547)</f>
        <v>#NUM!</v>
      </c>
      <c r="AK1548" s="44"/>
      <c r="AL1548" s="72"/>
      <c r="AM1548" s="64" t="e">
        <f>IF(AM1544&lt;AM1545,AM1546,AM1547)</f>
        <v>#NUM!</v>
      </c>
      <c r="AN1548" s="44"/>
      <c r="AO1548" s="72"/>
      <c r="AP1548" s="64" t="e">
        <f>IF(AP1544&lt;AP1545,AP1546,AP1547)</f>
        <v>#NUM!</v>
      </c>
      <c r="AQ1548" s="44"/>
      <c r="AR1548" s="72"/>
      <c r="AS1548" s="64" t="e">
        <f>IF(AS1544&lt;AS1545,AS1546,AS1547)</f>
        <v>#NUM!</v>
      </c>
      <c r="AT1548" s="44"/>
      <c r="AU1548" s="72"/>
    </row>
    <row r="1549" spans="15:47" ht="13" x14ac:dyDescent="0.3">
      <c r="O1549" s="7" t="s">
        <v>264</v>
      </c>
      <c r="Q1549" s="61"/>
      <c r="R1549" s="53"/>
      <c r="S1549" s="69">
        <f>IFERROR(ABS(C_h-R1548),Q_max*10)</f>
        <v>2.8763215112576832</v>
      </c>
      <c r="T1549" s="76">
        <f>R1540</f>
        <v>12.059061731878826</v>
      </c>
      <c r="U1549" s="61"/>
      <c r="V1549" s="69">
        <f>IFERROR(ABS(U$23-U1548),Q_max*10)</f>
        <v>7.6128295708967393</v>
      </c>
      <c r="W1549" s="75">
        <f>U1540</f>
        <v>110.44577636408074</v>
      </c>
      <c r="X1549" s="61"/>
      <c r="Y1549" s="69">
        <f>IFERROR(ABS(X$23-X1548),Q_max*10)</f>
        <v>26.036077857218423</v>
      </c>
      <c r="Z1549" s="75">
        <f>X1540</f>
        <v>265.11237798451833</v>
      </c>
      <c r="AA1549" s="61"/>
      <c r="AB1549" s="69">
        <f>IFERROR(ABS(AA$23-AA1548),Q_max*10)</f>
        <v>70.188575548294509</v>
      </c>
      <c r="AC1549" s="75">
        <f>AA1540</f>
        <v>506.19669012385083</v>
      </c>
      <c r="AD1549" s="61"/>
      <c r="AE1549" s="69">
        <f>IFERROR(ABS(AD$23-AD1548),Q_max*10)</f>
        <v>355.38843549328203</v>
      </c>
      <c r="AF1549" s="75">
        <f>AD1540</f>
        <v>832.50718468973207</v>
      </c>
      <c r="AG1549" s="61"/>
      <c r="AH1549" s="69">
        <f>IFERROR(ABS(AG$23-AG1548),Q_max*10)</f>
        <v>5500</v>
      </c>
      <c r="AI1549" s="75">
        <f>AG1540</f>
        <v>1239.4897552361738</v>
      </c>
      <c r="AJ1549" s="61"/>
      <c r="AK1549" s="69">
        <f>IFERROR(ABS(AJ$23-AJ1548),Q_max*10)</f>
        <v>5500</v>
      </c>
      <c r="AL1549" s="75">
        <f>AJ1540</f>
        <v>1654.1038833280445</v>
      </c>
      <c r="AM1549" s="61"/>
      <c r="AN1549" s="69">
        <f>IFERROR(ABS(AM$23-AM1548),Q_max*10)</f>
        <v>5500</v>
      </c>
      <c r="AO1549" s="75">
        <f>AM1540</f>
        <v>2018.3210834761337</v>
      </c>
      <c r="AP1549" s="61"/>
      <c r="AQ1549" s="69">
        <f>IFERROR(ABS(AP$23-AP1548),Q_max*10)</f>
        <v>5500</v>
      </c>
      <c r="AR1549" s="75">
        <f>AP1540</f>
        <v>2343.2081198845308</v>
      </c>
      <c r="AS1549" s="61"/>
      <c r="AT1549" s="69">
        <f>IFERROR(ABS(AS$23-AS1548),Q_max*10)</f>
        <v>5500</v>
      </c>
      <c r="AU1549" s="75">
        <f>AS1540</f>
        <v>2666.7894158973063</v>
      </c>
    </row>
    <row r="1550" spans="15:47" ht="14.5" x14ac:dyDescent="0.35">
      <c r="O1550" s="6"/>
      <c r="P1550" s="6"/>
      <c r="Q1550" s="60"/>
      <c r="R1550" s="67"/>
      <c r="S1550" s="56"/>
      <c r="T1550" s="72"/>
      <c r="V1550" s="11"/>
      <c r="W1550" s="38"/>
      <c r="Y1550" s="11"/>
      <c r="Z1550" s="38"/>
      <c r="AB1550" s="11"/>
      <c r="AC1550" s="38"/>
      <c r="AE1550" s="11"/>
      <c r="AF1550" s="38"/>
      <c r="AH1550" s="11"/>
      <c r="AI1550" s="38"/>
      <c r="AK1550" s="11"/>
      <c r="AL1550" s="38"/>
      <c r="AN1550" s="11"/>
      <c r="AO1550" s="38"/>
      <c r="AQ1550" s="11"/>
      <c r="AR1550" s="38"/>
      <c r="AT1550" s="11"/>
      <c r="AU1550" s="38"/>
    </row>
    <row r="1551" spans="15:47" ht="14" x14ac:dyDescent="0.3">
      <c r="O1551" s="8" t="s">
        <v>235</v>
      </c>
      <c r="P1551" s="6"/>
      <c r="Q1551" s="60"/>
      <c r="R1551" s="53">
        <f>R1540*1.02</f>
        <v>12.300242966516402</v>
      </c>
      <c r="S1551" s="58" t="s">
        <v>238</v>
      </c>
      <c r="T1551" s="73" t="s">
        <v>241</v>
      </c>
      <c r="U1551" s="84">
        <f>U1540*1.01</f>
        <v>111.55023412772155</v>
      </c>
      <c r="V1551" s="58" t="s">
        <v>238</v>
      </c>
      <c r="W1551" s="73" t="s">
        <v>241</v>
      </c>
      <c r="X1551" s="84">
        <f>X1540*1.01</f>
        <v>267.76350176436353</v>
      </c>
      <c r="Y1551" s="58" t="s">
        <v>238</v>
      </c>
      <c r="Z1551" s="73" t="s">
        <v>241</v>
      </c>
      <c r="AA1551" s="84">
        <f>AA1540*1.01</f>
        <v>511.25865702508935</v>
      </c>
      <c r="AB1551" s="58" t="s">
        <v>238</v>
      </c>
      <c r="AC1551" s="73" t="s">
        <v>241</v>
      </c>
      <c r="AD1551" s="84">
        <f>AD1540*1.01</f>
        <v>840.83225653662942</v>
      </c>
      <c r="AE1551" s="58" t="s">
        <v>238</v>
      </c>
      <c r="AF1551" s="73" t="s">
        <v>241</v>
      </c>
      <c r="AG1551" s="84">
        <f>AG1540*1.01</f>
        <v>1251.8846527885355</v>
      </c>
      <c r="AH1551" s="58" t="s">
        <v>238</v>
      </c>
      <c r="AI1551" s="73" t="s">
        <v>241</v>
      </c>
      <c r="AJ1551" s="84">
        <f>AJ1540*1.01</f>
        <v>1670.644922161325</v>
      </c>
      <c r="AK1551" s="58" t="s">
        <v>238</v>
      </c>
      <c r="AL1551" s="73" t="s">
        <v>241</v>
      </c>
      <c r="AM1551" s="84">
        <f>AM1540*1.01</f>
        <v>2038.5042943108951</v>
      </c>
      <c r="AN1551" s="58" t="s">
        <v>238</v>
      </c>
      <c r="AO1551" s="73" t="s">
        <v>241</v>
      </c>
      <c r="AP1551" s="84">
        <f>AP1540*1.01</f>
        <v>2366.6402010833763</v>
      </c>
      <c r="AQ1551" s="58" t="s">
        <v>238</v>
      </c>
      <c r="AR1551" s="73" t="s">
        <v>241</v>
      </c>
      <c r="AS1551" s="84">
        <f>AS1540*1.01</f>
        <v>2693.4573100562793</v>
      </c>
      <c r="AT1551" s="58" t="s">
        <v>238</v>
      </c>
      <c r="AU1551" s="73" t="s">
        <v>241</v>
      </c>
    </row>
    <row r="1552" spans="15:47" ht="13" x14ac:dyDescent="0.25">
      <c r="O1552" s="6"/>
      <c r="P1552" s="6"/>
      <c r="Q1552" s="60"/>
      <c r="R1552" s="70"/>
      <c r="S1552" s="63" t="s">
        <v>250</v>
      </c>
      <c r="T1552" s="71" t="s">
        <v>242</v>
      </c>
      <c r="U1552" s="61"/>
      <c r="V1552" s="63" t="s">
        <v>250</v>
      </c>
      <c r="W1552" s="71" t="s">
        <v>242</v>
      </c>
      <c r="X1552" s="61"/>
      <c r="Y1552" s="63" t="s">
        <v>250</v>
      </c>
      <c r="Z1552" s="71" t="s">
        <v>242</v>
      </c>
      <c r="AA1552" s="61"/>
      <c r="AB1552" s="63" t="s">
        <v>250</v>
      </c>
      <c r="AC1552" s="71" t="s">
        <v>242</v>
      </c>
      <c r="AD1552" s="61"/>
      <c r="AE1552" s="63" t="s">
        <v>250</v>
      </c>
      <c r="AF1552" s="71" t="s">
        <v>242</v>
      </c>
      <c r="AG1552" s="61"/>
      <c r="AH1552" s="63" t="s">
        <v>250</v>
      </c>
      <c r="AI1552" s="71" t="s">
        <v>242</v>
      </c>
      <c r="AJ1552" s="61"/>
      <c r="AK1552" s="63" t="s">
        <v>250</v>
      </c>
      <c r="AL1552" s="71" t="s">
        <v>242</v>
      </c>
      <c r="AM1552" s="61"/>
      <c r="AN1552" s="63" t="s">
        <v>250</v>
      </c>
      <c r="AO1552" s="71" t="s">
        <v>242</v>
      </c>
      <c r="AP1552" s="61"/>
      <c r="AQ1552" s="63" t="s">
        <v>250</v>
      </c>
      <c r="AR1552" s="71" t="s">
        <v>242</v>
      </c>
      <c r="AS1552" s="61"/>
      <c r="AT1552" s="63" t="s">
        <v>250</v>
      </c>
      <c r="AU1552" s="71" t="s">
        <v>242</v>
      </c>
    </row>
    <row r="1553" spans="15:47" ht="13" x14ac:dyDescent="0.3">
      <c r="O1553" s="6" t="s">
        <v>231</v>
      </c>
      <c r="P1553" s="6"/>
      <c r="Q1553" s="60"/>
      <c r="R1553" s="85">
        <f>P_1_minQ-(R1551^2*R_up)+dpup_minQ</f>
        <v>56.911033570515521</v>
      </c>
      <c r="S1553" s="56"/>
      <c r="T1553" s="72"/>
      <c r="U1553" s="53">
        <f>P_1_minQ-(U1551^2*R_up)+dpup_minQ</f>
        <v>56.49589818527695</v>
      </c>
      <c r="V1553" s="44"/>
      <c r="W1553" s="72"/>
      <c r="X1553" s="53">
        <f>P_1_minQ-(X1551^2*R_up)+dpup_minQ</f>
        <v>54.494755390843828</v>
      </c>
      <c r="Y1553" s="44"/>
      <c r="Z1553" s="72"/>
      <c r="AA1553" s="53">
        <f>P_1_minQ-(AA1551^2*R_up)+dpup_minQ</f>
        <v>48.088537170445868</v>
      </c>
      <c r="AB1553" s="44"/>
      <c r="AC1553" s="72"/>
      <c r="AD1553" s="53">
        <f>P_1_minQ-(AD1551^2*R_up)+dpup_minQ</f>
        <v>33.039112339328597</v>
      </c>
      <c r="AE1553" s="44"/>
      <c r="AF1553" s="72"/>
      <c r="AG1553" s="53">
        <f>P_1_minQ-(AG1551^2*R_up)+dpup_minQ</f>
        <v>3.9875655559786507</v>
      </c>
      <c r="AH1553" s="44"/>
      <c r="AI1553" s="72"/>
      <c r="AJ1553" s="53">
        <f>P_1_minQ-(AJ1551^2*R_up)+dpup_minQ</f>
        <v>-37.344392297987831</v>
      </c>
      <c r="AK1553" s="44"/>
      <c r="AL1553" s="72"/>
      <c r="AM1553" s="53">
        <f>P_1_minQ-(AM1551^2*R_up)+dpup_minQ</f>
        <v>-83.424949609049662</v>
      </c>
      <c r="AN1553" s="44"/>
      <c r="AO1553" s="72"/>
      <c r="AP1553" s="53">
        <f>P_1_minQ-(AP1551^2*R_up)+dpup_minQ</f>
        <v>-132.24244651752664</v>
      </c>
      <c r="AQ1553" s="44"/>
      <c r="AR1553" s="72"/>
      <c r="AS1553" s="53">
        <f>P_1_minQ-(AS1551^2*R_up)+dpup_minQ</f>
        <v>-188.09271466043933</v>
      </c>
      <c r="AT1553" s="44"/>
      <c r="AU1553" s="72"/>
    </row>
    <row r="1554" spans="15:47" ht="13" x14ac:dyDescent="0.3">
      <c r="O1554" s="6" t="s">
        <v>233</v>
      </c>
      <c r="P1554" s="6"/>
      <c r="Q1554" s="60"/>
      <c r="R1554" s="85">
        <f>P_2_minQ+(R1551^2*R_dn)-dpdn_minQ</f>
        <v>24.657793285896897</v>
      </c>
      <c r="S1554" s="66"/>
      <c r="T1554" s="74"/>
      <c r="U1554" s="53">
        <f>P_2_minQ+(U1551^2*R_dn)-dpdn_minQ</f>
        <v>24.740820362944611</v>
      </c>
      <c r="V1554" s="45"/>
      <c r="W1554" s="74"/>
      <c r="X1554" s="53">
        <f>P_2_minQ+(X1551^2*R_dn)-dpdn_minQ</f>
        <v>25.141048921831235</v>
      </c>
      <c r="Y1554" s="45"/>
      <c r="Z1554" s="74"/>
      <c r="AA1554" s="53">
        <f>P_2_minQ+(AA1551^2*R_dn)-dpdn_minQ</f>
        <v>26.422292565910826</v>
      </c>
      <c r="AB1554" s="45"/>
      <c r="AC1554" s="74"/>
      <c r="AD1554" s="53">
        <f>P_2_minQ+(AD1551^2*R_dn)-dpdn_minQ</f>
        <v>29.432177532134279</v>
      </c>
      <c r="AE1554" s="45"/>
      <c r="AF1554" s="74"/>
      <c r="AG1554" s="53">
        <f>P_2_minQ+(AG1551^2*R_dn)-dpdn_minQ</f>
        <v>35.242486888804272</v>
      </c>
      <c r="AH1554" s="45"/>
      <c r="AI1554" s="74"/>
      <c r="AJ1554" s="53">
        <f>P_2_minQ+(AJ1551^2*R_dn)-dpdn_minQ</f>
        <v>43.508878459597568</v>
      </c>
      <c r="AK1554" s="45"/>
      <c r="AL1554" s="74"/>
      <c r="AM1554" s="53">
        <f>P_2_minQ+(AM1551^2*R_dn)-dpdn_minQ</f>
        <v>52.724989921809936</v>
      </c>
      <c r="AN1554" s="45"/>
      <c r="AO1554" s="74"/>
      <c r="AP1554" s="53">
        <f>P_2_minQ+(AP1551^2*R_dn)-dpdn_minQ</f>
        <v>62.488489303505332</v>
      </c>
      <c r="AQ1554" s="45"/>
      <c r="AR1554" s="74"/>
      <c r="AS1554" s="53">
        <f>P_2_minQ+(AS1551^2*R_dn)-dpdn_minQ</f>
        <v>73.658542932087869</v>
      </c>
      <c r="AT1554" s="45"/>
      <c r="AU1554" s="74"/>
    </row>
    <row r="1555" spans="15:47" x14ac:dyDescent="0.25">
      <c r="O1555" s="6" t="s">
        <v>243</v>
      </c>
      <c r="Q1555" s="60"/>
      <c r="R1555" s="53">
        <f>R1553-R1554</f>
        <v>32.253240284618627</v>
      </c>
      <c r="S1555" s="56"/>
      <c r="T1555" s="72"/>
      <c r="U1555" s="64">
        <f>U1553-U1554</f>
        <v>31.755077822332339</v>
      </c>
      <c r="V1555" s="44"/>
      <c r="W1555" s="72"/>
      <c r="X1555" s="64">
        <f>X1553-X1554</f>
        <v>29.353706469012593</v>
      </c>
      <c r="Y1555" s="44"/>
      <c r="Z1555" s="72"/>
      <c r="AA1555" s="64">
        <f>AA1553-AA1554</f>
        <v>21.666244604535041</v>
      </c>
      <c r="AB1555" s="44"/>
      <c r="AC1555" s="72"/>
      <c r="AD1555" s="64">
        <f>AD1553-AD1554</f>
        <v>3.6069348071943175</v>
      </c>
      <c r="AE1555" s="44"/>
      <c r="AF1555" s="72"/>
      <c r="AG1555" s="64">
        <f>AG1553-AG1554</f>
        <v>-31.254921332825621</v>
      </c>
      <c r="AH1555" s="44"/>
      <c r="AI1555" s="72"/>
      <c r="AJ1555" s="64">
        <f>AJ1553-AJ1554</f>
        <v>-80.853270757585392</v>
      </c>
      <c r="AK1555" s="44"/>
      <c r="AL1555" s="72"/>
      <c r="AM1555" s="64">
        <f>AM1553-AM1554</f>
        <v>-136.1499395308596</v>
      </c>
      <c r="AN1555" s="44"/>
      <c r="AO1555" s="72"/>
      <c r="AP1555" s="64">
        <f>AP1553-AP1554</f>
        <v>-194.73093582103198</v>
      </c>
      <c r="AQ1555" s="44"/>
      <c r="AR1555" s="72"/>
      <c r="AS1555" s="64">
        <f>AS1553-AS1554</f>
        <v>-261.75125759252717</v>
      </c>
      <c r="AT1555" s="44"/>
      <c r="AU1555" s="72"/>
    </row>
    <row r="1556" spans="15:47" ht="13" x14ac:dyDescent="0.3">
      <c r="O1556" s="6" t="s">
        <v>75</v>
      </c>
      <c r="P1556" s="6">
        <v>3</v>
      </c>
      <c r="Q1556" s="65"/>
      <c r="R1556" s="85">
        <f>(F_LP_h/F_P_h)^2*(R1553-('Valve Sizing'!$V$4*'Valve Sizing'!$G$7))</f>
        <v>46.760932204550691</v>
      </c>
      <c r="S1556" s="58"/>
      <c r="T1556" s="73"/>
      <c r="U1556" s="53">
        <f>(U$29/U$27)^2*(U1553-('Valve Sizing'!$V$4*'Valve Sizing'!$G$7))</f>
        <v>46.404526909884488</v>
      </c>
      <c r="V1556" s="41"/>
      <c r="W1556" s="73"/>
      <c r="X1556" s="53">
        <f>(X$29/X$27)^2*(X1553-('Valve Sizing'!$V$4*'Valve Sizing'!$G$7))</f>
        <v>43.738551360639057</v>
      </c>
      <c r="Y1556" s="41"/>
      <c r="Z1556" s="73"/>
      <c r="AA1556" s="53">
        <f>(AA$29/AA$27)^2*(AA1553-('Valve Sizing'!$V$4*'Valve Sizing'!$G$7))</f>
        <v>36.822612560459987</v>
      </c>
      <c r="AB1556" s="41"/>
      <c r="AC1556" s="73"/>
      <c r="AD1556" s="53">
        <f>(AD$29/AD$27)^2*(AD1553-('Valve Sizing'!$V$4*'Valve Sizing'!$G$7))</f>
        <v>23.510027714101813</v>
      </c>
      <c r="AE1556" s="41"/>
      <c r="AF1556" s="73"/>
      <c r="AG1556" s="53">
        <f>(AG$29/AG$27)^2*(AG1553-('Valve Sizing'!$V$4*'Valve Sizing'!$G$7))</f>
        <v>2.2847509964087998</v>
      </c>
      <c r="AH1556" s="41"/>
      <c r="AI1556" s="73"/>
      <c r="AJ1556" s="53">
        <f>(AJ$29/AJ$27)^2*(AJ1553-('Valve Sizing'!$V$4*'Valve Sizing'!$G$7))</f>
        <v>-21.853178290800482</v>
      </c>
      <c r="AK1556" s="41"/>
      <c r="AL1556" s="73"/>
      <c r="AM1556" s="53">
        <f>(AM$29/AM$27)^2*(AM1553-('Valve Sizing'!$V$4*'Valve Sizing'!$G$7))</f>
        <v>-40.127070283748331</v>
      </c>
      <c r="AN1556" s="41"/>
      <c r="AO1556" s="73"/>
      <c r="AP1556" s="53">
        <f>(AP$29/AP$27)^2*(AP1553-('Valve Sizing'!$V$4*'Valve Sizing'!$G$7))</f>
        <v>-52.360075673080729</v>
      </c>
      <c r="AQ1556" s="41"/>
      <c r="AR1556" s="73"/>
      <c r="AS1556" s="53">
        <f>(AS$29/AS$27)^2*(AS1553-('Valve Sizing'!$V$4*'Valve Sizing'!$G$7))</f>
        <v>-70.914866698574798</v>
      </c>
      <c r="AT1556" s="41"/>
      <c r="AU1556" s="73"/>
    </row>
    <row r="1557" spans="15:47" ht="13" x14ac:dyDescent="0.25">
      <c r="O1557" s="1" t="s">
        <v>69</v>
      </c>
      <c r="P1557" s="17">
        <v>7</v>
      </c>
      <c r="Q1557" s="65"/>
      <c r="R1557" s="53">
        <f>(R1551/(N_1*F_P_h))*SQRT('Valve Sizing'!$G$6/R1555)</f>
        <v>2.1661600538404895</v>
      </c>
      <c r="S1557" s="58"/>
      <c r="T1557" s="73"/>
      <c r="U1557" s="64">
        <f>(U1551/(N_1*U$27))*SQRT('Valve Sizing'!$G$6/U1555)</f>
        <v>19.812056866788431</v>
      </c>
      <c r="V1557" s="41"/>
      <c r="W1557" s="73"/>
      <c r="X1557" s="64">
        <f>(X1551/(N_1*X$27))*SQRT('Valve Sizing'!$G$6/X1555)</f>
        <v>49.574714654871791</v>
      </c>
      <c r="Y1557" s="41"/>
      <c r="Z1557" s="73"/>
      <c r="AA1557" s="64">
        <f>(AA1551/(N_1*AA$27))*SQRT('Valve Sizing'!$G$6/AA1555)</f>
        <v>110.81039340232256</v>
      </c>
      <c r="AB1557" s="41"/>
      <c r="AC1557" s="73"/>
      <c r="AD1557" s="64">
        <f>(AD1551/(N_1*AD$27))*SQRT('Valve Sizing'!$G$6/AD1555)</f>
        <v>452.26925236476495</v>
      </c>
      <c r="AE1557" s="41"/>
      <c r="AF1557" s="73"/>
      <c r="AG1557" s="64" t="e">
        <f>(AG1551/(N_1*AG$27))*SQRT('Valve Sizing'!$G$6/AG1555)</f>
        <v>#NUM!</v>
      </c>
      <c r="AH1557" s="41"/>
      <c r="AI1557" s="73"/>
      <c r="AJ1557" s="64" t="e">
        <f>(AJ1551/(N_1*AJ$27))*SQRT('Valve Sizing'!$G$6/AJ1555)</f>
        <v>#NUM!</v>
      </c>
      <c r="AK1557" s="41"/>
      <c r="AL1557" s="73"/>
      <c r="AM1557" s="64" t="e">
        <f>(AM1551/(N_1*AM$27))*SQRT('Valve Sizing'!$G$6/AM1555)</f>
        <v>#NUM!</v>
      </c>
      <c r="AN1557" s="41"/>
      <c r="AO1557" s="73"/>
      <c r="AP1557" s="64" t="e">
        <f>(AP1551/(N_1*AP$27))*SQRT('Valve Sizing'!$G$6/AP1555)</f>
        <v>#NUM!</v>
      </c>
      <c r="AQ1557" s="41"/>
      <c r="AR1557" s="73"/>
      <c r="AS1557" s="64" t="e">
        <f>(AS1551/(N_1*AS$27))*SQRT('Valve Sizing'!$G$6/AS1555)</f>
        <v>#NUM!</v>
      </c>
      <c r="AT1557" s="41"/>
      <c r="AU1557" s="73"/>
    </row>
    <row r="1558" spans="15:47" ht="13" x14ac:dyDescent="0.3">
      <c r="O1558" s="1" t="s">
        <v>72</v>
      </c>
      <c r="P1558" s="17">
        <v>7</v>
      </c>
      <c r="Q1558" s="65"/>
      <c r="R1558" s="53">
        <f>(R1551/(N_1*F_P_h))*SQRT('Valve Sizing'!$G$6/R1556)</f>
        <v>1.7990185379195009</v>
      </c>
      <c r="S1558" s="56"/>
      <c r="T1558" s="72"/>
      <c r="U1558" s="85">
        <f>(U1551/(N_1*U$27))*SQRT('Valve Sizing'!$G$6/U1556)</f>
        <v>16.389133084940138</v>
      </c>
      <c r="V1558" s="44"/>
      <c r="W1558" s="72"/>
      <c r="X1558" s="85">
        <f>(X1551/(N_1*X$27))*SQRT('Valve Sizing'!$G$6/X1556)</f>
        <v>40.612478946623398</v>
      </c>
      <c r="Y1558" s="44"/>
      <c r="Z1558" s="72"/>
      <c r="AA1558" s="85">
        <f>(AA1551/(N_1*AA$27))*SQRT('Valve Sizing'!$G$6/AA1556)</f>
        <v>84.999235276222166</v>
      </c>
      <c r="AB1558" s="44"/>
      <c r="AC1558" s="72"/>
      <c r="AD1558" s="85">
        <f>(AD1551/(N_1*AD$27))*SQRT('Valve Sizing'!$G$6/AD1556)</f>
        <v>177.14938094115476</v>
      </c>
      <c r="AE1558" s="44"/>
      <c r="AF1558" s="72"/>
      <c r="AG1558" s="85">
        <f>(AG1551/(N_1*AG$27))*SQRT('Valve Sizing'!$G$6/AG1556)</f>
        <v>864.93790945175419</v>
      </c>
      <c r="AH1558" s="44"/>
      <c r="AI1558" s="72"/>
      <c r="AJ1558" s="85" t="e">
        <f>(AJ1551/(N_1*AJ$27))*SQRT('Valve Sizing'!$G$6/AJ1556)</f>
        <v>#NUM!</v>
      </c>
      <c r="AK1558" s="44"/>
      <c r="AL1558" s="72"/>
      <c r="AM1558" s="85" t="e">
        <f>(AM1551/(N_1*AM$27))*SQRT('Valve Sizing'!$G$6/AM1556)</f>
        <v>#NUM!</v>
      </c>
      <c r="AN1558" s="44"/>
      <c r="AO1558" s="72"/>
      <c r="AP1558" s="85" t="e">
        <f>(AP1551/(N_1*AP$27))*SQRT('Valve Sizing'!$G$6/AP1556)</f>
        <v>#NUM!</v>
      </c>
      <c r="AQ1558" s="44"/>
      <c r="AR1558" s="72"/>
      <c r="AS1558" s="85" t="e">
        <f>(AS1551/(N_1*AS$27))*SQRT('Valve Sizing'!$G$6/AS1556)</f>
        <v>#NUM!</v>
      </c>
      <c r="AT1558" s="44"/>
      <c r="AU1558" s="72"/>
    </row>
    <row r="1559" spans="15:47" x14ac:dyDescent="0.25">
      <c r="O1559" s="1" t="s">
        <v>246</v>
      </c>
      <c r="P1559" s="18"/>
      <c r="Q1559" s="65"/>
      <c r="R1559" s="53">
        <f>IF(R1555&lt;R1556,R1557,R1558)</f>
        <v>2.1661600538404895</v>
      </c>
      <c r="S1559" s="49"/>
      <c r="T1559" s="72"/>
      <c r="U1559" s="64">
        <f>IF(U1555&lt;U1556,U1557,U1558)</f>
        <v>19.812056866788431</v>
      </c>
      <c r="V1559" s="44"/>
      <c r="W1559" s="72"/>
      <c r="X1559" s="64">
        <f>IF(X1555&lt;X1556,X1557,X1558)</f>
        <v>49.574714654871791</v>
      </c>
      <c r="Y1559" s="44"/>
      <c r="Z1559" s="72"/>
      <c r="AA1559" s="64">
        <f>IF(AA1555&lt;AA1556,AA1557,AA1558)</f>
        <v>110.81039340232256</v>
      </c>
      <c r="AB1559" s="44"/>
      <c r="AC1559" s="72"/>
      <c r="AD1559" s="64">
        <f>IF(AD1555&lt;AD1556,AD1557,AD1558)</f>
        <v>452.26925236476495</v>
      </c>
      <c r="AE1559" s="44"/>
      <c r="AF1559" s="72"/>
      <c r="AG1559" s="64" t="e">
        <f>IF(AG1555&lt;AG1556,AG1557,AG1558)</f>
        <v>#NUM!</v>
      </c>
      <c r="AH1559" s="44"/>
      <c r="AI1559" s="72"/>
      <c r="AJ1559" s="64" t="e">
        <f>IF(AJ1555&lt;AJ1556,AJ1557,AJ1558)</f>
        <v>#NUM!</v>
      </c>
      <c r="AK1559" s="44"/>
      <c r="AL1559" s="72"/>
      <c r="AM1559" s="64" t="e">
        <f>IF(AM1555&lt;AM1556,AM1557,AM1558)</f>
        <v>#NUM!</v>
      </c>
      <c r="AN1559" s="44"/>
      <c r="AO1559" s="72"/>
      <c r="AP1559" s="64" t="e">
        <f>IF(AP1555&lt;AP1556,AP1557,AP1558)</f>
        <v>#NUM!</v>
      </c>
      <c r="AQ1559" s="44"/>
      <c r="AR1559" s="72"/>
      <c r="AS1559" s="64" t="e">
        <f>IF(AS1555&lt;AS1556,AS1557,AS1558)</f>
        <v>#NUM!</v>
      </c>
      <c r="AT1559" s="44"/>
      <c r="AU1559" s="72"/>
    </row>
    <row r="1560" spans="15:47" ht="13" x14ac:dyDescent="0.3">
      <c r="O1560" s="7" t="s">
        <v>264</v>
      </c>
      <c r="Q1560" s="61"/>
      <c r="R1560" s="53"/>
      <c r="S1560" s="69">
        <f>IFERROR(ABS(C_h-R1559),Q_max*10)</f>
        <v>2.8338399461595105</v>
      </c>
      <c r="T1560" s="76">
        <f>R1551</f>
        <v>12.300242966516402</v>
      </c>
      <c r="U1560" s="61"/>
      <c r="V1560" s="69">
        <f>IFERROR(ABS(U$23-U1559),Q_max*10)</f>
        <v>7.8120568667884314</v>
      </c>
      <c r="W1560" s="75">
        <f>U1551</f>
        <v>111.55023412772155</v>
      </c>
      <c r="X1560" s="61"/>
      <c r="Y1560" s="69">
        <f>IFERROR(ABS(X$23-X1559),Q_max*10)</f>
        <v>26.574714654871791</v>
      </c>
      <c r="Z1560" s="75">
        <f>X1551</f>
        <v>267.76350176436353</v>
      </c>
      <c r="AA1560" s="61"/>
      <c r="AB1560" s="69">
        <f>IFERROR(ABS(AA$23-AA1559),Q_max*10)</f>
        <v>71.810393402322561</v>
      </c>
      <c r="AC1560" s="75">
        <f>AA1551</f>
        <v>511.25865702508935</v>
      </c>
      <c r="AD1560" s="61"/>
      <c r="AE1560" s="69">
        <f>IFERROR(ABS(AD$23-AD1559),Q_max*10)</f>
        <v>391.26925236476495</v>
      </c>
      <c r="AF1560" s="75">
        <f>AD1551</f>
        <v>840.83225653662942</v>
      </c>
      <c r="AG1560" s="61"/>
      <c r="AH1560" s="69">
        <f>IFERROR(ABS(AG$23-AG1559),Q_max*10)</f>
        <v>5500</v>
      </c>
      <c r="AI1560" s="75">
        <f>AG1551</f>
        <v>1251.8846527885355</v>
      </c>
      <c r="AJ1560" s="61"/>
      <c r="AK1560" s="69">
        <f>IFERROR(ABS(AJ$23-AJ1559),Q_max*10)</f>
        <v>5500</v>
      </c>
      <c r="AL1560" s="75">
        <f>AJ1551</f>
        <v>1670.644922161325</v>
      </c>
      <c r="AM1560" s="61"/>
      <c r="AN1560" s="69">
        <f>IFERROR(ABS(AM$23-AM1559),Q_max*10)</f>
        <v>5500</v>
      </c>
      <c r="AO1560" s="75">
        <f>AM1551</f>
        <v>2038.5042943108951</v>
      </c>
      <c r="AP1560" s="61"/>
      <c r="AQ1560" s="69">
        <f>IFERROR(ABS(AP$23-AP1559),Q_max*10)</f>
        <v>5500</v>
      </c>
      <c r="AR1560" s="75">
        <f>AP1551</f>
        <v>2366.6402010833763</v>
      </c>
      <c r="AS1560" s="61"/>
      <c r="AT1560" s="69">
        <f>IFERROR(ABS(AS$23-AS1559),Q_max*10)</f>
        <v>5500</v>
      </c>
      <c r="AU1560" s="75">
        <f>AS1551</f>
        <v>2693.4573100562793</v>
      </c>
    </row>
    <row r="1561" spans="15:47" ht="14.5" x14ac:dyDescent="0.35">
      <c r="O1561" s="6"/>
      <c r="P1561" s="6"/>
      <c r="Q1561" s="60"/>
      <c r="R1561" s="67"/>
      <c r="S1561" s="58"/>
      <c r="T1561" s="73"/>
      <c r="V1561" s="11"/>
      <c r="W1561" s="38"/>
      <c r="Y1561" s="11"/>
      <c r="Z1561" s="38"/>
      <c r="AB1561" s="11"/>
      <c r="AC1561" s="38"/>
      <c r="AE1561" s="11"/>
      <c r="AF1561" s="38"/>
      <c r="AH1561" s="11"/>
      <c r="AI1561" s="38"/>
      <c r="AK1561" s="11"/>
      <c r="AL1561" s="38"/>
      <c r="AN1561" s="11"/>
      <c r="AO1561" s="38"/>
      <c r="AQ1561" s="11"/>
      <c r="AR1561" s="38"/>
      <c r="AT1561" s="11"/>
      <c r="AU1561" s="38"/>
    </row>
    <row r="1562" spans="15:47" ht="14" x14ac:dyDescent="0.3">
      <c r="O1562" s="8" t="s">
        <v>235</v>
      </c>
      <c r="P1562" s="6"/>
      <c r="Q1562" s="60"/>
      <c r="R1562" s="53">
        <f>R1551*1.02</f>
        <v>12.546247825846731</v>
      </c>
      <c r="S1562" s="58" t="s">
        <v>238</v>
      </c>
      <c r="T1562" s="73" t="s">
        <v>241</v>
      </c>
      <c r="U1562" s="84">
        <f>U1551*1.01</f>
        <v>112.66573646899877</v>
      </c>
      <c r="V1562" s="58" t="s">
        <v>238</v>
      </c>
      <c r="W1562" s="73" t="s">
        <v>241</v>
      </c>
      <c r="X1562" s="84">
        <f>X1551*1.01</f>
        <v>270.44113678200716</v>
      </c>
      <c r="Y1562" s="58" t="s">
        <v>238</v>
      </c>
      <c r="Z1562" s="73" t="s">
        <v>241</v>
      </c>
      <c r="AA1562" s="84">
        <f>AA1551*1.01</f>
        <v>516.37124359534027</v>
      </c>
      <c r="AB1562" s="58" t="s">
        <v>238</v>
      </c>
      <c r="AC1562" s="73" t="s">
        <v>241</v>
      </c>
      <c r="AD1562" s="84">
        <f>AD1551*1.01</f>
        <v>849.24057910199576</v>
      </c>
      <c r="AE1562" s="58" t="s">
        <v>238</v>
      </c>
      <c r="AF1562" s="73" t="s">
        <v>241</v>
      </c>
      <c r="AG1562" s="84">
        <f>AG1551*1.01</f>
        <v>1264.4034993164209</v>
      </c>
      <c r="AH1562" s="58" t="s">
        <v>238</v>
      </c>
      <c r="AI1562" s="73" t="s">
        <v>241</v>
      </c>
      <c r="AJ1562" s="84">
        <f>AJ1551*1.01</f>
        <v>1687.3513713829382</v>
      </c>
      <c r="AK1562" s="58" t="s">
        <v>238</v>
      </c>
      <c r="AL1562" s="73" t="s">
        <v>241</v>
      </c>
      <c r="AM1562" s="84">
        <f>AM1551*1.01</f>
        <v>2058.8893372540042</v>
      </c>
      <c r="AN1562" s="58" t="s">
        <v>238</v>
      </c>
      <c r="AO1562" s="73" t="s">
        <v>241</v>
      </c>
      <c r="AP1562" s="84">
        <f>AP1551*1.01</f>
        <v>2390.30660309421</v>
      </c>
      <c r="AQ1562" s="58" t="s">
        <v>238</v>
      </c>
      <c r="AR1562" s="73" t="s">
        <v>241</v>
      </c>
      <c r="AS1562" s="84">
        <f>AS1551*1.01</f>
        <v>2720.3918831568421</v>
      </c>
      <c r="AT1562" s="58" t="s">
        <v>238</v>
      </c>
      <c r="AU1562" s="73" t="s">
        <v>241</v>
      </c>
    </row>
    <row r="1563" spans="15:47" ht="13" x14ac:dyDescent="0.25">
      <c r="O1563" s="6"/>
      <c r="P1563" s="6"/>
      <c r="Q1563" s="60"/>
      <c r="R1563" s="70"/>
      <c r="S1563" s="63" t="s">
        <v>250</v>
      </c>
      <c r="T1563" s="71" t="s">
        <v>242</v>
      </c>
      <c r="U1563" s="61"/>
      <c r="V1563" s="63" t="s">
        <v>250</v>
      </c>
      <c r="W1563" s="71" t="s">
        <v>242</v>
      </c>
      <c r="X1563" s="61"/>
      <c r="Y1563" s="63" t="s">
        <v>250</v>
      </c>
      <c r="Z1563" s="71" t="s">
        <v>242</v>
      </c>
      <c r="AA1563" s="61"/>
      <c r="AB1563" s="63" t="s">
        <v>250</v>
      </c>
      <c r="AC1563" s="71" t="s">
        <v>242</v>
      </c>
      <c r="AD1563" s="61"/>
      <c r="AE1563" s="63" t="s">
        <v>250</v>
      </c>
      <c r="AF1563" s="71" t="s">
        <v>242</v>
      </c>
      <c r="AG1563" s="61"/>
      <c r="AH1563" s="63" t="s">
        <v>250</v>
      </c>
      <c r="AI1563" s="71" t="s">
        <v>242</v>
      </c>
      <c r="AJ1563" s="61"/>
      <c r="AK1563" s="63" t="s">
        <v>250</v>
      </c>
      <c r="AL1563" s="71" t="s">
        <v>242</v>
      </c>
      <c r="AM1563" s="61"/>
      <c r="AN1563" s="63" t="s">
        <v>250</v>
      </c>
      <c r="AO1563" s="71" t="s">
        <v>242</v>
      </c>
      <c r="AP1563" s="61"/>
      <c r="AQ1563" s="63" t="s">
        <v>250</v>
      </c>
      <c r="AR1563" s="71" t="s">
        <v>242</v>
      </c>
      <c r="AS1563" s="61"/>
      <c r="AT1563" s="63" t="s">
        <v>250</v>
      </c>
      <c r="AU1563" s="71" t="s">
        <v>242</v>
      </c>
    </row>
    <row r="1564" spans="15:47" ht="13" x14ac:dyDescent="0.3">
      <c r="O1564" s="6" t="s">
        <v>231</v>
      </c>
      <c r="P1564" s="6"/>
      <c r="Q1564" s="60"/>
      <c r="R1564" s="85">
        <f>P_1_minQ-(R1562^2*R_up)+dpup_minQ</f>
        <v>56.91082714169174</v>
      </c>
      <c r="S1564" s="56"/>
      <c r="T1564" s="72"/>
      <c r="U1564" s="53">
        <f>P_1_minQ-(U1562^2*R_up)+dpup_minQ</f>
        <v>56.487451260584201</v>
      </c>
      <c r="V1564" s="44"/>
      <c r="W1564" s="72"/>
      <c r="X1564" s="53">
        <f>P_1_minQ-(X1562^2*R_up)+dpup_minQ</f>
        <v>54.44608549598297</v>
      </c>
      <c r="Y1564" s="44"/>
      <c r="Z1564" s="72"/>
      <c r="AA1564" s="53">
        <f>P_1_minQ-(AA1562^2*R_up)+dpup_minQ</f>
        <v>47.911102289355007</v>
      </c>
      <c r="AB1564" s="44"/>
      <c r="AC1564" s="72"/>
      <c r="AD1564" s="53">
        <f>P_1_minQ-(AD1562^2*R_up)+dpup_minQ</f>
        <v>32.559184019132282</v>
      </c>
      <c r="AE1564" s="44"/>
      <c r="AF1564" s="72"/>
      <c r="AG1564" s="53">
        <f>P_1_minQ-(AG1562^2*R_up)+dpup_minQ</f>
        <v>2.9237011454369961</v>
      </c>
      <c r="AH1564" s="44"/>
      <c r="AI1564" s="72"/>
      <c r="AJ1564" s="53">
        <f>P_1_minQ-(AJ1562^2*R_up)+dpup_minQ</f>
        <v>-39.239029061394199</v>
      </c>
      <c r="AK1564" s="44"/>
      <c r="AL1564" s="72"/>
      <c r="AM1564" s="53">
        <f>P_1_minQ-(AM1562^2*R_up)+dpup_minQ</f>
        <v>-86.245805574408422</v>
      </c>
      <c r="AN1564" s="44"/>
      <c r="AO1564" s="72"/>
      <c r="AP1564" s="53">
        <f>P_1_minQ-(AP1562^2*R_up)+dpup_minQ</f>
        <v>-136.04453417074578</v>
      </c>
      <c r="AQ1564" s="44"/>
      <c r="AR1564" s="72"/>
      <c r="AS1564" s="53">
        <f>P_1_minQ-(AS1562^2*R_up)+dpup_minQ</f>
        <v>-193.01739270333101</v>
      </c>
      <c r="AT1564" s="44"/>
      <c r="AU1564" s="72"/>
    </row>
    <row r="1565" spans="15:47" ht="13" x14ac:dyDescent="0.3">
      <c r="O1565" s="6" t="s">
        <v>233</v>
      </c>
      <c r="P1565" s="6"/>
      <c r="Q1565" s="60"/>
      <c r="R1565" s="85">
        <f>P_2_minQ+(R1562^2*R_dn)-dpdn_minQ</f>
        <v>24.657834571661652</v>
      </c>
      <c r="S1565" s="66"/>
      <c r="T1565" s="74"/>
      <c r="U1565" s="53">
        <f>P_2_minQ+(U1562^2*R_dn)-dpdn_minQ</f>
        <v>24.742509747883162</v>
      </c>
      <c r="V1565" s="45"/>
      <c r="W1565" s="74"/>
      <c r="X1565" s="53">
        <f>P_2_minQ+(X1562^2*R_dn)-dpdn_minQ</f>
        <v>25.150782900803407</v>
      </c>
      <c r="Y1565" s="45"/>
      <c r="Z1565" s="74"/>
      <c r="AA1565" s="53">
        <f>P_2_minQ+(AA1562^2*R_dn)-dpdn_minQ</f>
        <v>26.457779542129</v>
      </c>
      <c r="AB1565" s="45"/>
      <c r="AC1565" s="74"/>
      <c r="AD1565" s="53">
        <f>P_2_minQ+(AD1562^2*R_dn)-dpdn_minQ</f>
        <v>29.528163196173544</v>
      </c>
      <c r="AE1565" s="45"/>
      <c r="AF1565" s="74"/>
      <c r="AG1565" s="53">
        <f>P_2_minQ+(AG1562^2*R_dn)-dpdn_minQ</f>
        <v>35.455259770912605</v>
      </c>
      <c r="AH1565" s="45"/>
      <c r="AI1565" s="74"/>
      <c r="AJ1565" s="53">
        <f>P_2_minQ+(AJ1562^2*R_dn)-dpdn_minQ</f>
        <v>43.887805812278842</v>
      </c>
      <c r="AK1565" s="45"/>
      <c r="AL1565" s="74"/>
      <c r="AM1565" s="53">
        <f>P_2_minQ+(AM1562^2*R_dn)-dpdn_minQ</f>
        <v>53.289161114881686</v>
      </c>
      <c r="AN1565" s="45"/>
      <c r="AO1565" s="74"/>
      <c r="AP1565" s="53">
        <f>P_2_minQ+(AP1562^2*R_dn)-dpdn_minQ</f>
        <v>63.248906834149153</v>
      </c>
      <c r="AQ1565" s="45"/>
      <c r="AR1565" s="74"/>
      <c r="AS1565" s="53">
        <f>P_2_minQ+(AS1562^2*R_dn)-dpdn_minQ</f>
        <v>74.643478540666194</v>
      </c>
      <c r="AT1565" s="45"/>
      <c r="AU1565" s="74"/>
    </row>
    <row r="1566" spans="15:47" x14ac:dyDescent="0.25">
      <c r="O1566" s="6" t="s">
        <v>243</v>
      </c>
      <c r="Q1566" s="60"/>
      <c r="R1566" s="53">
        <f>R1564-R1565</f>
        <v>32.252992570030088</v>
      </c>
      <c r="S1566" s="56"/>
      <c r="T1566" s="72"/>
      <c r="U1566" s="64">
        <f>U1564-U1565</f>
        <v>31.74494151270104</v>
      </c>
      <c r="V1566" s="44"/>
      <c r="W1566" s="72"/>
      <c r="X1566" s="64">
        <f>X1564-X1565</f>
        <v>29.295302595179564</v>
      </c>
      <c r="Y1566" s="44"/>
      <c r="Z1566" s="72"/>
      <c r="AA1566" s="64">
        <f>AA1564-AA1565</f>
        <v>21.453322747226007</v>
      </c>
      <c r="AB1566" s="44"/>
      <c r="AC1566" s="72"/>
      <c r="AD1566" s="64">
        <f>AD1564-AD1565</f>
        <v>3.0310208229587374</v>
      </c>
      <c r="AE1566" s="44"/>
      <c r="AF1566" s="72"/>
      <c r="AG1566" s="64">
        <f>AG1564-AG1565</f>
        <v>-32.531558625475611</v>
      </c>
      <c r="AH1566" s="44"/>
      <c r="AI1566" s="72"/>
      <c r="AJ1566" s="64">
        <f>AJ1564-AJ1565</f>
        <v>-83.126834873673033</v>
      </c>
      <c r="AK1566" s="44"/>
      <c r="AL1566" s="72"/>
      <c r="AM1566" s="64">
        <f>AM1564-AM1565</f>
        <v>-139.53496668929012</v>
      </c>
      <c r="AN1566" s="44"/>
      <c r="AO1566" s="72"/>
      <c r="AP1566" s="64">
        <f>AP1564-AP1565</f>
        <v>-199.29344100489493</v>
      </c>
      <c r="AQ1566" s="44"/>
      <c r="AR1566" s="72"/>
      <c r="AS1566" s="64">
        <f>AS1564-AS1565</f>
        <v>-267.66087124399724</v>
      </c>
      <c r="AT1566" s="44"/>
      <c r="AU1566" s="72"/>
    </row>
    <row r="1567" spans="15:47" ht="13" x14ac:dyDescent="0.3">
      <c r="O1567" s="6" t="s">
        <v>75</v>
      </c>
      <c r="P1567" s="6">
        <v>3</v>
      </c>
      <c r="Q1567" s="65"/>
      <c r="R1567" s="85">
        <f>(F_LP_h/F_P_h)^2*(R1564-('Valve Sizing'!$V$4*'Valve Sizing'!$G$7))</f>
        <v>46.760761270649162</v>
      </c>
      <c r="S1567" s="58"/>
      <c r="T1567" s="73"/>
      <c r="U1567" s="53">
        <f>(U$29/U$27)^2*(U1564-('Valve Sizing'!$V$4*'Valve Sizing'!$G$7))</f>
        <v>46.397534319271273</v>
      </c>
      <c r="V1567" s="41"/>
      <c r="W1567" s="73"/>
      <c r="X1567" s="53">
        <f>(X$29/X$27)^2*(X1564-('Valve Sizing'!$V$4*'Valve Sizing'!$G$7))</f>
        <v>43.699169941709641</v>
      </c>
      <c r="Y1567" s="41"/>
      <c r="Z1567" s="73"/>
      <c r="AA1567" s="53">
        <f>(AA$29/AA$27)^2*(AA1564-('Valve Sizing'!$V$4*'Valve Sizing'!$G$7))</f>
        <v>36.685491377381808</v>
      </c>
      <c r="AB1567" s="41"/>
      <c r="AC1567" s="73"/>
      <c r="AD1567" s="53">
        <f>(AD$29/AD$27)^2*(AD1564-('Valve Sizing'!$V$4*'Valve Sizing'!$G$7))</f>
        <v>23.163909453229248</v>
      </c>
      <c r="AE1567" s="41"/>
      <c r="AF1567" s="73"/>
      <c r="AG1567" s="53">
        <f>(AG$29/AG$27)^2*(AG1564-('Valve Sizing'!$V$4*'Valve Sizing'!$G$7))</f>
        <v>1.5995755579204722</v>
      </c>
      <c r="AH1567" s="41"/>
      <c r="AI1567" s="73"/>
      <c r="AJ1567" s="53">
        <f>(AJ$29/AJ$27)^2*(AJ1564-('Valve Sizing'!$V$4*'Valve Sizing'!$G$7))</f>
        <v>-22.948968623152627</v>
      </c>
      <c r="AK1567" s="41"/>
      <c r="AL1567" s="73"/>
      <c r="AM1567" s="53">
        <f>(AM$29/AM$27)^2*(AM1564-('Valve Sizing'!$V$4*'Valve Sizing'!$G$7))</f>
        <v>-41.476771300372015</v>
      </c>
      <c r="AN1567" s="41"/>
      <c r="AO1567" s="73"/>
      <c r="AP1567" s="53">
        <f>(AP$29/AP$27)^2*(AP1564-('Valve Sizing'!$V$4*'Valve Sizing'!$G$7))</f>
        <v>-53.860481461009137</v>
      </c>
      <c r="AQ1567" s="41"/>
      <c r="AR1567" s="73"/>
      <c r="AS1567" s="53">
        <f>(AS$29/AS$27)^2*(AS1564-('Valve Sizing'!$V$4*'Valve Sizing'!$G$7))</f>
        <v>-72.767239008333718</v>
      </c>
      <c r="AT1567" s="41"/>
      <c r="AU1567" s="73"/>
    </row>
    <row r="1568" spans="15:47" ht="13" x14ac:dyDescent="0.25">
      <c r="O1568" s="1" t="s">
        <v>69</v>
      </c>
      <c r="P1568" s="17">
        <v>7</v>
      </c>
      <c r="Q1568" s="65"/>
      <c r="R1568" s="53">
        <f>(R1562/(N_1*F_P_h))*SQRT('Valve Sizing'!$G$6/R1566)</f>
        <v>2.2094917397142262</v>
      </c>
      <c r="S1568" s="58"/>
      <c r="T1568" s="73"/>
      <c r="U1568" s="64">
        <f>(U1562/(N_1*U$27))*SQRT('Valve Sizing'!$G$6/U1566)</f>
        <v>20.013371852520748</v>
      </c>
      <c r="V1568" s="41"/>
      <c r="W1568" s="73"/>
      <c r="X1568" s="64">
        <f>(X1562/(N_1*X$27))*SQRT('Valve Sizing'!$G$6/X1566)</f>
        <v>50.120347834869953</v>
      </c>
      <c r="Y1568" s="41"/>
      <c r="Z1568" s="73"/>
      <c r="AA1568" s="64">
        <f>(AA1562/(N_1*AA$27))*SQRT('Valve Sizing'!$G$6/AA1566)</f>
        <v>112.47251544677013</v>
      </c>
      <c r="AB1568" s="41"/>
      <c r="AC1568" s="73"/>
      <c r="AD1568" s="64">
        <f>(AD1562/(N_1*AD$27))*SQRT('Valve Sizing'!$G$6/AD1566)</f>
        <v>498.30256574705544</v>
      </c>
      <c r="AE1568" s="41"/>
      <c r="AF1568" s="73"/>
      <c r="AG1568" s="64" t="e">
        <f>(AG1562/(N_1*AG$27))*SQRT('Valve Sizing'!$G$6/AG1566)</f>
        <v>#NUM!</v>
      </c>
      <c r="AH1568" s="41"/>
      <c r="AI1568" s="73"/>
      <c r="AJ1568" s="64" t="e">
        <f>(AJ1562/(N_1*AJ$27))*SQRT('Valve Sizing'!$G$6/AJ1566)</f>
        <v>#NUM!</v>
      </c>
      <c r="AK1568" s="41"/>
      <c r="AL1568" s="73"/>
      <c r="AM1568" s="64" t="e">
        <f>(AM1562/(N_1*AM$27))*SQRT('Valve Sizing'!$G$6/AM1566)</f>
        <v>#NUM!</v>
      </c>
      <c r="AN1568" s="41"/>
      <c r="AO1568" s="73"/>
      <c r="AP1568" s="64" t="e">
        <f>(AP1562/(N_1*AP$27))*SQRT('Valve Sizing'!$G$6/AP1566)</f>
        <v>#NUM!</v>
      </c>
      <c r="AQ1568" s="41"/>
      <c r="AR1568" s="73"/>
      <c r="AS1568" s="64" t="e">
        <f>(AS1562/(N_1*AS$27))*SQRT('Valve Sizing'!$G$6/AS1566)</f>
        <v>#NUM!</v>
      </c>
      <c r="AT1568" s="41"/>
      <c r="AU1568" s="73"/>
    </row>
    <row r="1569" spans="15:47" ht="13" x14ac:dyDescent="0.3">
      <c r="O1569" s="1" t="s">
        <v>72</v>
      </c>
      <c r="P1569" s="17">
        <v>7</v>
      </c>
      <c r="Q1569" s="65"/>
      <c r="R1569" s="53">
        <f>(R1562/(N_1*F_P_h))*SQRT('Valve Sizing'!$G$6/R1567)</f>
        <v>1.8350022625928786</v>
      </c>
      <c r="S1569" s="56"/>
      <c r="T1569" s="72"/>
      <c r="U1569" s="85">
        <f>(U1562/(N_1*U$27))*SQRT('Valve Sizing'!$G$6/U1567)</f>
        <v>16.554271725199946</v>
      </c>
      <c r="V1569" s="44"/>
      <c r="W1569" s="72"/>
      <c r="X1569" s="85">
        <f>(X1562/(N_1*X$27))*SQRT('Valve Sizing'!$G$6/X1567)</f>
        <v>41.037082428512853</v>
      </c>
      <c r="Y1569" s="44"/>
      <c r="Z1569" s="72"/>
      <c r="AA1569" s="85">
        <f>(AA1562/(N_1*AA$27))*SQRT('Valve Sizing'!$G$6/AA1567)</f>
        <v>86.009519446886458</v>
      </c>
      <c r="AB1569" s="44"/>
      <c r="AC1569" s="72"/>
      <c r="AD1569" s="85">
        <f>(AD1562/(N_1*AD$27))*SQRT('Valve Sizing'!$G$6/AD1567)</f>
        <v>180.25264823944119</v>
      </c>
      <c r="AE1569" s="44"/>
      <c r="AF1569" s="72"/>
      <c r="AG1569" s="85">
        <f>(AG1562/(N_1*AG$27))*SQRT('Valve Sizing'!$G$6/AG1567)</f>
        <v>1044.0549675770785</v>
      </c>
      <c r="AH1569" s="44"/>
      <c r="AI1569" s="72"/>
      <c r="AJ1569" s="85" t="e">
        <f>(AJ1562/(N_1*AJ$27))*SQRT('Valve Sizing'!$G$6/AJ1567)</f>
        <v>#NUM!</v>
      </c>
      <c r="AK1569" s="44"/>
      <c r="AL1569" s="72"/>
      <c r="AM1569" s="85" t="e">
        <f>(AM1562/(N_1*AM$27))*SQRT('Valve Sizing'!$G$6/AM1567)</f>
        <v>#NUM!</v>
      </c>
      <c r="AN1569" s="44"/>
      <c r="AO1569" s="72"/>
      <c r="AP1569" s="85" t="e">
        <f>(AP1562/(N_1*AP$27))*SQRT('Valve Sizing'!$G$6/AP1567)</f>
        <v>#NUM!</v>
      </c>
      <c r="AQ1569" s="44"/>
      <c r="AR1569" s="72"/>
      <c r="AS1569" s="85" t="e">
        <f>(AS1562/(N_1*AS$27))*SQRT('Valve Sizing'!$G$6/AS1567)</f>
        <v>#NUM!</v>
      </c>
      <c r="AT1569" s="44"/>
      <c r="AU1569" s="72"/>
    </row>
    <row r="1570" spans="15:47" x14ac:dyDescent="0.25">
      <c r="O1570" s="1" t="s">
        <v>246</v>
      </c>
      <c r="P1570" s="18"/>
      <c r="Q1570" s="65"/>
      <c r="R1570" s="53">
        <f>IF(R1566&lt;R1567,R1568,R1569)</f>
        <v>2.2094917397142262</v>
      </c>
      <c r="S1570" s="49"/>
      <c r="T1570" s="72"/>
      <c r="U1570" s="64">
        <f>IF(U1566&lt;U1567,U1568,U1569)</f>
        <v>20.013371852520748</v>
      </c>
      <c r="V1570" s="44"/>
      <c r="W1570" s="72"/>
      <c r="X1570" s="64">
        <f>IF(X1566&lt;X1567,X1568,X1569)</f>
        <v>50.120347834869953</v>
      </c>
      <c r="Y1570" s="44"/>
      <c r="Z1570" s="72"/>
      <c r="AA1570" s="64">
        <f>IF(AA1566&lt;AA1567,AA1568,AA1569)</f>
        <v>112.47251544677013</v>
      </c>
      <c r="AB1570" s="44"/>
      <c r="AC1570" s="72"/>
      <c r="AD1570" s="64">
        <f>IF(AD1566&lt;AD1567,AD1568,AD1569)</f>
        <v>498.30256574705544</v>
      </c>
      <c r="AE1570" s="44"/>
      <c r="AF1570" s="72"/>
      <c r="AG1570" s="64" t="e">
        <f>IF(AG1566&lt;AG1567,AG1568,AG1569)</f>
        <v>#NUM!</v>
      </c>
      <c r="AH1570" s="44"/>
      <c r="AI1570" s="72"/>
      <c r="AJ1570" s="64" t="e">
        <f>IF(AJ1566&lt;AJ1567,AJ1568,AJ1569)</f>
        <v>#NUM!</v>
      </c>
      <c r="AK1570" s="44"/>
      <c r="AL1570" s="72"/>
      <c r="AM1570" s="64" t="e">
        <f>IF(AM1566&lt;AM1567,AM1568,AM1569)</f>
        <v>#NUM!</v>
      </c>
      <c r="AN1570" s="44"/>
      <c r="AO1570" s="72"/>
      <c r="AP1570" s="64" t="e">
        <f>IF(AP1566&lt;AP1567,AP1568,AP1569)</f>
        <v>#NUM!</v>
      </c>
      <c r="AQ1570" s="44"/>
      <c r="AR1570" s="72"/>
      <c r="AS1570" s="64" t="e">
        <f>IF(AS1566&lt;AS1567,AS1568,AS1569)</f>
        <v>#NUM!</v>
      </c>
      <c r="AT1570" s="44"/>
      <c r="AU1570" s="72"/>
    </row>
    <row r="1571" spans="15:47" ht="13" x14ac:dyDescent="0.3">
      <c r="O1571" s="7" t="s">
        <v>264</v>
      </c>
      <c r="Q1571" s="61"/>
      <c r="R1571" s="53"/>
      <c r="S1571" s="69">
        <f>IFERROR(ABS(C_h-R1570),Q_max*10)</f>
        <v>2.7905082602857738</v>
      </c>
      <c r="T1571" s="76">
        <f>R1562</f>
        <v>12.546247825846731</v>
      </c>
      <c r="U1571" s="61"/>
      <c r="V1571" s="69">
        <f>IFERROR(ABS(U$23-U1570),Q_max*10)</f>
        <v>8.0133718525207485</v>
      </c>
      <c r="W1571" s="75">
        <f>U1562</f>
        <v>112.66573646899877</v>
      </c>
      <c r="X1571" s="61"/>
      <c r="Y1571" s="69">
        <f>IFERROR(ABS(X$23-X1570),Q_max*10)</f>
        <v>27.120347834869953</v>
      </c>
      <c r="Z1571" s="75">
        <f>X1562</f>
        <v>270.44113678200716</v>
      </c>
      <c r="AA1571" s="61"/>
      <c r="AB1571" s="69">
        <f>IFERROR(ABS(AA$23-AA1570),Q_max*10)</f>
        <v>73.472515446770132</v>
      </c>
      <c r="AC1571" s="75">
        <f>AA1562</f>
        <v>516.37124359534027</v>
      </c>
      <c r="AD1571" s="61"/>
      <c r="AE1571" s="69">
        <f>IFERROR(ABS(AD$23-AD1570),Q_max*10)</f>
        <v>437.30256574705544</v>
      </c>
      <c r="AF1571" s="75">
        <f>AD1562</f>
        <v>849.24057910199576</v>
      </c>
      <c r="AG1571" s="61"/>
      <c r="AH1571" s="69">
        <f>IFERROR(ABS(AG$23-AG1570),Q_max*10)</f>
        <v>5500</v>
      </c>
      <c r="AI1571" s="75">
        <f>AG1562</f>
        <v>1264.4034993164209</v>
      </c>
      <c r="AJ1571" s="61"/>
      <c r="AK1571" s="69">
        <f>IFERROR(ABS(AJ$23-AJ1570),Q_max*10)</f>
        <v>5500</v>
      </c>
      <c r="AL1571" s="75">
        <f>AJ1562</f>
        <v>1687.3513713829382</v>
      </c>
      <c r="AM1571" s="61"/>
      <c r="AN1571" s="69">
        <f>IFERROR(ABS(AM$23-AM1570),Q_max*10)</f>
        <v>5500</v>
      </c>
      <c r="AO1571" s="75">
        <f>AM1562</f>
        <v>2058.8893372540042</v>
      </c>
      <c r="AP1571" s="61"/>
      <c r="AQ1571" s="69">
        <f>IFERROR(ABS(AP$23-AP1570),Q_max*10)</f>
        <v>5500</v>
      </c>
      <c r="AR1571" s="75">
        <f>AP1562</f>
        <v>2390.30660309421</v>
      </c>
      <c r="AS1571" s="61"/>
      <c r="AT1571" s="69">
        <f>IFERROR(ABS(AS$23-AS1570),Q_max*10)</f>
        <v>5500</v>
      </c>
      <c r="AU1571" s="75">
        <f>AS1562</f>
        <v>2720.3918831568421</v>
      </c>
    </row>
    <row r="1572" spans="15:47" ht="14.5" x14ac:dyDescent="0.35">
      <c r="O1572" s="8"/>
      <c r="P1572" s="6"/>
      <c r="Q1572" s="60"/>
      <c r="R1572" s="67"/>
      <c r="S1572" s="56"/>
      <c r="T1572" s="72"/>
      <c r="V1572" s="11"/>
      <c r="W1572" s="38"/>
      <c r="Y1572" s="11"/>
      <c r="Z1572" s="38"/>
      <c r="AB1572" s="11"/>
      <c r="AC1572" s="38"/>
      <c r="AE1572" s="11"/>
      <c r="AF1572" s="38"/>
      <c r="AH1572" s="11"/>
      <c r="AI1572" s="38"/>
      <c r="AK1572" s="11"/>
      <c r="AL1572" s="38"/>
      <c r="AN1572" s="11"/>
      <c r="AO1572" s="38"/>
      <c r="AQ1572" s="11"/>
      <c r="AR1572" s="38"/>
      <c r="AT1572" s="11"/>
      <c r="AU1572" s="38"/>
    </row>
    <row r="1573" spans="15:47" ht="14" x14ac:dyDescent="0.3">
      <c r="O1573" s="8" t="s">
        <v>235</v>
      </c>
      <c r="P1573" s="6"/>
      <c r="Q1573" s="60"/>
      <c r="R1573" s="53">
        <f>R1562*1.02</f>
        <v>12.797172782363665</v>
      </c>
      <c r="S1573" s="58" t="s">
        <v>238</v>
      </c>
      <c r="T1573" s="73" t="s">
        <v>241</v>
      </c>
      <c r="U1573" s="84">
        <f>U1562*1.01</f>
        <v>113.79239383368876</v>
      </c>
      <c r="V1573" s="58" t="s">
        <v>238</v>
      </c>
      <c r="W1573" s="73" t="s">
        <v>241</v>
      </c>
      <c r="X1573" s="84">
        <f>X1562*1.01</f>
        <v>273.14554814982722</v>
      </c>
      <c r="Y1573" s="58" t="s">
        <v>238</v>
      </c>
      <c r="Z1573" s="73" t="s">
        <v>241</v>
      </c>
      <c r="AA1573" s="84">
        <f>AA1562*1.01</f>
        <v>521.53495603129363</v>
      </c>
      <c r="AB1573" s="58" t="s">
        <v>238</v>
      </c>
      <c r="AC1573" s="73" t="s">
        <v>241</v>
      </c>
      <c r="AD1573" s="84">
        <f>AD1562*1.01</f>
        <v>857.73298489301578</v>
      </c>
      <c r="AE1573" s="58" t="s">
        <v>238</v>
      </c>
      <c r="AF1573" s="73" t="s">
        <v>241</v>
      </c>
      <c r="AG1573" s="84">
        <f>AG1562*1.01</f>
        <v>1277.0475343095852</v>
      </c>
      <c r="AH1573" s="58" t="s">
        <v>238</v>
      </c>
      <c r="AI1573" s="73" t="s">
        <v>241</v>
      </c>
      <c r="AJ1573" s="84">
        <f>AJ1562*1.01</f>
        <v>1704.2248850967676</v>
      </c>
      <c r="AK1573" s="58" t="s">
        <v>238</v>
      </c>
      <c r="AL1573" s="73" t="s">
        <v>241</v>
      </c>
      <c r="AM1573" s="84">
        <f>AM1562*1.01</f>
        <v>2079.4782306265442</v>
      </c>
      <c r="AN1573" s="58" t="s">
        <v>238</v>
      </c>
      <c r="AO1573" s="73" t="s">
        <v>241</v>
      </c>
      <c r="AP1573" s="84">
        <f>AP1562*1.01</f>
        <v>2414.2096691251522</v>
      </c>
      <c r="AQ1573" s="58" t="s">
        <v>238</v>
      </c>
      <c r="AR1573" s="73" t="s">
        <v>241</v>
      </c>
      <c r="AS1573" s="84">
        <f>AS1562*1.01</f>
        <v>2747.5958019884106</v>
      </c>
      <c r="AT1573" s="58" t="s">
        <v>238</v>
      </c>
      <c r="AU1573" s="73" t="s">
        <v>241</v>
      </c>
    </row>
    <row r="1574" spans="15:47" ht="13" x14ac:dyDescent="0.25">
      <c r="O1574" s="6"/>
      <c r="P1574" s="6"/>
      <c r="Q1574" s="60"/>
      <c r="R1574" s="70"/>
      <c r="S1574" s="63" t="s">
        <v>250</v>
      </c>
      <c r="T1574" s="71" t="s">
        <v>242</v>
      </c>
      <c r="U1574" s="61"/>
      <c r="V1574" s="63" t="s">
        <v>250</v>
      </c>
      <c r="W1574" s="71" t="s">
        <v>242</v>
      </c>
      <c r="X1574" s="61"/>
      <c r="Y1574" s="63" t="s">
        <v>250</v>
      </c>
      <c r="Z1574" s="71" t="s">
        <v>242</v>
      </c>
      <c r="AA1574" s="61"/>
      <c r="AB1574" s="63" t="s">
        <v>250</v>
      </c>
      <c r="AC1574" s="71" t="s">
        <v>242</v>
      </c>
      <c r="AD1574" s="61"/>
      <c r="AE1574" s="63" t="s">
        <v>250</v>
      </c>
      <c r="AF1574" s="71" t="s">
        <v>242</v>
      </c>
      <c r="AG1574" s="61"/>
      <c r="AH1574" s="63" t="s">
        <v>250</v>
      </c>
      <c r="AI1574" s="71" t="s">
        <v>242</v>
      </c>
      <c r="AJ1574" s="61"/>
      <c r="AK1574" s="63" t="s">
        <v>250</v>
      </c>
      <c r="AL1574" s="71" t="s">
        <v>242</v>
      </c>
      <c r="AM1574" s="61"/>
      <c r="AN1574" s="63" t="s">
        <v>250</v>
      </c>
      <c r="AO1574" s="71" t="s">
        <v>242</v>
      </c>
      <c r="AP1574" s="61"/>
      <c r="AQ1574" s="63" t="s">
        <v>250</v>
      </c>
      <c r="AR1574" s="71" t="s">
        <v>242</v>
      </c>
      <c r="AS1574" s="61"/>
      <c r="AT1574" s="63" t="s">
        <v>250</v>
      </c>
      <c r="AU1574" s="71" t="s">
        <v>242</v>
      </c>
    </row>
    <row r="1575" spans="15:47" ht="13" x14ac:dyDescent="0.3">
      <c r="O1575" s="6" t="s">
        <v>231</v>
      </c>
      <c r="P1575" s="6"/>
      <c r="Q1575" s="60"/>
      <c r="R1575" s="85">
        <f>P_1_minQ-(R1573^2*R_up)+dpup_minQ</f>
        <v>56.910612373143479</v>
      </c>
      <c r="S1575" s="56"/>
      <c r="T1575" s="72"/>
      <c r="U1575" s="53">
        <f>P_1_minQ-(U1573^2*R_up)+dpup_minQ</f>
        <v>56.478834552705123</v>
      </c>
      <c r="V1575" s="44"/>
      <c r="W1575" s="72"/>
      <c r="X1575" s="53">
        <f>P_1_minQ-(X1573^2*R_up)+dpup_minQ</f>
        <v>54.396437336235408</v>
      </c>
      <c r="Y1575" s="44"/>
      <c r="Z1575" s="72"/>
      <c r="AA1575" s="53">
        <f>P_1_minQ-(AA1573^2*R_up)+dpup_minQ</f>
        <v>47.730100967154222</v>
      </c>
      <c r="AB1575" s="44"/>
      <c r="AC1575" s="72"/>
      <c r="AD1575" s="53">
        <f>P_1_minQ-(AD1573^2*R_up)+dpup_minQ</f>
        <v>32.06960913970002</v>
      </c>
      <c r="AE1575" s="44"/>
      <c r="AF1575" s="72"/>
      <c r="AG1575" s="53">
        <f>P_1_minQ-(AG1573^2*R_up)+dpup_minQ</f>
        <v>1.838453060243455</v>
      </c>
      <c r="AH1575" s="44"/>
      <c r="AI1575" s="72"/>
      <c r="AJ1575" s="53">
        <f>P_1_minQ-(AJ1573^2*R_up)+dpup_minQ</f>
        <v>-41.171748023745046</v>
      </c>
      <c r="AK1575" s="44"/>
      <c r="AL1575" s="72"/>
      <c r="AM1575" s="53">
        <f>P_1_minQ-(AM1573^2*R_up)+dpup_minQ</f>
        <v>-89.123360744670805</v>
      </c>
      <c r="AN1575" s="44"/>
      <c r="AO1575" s="72"/>
      <c r="AP1575" s="53">
        <f>P_1_minQ-(AP1573^2*R_up)+dpup_minQ</f>
        <v>-139.92304378579459</v>
      </c>
      <c r="AQ1575" s="44"/>
      <c r="AR1575" s="72"/>
      <c r="AS1575" s="53">
        <f>P_1_minQ-(AS1573^2*R_up)+dpup_minQ</f>
        <v>-198.04105677488477</v>
      </c>
      <c r="AT1575" s="44"/>
      <c r="AU1575" s="72"/>
    </row>
    <row r="1576" spans="15:47" ht="13" x14ac:dyDescent="0.3">
      <c r="O1576" s="6" t="s">
        <v>233</v>
      </c>
      <c r="P1576" s="6"/>
      <c r="Q1576" s="60"/>
      <c r="R1576" s="85">
        <f>P_2_minQ+(R1573^2*R_dn)-dpdn_minQ</f>
        <v>24.657877525371305</v>
      </c>
      <c r="S1576" s="66"/>
      <c r="T1576" s="74"/>
      <c r="U1576" s="53">
        <f>P_2_minQ+(U1573^2*R_dn)-dpdn_minQ</f>
        <v>24.744233089458977</v>
      </c>
      <c r="V1576" s="45"/>
      <c r="W1576" s="74"/>
      <c r="X1576" s="53">
        <f>P_2_minQ+(X1573^2*R_dn)-dpdn_minQ</f>
        <v>25.160712532752921</v>
      </c>
      <c r="Y1576" s="45"/>
      <c r="Z1576" s="74"/>
      <c r="AA1576" s="53">
        <f>P_2_minQ+(AA1573^2*R_dn)-dpdn_minQ</f>
        <v>26.493979806569158</v>
      </c>
      <c r="AB1576" s="45"/>
      <c r="AC1576" s="74"/>
      <c r="AD1576" s="53">
        <f>P_2_minQ+(AD1573^2*R_dn)-dpdn_minQ</f>
        <v>29.626078172059998</v>
      </c>
      <c r="AE1576" s="45"/>
      <c r="AF1576" s="74"/>
      <c r="AG1576" s="53">
        <f>P_2_minQ+(AG1573^2*R_dn)-dpdn_minQ</f>
        <v>35.672309387951316</v>
      </c>
      <c r="AH1576" s="45"/>
      <c r="AI1576" s="74"/>
      <c r="AJ1576" s="53">
        <f>P_2_minQ+(AJ1573^2*R_dn)-dpdn_minQ</f>
        <v>44.274349604749013</v>
      </c>
      <c r="AK1576" s="45"/>
      <c r="AL1576" s="74"/>
      <c r="AM1576" s="53">
        <f>P_2_minQ+(AM1573^2*R_dn)-dpdn_minQ</f>
        <v>53.864672148934169</v>
      </c>
      <c r="AN1576" s="45"/>
      <c r="AO1576" s="74"/>
      <c r="AP1576" s="53">
        <f>P_2_minQ+(AP1573^2*R_dn)-dpdn_minQ</f>
        <v>64.024608757158916</v>
      </c>
      <c r="AQ1576" s="45"/>
      <c r="AR1576" s="74"/>
      <c r="AS1576" s="53">
        <f>P_2_minQ+(AS1573^2*R_dn)-dpdn_minQ</f>
        <v>75.648211354976951</v>
      </c>
      <c r="AT1576" s="45"/>
      <c r="AU1576" s="74"/>
    </row>
    <row r="1577" spans="15:47" x14ac:dyDescent="0.25">
      <c r="O1577" s="6" t="s">
        <v>243</v>
      </c>
      <c r="Q1577" s="60"/>
      <c r="R1577" s="53">
        <f>R1575-R1576</f>
        <v>32.252734847772174</v>
      </c>
      <c r="S1577" s="56"/>
      <c r="T1577" s="72"/>
      <c r="U1577" s="64">
        <f>U1575-U1576</f>
        <v>31.734601463246147</v>
      </c>
      <c r="V1577" s="44"/>
      <c r="W1577" s="72"/>
      <c r="X1577" s="64">
        <f>X1575-X1576</f>
        <v>29.235724803482487</v>
      </c>
      <c r="Y1577" s="44"/>
      <c r="Z1577" s="72"/>
      <c r="AA1577" s="64">
        <f>AA1575-AA1576</f>
        <v>21.236121160585064</v>
      </c>
      <c r="AB1577" s="44"/>
      <c r="AC1577" s="72"/>
      <c r="AD1577" s="64">
        <f>AD1575-AD1576</f>
        <v>2.4435309676400223</v>
      </c>
      <c r="AE1577" s="44"/>
      <c r="AF1577" s="72"/>
      <c r="AG1577" s="64">
        <f>AG1575-AG1576</f>
        <v>-33.833856327707863</v>
      </c>
      <c r="AH1577" s="44"/>
      <c r="AI1577" s="72"/>
      <c r="AJ1577" s="64">
        <f>AJ1575-AJ1576</f>
        <v>-85.446097628494059</v>
      </c>
      <c r="AK1577" s="44"/>
      <c r="AL1577" s="72"/>
      <c r="AM1577" s="64">
        <f>AM1575-AM1576</f>
        <v>-142.98803289360498</v>
      </c>
      <c r="AN1577" s="44"/>
      <c r="AO1577" s="72"/>
      <c r="AP1577" s="64">
        <f>AP1575-AP1576</f>
        <v>-203.94765254295351</v>
      </c>
      <c r="AQ1577" s="44"/>
      <c r="AR1577" s="72"/>
      <c r="AS1577" s="64">
        <f>AS1575-AS1576</f>
        <v>-273.68926812986172</v>
      </c>
      <c r="AT1577" s="44"/>
      <c r="AU1577" s="72"/>
    </row>
    <row r="1578" spans="15:47" ht="13" x14ac:dyDescent="0.3">
      <c r="O1578" s="6" t="s">
        <v>75</v>
      </c>
      <c r="P1578" s="6">
        <v>3</v>
      </c>
      <c r="Q1578" s="65"/>
      <c r="R1578" s="85">
        <f>(F_LP_h/F_P_h)^2*(R1575-('Valve Sizing'!$V$4*'Valve Sizing'!$G$7))</f>
        <v>46.760583431018013</v>
      </c>
      <c r="S1578" s="58"/>
      <c r="T1578" s="73"/>
      <c r="U1578" s="53">
        <f>(U$29/U$27)^2*(U1575-('Valve Sizing'!$V$4*'Valve Sizing'!$G$7))</f>
        <v>46.390401177586725</v>
      </c>
      <c r="V1578" s="41"/>
      <c r="W1578" s="73"/>
      <c r="X1578" s="53">
        <f>(X$29/X$27)^2*(X1575-('Valve Sizing'!$V$4*'Valve Sizing'!$G$7))</f>
        <v>43.658996956259742</v>
      </c>
      <c r="Y1578" s="41"/>
      <c r="Z1578" s="73"/>
      <c r="AA1578" s="53">
        <f>(AA$29/AA$27)^2*(AA1575-('Valve Sizing'!$V$4*'Valve Sizing'!$G$7))</f>
        <v>36.545614058523761</v>
      </c>
      <c r="AB1578" s="41"/>
      <c r="AC1578" s="73"/>
      <c r="AD1578" s="53">
        <f>(AD$29/AD$27)^2*(AD1575-('Valve Sizing'!$V$4*'Valve Sizing'!$G$7))</f>
        <v>22.810834215313143</v>
      </c>
      <c r="AE1578" s="41"/>
      <c r="AF1578" s="73"/>
      <c r="AG1578" s="53">
        <f>(AG$29/AG$27)^2*(AG1575-('Valve Sizing'!$V$4*'Valve Sizing'!$G$7))</f>
        <v>0.90062809311852998</v>
      </c>
      <c r="AH1578" s="41"/>
      <c r="AI1578" s="73"/>
      <c r="AJ1578" s="53">
        <f>(AJ$29/AJ$27)^2*(AJ1575-('Valve Sizing'!$V$4*'Valve Sizing'!$G$7))</f>
        <v>-24.066784341185055</v>
      </c>
      <c r="AK1578" s="41"/>
      <c r="AL1578" s="73"/>
      <c r="AM1578" s="53">
        <f>(AM$29/AM$27)^2*(AM1575-('Valve Sizing'!$V$4*'Valve Sizing'!$G$7))</f>
        <v>-42.853601307429784</v>
      </c>
      <c r="AN1578" s="41"/>
      <c r="AO1578" s="73"/>
      <c r="AP1578" s="53">
        <f>(AP$29/AP$27)^2*(AP1575-('Valve Sizing'!$V$4*'Valve Sizing'!$G$7))</f>
        <v>-55.391045405274895</v>
      </c>
      <c r="AQ1578" s="41"/>
      <c r="AR1578" s="73"/>
      <c r="AS1578" s="53">
        <f>(AS$29/AS$27)^2*(AS1575-('Valve Sizing'!$V$4*'Valve Sizing'!$G$7))</f>
        <v>-74.656844001518778</v>
      </c>
      <c r="AT1578" s="41"/>
      <c r="AU1578" s="73"/>
    </row>
    <row r="1579" spans="15:47" ht="13" x14ac:dyDescent="0.25">
      <c r="O1579" s="1" t="s">
        <v>69</v>
      </c>
      <c r="P1579" s="17">
        <v>7</v>
      </c>
      <c r="Q1579" s="65"/>
      <c r="R1579" s="53">
        <f>(R1573/(N_1*F_P_h))*SQRT('Valve Sizing'!$G$6/R1577)</f>
        <v>2.2536905787487158</v>
      </c>
      <c r="S1579" s="58"/>
      <c r="T1579" s="73"/>
      <c r="U1579" s="64">
        <f>(U1573/(N_1*U$27))*SQRT('Valve Sizing'!$G$6/U1577)</f>
        <v>20.216798374722938</v>
      </c>
      <c r="V1579" s="41"/>
      <c r="W1579" s="73"/>
      <c r="X1579" s="64">
        <f>(X1573/(N_1*X$27))*SQRT('Valve Sizing'!$G$6/X1577)</f>
        <v>50.673104427277337</v>
      </c>
      <c r="Y1579" s="41"/>
      <c r="Z1579" s="73"/>
      <c r="AA1579" s="64">
        <f>(AA1573/(N_1*AA$27))*SQRT('Valve Sizing'!$G$6/AA1577)</f>
        <v>114.17669509727838</v>
      </c>
      <c r="AB1579" s="41"/>
      <c r="AC1579" s="73"/>
      <c r="AD1579" s="64">
        <f>(AD1573/(N_1*AD$27))*SQRT('Valve Sizing'!$G$6/AD1577)</f>
        <v>560.53151279992551</v>
      </c>
      <c r="AE1579" s="41"/>
      <c r="AF1579" s="73"/>
      <c r="AG1579" s="64" t="e">
        <f>(AG1573/(N_1*AG$27))*SQRT('Valve Sizing'!$G$6/AG1577)</f>
        <v>#NUM!</v>
      </c>
      <c r="AH1579" s="41"/>
      <c r="AI1579" s="73"/>
      <c r="AJ1579" s="64" t="e">
        <f>(AJ1573/(N_1*AJ$27))*SQRT('Valve Sizing'!$G$6/AJ1577)</f>
        <v>#NUM!</v>
      </c>
      <c r="AK1579" s="41"/>
      <c r="AL1579" s="73"/>
      <c r="AM1579" s="64" t="e">
        <f>(AM1573/(N_1*AM$27))*SQRT('Valve Sizing'!$G$6/AM1577)</f>
        <v>#NUM!</v>
      </c>
      <c r="AN1579" s="41"/>
      <c r="AO1579" s="73"/>
      <c r="AP1579" s="64" t="e">
        <f>(AP1573/(N_1*AP$27))*SQRT('Valve Sizing'!$G$6/AP1577)</f>
        <v>#NUM!</v>
      </c>
      <c r="AQ1579" s="41"/>
      <c r="AR1579" s="73"/>
      <c r="AS1579" s="64" t="e">
        <f>(AS1573/(N_1*AS$27))*SQRT('Valve Sizing'!$G$6/AS1577)</f>
        <v>#NUM!</v>
      </c>
      <c r="AT1579" s="41"/>
      <c r="AU1579" s="73"/>
    </row>
    <row r="1580" spans="15:47" ht="13" x14ac:dyDescent="0.3">
      <c r="O1580" s="1" t="s">
        <v>72</v>
      </c>
      <c r="P1580" s="17">
        <v>7</v>
      </c>
      <c r="Q1580" s="65"/>
      <c r="R1580" s="53">
        <f>(R1573/(N_1*F_P_h))*SQRT('Valve Sizing'!$G$6/R1578)</f>
        <v>1.8717058670660625</v>
      </c>
      <c r="S1580" s="56"/>
      <c r="T1580" s="72"/>
      <c r="U1580" s="85">
        <f>(U1573/(N_1*U$27))*SQRT('Valve Sizing'!$G$6/U1578)</f>
        <v>16.72109984005624</v>
      </c>
      <c r="V1580" s="44"/>
      <c r="W1580" s="72"/>
      <c r="X1580" s="85">
        <f>(X1573/(N_1*X$27))*SQRT('Valve Sizing'!$G$6/X1578)</f>
        <v>41.466517880927952</v>
      </c>
      <c r="Y1580" s="44"/>
      <c r="Z1580" s="72"/>
      <c r="AA1580" s="85">
        <f>(AA1573/(N_1*AA$27))*SQRT('Valve Sizing'!$G$6/AA1578)</f>
        <v>87.035701384026268</v>
      </c>
      <c r="AB1580" s="44"/>
      <c r="AC1580" s="72"/>
      <c r="AD1580" s="85">
        <f>(AD1573/(N_1*AD$27))*SQRT('Valve Sizing'!$G$6/AD1578)</f>
        <v>183.45872588970693</v>
      </c>
      <c r="AE1580" s="44"/>
      <c r="AF1580" s="72"/>
      <c r="AG1580" s="85">
        <f>(AG1573/(N_1*AG$27))*SQRT('Valve Sizing'!$G$6/AG1578)</f>
        <v>1405.317235444656</v>
      </c>
      <c r="AH1580" s="44"/>
      <c r="AI1580" s="72"/>
      <c r="AJ1580" s="85" t="e">
        <f>(AJ1573/(N_1*AJ$27))*SQRT('Valve Sizing'!$G$6/AJ1578)</f>
        <v>#NUM!</v>
      </c>
      <c r="AK1580" s="44"/>
      <c r="AL1580" s="72"/>
      <c r="AM1580" s="85" t="e">
        <f>(AM1573/(N_1*AM$27))*SQRT('Valve Sizing'!$G$6/AM1578)</f>
        <v>#NUM!</v>
      </c>
      <c r="AN1580" s="44"/>
      <c r="AO1580" s="72"/>
      <c r="AP1580" s="85" t="e">
        <f>(AP1573/(N_1*AP$27))*SQRT('Valve Sizing'!$G$6/AP1578)</f>
        <v>#NUM!</v>
      </c>
      <c r="AQ1580" s="44"/>
      <c r="AR1580" s="72"/>
      <c r="AS1580" s="85" t="e">
        <f>(AS1573/(N_1*AS$27))*SQRT('Valve Sizing'!$G$6/AS1578)</f>
        <v>#NUM!</v>
      </c>
      <c r="AT1580" s="44"/>
      <c r="AU1580" s="72"/>
    </row>
    <row r="1581" spans="15:47" x14ac:dyDescent="0.25">
      <c r="O1581" s="1" t="s">
        <v>246</v>
      </c>
      <c r="P1581" s="18"/>
      <c r="Q1581" s="65"/>
      <c r="R1581" s="53">
        <f>IF(R1577&lt;R1578,R1579,R1580)</f>
        <v>2.2536905787487158</v>
      </c>
      <c r="S1581" s="49"/>
      <c r="T1581" s="72"/>
      <c r="U1581" s="64">
        <f>IF(U1577&lt;U1578,U1579,U1580)</f>
        <v>20.216798374722938</v>
      </c>
      <c r="V1581" s="44"/>
      <c r="W1581" s="72"/>
      <c r="X1581" s="64">
        <f>IF(X1577&lt;X1578,X1579,X1580)</f>
        <v>50.673104427277337</v>
      </c>
      <c r="Y1581" s="44"/>
      <c r="Z1581" s="72"/>
      <c r="AA1581" s="64">
        <f>IF(AA1577&lt;AA1578,AA1579,AA1580)</f>
        <v>114.17669509727838</v>
      </c>
      <c r="AB1581" s="44"/>
      <c r="AC1581" s="72"/>
      <c r="AD1581" s="64">
        <f>IF(AD1577&lt;AD1578,AD1579,AD1580)</f>
        <v>560.53151279992551</v>
      </c>
      <c r="AE1581" s="44"/>
      <c r="AF1581" s="72"/>
      <c r="AG1581" s="64" t="e">
        <f>IF(AG1577&lt;AG1578,AG1579,AG1580)</f>
        <v>#NUM!</v>
      </c>
      <c r="AH1581" s="44"/>
      <c r="AI1581" s="72"/>
      <c r="AJ1581" s="64" t="e">
        <f>IF(AJ1577&lt;AJ1578,AJ1579,AJ1580)</f>
        <v>#NUM!</v>
      </c>
      <c r="AK1581" s="44"/>
      <c r="AL1581" s="72"/>
      <c r="AM1581" s="64" t="e">
        <f>IF(AM1577&lt;AM1578,AM1579,AM1580)</f>
        <v>#NUM!</v>
      </c>
      <c r="AN1581" s="44"/>
      <c r="AO1581" s="72"/>
      <c r="AP1581" s="64" t="e">
        <f>IF(AP1577&lt;AP1578,AP1579,AP1580)</f>
        <v>#NUM!</v>
      </c>
      <c r="AQ1581" s="44"/>
      <c r="AR1581" s="72"/>
      <c r="AS1581" s="64" t="e">
        <f>IF(AS1577&lt;AS1578,AS1579,AS1580)</f>
        <v>#NUM!</v>
      </c>
      <c r="AT1581" s="44"/>
      <c r="AU1581" s="72"/>
    </row>
    <row r="1582" spans="15:47" ht="13" x14ac:dyDescent="0.3">
      <c r="O1582" s="7" t="s">
        <v>264</v>
      </c>
      <c r="Q1582" s="61"/>
      <c r="R1582" s="53"/>
      <c r="S1582" s="69">
        <f>IFERROR(ABS(C_h-R1581),Q_max*10)</f>
        <v>2.7463094212512842</v>
      </c>
      <c r="T1582" s="76">
        <f>R1573</f>
        <v>12.797172782363665</v>
      </c>
      <c r="U1582" s="61"/>
      <c r="V1582" s="69">
        <f>IFERROR(ABS(U$23-U1581),Q_max*10)</f>
        <v>8.2167983747229378</v>
      </c>
      <c r="W1582" s="75">
        <f>U1573</f>
        <v>113.79239383368876</v>
      </c>
      <c r="X1582" s="61"/>
      <c r="Y1582" s="69">
        <f>IFERROR(ABS(X$23-X1581),Q_max*10)</f>
        <v>27.673104427277337</v>
      </c>
      <c r="Z1582" s="75">
        <f>X1573</f>
        <v>273.14554814982722</v>
      </c>
      <c r="AA1582" s="61"/>
      <c r="AB1582" s="69">
        <f>IFERROR(ABS(AA$23-AA1581),Q_max*10)</f>
        <v>75.176695097278383</v>
      </c>
      <c r="AC1582" s="75">
        <f>AA1573</f>
        <v>521.53495603129363</v>
      </c>
      <c r="AD1582" s="61"/>
      <c r="AE1582" s="69">
        <f>IFERROR(ABS(AD$23-AD1581),Q_max*10)</f>
        <v>499.53151279992551</v>
      </c>
      <c r="AF1582" s="75">
        <f>AD1573</f>
        <v>857.73298489301578</v>
      </c>
      <c r="AG1582" s="61"/>
      <c r="AH1582" s="69">
        <f>IFERROR(ABS(AG$23-AG1581),Q_max*10)</f>
        <v>5500</v>
      </c>
      <c r="AI1582" s="75">
        <f>AG1573</f>
        <v>1277.0475343095852</v>
      </c>
      <c r="AJ1582" s="61"/>
      <c r="AK1582" s="69">
        <f>IFERROR(ABS(AJ$23-AJ1581),Q_max*10)</f>
        <v>5500</v>
      </c>
      <c r="AL1582" s="75">
        <f>AJ1573</f>
        <v>1704.2248850967676</v>
      </c>
      <c r="AM1582" s="61"/>
      <c r="AN1582" s="69">
        <f>IFERROR(ABS(AM$23-AM1581),Q_max*10)</f>
        <v>5500</v>
      </c>
      <c r="AO1582" s="75">
        <f>AM1573</f>
        <v>2079.4782306265442</v>
      </c>
      <c r="AP1582" s="61"/>
      <c r="AQ1582" s="69">
        <f>IFERROR(ABS(AP$23-AP1581),Q_max*10)</f>
        <v>5500</v>
      </c>
      <c r="AR1582" s="75">
        <f>AP1573</f>
        <v>2414.2096691251522</v>
      </c>
      <c r="AS1582" s="61"/>
      <c r="AT1582" s="69">
        <f>IFERROR(ABS(AS$23-AS1581),Q_max*10)</f>
        <v>5500</v>
      </c>
      <c r="AU1582" s="75">
        <f>AS1573</f>
        <v>2747.5958019884106</v>
      </c>
    </row>
    <row r="1583" spans="15:47" ht="14.5" x14ac:dyDescent="0.35">
      <c r="O1583" s="8"/>
      <c r="P1583" s="6"/>
      <c r="Q1583" s="60"/>
      <c r="R1583" s="67"/>
      <c r="S1583" s="56"/>
      <c r="T1583" s="72"/>
      <c r="V1583" s="11"/>
      <c r="W1583" s="38"/>
      <c r="Y1583" s="11"/>
      <c r="Z1583" s="38"/>
      <c r="AB1583" s="11"/>
      <c r="AC1583" s="38"/>
      <c r="AE1583" s="11"/>
      <c r="AF1583" s="38"/>
      <c r="AH1583" s="11"/>
      <c r="AI1583" s="38"/>
      <c r="AK1583" s="11"/>
      <c r="AL1583" s="38"/>
      <c r="AN1583" s="11"/>
      <c r="AO1583" s="38"/>
      <c r="AQ1583" s="11"/>
      <c r="AR1583" s="38"/>
      <c r="AT1583" s="11"/>
      <c r="AU1583" s="38"/>
    </row>
    <row r="1584" spans="15:47" ht="14" x14ac:dyDescent="0.3">
      <c r="O1584" s="8" t="s">
        <v>235</v>
      </c>
      <c r="P1584" s="6"/>
      <c r="Q1584" s="60"/>
      <c r="R1584" s="53">
        <f>R1573*1.02</f>
        <v>13.053116238010938</v>
      </c>
      <c r="S1584" s="58" t="s">
        <v>238</v>
      </c>
      <c r="T1584" s="73" t="s">
        <v>241</v>
      </c>
      <c r="U1584" s="84">
        <f>U1573*1.01</f>
        <v>114.93031777202565</v>
      </c>
      <c r="V1584" s="58" t="s">
        <v>238</v>
      </c>
      <c r="W1584" s="73" t="s">
        <v>241</v>
      </c>
      <c r="X1584" s="84">
        <f>X1573*1.01</f>
        <v>275.87700363132552</v>
      </c>
      <c r="Y1584" s="58" t="s">
        <v>238</v>
      </c>
      <c r="Z1584" s="73" t="s">
        <v>241</v>
      </c>
      <c r="AA1584" s="84">
        <f>AA1573*1.01</f>
        <v>526.75030559160655</v>
      </c>
      <c r="AB1584" s="58" t="s">
        <v>238</v>
      </c>
      <c r="AC1584" s="73" t="s">
        <v>241</v>
      </c>
      <c r="AD1584" s="84">
        <f>AD1573*1.01</f>
        <v>866.31031474194594</v>
      </c>
      <c r="AE1584" s="58" t="s">
        <v>238</v>
      </c>
      <c r="AF1584" s="73" t="s">
        <v>241</v>
      </c>
      <c r="AG1584" s="84">
        <f>AG1573*1.01</f>
        <v>1289.818009652681</v>
      </c>
      <c r="AH1584" s="58" t="s">
        <v>238</v>
      </c>
      <c r="AI1584" s="73" t="s">
        <v>241</v>
      </c>
      <c r="AJ1584" s="84">
        <f>AJ1573*1.01</f>
        <v>1721.2671339477354</v>
      </c>
      <c r="AK1584" s="58" t="s">
        <v>238</v>
      </c>
      <c r="AL1584" s="73" t="s">
        <v>241</v>
      </c>
      <c r="AM1584" s="84">
        <f>AM1573*1.01</f>
        <v>2100.2730129328097</v>
      </c>
      <c r="AN1584" s="58" t="s">
        <v>238</v>
      </c>
      <c r="AO1584" s="73" t="s">
        <v>241</v>
      </c>
      <c r="AP1584" s="84">
        <f>AP1573*1.01</f>
        <v>2438.3517658164037</v>
      </c>
      <c r="AQ1584" s="58" t="s">
        <v>238</v>
      </c>
      <c r="AR1584" s="73" t="s">
        <v>241</v>
      </c>
      <c r="AS1584" s="84">
        <f>AS1573*1.01</f>
        <v>2775.0717600082949</v>
      </c>
      <c r="AT1584" s="58" t="s">
        <v>238</v>
      </c>
      <c r="AU1584" s="73" t="s">
        <v>241</v>
      </c>
    </row>
    <row r="1585" spans="15:47" ht="13" x14ac:dyDescent="0.25">
      <c r="O1585" s="6"/>
      <c r="P1585" s="6"/>
      <c r="Q1585" s="60"/>
      <c r="R1585" s="70"/>
      <c r="S1585" s="63" t="s">
        <v>250</v>
      </c>
      <c r="T1585" s="71" t="s">
        <v>242</v>
      </c>
      <c r="U1585" s="61"/>
      <c r="V1585" s="63" t="s">
        <v>250</v>
      </c>
      <c r="W1585" s="71" t="s">
        <v>242</v>
      </c>
      <c r="X1585" s="61"/>
      <c r="Y1585" s="63" t="s">
        <v>250</v>
      </c>
      <c r="Z1585" s="71" t="s">
        <v>242</v>
      </c>
      <c r="AA1585" s="61"/>
      <c r="AB1585" s="63" t="s">
        <v>250</v>
      </c>
      <c r="AC1585" s="71" t="s">
        <v>242</v>
      </c>
      <c r="AD1585" s="61"/>
      <c r="AE1585" s="63" t="s">
        <v>250</v>
      </c>
      <c r="AF1585" s="71" t="s">
        <v>242</v>
      </c>
      <c r="AG1585" s="61"/>
      <c r="AH1585" s="63" t="s">
        <v>250</v>
      </c>
      <c r="AI1585" s="71" t="s">
        <v>242</v>
      </c>
      <c r="AJ1585" s="61"/>
      <c r="AK1585" s="63" t="s">
        <v>250</v>
      </c>
      <c r="AL1585" s="71" t="s">
        <v>242</v>
      </c>
      <c r="AM1585" s="61"/>
      <c r="AN1585" s="63" t="s">
        <v>250</v>
      </c>
      <c r="AO1585" s="71" t="s">
        <v>242</v>
      </c>
      <c r="AP1585" s="61"/>
      <c r="AQ1585" s="63" t="s">
        <v>250</v>
      </c>
      <c r="AR1585" s="71" t="s">
        <v>242</v>
      </c>
      <c r="AS1585" s="61"/>
      <c r="AT1585" s="63" t="s">
        <v>250</v>
      </c>
      <c r="AU1585" s="71" t="s">
        <v>242</v>
      </c>
    </row>
    <row r="1586" spans="15:47" ht="13" x14ac:dyDescent="0.3">
      <c r="O1586" s="6" t="s">
        <v>231</v>
      </c>
      <c r="P1586" s="6"/>
      <c r="Q1586" s="60"/>
      <c r="R1586" s="85">
        <f>P_1_minQ-(R1584^2*R_up)+dpup_minQ</f>
        <v>56.91038892794586</v>
      </c>
      <c r="S1586" s="56"/>
      <c r="T1586" s="72"/>
      <c r="U1586" s="53">
        <f>P_1_minQ-(U1584^2*R_up)+dpup_minQ</f>
        <v>56.470044648997678</v>
      </c>
      <c r="V1586" s="44"/>
      <c r="W1586" s="72"/>
      <c r="X1586" s="53">
        <f>P_1_minQ-(X1584^2*R_up)+dpup_minQ</f>
        <v>54.345791248476921</v>
      </c>
      <c r="Y1586" s="44"/>
      <c r="Z1586" s="72"/>
      <c r="AA1586" s="53">
        <f>P_1_minQ-(AA1584^2*R_up)+dpup_minQ</f>
        <v>47.545461518377209</v>
      </c>
      <c r="AB1586" s="44"/>
      <c r="AC1586" s="72"/>
      <c r="AD1586" s="53">
        <f>P_1_minQ-(AD1584^2*R_up)+dpup_minQ</f>
        <v>31.570193805191174</v>
      </c>
      <c r="AE1586" s="44"/>
      <c r="AF1586" s="72"/>
      <c r="AG1586" s="53">
        <f>P_1_minQ-(AG1584^2*R_up)+dpup_minQ</f>
        <v>0.73139148853754243</v>
      </c>
      <c r="AH1586" s="44"/>
      <c r="AI1586" s="72"/>
      <c r="AJ1586" s="53">
        <f>P_1_minQ-(AJ1584^2*R_up)+dpup_minQ</f>
        <v>-43.143314637239165</v>
      </c>
      <c r="AK1586" s="44"/>
      <c r="AL1586" s="72"/>
      <c r="AM1586" s="53">
        <f>P_1_minQ-(AM1584^2*R_up)+dpup_minQ</f>
        <v>-92.058754773855526</v>
      </c>
      <c r="AN1586" s="44"/>
      <c r="AO1586" s="72"/>
      <c r="AP1586" s="53">
        <f>P_1_minQ-(AP1584^2*R_up)+dpup_minQ</f>
        <v>-143.87951144410587</v>
      </c>
      <c r="AQ1586" s="44"/>
      <c r="AR1586" s="72"/>
      <c r="AS1586" s="53">
        <f>P_1_minQ-(AS1584^2*R_up)+dpup_minQ</f>
        <v>-203.16569649427683</v>
      </c>
      <c r="AT1586" s="44"/>
      <c r="AU1586" s="72"/>
    </row>
    <row r="1587" spans="15:47" ht="13" x14ac:dyDescent="0.3">
      <c r="O1587" s="6" t="s">
        <v>233</v>
      </c>
      <c r="P1587" s="6"/>
      <c r="Q1587" s="60"/>
      <c r="R1587" s="85">
        <f>P_2_minQ+(R1584^2*R_dn)-dpdn_minQ</f>
        <v>24.657922214410828</v>
      </c>
      <c r="S1587" s="66"/>
      <c r="T1587" s="74"/>
      <c r="U1587" s="53">
        <f>P_2_minQ+(U1584^2*R_dn)-dpdn_minQ</f>
        <v>24.745991070200464</v>
      </c>
      <c r="V1587" s="45"/>
      <c r="W1587" s="74"/>
      <c r="X1587" s="53">
        <f>P_2_minQ+(X1584^2*R_dn)-dpdn_minQ</f>
        <v>25.170841750304618</v>
      </c>
      <c r="Y1587" s="45"/>
      <c r="Z1587" s="74"/>
      <c r="AA1587" s="53">
        <f>P_2_minQ+(AA1584^2*R_dn)-dpdn_minQ</f>
        <v>26.530907696324558</v>
      </c>
      <c r="AB1587" s="45"/>
      <c r="AC1587" s="74"/>
      <c r="AD1587" s="53">
        <f>P_2_minQ+(AD1584^2*R_dn)-dpdn_minQ</f>
        <v>29.725961238961766</v>
      </c>
      <c r="AE1587" s="45"/>
      <c r="AF1587" s="74"/>
      <c r="AG1587" s="53">
        <f>P_2_minQ+(AG1584^2*R_dn)-dpdn_minQ</f>
        <v>35.893721702292495</v>
      </c>
      <c r="AH1587" s="45"/>
      <c r="AI1587" s="74"/>
      <c r="AJ1587" s="53">
        <f>P_2_minQ+(AJ1584^2*R_dn)-dpdn_minQ</f>
        <v>44.668662927447834</v>
      </c>
      <c r="AK1587" s="45"/>
      <c r="AL1587" s="74"/>
      <c r="AM1587" s="53">
        <f>P_2_minQ+(AM1584^2*R_dn)-dpdn_minQ</f>
        <v>54.451750954771107</v>
      </c>
      <c r="AN1587" s="45"/>
      <c r="AO1587" s="74"/>
      <c r="AP1587" s="53">
        <f>P_2_minQ+(AP1584^2*R_dn)-dpdn_minQ</f>
        <v>64.815902288821178</v>
      </c>
      <c r="AQ1587" s="45"/>
      <c r="AR1587" s="74"/>
      <c r="AS1587" s="53">
        <f>P_2_minQ+(AS1584^2*R_dn)-dpdn_minQ</f>
        <v>76.673139298855347</v>
      </c>
      <c r="AT1587" s="45"/>
      <c r="AU1587" s="74"/>
    </row>
    <row r="1588" spans="15:47" x14ac:dyDescent="0.25">
      <c r="O1588" s="6" t="s">
        <v>243</v>
      </c>
      <c r="Q1588" s="60"/>
      <c r="R1588" s="53">
        <f>R1586-R1587</f>
        <v>32.252466713535028</v>
      </c>
      <c r="S1588" s="56"/>
      <c r="T1588" s="72"/>
      <c r="U1588" s="64">
        <f>U1586-U1587</f>
        <v>31.724053578797214</v>
      </c>
      <c r="V1588" s="44"/>
      <c r="W1588" s="72"/>
      <c r="X1588" s="64">
        <f>X1586-X1587</f>
        <v>29.174949498172303</v>
      </c>
      <c r="Y1588" s="44"/>
      <c r="Z1588" s="72"/>
      <c r="AA1588" s="64">
        <f>AA1586-AA1587</f>
        <v>21.014553822052651</v>
      </c>
      <c r="AB1588" s="44"/>
      <c r="AC1588" s="72"/>
      <c r="AD1588" s="64">
        <f>AD1586-AD1587</f>
        <v>1.8442325662294081</v>
      </c>
      <c r="AE1588" s="44"/>
      <c r="AF1588" s="72"/>
      <c r="AG1588" s="64">
        <f>AG1586-AG1587</f>
        <v>-35.162330213754956</v>
      </c>
      <c r="AH1588" s="44"/>
      <c r="AI1588" s="72"/>
      <c r="AJ1588" s="64">
        <f>AJ1586-AJ1587</f>
        <v>-87.811977564686998</v>
      </c>
      <c r="AK1588" s="44"/>
      <c r="AL1588" s="72"/>
      <c r="AM1588" s="64">
        <f>AM1586-AM1587</f>
        <v>-146.51050572862664</v>
      </c>
      <c r="AN1588" s="44"/>
      <c r="AO1588" s="72"/>
      <c r="AP1588" s="64">
        <f>AP1586-AP1587</f>
        <v>-208.69541373292705</v>
      </c>
      <c r="AQ1588" s="44"/>
      <c r="AR1588" s="72"/>
      <c r="AS1588" s="64">
        <f>AS1586-AS1587</f>
        <v>-279.83883579313215</v>
      </c>
      <c r="AT1588" s="44"/>
      <c r="AU1588" s="72"/>
    </row>
    <row r="1589" spans="15:47" ht="13" x14ac:dyDescent="0.3">
      <c r="O1589" s="6" t="s">
        <v>75</v>
      </c>
      <c r="P1589" s="6">
        <v>3</v>
      </c>
      <c r="Q1589" s="65"/>
      <c r="R1589" s="85">
        <f>(F_LP_h/F_P_h)^2*(R1586-('Valve Sizing'!$V$4*'Valve Sizing'!$G$7))</f>
        <v>46.760398406665765</v>
      </c>
      <c r="S1589" s="58"/>
      <c r="T1589" s="73"/>
      <c r="U1589" s="53">
        <f>(U$29/U$27)^2*(U1586-('Valve Sizing'!$V$4*'Valve Sizing'!$G$7))</f>
        <v>46.383124659754323</v>
      </c>
      <c r="V1589" s="41"/>
      <c r="W1589" s="73"/>
      <c r="X1589" s="53">
        <f>(X$29/X$27)^2*(X1586-('Valve Sizing'!$V$4*'Valve Sizing'!$G$7))</f>
        <v>43.618016493802301</v>
      </c>
      <c r="Y1589" s="41"/>
      <c r="Z1589" s="73"/>
      <c r="AA1589" s="53">
        <f>(AA$29/AA$27)^2*(AA1586-('Valve Sizing'!$V$4*'Valve Sizing'!$G$7))</f>
        <v>36.40292520555667</v>
      </c>
      <c r="AB1589" s="41"/>
      <c r="AC1589" s="73"/>
      <c r="AD1589" s="53">
        <f>(AD$29/AD$27)^2*(AD1586-('Valve Sizing'!$V$4*'Valve Sizing'!$G$7))</f>
        <v>22.450662165114927</v>
      </c>
      <c r="AE1589" s="41"/>
      <c r="AF1589" s="73"/>
      <c r="AG1589" s="53">
        <f>(AG$29/AG$27)^2*(AG1586-('Valve Sizing'!$V$4*'Valve Sizing'!$G$7))</f>
        <v>0.18763178427408078</v>
      </c>
      <c r="AH1589" s="41"/>
      <c r="AI1589" s="73"/>
      <c r="AJ1589" s="53">
        <f>(AJ$29/AJ$27)^2*(AJ1586-('Valve Sizing'!$V$4*'Valve Sizing'!$G$7))</f>
        <v>-25.207068155149944</v>
      </c>
      <c r="AK1589" s="41"/>
      <c r="AL1589" s="73"/>
      <c r="AM1589" s="53">
        <f>(AM$29/AM$27)^2*(AM1586-('Valve Sizing'!$V$4*'Valve Sizing'!$G$7))</f>
        <v>-44.258105597629452</v>
      </c>
      <c r="AN1589" s="41"/>
      <c r="AO1589" s="73"/>
      <c r="AP1589" s="53">
        <f>(AP$29/AP$27)^2*(AP1586-('Valve Sizing'!$V$4*'Valve Sizing'!$G$7))</f>
        <v>-56.952373684820394</v>
      </c>
      <c r="AQ1589" s="41"/>
      <c r="AR1589" s="73"/>
      <c r="AS1589" s="53">
        <f>(AS$29/AS$27)^2*(AS1586-('Valve Sizing'!$V$4*'Valve Sizing'!$G$7))</f>
        <v>-76.584430055066889</v>
      </c>
      <c r="AT1589" s="41"/>
      <c r="AU1589" s="73"/>
    </row>
    <row r="1590" spans="15:47" ht="13" x14ac:dyDescent="0.25">
      <c r="O1590" s="1" t="s">
        <v>69</v>
      </c>
      <c r="P1590" s="17">
        <v>7</v>
      </c>
      <c r="Q1590" s="65"/>
      <c r="R1590" s="53">
        <f>(R1584/(N_1*F_P_h))*SQRT('Valve Sizing'!$G$6/R1588)</f>
        <v>2.2987739458122762</v>
      </c>
      <c r="S1590" s="58"/>
      <c r="T1590" s="73"/>
      <c r="U1590" s="64">
        <f>(U1584/(N_1*U$27))*SQRT('Valve Sizing'!$G$6/U1588)</f>
        <v>20.422360612574053</v>
      </c>
      <c r="V1590" s="41"/>
      <c r="W1590" s="73"/>
      <c r="X1590" s="64">
        <f>(X1584/(N_1*X$27))*SQRT('Valve Sizing'!$G$6/X1588)</f>
        <v>51.23311494562158</v>
      </c>
      <c r="Y1590" s="41"/>
      <c r="Z1590" s="73"/>
      <c r="AA1590" s="64">
        <f>(AA1584/(N_1*AA$27))*SQRT('Valve Sizing'!$G$6/AA1588)</f>
        <v>115.92479918045557</v>
      </c>
      <c r="AB1590" s="41"/>
      <c r="AC1590" s="73"/>
      <c r="AD1590" s="64">
        <f>(AD1584/(N_1*AD$27))*SQRT('Valve Sizing'!$G$6/AD1588)</f>
        <v>651.66213590840016</v>
      </c>
      <c r="AE1590" s="41"/>
      <c r="AF1590" s="73"/>
      <c r="AG1590" s="64" t="e">
        <f>(AG1584/(N_1*AG$27))*SQRT('Valve Sizing'!$G$6/AG1588)</f>
        <v>#NUM!</v>
      </c>
      <c r="AH1590" s="41"/>
      <c r="AI1590" s="73"/>
      <c r="AJ1590" s="64" t="e">
        <f>(AJ1584/(N_1*AJ$27))*SQRT('Valve Sizing'!$G$6/AJ1588)</f>
        <v>#NUM!</v>
      </c>
      <c r="AK1590" s="41"/>
      <c r="AL1590" s="73"/>
      <c r="AM1590" s="64" t="e">
        <f>(AM1584/(N_1*AM$27))*SQRT('Valve Sizing'!$G$6/AM1588)</f>
        <v>#NUM!</v>
      </c>
      <c r="AN1590" s="41"/>
      <c r="AO1590" s="73"/>
      <c r="AP1590" s="64" t="e">
        <f>(AP1584/(N_1*AP$27))*SQRT('Valve Sizing'!$G$6/AP1588)</f>
        <v>#NUM!</v>
      </c>
      <c r="AQ1590" s="41"/>
      <c r="AR1590" s="73"/>
      <c r="AS1590" s="64" t="e">
        <f>(AS1584/(N_1*AS$27))*SQRT('Valve Sizing'!$G$6/AS1588)</f>
        <v>#NUM!</v>
      </c>
      <c r="AT1590" s="41"/>
      <c r="AU1590" s="73"/>
    </row>
    <row r="1591" spans="15:47" ht="13" x14ac:dyDescent="0.3">
      <c r="O1591" s="1" t="s">
        <v>72</v>
      </c>
      <c r="P1591" s="17">
        <v>7</v>
      </c>
      <c r="Q1591" s="65"/>
      <c r="R1591" s="53">
        <f>(R1584/(N_1*F_P_h))*SQRT('Valve Sizing'!$G$6/R1589)</f>
        <v>1.9091437615035116</v>
      </c>
      <c r="S1591" s="56"/>
      <c r="T1591" s="72"/>
      <c r="U1591" s="85">
        <f>(U1584/(N_1*U$27))*SQRT('Valve Sizing'!$G$6/U1589)</f>
        <v>16.889635493453934</v>
      </c>
      <c r="V1591" s="44"/>
      <c r="W1591" s="72"/>
      <c r="X1591" s="85">
        <f>(X1584/(N_1*X$27))*SQRT('Valve Sizing'!$G$6/X1589)</f>
        <v>41.900852767873218</v>
      </c>
      <c r="Y1591" s="44"/>
      <c r="Z1591" s="72"/>
      <c r="AA1591" s="85">
        <f>(AA1584/(N_1*AA$27))*SQRT('Valve Sizing'!$G$6/AA1589)</f>
        <v>88.07817296236108</v>
      </c>
      <c r="AB1591" s="44"/>
      <c r="AC1591" s="72"/>
      <c r="AD1591" s="85">
        <f>(AD1584/(N_1*AD$27))*SQRT('Valve Sizing'!$G$6/AD1589)</f>
        <v>186.77371344484084</v>
      </c>
      <c r="AE1591" s="44"/>
      <c r="AF1591" s="72"/>
      <c r="AG1591" s="85">
        <f>(AG1584/(N_1*AG$27))*SQRT('Valve Sizing'!$G$6/AG1589)</f>
        <v>3109.6770398460953</v>
      </c>
      <c r="AH1591" s="44"/>
      <c r="AI1591" s="72"/>
      <c r="AJ1591" s="85" t="e">
        <f>(AJ1584/(N_1*AJ$27))*SQRT('Valve Sizing'!$G$6/AJ1589)</f>
        <v>#NUM!</v>
      </c>
      <c r="AK1591" s="44"/>
      <c r="AL1591" s="72"/>
      <c r="AM1591" s="85" t="e">
        <f>(AM1584/(N_1*AM$27))*SQRT('Valve Sizing'!$G$6/AM1589)</f>
        <v>#NUM!</v>
      </c>
      <c r="AN1591" s="44"/>
      <c r="AO1591" s="72"/>
      <c r="AP1591" s="85" t="e">
        <f>(AP1584/(N_1*AP$27))*SQRT('Valve Sizing'!$G$6/AP1589)</f>
        <v>#NUM!</v>
      </c>
      <c r="AQ1591" s="44"/>
      <c r="AR1591" s="72"/>
      <c r="AS1591" s="85" t="e">
        <f>(AS1584/(N_1*AS$27))*SQRT('Valve Sizing'!$G$6/AS1589)</f>
        <v>#NUM!</v>
      </c>
      <c r="AT1591" s="44"/>
      <c r="AU1591" s="72"/>
    </row>
    <row r="1592" spans="15:47" x14ac:dyDescent="0.25">
      <c r="O1592" s="1" t="s">
        <v>246</v>
      </c>
      <c r="P1592" s="18"/>
      <c r="Q1592" s="65"/>
      <c r="R1592" s="53">
        <f>IF(R1588&lt;R1589,R1590,R1591)</f>
        <v>2.2987739458122762</v>
      </c>
      <c r="S1592" s="49"/>
      <c r="T1592" s="72"/>
      <c r="U1592" s="64">
        <f>IF(U1588&lt;U1589,U1590,U1591)</f>
        <v>20.422360612574053</v>
      </c>
      <c r="V1592" s="44"/>
      <c r="W1592" s="72"/>
      <c r="X1592" s="64">
        <f>IF(X1588&lt;X1589,X1590,X1591)</f>
        <v>51.23311494562158</v>
      </c>
      <c r="Y1592" s="44"/>
      <c r="Z1592" s="72"/>
      <c r="AA1592" s="64">
        <f>IF(AA1588&lt;AA1589,AA1590,AA1591)</f>
        <v>115.92479918045557</v>
      </c>
      <c r="AB1592" s="44"/>
      <c r="AC1592" s="72"/>
      <c r="AD1592" s="64">
        <f>IF(AD1588&lt;AD1589,AD1590,AD1591)</f>
        <v>651.66213590840016</v>
      </c>
      <c r="AE1592" s="44"/>
      <c r="AF1592" s="72"/>
      <c r="AG1592" s="64" t="e">
        <f>IF(AG1588&lt;AG1589,AG1590,AG1591)</f>
        <v>#NUM!</v>
      </c>
      <c r="AH1592" s="44"/>
      <c r="AI1592" s="72"/>
      <c r="AJ1592" s="64" t="e">
        <f>IF(AJ1588&lt;AJ1589,AJ1590,AJ1591)</f>
        <v>#NUM!</v>
      </c>
      <c r="AK1592" s="44"/>
      <c r="AL1592" s="72"/>
      <c r="AM1592" s="64" t="e">
        <f>IF(AM1588&lt;AM1589,AM1590,AM1591)</f>
        <v>#NUM!</v>
      </c>
      <c r="AN1592" s="44"/>
      <c r="AO1592" s="72"/>
      <c r="AP1592" s="64" t="e">
        <f>IF(AP1588&lt;AP1589,AP1590,AP1591)</f>
        <v>#NUM!</v>
      </c>
      <c r="AQ1592" s="44"/>
      <c r="AR1592" s="72"/>
      <c r="AS1592" s="64" t="e">
        <f>IF(AS1588&lt;AS1589,AS1590,AS1591)</f>
        <v>#NUM!</v>
      </c>
      <c r="AT1592" s="44"/>
      <c r="AU1592" s="72"/>
    </row>
    <row r="1593" spans="15:47" ht="13" x14ac:dyDescent="0.3">
      <c r="O1593" s="7" t="s">
        <v>264</v>
      </c>
      <c r="Q1593" s="61"/>
      <c r="R1593" s="53"/>
      <c r="S1593" s="69">
        <f>IFERROR(ABS(C_h-R1592),Q_max*10)</f>
        <v>2.7012260541877238</v>
      </c>
      <c r="T1593" s="76">
        <f>R1584</f>
        <v>13.053116238010938</v>
      </c>
      <c r="U1593" s="61"/>
      <c r="V1593" s="69">
        <f>IFERROR(ABS(U$23-U1592),Q_max*10)</f>
        <v>8.4223606125740531</v>
      </c>
      <c r="W1593" s="75">
        <f>U1584</f>
        <v>114.93031777202565</v>
      </c>
      <c r="X1593" s="61"/>
      <c r="Y1593" s="69">
        <f>IFERROR(ABS(X$23-X1592),Q_max*10)</f>
        <v>28.23311494562158</v>
      </c>
      <c r="Z1593" s="75">
        <f>X1584</f>
        <v>275.87700363132552</v>
      </c>
      <c r="AA1593" s="61"/>
      <c r="AB1593" s="69">
        <f>IFERROR(ABS(AA$23-AA1592),Q_max*10)</f>
        <v>76.924799180455565</v>
      </c>
      <c r="AC1593" s="75">
        <f>AA1584</f>
        <v>526.75030559160655</v>
      </c>
      <c r="AD1593" s="61"/>
      <c r="AE1593" s="69">
        <f>IFERROR(ABS(AD$23-AD1592),Q_max*10)</f>
        <v>590.66213590840016</v>
      </c>
      <c r="AF1593" s="75">
        <f>AD1584</f>
        <v>866.31031474194594</v>
      </c>
      <c r="AG1593" s="61"/>
      <c r="AH1593" s="69">
        <f>IFERROR(ABS(AG$23-AG1592),Q_max*10)</f>
        <v>5500</v>
      </c>
      <c r="AI1593" s="75">
        <f>AG1584</f>
        <v>1289.818009652681</v>
      </c>
      <c r="AJ1593" s="61"/>
      <c r="AK1593" s="69">
        <f>IFERROR(ABS(AJ$23-AJ1592),Q_max*10)</f>
        <v>5500</v>
      </c>
      <c r="AL1593" s="75">
        <f>AJ1584</f>
        <v>1721.2671339477354</v>
      </c>
      <c r="AM1593" s="61"/>
      <c r="AN1593" s="69">
        <f>IFERROR(ABS(AM$23-AM1592),Q_max*10)</f>
        <v>5500</v>
      </c>
      <c r="AO1593" s="75">
        <f>AM1584</f>
        <v>2100.2730129328097</v>
      </c>
      <c r="AP1593" s="61"/>
      <c r="AQ1593" s="69">
        <f>IFERROR(ABS(AP$23-AP1592),Q_max*10)</f>
        <v>5500</v>
      </c>
      <c r="AR1593" s="75">
        <f>AP1584</f>
        <v>2438.3517658164037</v>
      </c>
      <c r="AS1593" s="61"/>
      <c r="AT1593" s="69">
        <f>IFERROR(ABS(AS$23-AS1592),Q_max*10)</f>
        <v>5500</v>
      </c>
      <c r="AU1593" s="75">
        <f>AS1584</f>
        <v>2775.0717600082949</v>
      </c>
    </row>
    <row r="1594" spans="15:47" ht="14.5" x14ac:dyDescent="0.35">
      <c r="O1594" s="6"/>
      <c r="P1594" s="6"/>
      <c r="Q1594" s="60"/>
      <c r="R1594" s="67"/>
      <c r="S1594" s="56"/>
      <c r="T1594" s="72"/>
      <c r="V1594" s="11"/>
      <c r="W1594" s="38"/>
      <c r="Y1594" s="11"/>
      <c r="Z1594" s="38"/>
      <c r="AB1594" s="11"/>
      <c r="AC1594" s="38"/>
      <c r="AE1594" s="11"/>
      <c r="AF1594" s="38"/>
      <c r="AH1594" s="11"/>
      <c r="AI1594" s="38"/>
      <c r="AK1594" s="11"/>
      <c r="AL1594" s="38"/>
      <c r="AN1594" s="11"/>
      <c r="AO1594" s="38"/>
      <c r="AQ1594" s="11"/>
      <c r="AR1594" s="38"/>
      <c r="AT1594" s="11"/>
      <c r="AU1594" s="38"/>
    </row>
    <row r="1595" spans="15:47" ht="14" x14ac:dyDescent="0.3">
      <c r="O1595" s="8" t="s">
        <v>235</v>
      </c>
      <c r="P1595" s="6"/>
      <c r="Q1595" s="60"/>
      <c r="R1595" s="53">
        <f>R1584*1.02</f>
        <v>13.314178562771158</v>
      </c>
      <c r="S1595" s="58" t="s">
        <v>238</v>
      </c>
      <c r="T1595" s="73" t="s">
        <v>241</v>
      </c>
      <c r="U1595" s="84">
        <f>U1584*1.01</f>
        <v>116.0796209497459</v>
      </c>
      <c r="V1595" s="58" t="s">
        <v>238</v>
      </c>
      <c r="W1595" s="73" t="s">
        <v>241</v>
      </c>
      <c r="X1595" s="84">
        <f>X1584*1.01</f>
        <v>278.63577366763877</v>
      </c>
      <c r="Y1595" s="58" t="s">
        <v>238</v>
      </c>
      <c r="Z1595" s="73" t="s">
        <v>241</v>
      </c>
      <c r="AA1595" s="84">
        <f>AA1584*1.01</f>
        <v>532.01780864752266</v>
      </c>
      <c r="AB1595" s="58" t="s">
        <v>238</v>
      </c>
      <c r="AC1595" s="73" t="s">
        <v>241</v>
      </c>
      <c r="AD1595" s="84">
        <f>AD1584*1.01</f>
        <v>874.97341788936546</v>
      </c>
      <c r="AE1595" s="58" t="s">
        <v>238</v>
      </c>
      <c r="AF1595" s="73" t="s">
        <v>241</v>
      </c>
      <c r="AG1595" s="84">
        <f>AG1584*1.01</f>
        <v>1302.7161897492078</v>
      </c>
      <c r="AH1595" s="58" t="s">
        <v>238</v>
      </c>
      <c r="AI1595" s="73" t="s">
        <v>241</v>
      </c>
      <c r="AJ1595" s="84">
        <f>AJ1584*1.01</f>
        <v>1738.4798052872127</v>
      </c>
      <c r="AK1595" s="58" t="s">
        <v>238</v>
      </c>
      <c r="AL1595" s="73" t="s">
        <v>241</v>
      </c>
      <c r="AM1595" s="84">
        <f>AM1584*1.01</f>
        <v>2121.2757430621377</v>
      </c>
      <c r="AN1595" s="58" t="s">
        <v>238</v>
      </c>
      <c r="AO1595" s="73" t="s">
        <v>241</v>
      </c>
      <c r="AP1595" s="84">
        <f>AP1584*1.01</f>
        <v>2462.735283474568</v>
      </c>
      <c r="AQ1595" s="58" t="s">
        <v>238</v>
      </c>
      <c r="AR1595" s="73" t="s">
        <v>241</v>
      </c>
      <c r="AS1595" s="84">
        <f>AS1584*1.01</f>
        <v>2802.822477608378</v>
      </c>
      <c r="AT1595" s="58" t="s">
        <v>238</v>
      </c>
      <c r="AU1595" s="73" t="s">
        <v>241</v>
      </c>
    </row>
    <row r="1596" spans="15:47" ht="13" x14ac:dyDescent="0.25">
      <c r="O1596" s="6"/>
      <c r="P1596" s="6"/>
      <c r="Q1596" s="60"/>
      <c r="R1596" s="70"/>
      <c r="S1596" s="63" t="s">
        <v>250</v>
      </c>
      <c r="T1596" s="71" t="s">
        <v>242</v>
      </c>
      <c r="U1596" s="61"/>
      <c r="V1596" s="63" t="s">
        <v>250</v>
      </c>
      <c r="W1596" s="71" t="s">
        <v>242</v>
      </c>
      <c r="X1596" s="61"/>
      <c r="Y1596" s="63" t="s">
        <v>250</v>
      </c>
      <c r="Z1596" s="71" t="s">
        <v>242</v>
      </c>
      <c r="AA1596" s="61"/>
      <c r="AB1596" s="63" t="s">
        <v>250</v>
      </c>
      <c r="AC1596" s="71" t="s">
        <v>242</v>
      </c>
      <c r="AD1596" s="61"/>
      <c r="AE1596" s="63" t="s">
        <v>250</v>
      </c>
      <c r="AF1596" s="71" t="s">
        <v>242</v>
      </c>
      <c r="AG1596" s="61"/>
      <c r="AH1596" s="63" t="s">
        <v>250</v>
      </c>
      <c r="AI1596" s="71" t="s">
        <v>242</v>
      </c>
      <c r="AJ1596" s="61"/>
      <c r="AK1596" s="63" t="s">
        <v>250</v>
      </c>
      <c r="AL1596" s="71" t="s">
        <v>242</v>
      </c>
      <c r="AM1596" s="61"/>
      <c r="AN1596" s="63" t="s">
        <v>250</v>
      </c>
      <c r="AO1596" s="71" t="s">
        <v>242</v>
      </c>
      <c r="AP1596" s="61"/>
      <c r="AQ1596" s="63" t="s">
        <v>250</v>
      </c>
      <c r="AR1596" s="71" t="s">
        <v>242</v>
      </c>
      <c r="AS1596" s="61"/>
      <c r="AT1596" s="63" t="s">
        <v>250</v>
      </c>
      <c r="AU1596" s="71" t="s">
        <v>242</v>
      </c>
    </row>
    <row r="1597" spans="15:47" ht="13" x14ac:dyDescent="0.3">
      <c r="O1597" s="6" t="s">
        <v>231</v>
      </c>
      <c r="P1597" s="6"/>
      <c r="Q1597" s="60"/>
      <c r="R1597" s="85">
        <f>P_1_minQ-(R1595^2*R_up)+dpup_minQ</f>
        <v>56.910156455562266</v>
      </c>
      <c r="S1597" s="56"/>
      <c r="T1597" s="72"/>
      <c r="U1597" s="53">
        <f>P_1_minQ-(U1595^2*R_up)+dpup_minQ</f>
        <v>56.46107806822571</v>
      </c>
      <c r="V1597" s="44"/>
      <c r="W1597" s="72"/>
      <c r="X1597" s="53">
        <f>P_1_minQ-(X1595^2*R_up)+dpup_minQ</f>
        <v>54.294127174354486</v>
      </c>
      <c r="Y1597" s="44"/>
      <c r="Z1597" s="72"/>
      <c r="AA1597" s="53">
        <f>P_1_minQ-(AA1595^2*R_up)+dpup_minQ</f>
        <v>47.357110816679771</v>
      </c>
      <c r="AB1597" s="44"/>
      <c r="AC1597" s="72"/>
      <c r="AD1597" s="53">
        <f>P_1_minQ-(AD1595^2*R_up)+dpup_minQ</f>
        <v>31.060740222458691</v>
      </c>
      <c r="AE1597" s="44"/>
      <c r="AF1597" s="72"/>
      <c r="AG1597" s="53">
        <f>P_1_minQ-(AG1595^2*R_up)+dpup_minQ</f>
        <v>-0.39792202075967686</v>
      </c>
      <c r="AH1597" s="44"/>
      <c r="AI1597" s="72"/>
      <c r="AJ1597" s="53">
        <f>P_1_minQ-(AJ1595^2*R_up)+dpup_minQ</f>
        <v>-45.154509739664483</v>
      </c>
      <c r="AK1597" s="44"/>
      <c r="AL1597" s="72"/>
      <c r="AM1597" s="53">
        <f>P_1_minQ-(AM1595^2*R_up)+dpup_minQ</f>
        <v>-95.053150223026847</v>
      </c>
      <c r="AN1597" s="44"/>
      <c r="AO1597" s="72"/>
      <c r="AP1597" s="53">
        <f>P_1_minQ-(AP1595^2*R_up)+dpup_minQ</f>
        <v>-147.91550410234922</v>
      </c>
      <c r="AQ1597" s="44"/>
      <c r="AR1597" s="72"/>
      <c r="AS1597" s="53">
        <f>P_1_minQ-(AS1595^2*R_up)+dpup_minQ</f>
        <v>-208.39334147202865</v>
      </c>
      <c r="AT1597" s="44"/>
      <c r="AU1597" s="72"/>
    </row>
    <row r="1598" spans="15:47" ht="13" x14ac:dyDescent="0.3">
      <c r="O1598" s="6" t="s">
        <v>233</v>
      </c>
      <c r="P1598" s="6"/>
      <c r="Q1598" s="60"/>
      <c r="R1598" s="85">
        <f>P_2_minQ+(R1595^2*R_dn)-dpdn_minQ</f>
        <v>24.657968708887548</v>
      </c>
      <c r="S1598" s="66"/>
      <c r="T1598" s="74"/>
      <c r="U1598" s="53">
        <f>P_2_minQ+(U1595^2*R_dn)-dpdn_minQ</f>
        <v>24.747784386354859</v>
      </c>
      <c r="V1598" s="45"/>
      <c r="W1598" s="74"/>
      <c r="X1598" s="53">
        <f>P_2_minQ+(X1595^2*R_dn)-dpdn_minQ</f>
        <v>25.181174565129105</v>
      </c>
      <c r="Y1598" s="45"/>
      <c r="Z1598" s="74"/>
      <c r="AA1598" s="53">
        <f>P_2_minQ+(AA1595^2*R_dn)-dpdn_minQ</f>
        <v>26.568577836664048</v>
      </c>
      <c r="AB1598" s="45"/>
      <c r="AC1598" s="74"/>
      <c r="AD1598" s="53">
        <f>P_2_minQ+(AD1595^2*R_dn)-dpdn_minQ</f>
        <v>29.827851955508262</v>
      </c>
      <c r="AE1598" s="45"/>
      <c r="AF1598" s="74"/>
      <c r="AG1598" s="53">
        <f>P_2_minQ+(AG1595^2*R_dn)-dpdn_minQ</f>
        <v>36.119584404151936</v>
      </c>
      <c r="AH1598" s="45"/>
      <c r="AI1598" s="74"/>
      <c r="AJ1598" s="53">
        <f>P_2_minQ+(AJ1595^2*R_dn)-dpdn_minQ</f>
        <v>45.070901947932896</v>
      </c>
      <c r="AK1598" s="45"/>
      <c r="AL1598" s="74"/>
      <c r="AM1598" s="53">
        <f>P_2_minQ+(AM1595^2*R_dn)-dpdn_minQ</f>
        <v>55.05063004460537</v>
      </c>
      <c r="AN1598" s="45"/>
      <c r="AO1598" s="74"/>
      <c r="AP1598" s="53">
        <f>P_2_minQ+(AP1595^2*R_dn)-dpdn_minQ</f>
        <v>65.623100820469844</v>
      </c>
      <c r="AQ1598" s="45"/>
      <c r="AR1598" s="74"/>
      <c r="AS1598" s="53">
        <f>P_2_minQ+(AS1595^2*R_dn)-dpdn_minQ</f>
        <v>77.718668294405717</v>
      </c>
      <c r="AT1598" s="45"/>
      <c r="AU1598" s="74"/>
    </row>
    <row r="1599" spans="15:47" x14ac:dyDescent="0.25">
      <c r="O1599" s="6" t="s">
        <v>243</v>
      </c>
      <c r="Q1599" s="60"/>
      <c r="R1599" s="53">
        <f>R1597-R1598</f>
        <v>32.252187746674721</v>
      </c>
      <c r="S1599" s="56"/>
      <c r="T1599" s="72"/>
      <c r="U1599" s="64">
        <f>U1597-U1598</f>
        <v>31.713293681870852</v>
      </c>
      <c r="V1599" s="44"/>
      <c r="W1599" s="72"/>
      <c r="X1599" s="64">
        <f>X1597-X1598</f>
        <v>29.112952609225381</v>
      </c>
      <c r="Y1599" s="44"/>
      <c r="Z1599" s="72"/>
      <c r="AA1599" s="64">
        <f>AA1597-AA1598</f>
        <v>20.788532980015724</v>
      </c>
      <c r="AB1599" s="44"/>
      <c r="AC1599" s="72"/>
      <c r="AD1599" s="64">
        <f>AD1597-AD1598</f>
        <v>1.2328882669504289</v>
      </c>
      <c r="AE1599" s="44"/>
      <c r="AF1599" s="72"/>
      <c r="AG1599" s="64">
        <f>AG1597-AG1598</f>
        <v>-36.517506424911616</v>
      </c>
      <c r="AH1599" s="44"/>
      <c r="AI1599" s="72"/>
      <c r="AJ1599" s="64">
        <f>AJ1597-AJ1598</f>
        <v>-90.225411687597386</v>
      </c>
      <c r="AK1599" s="44"/>
      <c r="AL1599" s="72"/>
      <c r="AM1599" s="64">
        <f>AM1597-AM1598</f>
        <v>-150.1037802676322</v>
      </c>
      <c r="AN1599" s="44"/>
      <c r="AO1599" s="72"/>
      <c r="AP1599" s="64">
        <f>AP1597-AP1598</f>
        <v>-213.53860492281905</v>
      </c>
      <c r="AQ1599" s="44"/>
      <c r="AR1599" s="72"/>
      <c r="AS1599" s="64">
        <f>AS1597-AS1598</f>
        <v>-286.11200976643437</v>
      </c>
      <c r="AT1599" s="44"/>
      <c r="AU1599" s="72"/>
    </row>
    <row r="1600" spans="15:47" ht="13" x14ac:dyDescent="0.3">
      <c r="O1600" s="6" t="s">
        <v>75</v>
      </c>
      <c r="P1600" s="6">
        <v>3</v>
      </c>
      <c r="Q1600" s="65"/>
      <c r="R1600" s="85">
        <f>(F_LP_h/F_P_h)^2*(R1597-('Valve Sizing'!$V$4*'Valve Sizing'!$G$7))</f>
        <v>46.760205907329684</v>
      </c>
      <c r="S1600" s="58"/>
      <c r="T1600" s="73"/>
      <c r="U1600" s="53">
        <f>(U$29/U$27)^2*(U1597-('Valve Sizing'!$V$4*'Valve Sizing'!$G$7))</f>
        <v>46.375701883913479</v>
      </c>
      <c r="V1600" s="41"/>
      <c r="W1600" s="73"/>
      <c r="X1600" s="53">
        <f>(X$29/X$27)^2*(X1597-('Valve Sizing'!$V$4*'Valve Sizing'!$G$7))</f>
        <v>43.576212324049465</v>
      </c>
      <c r="Y1600" s="41"/>
      <c r="Z1600" s="73"/>
      <c r="AA1600" s="53">
        <f>(AA$29/AA$27)^2*(AA1597-('Valve Sizing'!$V$4*'Valve Sizing'!$G$7))</f>
        <v>36.257368306644942</v>
      </c>
      <c r="AB1600" s="41"/>
      <c r="AC1600" s="73"/>
      <c r="AD1600" s="53">
        <f>(AD$29/AD$27)^2*(AD1597-('Valve Sizing'!$V$4*'Valve Sizing'!$G$7))</f>
        <v>22.083250656707722</v>
      </c>
      <c r="AE1600" s="41"/>
      <c r="AF1600" s="73"/>
      <c r="AG1600" s="53">
        <f>(AG$29/AG$27)^2*(AG1597-('Valve Sizing'!$V$4*'Valve Sizing'!$G$7))</f>
        <v>-0.53969575037815332</v>
      </c>
      <c r="AH1600" s="41"/>
      <c r="AI1600" s="73"/>
      <c r="AJ1600" s="53">
        <f>(AJ$29/AJ$27)^2*(AJ1597-('Valve Sizing'!$V$4*'Valve Sizing'!$G$7))</f>
        <v>-26.370271673775513</v>
      </c>
      <c r="AK1600" s="41"/>
      <c r="AL1600" s="73"/>
      <c r="AM1600" s="53">
        <f>(AM$29/AM$27)^2*(AM1597-('Valve Sizing'!$V$4*'Valve Sizing'!$G$7))</f>
        <v>-45.690840424062124</v>
      </c>
      <c r="AN1600" s="41"/>
      <c r="AO1600" s="73"/>
      <c r="AP1600" s="53">
        <f>(AP$29/AP$27)^2*(AP1597-('Valve Sizing'!$V$4*'Valve Sizing'!$G$7))</f>
        <v>-58.54508466278476</v>
      </c>
      <c r="AQ1600" s="41"/>
      <c r="AR1600" s="73"/>
      <c r="AS1600" s="53">
        <f>(AS$29/AS$27)^2*(AS1597-('Valve Sizing'!$V$4*'Valve Sizing'!$G$7))</f>
        <v>-78.550760588291297</v>
      </c>
      <c r="AT1600" s="41"/>
      <c r="AU1600" s="73"/>
    </row>
    <row r="1601" spans="15:47" ht="13" x14ac:dyDescent="0.25">
      <c r="O1601" s="1" t="s">
        <v>69</v>
      </c>
      <c r="P1601" s="17">
        <v>7</v>
      </c>
      <c r="Q1601" s="65"/>
      <c r="R1601" s="53">
        <f>(R1595/(N_1*F_P_h))*SQRT('Valve Sizing'!$G$6/R1599)</f>
        <v>2.3447595652184621</v>
      </c>
      <c r="S1601" s="58"/>
      <c r="T1601" s="73"/>
      <c r="U1601" s="64">
        <f>(U1595/(N_1*U$27))*SQRT('Valve Sizing'!$G$6/U1599)</f>
        <v>20.630083084195171</v>
      </c>
      <c r="V1601" s="41"/>
      <c r="W1601" s="73"/>
      <c r="X1601" s="64">
        <f>(X1595/(N_1*X$27))*SQRT('Valve Sizing'!$G$6/X1599)</f>
        <v>51.800513518527545</v>
      </c>
      <c r="Y1601" s="41"/>
      <c r="Z1601" s="73"/>
      <c r="AA1601" s="64">
        <f>(AA1595/(N_1*AA$27))*SQRT('Valve Sizing'!$G$6/AA1599)</f>
        <v>117.71881762987829</v>
      </c>
      <c r="AB1601" s="41"/>
      <c r="AC1601" s="73"/>
      <c r="AD1601" s="64">
        <f>(AD1595/(N_1*AD$27))*SQRT('Valve Sizing'!$G$6/AD1599)</f>
        <v>804.98881285584287</v>
      </c>
      <c r="AE1601" s="41"/>
      <c r="AF1601" s="73"/>
      <c r="AG1601" s="64" t="e">
        <f>(AG1595/(N_1*AG$27))*SQRT('Valve Sizing'!$G$6/AG1599)</f>
        <v>#NUM!</v>
      </c>
      <c r="AH1601" s="41"/>
      <c r="AI1601" s="73"/>
      <c r="AJ1601" s="64" t="e">
        <f>(AJ1595/(N_1*AJ$27))*SQRT('Valve Sizing'!$G$6/AJ1599)</f>
        <v>#NUM!</v>
      </c>
      <c r="AK1601" s="41"/>
      <c r="AL1601" s="73"/>
      <c r="AM1601" s="64" t="e">
        <f>(AM1595/(N_1*AM$27))*SQRT('Valve Sizing'!$G$6/AM1599)</f>
        <v>#NUM!</v>
      </c>
      <c r="AN1601" s="41"/>
      <c r="AO1601" s="73"/>
      <c r="AP1601" s="64" t="e">
        <f>(AP1595/(N_1*AP$27))*SQRT('Valve Sizing'!$G$6/AP1599)</f>
        <v>#NUM!</v>
      </c>
      <c r="AQ1601" s="41"/>
      <c r="AR1601" s="73"/>
      <c r="AS1601" s="64" t="e">
        <f>(AS1595/(N_1*AS$27))*SQRT('Valve Sizing'!$G$6/AS1599)</f>
        <v>#NUM!</v>
      </c>
      <c r="AT1601" s="41"/>
      <c r="AU1601" s="73"/>
    </row>
    <row r="1602" spans="15:47" ht="13" x14ac:dyDescent="0.3">
      <c r="O1602" s="1" t="s">
        <v>72</v>
      </c>
      <c r="P1602" s="17">
        <v>7</v>
      </c>
      <c r="Q1602" s="65"/>
      <c r="R1602" s="53">
        <f>(R1595/(N_1*F_P_h))*SQRT('Valve Sizing'!$G$6/R1600)</f>
        <v>1.9473306450424808</v>
      </c>
      <c r="S1602" s="56"/>
      <c r="T1602" s="72"/>
      <c r="U1602" s="85">
        <f>(U1595/(N_1*U$27))*SQRT('Valve Sizing'!$G$6/U1600)</f>
        <v>17.059896966183594</v>
      </c>
      <c r="V1602" s="44"/>
      <c r="W1602" s="72"/>
      <c r="X1602" s="85">
        <f>(X1595/(N_1*X$27))*SQRT('Valve Sizing'!$G$6/X1600)</f>
        <v>42.340155883742014</v>
      </c>
      <c r="Y1602" s="44"/>
      <c r="Z1602" s="72"/>
      <c r="AA1602" s="85">
        <f>(AA1595/(N_1*AA$27))*SQRT('Valve Sizing'!$G$6/AA1600)</f>
        <v>89.1373407762581</v>
      </c>
      <c r="AB1602" s="44"/>
      <c r="AC1602" s="72"/>
      <c r="AD1602" s="85">
        <f>(AD1595/(N_1*AD$27))*SQRT('Valve Sizing'!$G$6/AD1600)</f>
        <v>190.20424427955723</v>
      </c>
      <c r="AE1602" s="44"/>
      <c r="AF1602" s="72"/>
      <c r="AG1602" s="85" t="e">
        <f>(AG1595/(N_1*AG$27))*SQRT('Valve Sizing'!$G$6/AG1600)</f>
        <v>#NUM!</v>
      </c>
      <c r="AH1602" s="44"/>
      <c r="AI1602" s="72"/>
      <c r="AJ1602" s="85" t="e">
        <f>(AJ1595/(N_1*AJ$27))*SQRT('Valve Sizing'!$G$6/AJ1600)</f>
        <v>#NUM!</v>
      </c>
      <c r="AK1602" s="44"/>
      <c r="AL1602" s="72"/>
      <c r="AM1602" s="85" t="e">
        <f>(AM1595/(N_1*AM$27))*SQRT('Valve Sizing'!$G$6/AM1600)</f>
        <v>#NUM!</v>
      </c>
      <c r="AN1602" s="44"/>
      <c r="AO1602" s="72"/>
      <c r="AP1602" s="85" t="e">
        <f>(AP1595/(N_1*AP$27))*SQRT('Valve Sizing'!$G$6/AP1600)</f>
        <v>#NUM!</v>
      </c>
      <c r="AQ1602" s="44"/>
      <c r="AR1602" s="72"/>
      <c r="AS1602" s="85" t="e">
        <f>(AS1595/(N_1*AS$27))*SQRT('Valve Sizing'!$G$6/AS1600)</f>
        <v>#NUM!</v>
      </c>
      <c r="AT1602" s="44"/>
      <c r="AU1602" s="72"/>
    </row>
    <row r="1603" spans="15:47" x14ac:dyDescent="0.25">
      <c r="O1603" s="1" t="s">
        <v>246</v>
      </c>
      <c r="P1603" s="18"/>
      <c r="Q1603" s="65"/>
      <c r="R1603" s="53">
        <f>IF(R1599&lt;R1600,R1601,R1602)</f>
        <v>2.3447595652184621</v>
      </c>
      <c r="S1603" s="49"/>
      <c r="T1603" s="72"/>
      <c r="U1603" s="64">
        <f>IF(U1599&lt;U1600,U1601,U1602)</f>
        <v>20.630083084195171</v>
      </c>
      <c r="V1603" s="44"/>
      <c r="W1603" s="72"/>
      <c r="X1603" s="64">
        <f>IF(X1599&lt;X1600,X1601,X1602)</f>
        <v>51.800513518527545</v>
      </c>
      <c r="Y1603" s="44"/>
      <c r="Z1603" s="72"/>
      <c r="AA1603" s="64">
        <f>IF(AA1599&lt;AA1600,AA1601,AA1602)</f>
        <v>117.71881762987829</v>
      </c>
      <c r="AB1603" s="44"/>
      <c r="AC1603" s="72"/>
      <c r="AD1603" s="64">
        <f>IF(AD1599&lt;AD1600,AD1601,AD1602)</f>
        <v>804.98881285584287</v>
      </c>
      <c r="AE1603" s="44"/>
      <c r="AF1603" s="72"/>
      <c r="AG1603" s="64" t="e">
        <f>IF(AG1599&lt;AG1600,AG1601,AG1602)</f>
        <v>#NUM!</v>
      </c>
      <c r="AH1603" s="44"/>
      <c r="AI1603" s="72"/>
      <c r="AJ1603" s="64" t="e">
        <f>IF(AJ1599&lt;AJ1600,AJ1601,AJ1602)</f>
        <v>#NUM!</v>
      </c>
      <c r="AK1603" s="44"/>
      <c r="AL1603" s="72"/>
      <c r="AM1603" s="64" t="e">
        <f>IF(AM1599&lt;AM1600,AM1601,AM1602)</f>
        <v>#NUM!</v>
      </c>
      <c r="AN1603" s="44"/>
      <c r="AO1603" s="72"/>
      <c r="AP1603" s="64" t="e">
        <f>IF(AP1599&lt;AP1600,AP1601,AP1602)</f>
        <v>#NUM!</v>
      </c>
      <c r="AQ1603" s="44"/>
      <c r="AR1603" s="72"/>
      <c r="AS1603" s="64" t="e">
        <f>IF(AS1599&lt;AS1600,AS1601,AS1602)</f>
        <v>#NUM!</v>
      </c>
      <c r="AT1603" s="44"/>
      <c r="AU1603" s="72"/>
    </row>
    <row r="1604" spans="15:47" ht="13" x14ac:dyDescent="0.3">
      <c r="O1604" s="7" t="s">
        <v>264</v>
      </c>
      <c r="Q1604" s="61"/>
      <c r="R1604" s="53"/>
      <c r="S1604" s="69">
        <f>IFERROR(ABS(C_h-R1603),Q_max*10)</f>
        <v>2.6552404347815379</v>
      </c>
      <c r="T1604" s="76">
        <f>R1595</f>
        <v>13.314178562771158</v>
      </c>
      <c r="U1604" s="61"/>
      <c r="V1604" s="69">
        <f>IFERROR(ABS(U$23-U1603),Q_max*10)</f>
        <v>8.6300830841951708</v>
      </c>
      <c r="W1604" s="75">
        <f>U1595</f>
        <v>116.0796209497459</v>
      </c>
      <c r="X1604" s="61"/>
      <c r="Y1604" s="69">
        <f>IFERROR(ABS(X$23-X1603),Q_max*10)</f>
        <v>28.800513518527545</v>
      </c>
      <c r="Z1604" s="75">
        <f>X1595</f>
        <v>278.63577366763877</v>
      </c>
      <c r="AA1604" s="61"/>
      <c r="AB1604" s="69">
        <f>IFERROR(ABS(AA$23-AA1603),Q_max*10)</f>
        <v>78.718817629878288</v>
      </c>
      <c r="AC1604" s="75">
        <f>AA1595</f>
        <v>532.01780864752266</v>
      </c>
      <c r="AD1604" s="61"/>
      <c r="AE1604" s="69">
        <f>IFERROR(ABS(AD$23-AD1603),Q_max*10)</f>
        <v>743.98881285584287</v>
      </c>
      <c r="AF1604" s="75">
        <f>AD1595</f>
        <v>874.97341788936546</v>
      </c>
      <c r="AG1604" s="61"/>
      <c r="AH1604" s="69">
        <f>IFERROR(ABS(AG$23-AG1603),Q_max*10)</f>
        <v>5500</v>
      </c>
      <c r="AI1604" s="75">
        <f>AG1595</f>
        <v>1302.7161897492078</v>
      </c>
      <c r="AJ1604" s="61"/>
      <c r="AK1604" s="69">
        <f>IFERROR(ABS(AJ$23-AJ1603),Q_max*10)</f>
        <v>5500</v>
      </c>
      <c r="AL1604" s="75">
        <f>AJ1595</f>
        <v>1738.4798052872127</v>
      </c>
      <c r="AM1604" s="61"/>
      <c r="AN1604" s="69">
        <f>IFERROR(ABS(AM$23-AM1603),Q_max*10)</f>
        <v>5500</v>
      </c>
      <c r="AO1604" s="75">
        <f>AM1595</f>
        <v>2121.2757430621377</v>
      </c>
      <c r="AP1604" s="61"/>
      <c r="AQ1604" s="69">
        <f>IFERROR(ABS(AP$23-AP1603),Q_max*10)</f>
        <v>5500</v>
      </c>
      <c r="AR1604" s="75">
        <f>AP1595</f>
        <v>2462.735283474568</v>
      </c>
      <c r="AS1604" s="61"/>
      <c r="AT1604" s="69">
        <f>IFERROR(ABS(AS$23-AS1603),Q_max*10)</f>
        <v>5500</v>
      </c>
      <c r="AU1604" s="75">
        <f>AS1595</f>
        <v>2802.822477608378</v>
      </c>
    </row>
    <row r="1605" spans="15:47" ht="14.5" x14ac:dyDescent="0.35">
      <c r="O1605" s="8"/>
      <c r="P1605" s="6"/>
      <c r="Q1605" s="60"/>
      <c r="R1605" s="67"/>
      <c r="S1605" s="58"/>
      <c r="T1605" s="73"/>
      <c r="V1605" s="11"/>
      <c r="W1605" s="38"/>
      <c r="Y1605" s="11"/>
      <c r="Z1605" s="38"/>
      <c r="AB1605" s="11"/>
      <c r="AC1605" s="38"/>
      <c r="AE1605" s="11"/>
      <c r="AF1605" s="38"/>
      <c r="AH1605" s="11"/>
      <c r="AI1605" s="38"/>
      <c r="AK1605" s="11"/>
      <c r="AL1605" s="38"/>
      <c r="AN1605" s="11"/>
      <c r="AO1605" s="38"/>
      <c r="AQ1605" s="11"/>
      <c r="AR1605" s="38"/>
      <c r="AT1605" s="11"/>
      <c r="AU1605" s="38"/>
    </row>
    <row r="1606" spans="15:47" ht="14" x14ac:dyDescent="0.3">
      <c r="O1606" s="8" t="s">
        <v>235</v>
      </c>
      <c r="P1606" s="6"/>
      <c r="Q1606" s="60"/>
      <c r="R1606" s="53">
        <f>R1595*1.02</f>
        <v>13.580462134026581</v>
      </c>
      <c r="S1606" s="58" t="s">
        <v>238</v>
      </c>
      <c r="T1606" s="73" t="s">
        <v>241</v>
      </c>
      <c r="U1606" s="84">
        <f>U1595*1.01</f>
        <v>117.24041715924336</v>
      </c>
      <c r="V1606" s="58" t="s">
        <v>238</v>
      </c>
      <c r="W1606" s="73" t="s">
        <v>241</v>
      </c>
      <c r="X1606" s="84">
        <f>X1595*1.01</f>
        <v>281.42213140431517</v>
      </c>
      <c r="Y1606" s="58" t="s">
        <v>238</v>
      </c>
      <c r="Z1606" s="73" t="s">
        <v>241</v>
      </c>
      <c r="AA1606" s="84">
        <f>AA1595*1.01</f>
        <v>537.33798673399792</v>
      </c>
      <c r="AB1606" s="58" t="s">
        <v>238</v>
      </c>
      <c r="AC1606" s="73" t="s">
        <v>241</v>
      </c>
      <c r="AD1606" s="84">
        <f>AD1595*1.01</f>
        <v>883.72315206825908</v>
      </c>
      <c r="AE1606" s="58" t="s">
        <v>238</v>
      </c>
      <c r="AF1606" s="73" t="s">
        <v>241</v>
      </c>
      <c r="AG1606" s="84">
        <f>AG1595*1.01</f>
        <v>1315.7433516466999</v>
      </c>
      <c r="AH1606" s="58" t="s">
        <v>238</v>
      </c>
      <c r="AI1606" s="73" t="s">
        <v>241</v>
      </c>
      <c r="AJ1606" s="84">
        <f>AJ1595*1.01</f>
        <v>1755.8646033400848</v>
      </c>
      <c r="AK1606" s="58" t="s">
        <v>238</v>
      </c>
      <c r="AL1606" s="73" t="s">
        <v>241</v>
      </c>
      <c r="AM1606" s="84">
        <f>AM1595*1.01</f>
        <v>2142.4885004927592</v>
      </c>
      <c r="AN1606" s="58" t="s">
        <v>238</v>
      </c>
      <c r="AO1606" s="73" t="s">
        <v>241</v>
      </c>
      <c r="AP1606" s="84">
        <f>AP1595*1.01</f>
        <v>2487.3626363093135</v>
      </c>
      <c r="AQ1606" s="58" t="s">
        <v>238</v>
      </c>
      <c r="AR1606" s="73" t="s">
        <v>241</v>
      </c>
      <c r="AS1606" s="84">
        <f>AS1595*1.01</f>
        <v>2830.8507023844618</v>
      </c>
      <c r="AT1606" s="58" t="s">
        <v>238</v>
      </c>
      <c r="AU1606" s="73" t="s">
        <v>241</v>
      </c>
    </row>
    <row r="1607" spans="15:47" ht="13" x14ac:dyDescent="0.25">
      <c r="O1607" s="6"/>
      <c r="P1607" s="6"/>
      <c r="Q1607" s="60"/>
      <c r="R1607" s="70"/>
      <c r="S1607" s="63" t="s">
        <v>250</v>
      </c>
      <c r="T1607" s="71" t="s">
        <v>242</v>
      </c>
      <c r="U1607" s="61"/>
      <c r="V1607" s="63" t="s">
        <v>250</v>
      </c>
      <c r="W1607" s="71" t="s">
        <v>242</v>
      </c>
      <c r="X1607" s="61"/>
      <c r="Y1607" s="63" t="s">
        <v>250</v>
      </c>
      <c r="Z1607" s="71" t="s">
        <v>242</v>
      </c>
      <c r="AA1607" s="61"/>
      <c r="AB1607" s="63" t="s">
        <v>250</v>
      </c>
      <c r="AC1607" s="71" t="s">
        <v>242</v>
      </c>
      <c r="AD1607" s="61"/>
      <c r="AE1607" s="63" t="s">
        <v>250</v>
      </c>
      <c r="AF1607" s="71" t="s">
        <v>242</v>
      </c>
      <c r="AG1607" s="61"/>
      <c r="AH1607" s="63" t="s">
        <v>250</v>
      </c>
      <c r="AI1607" s="71" t="s">
        <v>242</v>
      </c>
      <c r="AJ1607" s="61"/>
      <c r="AK1607" s="63" t="s">
        <v>250</v>
      </c>
      <c r="AL1607" s="71" t="s">
        <v>242</v>
      </c>
      <c r="AM1607" s="61"/>
      <c r="AN1607" s="63" t="s">
        <v>250</v>
      </c>
      <c r="AO1607" s="71" t="s">
        <v>242</v>
      </c>
      <c r="AP1607" s="61"/>
      <c r="AQ1607" s="63" t="s">
        <v>250</v>
      </c>
      <c r="AR1607" s="71" t="s">
        <v>242</v>
      </c>
      <c r="AS1607" s="61"/>
      <c r="AT1607" s="63" t="s">
        <v>250</v>
      </c>
      <c r="AU1607" s="71" t="s">
        <v>242</v>
      </c>
    </row>
    <row r="1608" spans="15:47" ht="13" x14ac:dyDescent="0.3">
      <c r="O1608" s="6" t="s">
        <v>231</v>
      </c>
      <c r="P1608" s="6"/>
      <c r="Q1608" s="60"/>
      <c r="R1608" s="85">
        <f>P_1_minQ-(R1606^2*R_up)+dpup_minQ</f>
        <v>56.909914591294367</v>
      </c>
      <c r="S1608" s="56"/>
      <c r="T1608" s="72"/>
      <c r="U1608" s="53">
        <f>P_1_minQ-(U1606^2*R_up)+dpup_minQ</f>
        <v>56.451931259180228</v>
      </c>
      <c r="V1608" s="44"/>
      <c r="W1608" s="72"/>
      <c r="X1608" s="53">
        <f>P_1_minQ-(X1606^2*R_up)+dpup_minQ</f>
        <v>54.241424652342197</v>
      </c>
      <c r="Y1608" s="44"/>
      <c r="Z1608" s="72"/>
      <c r="AA1608" s="53">
        <f>P_1_minQ-(AA1606^2*R_up)+dpup_minQ</f>
        <v>47.164974265878207</v>
      </c>
      <c r="AB1608" s="44"/>
      <c r="AC1608" s="72"/>
      <c r="AD1608" s="53">
        <f>P_1_minQ-(AD1606^2*R_up)+dpup_minQ</f>
        <v>30.541046622713296</v>
      </c>
      <c r="AE1608" s="44"/>
      <c r="AF1608" s="72"/>
      <c r="AG1608" s="53">
        <f>P_1_minQ-(AG1606^2*R_up)+dpup_minQ</f>
        <v>-1.5499347315937628</v>
      </c>
      <c r="AH1608" s="44"/>
      <c r="AI1608" s="72"/>
      <c r="AJ1608" s="53">
        <f>P_1_minQ-(AJ1606^2*R_up)+dpup_minQ</f>
        <v>-47.206129863648549</v>
      </c>
      <c r="AK1608" s="44"/>
      <c r="AL1608" s="72"/>
      <c r="AM1608" s="53">
        <f>P_1_minQ-(AM1606^2*R_up)+dpup_minQ</f>
        <v>-98.107733020726499</v>
      </c>
      <c r="AN1608" s="44"/>
      <c r="AO1608" s="72"/>
      <c r="AP1608" s="53">
        <f>P_1_minQ-(AP1606^2*R_up)+dpup_minQ</f>
        <v>-152.03262021302325</v>
      </c>
      <c r="AQ1608" s="44"/>
      <c r="AR1608" s="72"/>
      <c r="AS1608" s="53">
        <f>P_1_minQ-(AS1606^2*R_up)+dpup_minQ</f>
        <v>-213.72606211383325</v>
      </c>
      <c r="AT1608" s="44"/>
      <c r="AU1608" s="72"/>
    </row>
    <row r="1609" spans="15:47" ht="13" x14ac:dyDescent="0.3">
      <c r="O1609" s="6" t="s">
        <v>233</v>
      </c>
      <c r="P1609" s="6"/>
      <c r="Q1609" s="60"/>
      <c r="R1609" s="85">
        <f>P_2_minQ+(R1606^2*R_dn)-dpdn_minQ</f>
        <v>24.658017081741129</v>
      </c>
      <c r="S1609" s="66"/>
      <c r="T1609" s="74"/>
      <c r="U1609" s="53">
        <f>P_2_minQ+(U1606^2*R_dn)-dpdn_minQ</f>
        <v>24.749613748163956</v>
      </c>
      <c r="V1609" s="45"/>
      <c r="W1609" s="74"/>
      <c r="X1609" s="53">
        <f>P_2_minQ+(X1606^2*R_dn)-dpdn_minQ</f>
        <v>25.191715069531561</v>
      </c>
      <c r="Y1609" s="45"/>
      <c r="Z1609" s="74"/>
      <c r="AA1609" s="53">
        <f>P_2_minQ+(AA1606^2*R_dn)-dpdn_minQ</f>
        <v>26.60700514682436</v>
      </c>
      <c r="AB1609" s="45"/>
      <c r="AC1609" s="74"/>
      <c r="AD1609" s="53">
        <f>P_2_minQ+(AD1606^2*R_dn)-dpdn_minQ</f>
        <v>29.931790675457343</v>
      </c>
      <c r="AE1609" s="45"/>
      <c r="AF1609" s="74"/>
      <c r="AG1609" s="53">
        <f>P_2_minQ+(AG1606^2*R_dn)-dpdn_minQ</f>
        <v>36.349986946318758</v>
      </c>
      <c r="AH1609" s="45"/>
      <c r="AI1609" s="74"/>
      <c r="AJ1609" s="53">
        <f>P_2_minQ+(AJ1606^2*R_dn)-dpdn_minQ</f>
        <v>45.481225972729717</v>
      </c>
      <c r="AK1609" s="45"/>
      <c r="AL1609" s="74"/>
      <c r="AM1609" s="53">
        <f>P_2_minQ+(AM1606^2*R_dn)-dpdn_minQ</f>
        <v>55.6615466041453</v>
      </c>
      <c r="AN1609" s="45"/>
      <c r="AO1609" s="74"/>
      <c r="AP1609" s="53">
        <f>P_2_minQ+(AP1606^2*R_dn)-dpdn_minQ</f>
        <v>66.446524042604651</v>
      </c>
      <c r="AQ1609" s="45"/>
      <c r="AR1609" s="74"/>
      <c r="AS1609" s="53">
        <f>P_2_minQ+(AS1606^2*R_dn)-dpdn_minQ</f>
        <v>78.785212422766648</v>
      </c>
      <c r="AT1609" s="45"/>
      <c r="AU1609" s="74"/>
    </row>
    <row r="1610" spans="15:47" x14ac:dyDescent="0.25">
      <c r="O1610" s="6" t="s">
        <v>243</v>
      </c>
      <c r="Q1610" s="60"/>
      <c r="R1610" s="53">
        <f>R1608-R1609</f>
        <v>32.251897509553238</v>
      </c>
      <c r="S1610" s="56"/>
      <c r="T1610" s="72"/>
      <c r="U1610" s="64">
        <f>U1608-U1609</f>
        <v>31.702317511016272</v>
      </c>
      <c r="V1610" s="44"/>
      <c r="W1610" s="72"/>
      <c r="X1610" s="64">
        <f>X1608-X1609</f>
        <v>29.049709582810635</v>
      </c>
      <c r="Y1610" s="44"/>
      <c r="Z1610" s="72"/>
      <c r="AA1610" s="64">
        <f>AA1608-AA1609</f>
        <v>20.557969119053848</v>
      </c>
      <c r="AB1610" s="44"/>
      <c r="AC1610" s="72"/>
      <c r="AD1610" s="64">
        <f>AD1608-AD1609</f>
        <v>0.60925594725595289</v>
      </c>
      <c r="AE1610" s="44"/>
      <c r="AF1610" s="72"/>
      <c r="AG1610" s="64">
        <f>AG1608-AG1609</f>
        <v>-37.899921677912523</v>
      </c>
      <c r="AH1610" s="44"/>
      <c r="AI1610" s="72"/>
      <c r="AJ1610" s="64">
        <f>AJ1608-AJ1609</f>
        <v>-92.687355836378259</v>
      </c>
      <c r="AK1610" s="44"/>
      <c r="AL1610" s="72"/>
      <c r="AM1610" s="64">
        <f>AM1608-AM1609</f>
        <v>-153.76927962487179</v>
      </c>
      <c r="AN1610" s="44"/>
      <c r="AO1610" s="72"/>
      <c r="AP1610" s="64">
        <f>AP1608-AP1609</f>
        <v>-218.47914425562789</v>
      </c>
      <c r="AQ1610" s="44"/>
      <c r="AR1610" s="72"/>
      <c r="AS1610" s="64">
        <f>AS1608-AS1609</f>
        <v>-292.5112745365999</v>
      </c>
      <c r="AT1610" s="44"/>
      <c r="AU1610" s="72"/>
    </row>
    <row r="1611" spans="15:47" ht="13" x14ac:dyDescent="0.3">
      <c r="O1611" s="6" t="s">
        <v>75</v>
      </c>
      <c r="P1611" s="6">
        <v>3</v>
      </c>
      <c r="Q1611" s="65"/>
      <c r="R1611" s="85">
        <f>(F_LP_h/F_P_h)^2*(R1608-('Valve Sizing'!$V$4*'Valve Sizing'!$G$7))</f>
        <v>46.760005631020427</v>
      </c>
      <c r="S1611" s="58"/>
      <c r="T1611" s="73"/>
      <c r="U1611" s="53">
        <f>(U$29/U$27)^2*(U1608-('Valve Sizing'!$V$4*'Valve Sizing'!$G$7))</f>
        <v>46.368129910278242</v>
      </c>
      <c r="V1611" s="41"/>
      <c r="W1611" s="73"/>
      <c r="X1611" s="53">
        <f>(X$29/X$27)^2*(X1608-('Valve Sizing'!$V$4*'Valve Sizing'!$G$7))</f>
        <v>43.533567890484598</v>
      </c>
      <c r="Y1611" s="41"/>
      <c r="Z1611" s="73"/>
      <c r="AA1611" s="53">
        <f>(AA$29/AA$27)^2*(AA1608-('Valve Sizing'!$V$4*'Valve Sizing'!$G$7))</f>
        <v>36.108885714065075</v>
      </c>
      <c r="AB1611" s="41"/>
      <c r="AC1611" s="73"/>
      <c r="AD1611" s="53">
        <f>(AD$29/AD$27)^2*(AD1608-('Valve Sizing'!$V$4*'Valve Sizing'!$G$7))</f>
        <v>21.70845417698154</v>
      </c>
      <c r="AE1611" s="41"/>
      <c r="AF1611" s="73"/>
      <c r="AG1611" s="53">
        <f>(AG$29/AG$27)^2*(AG1608-('Valve Sizing'!$V$4*'Valve Sizing'!$G$7))</f>
        <v>-1.2816425684768926</v>
      </c>
      <c r="AH1611" s="41"/>
      <c r="AI1611" s="73"/>
      <c r="AJ1611" s="53">
        <f>(AJ$29/AJ$27)^2*(AJ1608-('Valve Sizing'!$V$4*'Valve Sizing'!$G$7))</f>
        <v>-27.556855583125451</v>
      </c>
      <c r="AK1611" s="41"/>
      <c r="AL1611" s="73"/>
      <c r="AM1611" s="53">
        <f>(AM$29/AM$27)^2*(AM1608-('Valve Sizing'!$V$4*'Valve Sizing'!$G$7))</f>
        <v>-47.152373220506085</v>
      </c>
      <c r="AN1611" s="41"/>
      <c r="AO1611" s="73"/>
      <c r="AP1611" s="53">
        <f>(AP$29/AP$27)^2*(AP1608-('Valve Sizing'!$V$4*'Valve Sizing'!$G$7))</f>
        <v>-60.169809131406204</v>
      </c>
      <c r="AQ1611" s="41"/>
      <c r="AR1611" s="73"/>
      <c r="AS1611" s="53">
        <f>(AS$29/AS$27)^2*(AS1608-('Valve Sizing'!$V$4*'Valve Sizing'!$G$7))</f>
        <v>-80.556614365233514</v>
      </c>
      <c r="AT1611" s="41"/>
      <c r="AU1611" s="73"/>
    </row>
    <row r="1612" spans="15:47" ht="13" x14ac:dyDescent="0.25">
      <c r="O1612" s="1" t="s">
        <v>69</v>
      </c>
      <c r="P1612" s="17">
        <v>7</v>
      </c>
      <c r="Q1612" s="65"/>
      <c r="R1612" s="53">
        <f>(R1606/(N_1*F_P_h))*SQRT('Valve Sizing'!$G$6/R1610)</f>
        <v>2.3916655178343209</v>
      </c>
      <c r="S1612" s="58"/>
      <c r="T1612" s="73"/>
      <c r="U1612" s="64">
        <f>(U1606/(N_1*U$27))*SQRT('Valve Sizing'!$G$6/U1610)</f>
        <v>20.839990653209963</v>
      </c>
      <c r="V1612" s="41"/>
      <c r="W1612" s="73"/>
      <c r="X1612" s="64">
        <f>(X1606/(N_1*X$27))*SQRT('Valve Sizing'!$G$6/X1610)</f>
        <v>52.375438027546572</v>
      </c>
      <c r="Y1612" s="41"/>
      <c r="Z1612" s="73"/>
      <c r="AA1612" s="64">
        <f>(AA1606/(N_1*AA$27))*SQRT('Valve Sizing'!$G$6/AA1610)</f>
        <v>119.56087421774757</v>
      </c>
      <c r="AB1612" s="41"/>
      <c r="AC1612" s="73"/>
      <c r="AD1612" s="64">
        <f>(AD1606/(N_1*AD$27))*SQRT('Valve Sizing'!$G$6/AD1610)</f>
        <v>1156.5733735804124</v>
      </c>
      <c r="AE1612" s="41"/>
      <c r="AF1612" s="73"/>
      <c r="AG1612" s="64" t="e">
        <f>(AG1606/(N_1*AG$27))*SQRT('Valve Sizing'!$G$6/AG1610)</f>
        <v>#NUM!</v>
      </c>
      <c r="AH1612" s="41"/>
      <c r="AI1612" s="73"/>
      <c r="AJ1612" s="64" t="e">
        <f>(AJ1606/(N_1*AJ$27))*SQRT('Valve Sizing'!$G$6/AJ1610)</f>
        <v>#NUM!</v>
      </c>
      <c r="AK1612" s="41"/>
      <c r="AL1612" s="73"/>
      <c r="AM1612" s="64" t="e">
        <f>(AM1606/(N_1*AM$27))*SQRT('Valve Sizing'!$G$6/AM1610)</f>
        <v>#NUM!</v>
      </c>
      <c r="AN1612" s="41"/>
      <c r="AO1612" s="73"/>
      <c r="AP1612" s="64" t="e">
        <f>(AP1606/(N_1*AP$27))*SQRT('Valve Sizing'!$G$6/AP1610)</f>
        <v>#NUM!</v>
      </c>
      <c r="AQ1612" s="41"/>
      <c r="AR1612" s="73"/>
      <c r="AS1612" s="64" t="e">
        <f>(AS1606/(N_1*AS$27))*SQRT('Valve Sizing'!$G$6/AS1610)</f>
        <v>#NUM!</v>
      </c>
      <c r="AT1612" s="41"/>
      <c r="AU1612" s="73"/>
    </row>
    <row r="1613" spans="15:47" ht="13" x14ac:dyDescent="0.3">
      <c r="O1613" s="1" t="s">
        <v>72</v>
      </c>
      <c r="P1613" s="17">
        <v>7</v>
      </c>
      <c r="Q1613" s="65"/>
      <c r="R1613" s="53">
        <f>(R1606/(N_1*F_P_h))*SQRT('Valve Sizing'!$G$6/R1611)</f>
        <v>1.9862815116195978</v>
      </c>
      <c r="S1613" s="56"/>
      <c r="T1613" s="72"/>
      <c r="U1613" s="85">
        <f>(U1606/(N_1*U$27))*SQRT('Valve Sizing'!$G$6/U1611)</f>
        <v>17.231902759187275</v>
      </c>
      <c r="V1613" s="44"/>
      <c r="W1613" s="72"/>
      <c r="X1613" s="85">
        <f>(X1606/(N_1*X$27))*SQRT('Valve Sizing'!$G$6/X1611)</f>
        <v>42.784497390714606</v>
      </c>
      <c r="Y1613" s="44"/>
      <c r="Z1613" s="72"/>
      <c r="AA1613" s="85">
        <f>(AA1606/(N_1*AA$27))*SQRT('Valve Sizing'!$G$6/AA1611)</f>
        <v>90.213626880026396</v>
      </c>
      <c r="AB1613" s="44"/>
      <c r="AC1613" s="72"/>
      <c r="AD1613" s="85">
        <f>(AD1606/(N_1*AD$27))*SQRT('Valve Sizing'!$G$6/AD1611)</f>
        <v>193.75754756903024</v>
      </c>
      <c r="AE1613" s="44"/>
      <c r="AF1613" s="72"/>
      <c r="AG1613" s="85" t="e">
        <f>(AG1606/(N_1*AG$27))*SQRT('Valve Sizing'!$G$6/AG1611)</f>
        <v>#NUM!</v>
      </c>
      <c r="AH1613" s="44"/>
      <c r="AI1613" s="72"/>
      <c r="AJ1613" s="85" t="e">
        <f>(AJ1606/(N_1*AJ$27))*SQRT('Valve Sizing'!$G$6/AJ1611)</f>
        <v>#NUM!</v>
      </c>
      <c r="AK1613" s="44"/>
      <c r="AL1613" s="72"/>
      <c r="AM1613" s="85" t="e">
        <f>(AM1606/(N_1*AM$27))*SQRT('Valve Sizing'!$G$6/AM1611)</f>
        <v>#NUM!</v>
      </c>
      <c r="AN1613" s="44"/>
      <c r="AO1613" s="72"/>
      <c r="AP1613" s="85" t="e">
        <f>(AP1606/(N_1*AP$27))*SQRT('Valve Sizing'!$G$6/AP1611)</f>
        <v>#NUM!</v>
      </c>
      <c r="AQ1613" s="44"/>
      <c r="AR1613" s="72"/>
      <c r="AS1613" s="85" t="e">
        <f>(AS1606/(N_1*AS$27))*SQRT('Valve Sizing'!$G$6/AS1611)</f>
        <v>#NUM!</v>
      </c>
      <c r="AT1613" s="44"/>
      <c r="AU1613" s="72"/>
    </row>
    <row r="1614" spans="15:47" x14ac:dyDescent="0.25">
      <c r="O1614" s="1" t="s">
        <v>246</v>
      </c>
      <c r="P1614" s="18"/>
      <c r="Q1614" s="65"/>
      <c r="R1614" s="53">
        <f>IF(R1610&lt;R1611,R1612,R1613)</f>
        <v>2.3916655178343209</v>
      </c>
      <c r="S1614" s="49"/>
      <c r="T1614" s="72"/>
      <c r="U1614" s="64">
        <f>IF(U1610&lt;U1611,U1612,U1613)</f>
        <v>20.839990653209963</v>
      </c>
      <c r="V1614" s="44"/>
      <c r="W1614" s="72"/>
      <c r="X1614" s="64">
        <f>IF(X1610&lt;X1611,X1612,X1613)</f>
        <v>52.375438027546572</v>
      </c>
      <c r="Y1614" s="44"/>
      <c r="Z1614" s="72"/>
      <c r="AA1614" s="64">
        <f>IF(AA1610&lt;AA1611,AA1612,AA1613)</f>
        <v>119.56087421774757</v>
      </c>
      <c r="AB1614" s="44"/>
      <c r="AC1614" s="72"/>
      <c r="AD1614" s="64">
        <f>IF(AD1610&lt;AD1611,AD1612,AD1613)</f>
        <v>1156.5733735804124</v>
      </c>
      <c r="AE1614" s="44"/>
      <c r="AF1614" s="72"/>
      <c r="AG1614" s="64" t="e">
        <f>IF(AG1610&lt;AG1611,AG1612,AG1613)</f>
        <v>#NUM!</v>
      </c>
      <c r="AH1614" s="44"/>
      <c r="AI1614" s="72"/>
      <c r="AJ1614" s="64" t="e">
        <f>IF(AJ1610&lt;AJ1611,AJ1612,AJ1613)</f>
        <v>#NUM!</v>
      </c>
      <c r="AK1614" s="44"/>
      <c r="AL1614" s="72"/>
      <c r="AM1614" s="64" t="e">
        <f>IF(AM1610&lt;AM1611,AM1612,AM1613)</f>
        <v>#NUM!</v>
      </c>
      <c r="AN1614" s="44"/>
      <c r="AO1614" s="72"/>
      <c r="AP1614" s="64" t="e">
        <f>IF(AP1610&lt;AP1611,AP1612,AP1613)</f>
        <v>#NUM!</v>
      </c>
      <c r="AQ1614" s="44"/>
      <c r="AR1614" s="72"/>
      <c r="AS1614" s="64" t="e">
        <f>IF(AS1610&lt;AS1611,AS1612,AS1613)</f>
        <v>#NUM!</v>
      </c>
      <c r="AT1614" s="44"/>
      <c r="AU1614" s="72"/>
    </row>
    <row r="1615" spans="15:47" ht="13" x14ac:dyDescent="0.3">
      <c r="O1615" s="7" t="s">
        <v>264</v>
      </c>
      <c r="Q1615" s="61"/>
      <c r="R1615" s="53"/>
      <c r="S1615" s="69">
        <f>IFERROR(ABS(C_h-R1614),Q_max*10)</f>
        <v>2.6083344821656791</v>
      </c>
      <c r="T1615" s="76">
        <f>R1606</f>
        <v>13.580462134026581</v>
      </c>
      <c r="U1615" s="61"/>
      <c r="V1615" s="69">
        <f>IFERROR(ABS(U$23-U1614),Q_max*10)</f>
        <v>8.8399906532099628</v>
      </c>
      <c r="W1615" s="75">
        <f>U1606</f>
        <v>117.24041715924336</v>
      </c>
      <c r="X1615" s="61"/>
      <c r="Y1615" s="69">
        <f>IFERROR(ABS(X$23-X1614),Q_max*10)</f>
        <v>29.375438027546572</v>
      </c>
      <c r="Z1615" s="75">
        <f>X1606</f>
        <v>281.42213140431517</v>
      </c>
      <c r="AA1615" s="61"/>
      <c r="AB1615" s="69">
        <f>IFERROR(ABS(AA$23-AA1614),Q_max*10)</f>
        <v>80.560874217747568</v>
      </c>
      <c r="AC1615" s="75">
        <f>AA1606</f>
        <v>537.33798673399792</v>
      </c>
      <c r="AD1615" s="61"/>
      <c r="AE1615" s="69">
        <f>IFERROR(ABS(AD$23-AD1614),Q_max*10)</f>
        <v>1095.5733735804124</v>
      </c>
      <c r="AF1615" s="75">
        <f>AD1606</f>
        <v>883.72315206825908</v>
      </c>
      <c r="AG1615" s="61"/>
      <c r="AH1615" s="69">
        <f>IFERROR(ABS(AG$23-AG1614),Q_max*10)</f>
        <v>5500</v>
      </c>
      <c r="AI1615" s="75">
        <f>AG1606</f>
        <v>1315.7433516466999</v>
      </c>
      <c r="AJ1615" s="61"/>
      <c r="AK1615" s="69">
        <f>IFERROR(ABS(AJ$23-AJ1614),Q_max*10)</f>
        <v>5500</v>
      </c>
      <c r="AL1615" s="75">
        <f>AJ1606</f>
        <v>1755.8646033400848</v>
      </c>
      <c r="AM1615" s="61"/>
      <c r="AN1615" s="69">
        <f>IFERROR(ABS(AM$23-AM1614),Q_max*10)</f>
        <v>5500</v>
      </c>
      <c r="AO1615" s="75">
        <f>AM1606</f>
        <v>2142.4885004927592</v>
      </c>
      <c r="AP1615" s="61"/>
      <c r="AQ1615" s="69">
        <f>IFERROR(ABS(AP$23-AP1614),Q_max*10)</f>
        <v>5500</v>
      </c>
      <c r="AR1615" s="75">
        <f>AP1606</f>
        <v>2487.3626363093135</v>
      </c>
      <c r="AS1615" s="61"/>
      <c r="AT1615" s="69">
        <f>IFERROR(ABS(AS$23-AS1614),Q_max*10)</f>
        <v>5500</v>
      </c>
      <c r="AU1615" s="75">
        <f>AS1606</f>
        <v>2830.8507023844618</v>
      </c>
    </row>
    <row r="1616" spans="15:47" ht="14.5" x14ac:dyDescent="0.35">
      <c r="O1616" s="6"/>
      <c r="P1616" s="6"/>
      <c r="Q1616" s="60"/>
      <c r="R1616" s="67"/>
      <c r="S1616" s="56"/>
      <c r="T1616" s="72"/>
      <c r="V1616" s="11"/>
      <c r="W1616" s="38"/>
      <c r="Y1616" s="11"/>
      <c r="Z1616" s="38"/>
      <c r="AB1616" s="11"/>
      <c r="AC1616" s="38"/>
      <c r="AE1616" s="11"/>
      <c r="AF1616" s="38"/>
      <c r="AH1616" s="11"/>
      <c r="AI1616" s="38"/>
      <c r="AK1616" s="11"/>
      <c r="AL1616" s="38"/>
      <c r="AN1616" s="11"/>
      <c r="AO1616" s="38"/>
      <c r="AQ1616" s="11"/>
      <c r="AR1616" s="38"/>
      <c r="AT1616" s="11"/>
      <c r="AU1616" s="38"/>
    </row>
    <row r="1617" spans="15:47" ht="14" x14ac:dyDescent="0.3">
      <c r="O1617" s="8" t="s">
        <v>235</v>
      </c>
      <c r="P1617" s="6"/>
      <c r="Q1617" s="60"/>
      <c r="R1617" s="53">
        <f>R1606*1.02</f>
        <v>13.852071376707112</v>
      </c>
      <c r="S1617" s="58" t="s">
        <v>238</v>
      </c>
      <c r="T1617" s="73" t="s">
        <v>241</v>
      </c>
      <c r="U1617" s="84">
        <f>U1606*1.01</f>
        <v>118.4128213308358</v>
      </c>
      <c r="V1617" s="58" t="s">
        <v>238</v>
      </c>
      <c r="W1617" s="73" t="s">
        <v>241</v>
      </c>
      <c r="X1617" s="84">
        <f>X1606*1.01</f>
        <v>284.23635271835832</v>
      </c>
      <c r="Y1617" s="58" t="s">
        <v>238</v>
      </c>
      <c r="Z1617" s="73" t="s">
        <v>241</v>
      </c>
      <c r="AA1617" s="84">
        <f>AA1606*1.01</f>
        <v>542.71136660133789</v>
      </c>
      <c r="AB1617" s="58" t="s">
        <v>238</v>
      </c>
      <c r="AC1617" s="73" t="s">
        <v>241</v>
      </c>
      <c r="AD1617" s="84">
        <f>AD1606*1.01</f>
        <v>892.5603835889417</v>
      </c>
      <c r="AE1617" s="58" t="s">
        <v>238</v>
      </c>
      <c r="AF1617" s="73" t="s">
        <v>241</v>
      </c>
      <c r="AG1617" s="84">
        <f>AG1606*1.01</f>
        <v>1328.900785163167</v>
      </c>
      <c r="AH1617" s="58" t="s">
        <v>238</v>
      </c>
      <c r="AI1617" s="73" t="s">
        <v>241</v>
      </c>
      <c r="AJ1617" s="84">
        <f>AJ1606*1.01</f>
        <v>1773.4232493734858</v>
      </c>
      <c r="AK1617" s="58" t="s">
        <v>238</v>
      </c>
      <c r="AL1617" s="73" t="s">
        <v>241</v>
      </c>
      <c r="AM1617" s="84">
        <f>AM1606*1.01</f>
        <v>2163.9133854976867</v>
      </c>
      <c r="AN1617" s="58" t="s">
        <v>238</v>
      </c>
      <c r="AO1617" s="73" t="s">
        <v>241</v>
      </c>
      <c r="AP1617" s="84">
        <f>AP1606*1.01</f>
        <v>2512.2362626724066</v>
      </c>
      <c r="AQ1617" s="58" t="s">
        <v>238</v>
      </c>
      <c r="AR1617" s="73" t="s">
        <v>241</v>
      </c>
      <c r="AS1617" s="84">
        <f>AS1606*1.01</f>
        <v>2859.1592094083067</v>
      </c>
      <c r="AT1617" s="58" t="s">
        <v>238</v>
      </c>
      <c r="AU1617" s="73" t="s">
        <v>241</v>
      </c>
    </row>
    <row r="1618" spans="15:47" ht="13" x14ac:dyDescent="0.25">
      <c r="O1618" s="6"/>
      <c r="P1618" s="6"/>
      <c r="Q1618" s="60"/>
      <c r="R1618" s="70"/>
      <c r="S1618" s="63" t="s">
        <v>250</v>
      </c>
      <c r="T1618" s="71" t="s">
        <v>242</v>
      </c>
      <c r="U1618" s="61"/>
      <c r="V1618" s="63" t="s">
        <v>250</v>
      </c>
      <c r="W1618" s="71" t="s">
        <v>242</v>
      </c>
      <c r="X1618" s="61"/>
      <c r="Y1618" s="63" t="s">
        <v>250</v>
      </c>
      <c r="Z1618" s="71" t="s">
        <v>242</v>
      </c>
      <c r="AA1618" s="61"/>
      <c r="AB1618" s="63" t="s">
        <v>250</v>
      </c>
      <c r="AC1618" s="71" t="s">
        <v>242</v>
      </c>
      <c r="AD1618" s="61"/>
      <c r="AE1618" s="63" t="s">
        <v>250</v>
      </c>
      <c r="AF1618" s="71" t="s">
        <v>242</v>
      </c>
      <c r="AG1618" s="61"/>
      <c r="AH1618" s="63" t="s">
        <v>250</v>
      </c>
      <c r="AI1618" s="71" t="s">
        <v>242</v>
      </c>
      <c r="AJ1618" s="61"/>
      <c r="AK1618" s="63" t="s">
        <v>250</v>
      </c>
      <c r="AL1618" s="71" t="s">
        <v>242</v>
      </c>
      <c r="AM1618" s="61"/>
      <c r="AN1618" s="63" t="s">
        <v>250</v>
      </c>
      <c r="AO1618" s="71" t="s">
        <v>242</v>
      </c>
      <c r="AP1618" s="61"/>
      <c r="AQ1618" s="63" t="s">
        <v>250</v>
      </c>
      <c r="AR1618" s="71" t="s">
        <v>242</v>
      </c>
      <c r="AS1618" s="61"/>
      <c r="AT1618" s="63" t="s">
        <v>250</v>
      </c>
      <c r="AU1618" s="71" t="s">
        <v>242</v>
      </c>
    </row>
    <row r="1619" spans="15:47" ht="13" x14ac:dyDescent="0.3">
      <c r="O1619" s="6" t="s">
        <v>231</v>
      </c>
      <c r="P1619" s="6"/>
      <c r="Q1619" s="60"/>
      <c r="R1619" s="85">
        <f>P_1_minQ-(R1617^2*R_up)+dpup_minQ</f>
        <v>56.909662955710054</v>
      </c>
      <c r="S1619" s="56"/>
      <c r="T1619" s="72"/>
      <c r="U1619" s="53">
        <f>P_1_minQ-(U1617^2*R_up)+dpup_minQ</f>
        <v>56.442600599272936</v>
      </c>
      <c r="V1619" s="44"/>
      <c r="W1619" s="72"/>
      <c r="X1619" s="53">
        <f>P_1_minQ-(X1617^2*R_up)+dpup_minQ</f>
        <v>54.187662809637452</v>
      </c>
      <c r="Y1619" s="44"/>
      <c r="Z1619" s="72"/>
      <c r="AA1619" s="53">
        <f>P_1_minQ-(AA1617^2*R_up)+dpup_minQ</f>
        <v>46.968975770405542</v>
      </c>
      <c r="AB1619" s="44"/>
      <c r="AC1619" s="72"/>
      <c r="AD1619" s="53">
        <f>P_1_minQ-(AD1617^2*R_up)+dpup_minQ</f>
        <v>30.010907181613014</v>
      </c>
      <c r="AE1619" s="44"/>
      <c r="AF1619" s="72"/>
      <c r="AG1619" s="53">
        <f>P_1_minQ-(AG1617^2*R_up)+dpup_minQ</f>
        <v>-2.7251028979156375</v>
      </c>
      <c r="AH1619" s="44"/>
      <c r="AI1619" s="72"/>
      <c r="AJ1619" s="53">
        <f>P_1_minQ-(AJ1617^2*R_up)+dpup_minQ</f>
        <v>-49.298987552124721</v>
      </c>
      <c r="AK1619" s="44"/>
      <c r="AL1619" s="72"/>
      <c r="AM1619" s="53">
        <f>P_1_minQ-(AM1617^2*R_up)+dpup_minQ</f>
        <v>-101.22371293265991</v>
      </c>
      <c r="AN1619" s="44"/>
      <c r="AO1619" s="72"/>
      <c r="AP1619" s="53">
        <f>P_1_minQ-(AP1617^2*R_up)+dpup_minQ</f>
        <v>-156.23249035752181</v>
      </c>
      <c r="AQ1619" s="44"/>
      <c r="AR1619" s="72"/>
      <c r="AS1619" s="53">
        <f>P_1_minQ-(AS1617^2*R_up)+dpup_minQ</f>
        <v>-219.16597044053813</v>
      </c>
      <c r="AT1619" s="44"/>
      <c r="AU1619" s="72"/>
    </row>
    <row r="1620" spans="15:47" ht="13" x14ac:dyDescent="0.3">
      <c r="O1620" s="6" t="s">
        <v>233</v>
      </c>
      <c r="P1620" s="6"/>
      <c r="Q1620" s="60"/>
      <c r="R1620" s="85">
        <f>P_2_minQ+(R1617^2*R_dn)-dpdn_minQ</f>
        <v>24.658067408857992</v>
      </c>
      <c r="S1620" s="66"/>
      <c r="T1620" s="74"/>
      <c r="U1620" s="53">
        <f>P_2_minQ+(U1617^2*R_dn)-dpdn_minQ</f>
        <v>24.751479880145414</v>
      </c>
      <c r="V1620" s="45"/>
      <c r="W1620" s="74"/>
      <c r="X1620" s="53">
        <f>P_2_minQ+(X1617^2*R_dn)-dpdn_minQ</f>
        <v>25.20246743807251</v>
      </c>
      <c r="Y1620" s="45"/>
      <c r="Z1620" s="74"/>
      <c r="AA1620" s="53">
        <f>P_2_minQ+(AA1617^2*R_dn)-dpdn_minQ</f>
        <v>26.646204845918891</v>
      </c>
      <c r="AB1620" s="45"/>
      <c r="AC1620" s="74"/>
      <c r="AD1620" s="53">
        <f>P_2_minQ+(AD1617^2*R_dn)-dpdn_minQ</f>
        <v>30.037818563677398</v>
      </c>
      <c r="AE1620" s="45"/>
      <c r="AF1620" s="74"/>
      <c r="AG1620" s="53">
        <f>P_2_minQ+(AG1617^2*R_dn)-dpdn_minQ</f>
        <v>36.58502057958313</v>
      </c>
      <c r="AH1620" s="45"/>
      <c r="AI1620" s="74"/>
      <c r="AJ1620" s="53">
        <f>P_2_minQ+(AJ1617^2*R_dn)-dpdn_minQ</f>
        <v>45.899797510424946</v>
      </c>
      <c r="AK1620" s="45"/>
      <c r="AL1620" s="74"/>
      <c r="AM1620" s="53">
        <f>P_2_minQ+(AM1617^2*R_dn)-dpdn_minQ</f>
        <v>56.284742586531983</v>
      </c>
      <c r="AN1620" s="45"/>
      <c r="AO1620" s="74"/>
      <c r="AP1620" s="53">
        <f>P_2_minQ+(AP1617^2*R_dn)-dpdn_minQ</f>
        <v>67.286498071504369</v>
      </c>
      <c r="AQ1620" s="45"/>
      <c r="AR1620" s="74"/>
      <c r="AS1620" s="53">
        <f>P_2_minQ+(AS1617^2*R_dn)-dpdn_minQ</f>
        <v>79.873194088107624</v>
      </c>
      <c r="AT1620" s="45"/>
      <c r="AU1620" s="74"/>
    </row>
    <row r="1621" spans="15:47" x14ac:dyDescent="0.25">
      <c r="O1621" s="6" t="s">
        <v>243</v>
      </c>
      <c r="Q1621" s="60"/>
      <c r="R1621" s="53">
        <f>R1619-R1620</f>
        <v>32.251595546852059</v>
      </c>
      <c r="S1621" s="56"/>
      <c r="T1621" s="72"/>
      <c r="U1621" s="64">
        <f>U1619-U1620</f>
        <v>31.691120719127522</v>
      </c>
      <c r="V1621" s="44"/>
      <c r="W1621" s="72"/>
      <c r="X1621" s="64">
        <f>X1619-X1620</f>
        <v>28.985195371564942</v>
      </c>
      <c r="Y1621" s="44"/>
      <c r="Z1621" s="72"/>
      <c r="AA1621" s="64">
        <f>AA1619-AA1620</f>
        <v>20.322770924486651</v>
      </c>
      <c r="AB1621" s="44"/>
      <c r="AC1621" s="72"/>
      <c r="AD1621" s="64">
        <f>AD1619-AD1620</f>
        <v>-2.6911382064383815E-2</v>
      </c>
      <c r="AE1621" s="44"/>
      <c r="AF1621" s="72"/>
      <c r="AG1621" s="64">
        <f>AG1619-AG1620</f>
        <v>-39.31012347749877</v>
      </c>
      <c r="AH1621" s="44"/>
      <c r="AI1621" s="72"/>
      <c r="AJ1621" s="64">
        <f>AJ1619-AJ1620</f>
        <v>-95.198785062549661</v>
      </c>
      <c r="AK1621" s="44"/>
      <c r="AL1621" s="72"/>
      <c r="AM1621" s="64">
        <f>AM1619-AM1620</f>
        <v>-157.5084555191919</v>
      </c>
      <c r="AN1621" s="44"/>
      <c r="AO1621" s="72"/>
      <c r="AP1621" s="64">
        <f>AP1619-AP1620</f>
        <v>-223.51898842902619</v>
      </c>
      <c r="AQ1621" s="44"/>
      <c r="AR1621" s="72"/>
      <c r="AS1621" s="64">
        <f>AS1619-AS1620</f>
        <v>-299.03916452864576</v>
      </c>
      <c r="AT1621" s="44"/>
      <c r="AU1621" s="72"/>
    </row>
    <row r="1622" spans="15:47" ht="13" x14ac:dyDescent="0.3">
      <c r="O1622" s="6" t="s">
        <v>75</v>
      </c>
      <c r="P1622" s="6">
        <v>3</v>
      </c>
      <c r="Q1622" s="65"/>
      <c r="R1622" s="85">
        <f>(F_LP_h/F_P_h)^2*(R1619-('Valve Sizing'!$V$4*'Valve Sizing'!$G$7))</f>
        <v>46.759797263548279</v>
      </c>
      <c r="S1622" s="58"/>
      <c r="T1622" s="73"/>
      <c r="U1622" s="53">
        <f>(U$29/U$27)^2*(U1619-('Valve Sizing'!$V$4*'Valve Sizing'!$G$7))</f>
        <v>46.36040573997294</v>
      </c>
      <c r="V1622" s="41"/>
      <c r="W1622" s="73"/>
      <c r="X1622" s="53">
        <f>(X$29/X$27)^2*(X1619-('Valve Sizing'!$V$4*'Valve Sizing'!$G$7))</f>
        <v>43.490066303805072</v>
      </c>
      <c r="Y1622" s="41"/>
      <c r="Z1622" s="73"/>
      <c r="AA1622" s="53">
        <f>(AA$29/AA$27)^2*(AA1619-('Valve Sizing'!$V$4*'Valve Sizing'!$G$7))</f>
        <v>35.957418621374366</v>
      </c>
      <c r="AB1622" s="41"/>
      <c r="AC1622" s="73"/>
      <c r="AD1622" s="53">
        <f>(AD$29/AD$27)^2*(AD1619-('Valve Sizing'!$V$4*'Valve Sizing'!$G$7))</f>
        <v>21.32612428801286</v>
      </c>
      <c r="AE1622" s="41"/>
      <c r="AF1622" s="73"/>
      <c r="AG1622" s="53">
        <f>(AG$29/AG$27)^2*(AG1619-('Valve Sizing'!$V$4*'Valve Sizing'!$G$7))</f>
        <v>-2.0385025176194316</v>
      </c>
      <c r="AH1622" s="41"/>
      <c r="AI1622" s="73"/>
      <c r="AJ1622" s="53">
        <f>(AJ$29/AJ$27)^2*(AJ1619-('Valve Sizing'!$V$4*'Valve Sizing'!$G$7))</f>
        <v>-28.76728982905334</v>
      </c>
      <c r="AK1622" s="41"/>
      <c r="AL1622" s="73"/>
      <c r="AM1622" s="53">
        <f>(AM$29/AM$27)^2*(AM1619-('Valve Sizing'!$V$4*'Valve Sizing'!$G$7))</f>
        <v>-48.643282826158568</v>
      </c>
      <c r="AN1622" s="41"/>
      <c r="AO1622" s="73"/>
      <c r="AP1622" s="53">
        <f>(AP$29/AP$27)^2*(AP1619-('Valve Sizing'!$V$4*'Valve Sizing'!$G$7))</f>
        <v>-61.827190561846933</v>
      </c>
      <c r="AQ1622" s="41"/>
      <c r="AR1622" s="73"/>
      <c r="AS1622" s="53">
        <f>(AS$29/AS$27)^2*(AS1619-('Valve Sizing'!$V$4*'Valve Sizing'!$G$7))</f>
        <v>-82.60278580309226</v>
      </c>
      <c r="AT1622" s="41"/>
      <c r="AU1622" s="73"/>
    </row>
    <row r="1623" spans="15:47" ht="13" x14ac:dyDescent="0.25">
      <c r="O1623" s="1" t="s">
        <v>69</v>
      </c>
      <c r="P1623" s="17">
        <v>7</v>
      </c>
      <c r="Q1623" s="65"/>
      <c r="R1623" s="53">
        <f>(R1617/(N_1*F_P_h))*SQRT('Valve Sizing'!$G$6/R1621)</f>
        <v>2.4395102483381192</v>
      </c>
      <c r="S1623" s="58"/>
      <c r="T1623" s="73"/>
      <c r="U1623" s="64">
        <f>(U1617/(N_1*U$27))*SQRT('Valve Sizing'!$G$6/U1621)</f>
        <v>21.052108535479128</v>
      </c>
      <c r="V1623" s="41"/>
      <c r="W1623" s="73"/>
      <c r="X1623" s="64">
        <f>(X1617/(N_1*X$27))*SQRT('Valve Sizing'!$G$6/X1621)</f>
        <v>52.958030251527745</v>
      </c>
      <c r="Y1623" s="41"/>
      <c r="Z1623" s="73"/>
      <c r="AA1623" s="64">
        <f>(AA1617/(N_1*AA$27))*SQRT('Valve Sizing'!$G$6/AA1621)</f>
        <v>121.45323845576155</v>
      </c>
      <c r="AB1623" s="41"/>
      <c r="AC1623" s="73"/>
      <c r="AD1623" s="64" t="e">
        <f>(AD1617/(N_1*AD$27))*SQRT('Valve Sizing'!$G$6/AD1621)</f>
        <v>#NUM!</v>
      </c>
      <c r="AE1623" s="41"/>
      <c r="AF1623" s="73"/>
      <c r="AG1623" s="64" t="e">
        <f>(AG1617/(N_1*AG$27))*SQRT('Valve Sizing'!$G$6/AG1621)</f>
        <v>#NUM!</v>
      </c>
      <c r="AH1623" s="41"/>
      <c r="AI1623" s="73"/>
      <c r="AJ1623" s="64" t="e">
        <f>(AJ1617/(N_1*AJ$27))*SQRT('Valve Sizing'!$G$6/AJ1621)</f>
        <v>#NUM!</v>
      </c>
      <c r="AK1623" s="41"/>
      <c r="AL1623" s="73"/>
      <c r="AM1623" s="64" t="e">
        <f>(AM1617/(N_1*AM$27))*SQRT('Valve Sizing'!$G$6/AM1621)</f>
        <v>#NUM!</v>
      </c>
      <c r="AN1623" s="41"/>
      <c r="AO1623" s="73"/>
      <c r="AP1623" s="64" t="e">
        <f>(AP1617/(N_1*AP$27))*SQRT('Valve Sizing'!$G$6/AP1621)</f>
        <v>#NUM!</v>
      </c>
      <c r="AQ1623" s="41"/>
      <c r="AR1623" s="73"/>
      <c r="AS1623" s="64" t="e">
        <f>(AS1617/(N_1*AS$27))*SQRT('Valve Sizing'!$G$6/AS1621)</f>
        <v>#NUM!</v>
      </c>
      <c r="AT1623" s="41"/>
      <c r="AU1623" s="73"/>
    </row>
    <row r="1624" spans="15:47" ht="13" x14ac:dyDescent="0.3">
      <c r="O1624" s="1" t="s">
        <v>72</v>
      </c>
      <c r="P1624" s="17">
        <v>7</v>
      </c>
      <c r="Q1624" s="65"/>
      <c r="R1624" s="53">
        <f>(R1617/(N_1*F_P_h))*SQRT('Valve Sizing'!$G$6/R1622)</f>
        <v>2.0260116559168613</v>
      </c>
      <c r="S1624" s="56"/>
      <c r="T1624" s="72"/>
      <c r="U1624" s="85">
        <f>(U1617/(N_1*U$27))*SQRT('Valve Sizing'!$G$6/U1622)</f>
        <v>17.405671596934059</v>
      </c>
      <c r="V1624" s="44"/>
      <c r="W1624" s="72"/>
      <c r="X1624" s="85">
        <f>(X1617/(N_1*X$27))*SQRT('Valve Sizing'!$G$6/X1622)</f>
        <v>43.23394885750421</v>
      </c>
      <c r="Y1624" s="44"/>
      <c r="Z1624" s="72"/>
      <c r="AA1624" s="85">
        <f>(AA1617/(N_1*AA$27))*SQRT('Valve Sizing'!$G$6/AA1622)</f>
        <v>91.307469574384982</v>
      </c>
      <c r="AB1624" s="44"/>
      <c r="AC1624" s="72"/>
      <c r="AD1624" s="85">
        <f>(AD1617/(N_1*AD$27))*SQRT('Valve Sizing'!$G$6/AD1622)</f>
        <v>197.44151931776494</v>
      </c>
      <c r="AE1624" s="44"/>
      <c r="AF1624" s="72"/>
      <c r="AG1624" s="85" t="e">
        <f>(AG1617/(N_1*AG$27))*SQRT('Valve Sizing'!$G$6/AG1622)</f>
        <v>#NUM!</v>
      </c>
      <c r="AH1624" s="44"/>
      <c r="AI1624" s="72"/>
      <c r="AJ1624" s="85" t="e">
        <f>(AJ1617/(N_1*AJ$27))*SQRT('Valve Sizing'!$G$6/AJ1622)</f>
        <v>#NUM!</v>
      </c>
      <c r="AK1624" s="44"/>
      <c r="AL1624" s="72"/>
      <c r="AM1624" s="85" t="e">
        <f>(AM1617/(N_1*AM$27))*SQRT('Valve Sizing'!$G$6/AM1622)</f>
        <v>#NUM!</v>
      </c>
      <c r="AN1624" s="44"/>
      <c r="AO1624" s="72"/>
      <c r="AP1624" s="85" t="e">
        <f>(AP1617/(N_1*AP$27))*SQRT('Valve Sizing'!$G$6/AP1622)</f>
        <v>#NUM!</v>
      </c>
      <c r="AQ1624" s="44"/>
      <c r="AR1624" s="72"/>
      <c r="AS1624" s="85" t="e">
        <f>(AS1617/(N_1*AS$27))*SQRT('Valve Sizing'!$G$6/AS1622)</f>
        <v>#NUM!</v>
      </c>
      <c r="AT1624" s="44"/>
      <c r="AU1624" s="72"/>
    </row>
    <row r="1625" spans="15:47" x14ac:dyDescent="0.25">
      <c r="O1625" s="1" t="s">
        <v>246</v>
      </c>
      <c r="P1625" s="18"/>
      <c r="Q1625" s="65"/>
      <c r="R1625" s="53">
        <f>IF(R1621&lt;R1622,R1623,R1624)</f>
        <v>2.4395102483381192</v>
      </c>
      <c r="S1625" s="49"/>
      <c r="T1625" s="72"/>
      <c r="U1625" s="64">
        <f>IF(U1621&lt;U1622,U1623,U1624)</f>
        <v>21.052108535479128</v>
      </c>
      <c r="V1625" s="44"/>
      <c r="W1625" s="72"/>
      <c r="X1625" s="64">
        <f>IF(X1621&lt;X1622,X1623,X1624)</f>
        <v>52.958030251527745</v>
      </c>
      <c r="Y1625" s="44"/>
      <c r="Z1625" s="72"/>
      <c r="AA1625" s="64">
        <f>IF(AA1621&lt;AA1622,AA1623,AA1624)</f>
        <v>121.45323845576155</v>
      </c>
      <c r="AB1625" s="44"/>
      <c r="AC1625" s="72"/>
      <c r="AD1625" s="64" t="e">
        <f>IF(AD1621&lt;AD1622,AD1623,AD1624)</f>
        <v>#NUM!</v>
      </c>
      <c r="AE1625" s="44"/>
      <c r="AF1625" s="72"/>
      <c r="AG1625" s="64" t="e">
        <f>IF(AG1621&lt;AG1622,AG1623,AG1624)</f>
        <v>#NUM!</v>
      </c>
      <c r="AH1625" s="44"/>
      <c r="AI1625" s="72"/>
      <c r="AJ1625" s="64" t="e">
        <f>IF(AJ1621&lt;AJ1622,AJ1623,AJ1624)</f>
        <v>#NUM!</v>
      </c>
      <c r="AK1625" s="44"/>
      <c r="AL1625" s="72"/>
      <c r="AM1625" s="64" t="e">
        <f>IF(AM1621&lt;AM1622,AM1623,AM1624)</f>
        <v>#NUM!</v>
      </c>
      <c r="AN1625" s="44"/>
      <c r="AO1625" s="72"/>
      <c r="AP1625" s="64" t="e">
        <f>IF(AP1621&lt;AP1622,AP1623,AP1624)</f>
        <v>#NUM!</v>
      </c>
      <c r="AQ1625" s="44"/>
      <c r="AR1625" s="72"/>
      <c r="AS1625" s="64" t="e">
        <f>IF(AS1621&lt;AS1622,AS1623,AS1624)</f>
        <v>#NUM!</v>
      </c>
      <c r="AT1625" s="44"/>
      <c r="AU1625" s="72"/>
    </row>
    <row r="1626" spans="15:47" ht="13" x14ac:dyDescent="0.3">
      <c r="O1626" s="7" t="s">
        <v>264</v>
      </c>
      <c r="Q1626" s="61"/>
      <c r="R1626" s="53"/>
      <c r="S1626" s="69">
        <f>IFERROR(ABS(C_h-R1625),Q_max*10)</f>
        <v>2.5604897516618808</v>
      </c>
      <c r="T1626" s="76">
        <f>R1617</f>
        <v>13.852071376707112</v>
      </c>
      <c r="U1626" s="61"/>
      <c r="V1626" s="69">
        <f>IFERROR(ABS(U$23-U1625),Q_max*10)</f>
        <v>9.0521085354791282</v>
      </c>
      <c r="W1626" s="75">
        <f>U1617</f>
        <v>118.4128213308358</v>
      </c>
      <c r="X1626" s="61"/>
      <c r="Y1626" s="69">
        <f>IFERROR(ABS(X$23-X1625),Q_max*10)</f>
        <v>29.958030251527745</v>
      </c>
      <c r="Z1626" s="75">
        <f>X1617</f>
        <v>284.23635271835832</v>
      </c>
      <c r="AA1626" s="61"/>
      <c r="AB1626" s="69">
        <f>IFERROR(ABS(AA$23-AA1625),Q_max*10)</f>
        <v>82.45323845576155</v>
      </c>
      <c r="AC1626" s="75">
        <f>AA1617</f>
        <v>542.71136660133789</v>
      </c>
      <c r="AD1626" s="61"/>
      <c r="AE1626" s="69">
        <f>IFERROR(ABS(AD$23-AD1625),Q_max*10)</f>
        <v>5500</v>
      </c>
      <c r="AF1626" s="75">
        <f>AD1617</f>
        <v>892.5603835889417</v>
      </c>
      <c r="AG1626" s="61"/>
      <c r="AH1626" s="69">
        <f>IFERROR(ABS(AG$23-AG1625),Q_max*10)</f>
        <v>5500</v>
      </c>
      <c r="AI1626" s="75">
        <f>AG1617</f>
        <v>1328.900785163167</v>
      </c>
      <c r="AJ1626" s="61"/>
      <c r="AK1626" s="69">
        <f>IFERROR(ABS(AJ$23-AJ1625),Q_max*10)</f>
        <v>5500</v>
      </c>
      <c r="AL1626" s="75">
        <f>AJ1617</f>
        <v>1773.4232493734858</v>
      </c>
      <c r="AM1626" s="61"/>
      <c r="AN1626" s="69">
        <f>IFERROR(ABS(AM$23-AM1625),Q_max*10)</f>
        <v>5500</v>
      </c>
      <c r="AO1626" s="75">
        <f>AM1617</f>
        <v>2163.9133854976867</v>
      </c>
      <c r="AP1626" s="61"/>
      <c r="AQ1626" s="69">
        <f>IFERROR(ABS(AP$23-AP1625),Q_max*10)</f>
        <v>5500</v>
      </c>
      <c r="AR1626" s="75">
        <f>AP1617</f>
        <v>2512.2362626724066</v>
      </c>
      <c r="AS1626" s="61"/>
      <c r="AT1626" s="69">
        <f>IFERROR(ABS(AS$23-AS1625),Q_max*10)</f>
        <v>5500</v>
      </c>
      <c r="AU1626" s="75">
        <f>AS1617</f>
        <v>2859.1592094083067</v>
      </c>
    </row>
    <row r="1627" spans="15:47" ht="14.5" x14ac:dyDescent="0.35">
      <c r="O1627" s="8"/>
      <c r="P1627" s="6"/>
      <c r="Q1627" s="60"/>
      <c r="R1627" s="67"/>
      <c r="S1627" s="66"/>
      <c r="T1627" s="74"/>
      <c r="V1627" s="11"/>
      <c r="W1627" s="38"/>
      <c r="Y1627" s="11"/>
      <c r="Z1627" s="38"/>
      <c r="AB1627" s="11"/>
      <c r="AC1627" s="38"/>
      <c r="AE1627" s="11"/>
      <c r="AF1627" s="38"/>
      <c r="AH1627" s="11"/>
      <c r="AI1627" s="38"/>
      <c r="AK1627" s="11"/>
      <c r="AL1627" s="38"/>
      <c r="AN1627" s="11"/>
      <c r="AO1627" s="38"/>
      <c r="AQ1627" s="11"/>
      <c r="AR1627" s="38"/>
      <c r="AT1627" s="11"/>
      <c r="AU1627" s="38"/>
    </row>
    <row r="1628" spans="15:47" ht="14" x14ac:dyDescent="0.3">
      <c r="O1628" s="8" t="s">
        <v>235</v>
      </c>
      <c r="P1628" s="6"/>
      <c r="Q1628" s="60"/>
      <c r="R1628" s="53">
        <f>R1617*1.02</f>
        <v>14.129112804241254</v>
      </c>
      <c r="S1628" s="58" t="s">
        <v>238</v>
      </c>
      <c r="T1628" s="73" t="s">
        <v>241</v>
      </c>
      <c r="U1628" s="84">
        <f>U1617*1.01</f>
        <v>119.59694954414415</v>
      </c>
      <c r="V1628" s="58" t="s">
        <v>238</v>
      </c>
      <c r="W1628" s="73" t="s">
        <v>241</v>
      </c>
      <c r="X1628" s="84">
        <f>X1617*1.01</f>
        <v>287.0787162455419</v>
      </c>
      <c r="Y1628" s="58" t="s">
        <v>238</v>
      </c>
      <c r="Z1628" s="73" t="s">
        <v>241</v>
      </c>
      <c r="AA1628" s="84">
        <f>AA1617*1.01</f>
        <v>548.13848026735127</v>
      </c>
      <c r="AB1628" s="58" t="s">
        <v>238</v>
      </c>
      <c r="AC1628" s="73" t="s">
        <v>241</v>
      </c>
      <c r="AD1628" s="84">
        <f>AD1617*1.01</f>
        <v>901.48598742483114</v>
      </c>
      <c r="AE1628" s="58" t="s">
        <v>238</v>
      </c>
      <c r="AF1628" s="73" t="s">
        <v>241</v>
      </c>
      <c r="AG1628" s="84">
        <f>AG1617*1.01</f>
        <v>1342.1897930147986</v>
      </c>
      <c r="AH1628" s="58" t="s">
        <v>238</v>
      </c>
      <c r="AI1628" s="73" t="s">
        <v>241</v>
      </c>
      <c r="AJ1628" s="84">
        <f>AJ1617*1.01</f>
        <v>1791.1574818672207</v>
      </c>
      <c r="AK1628" s="58" t="s">
        <v>238</v>
      </c>
      <c r="AL1628" s="73" t="s">
        <v>241</v>
      </c>
      <c r="AM1628" s="84">
        <f>AM1617*1.01</f>
        <v>2185.5525193526637</v>
      </c>
      <c r="AN1628" s="58" t="s">
        <v>238</v>
      </c>
      <c r="AO1628" s="73" t="s">
        <v>241</v>
      </c>
      <c r="AP1628" s="84">
        <f>AP1617*1.01</f>
        <v>2537.3586252991308</v>
      </c>
      <c r="AQ1628" s="58" t="s">
        <v>238</v>
      </c>
      <c r="AR1628" s="73" t="s">
        <v>241</v>
      </c>
      <c r="AS1628" s="84">
        <f>AS1617*1.01</f>
        <v>2887.7508015023895</v>
      </c>
      <c r="AT1628" s="58" t="s">
        <v>238</v>
      </c>
      <c r="AU1628" s="73" t="s">
        <v>241</v>
      </c>
    </row>
    <row r="1629" spans="15:47" ht="13" x14ac:dyDescent="0.25">
      <c r="O1629" s="6"/>
      <c r="P1629" s="6"/>
      <c r="Q1629" s="60"/>
      <c r="R1629" s="70"/>
      <c r="S1629" s="63" t="s">
        <v>250</v>
      </c>
      <c r="T1629" s="71" t="s">
        <v>242</v>
      </c>
      <c r="U1629" s="61"/>
      <c r="V1629" s="63" t="s">
        <v>250</v>
      </c>
      <c r="W1629" s="71" t="s">
        <v>242</v>
      </c>
      <c r="X1629" s="61"/>
      <c r="Y1629" s="63" t="s">
        <v>250</v>
      </c>
      <c r="Z1629" s="71" t="s">
        <v>242</v>
      </c>
      <c r="AA1629" s="61"/>
      <c r="AB1629" s="63" t="s">
        <v>250</v>
      </c>
      <c r="AC1629" s="71" t="s">
        <v>242</v>
      </c>
      <c r="AD1629" s="61"/>
      <c r="AE1629" s="63" t="s">
        <v>250</v>
      </c>
      <c r="AF1629" s="71" t="s">
        <v>242</v>
      </c>
      <c r="AG1629" s="61"/>
      <c r="AH1629" s="63" t="s">
        <v>250</v>
      </c>
      <c r="AI1629" s="71" t="s">
        <v>242</v>
      </c>
      <c r="AJ1629" s="61"/>
      <c r="AK1629" s="63" t="s">
        <v>250</v>
      </c>
      <c r="AL1629" s="71" t="s">
        <v>242</v>
      </c>
      <c r="AM1629" s="61"/>
      <c r="AN1629" s="63" t="s">
        <v>250</v>
      </c>
      <c r="AO1629" s="71" t="s">
        <v>242</v>
      </c>
      <c r="AP1629" s="61"/>
      <c r="AQ1629" s="63" t="s">
        <v>250</v>
      </c>
      <c r="AR1629" s="71" t="s">
        <v>242</v>
      </c>
      <c r="AS1629" s="61"/>
      <c r="AT1629" s="63" t="s">
        <v>250</v>
      </c>
      <c r="AU1629" s="71" t="s">
        <v>242</v>
      </c>
    </row>
    <row r="1630" spans="15:47" ht="13" x14ac:dyDescent="0.3">
      <c r="O1630" s="6" t="s">
        <v>231</v>
      </c>
      <c r="P1630" s="6"/>
      <c r="Q1630" s="60"/>
      <c r="R1630" s="85">
        <f>P_1_minQ-(R1628^2*R_up)+dpup_minQ</f>
        <v>56.909401154048126</v>
      </c>
      <c r="S1630" s="56"/>
      <c r="T1630" s="72"/>
      <c r="U1630" s="53">
        <f>P_1_minQ-(U1628^2*R_up)+dpup_minQ</f>
        <v>56.4330823931015</v>
      </c>
      <c r="V1630" s="44"/>
      <c r="W1630" s="72"/>
      <c r="X1630" s="53">
        <f>P_1_minQ-(X1628^2*R_up)+dpup_minQ</f>
        <v>54.132820353894346</v>
      </c>
      <c r="Y1630" s="44"/>
      <c r="Z1630" s="72"/>
      <c r="AA1630" s="53">
        <f>P_1_minQ-(AA1628^2*R_up)+dpup_minQ</f>
        <v>46.769037705173879</v>
      </c>
      <c r="AB1630" s="44"/>
      <c r="AC1630" s="72"/>
      <c r="AD1630" s="53">
        <f>P_1_minQ-(AD1628^2*R_up)+dpup_minQ</f>
        <v>29.470111937746612</v>
      </c>
      <c r="AE1630" s="44"/>
      <c r="AF1630" s="72"/>
      <c r="AG1630" s="53">
        <f>P_1_minQ-(AG1628^2*R_up)+dpup_minQ</f>
        <v>-3.9238919443805544</v>
      </c>
      <c r="AH1630" s="44"/>
      <c r="AI1630" s="72"/>
      <c r="AJ1630" s="53">
        <f>P_1_minQ-(AJ1628^2*R_up)+dpup_minQ</f>
        <v>-51.433911680139239</v>
      </c>
      <c r="AK1630" s="44"/>
      <c r="AL1630" s="72"/>
      <c r="AM1630" s="53">
        <f>P_1_minQ-(AM1628^2*R_up)+dpup_minQ</f>
        <v>-104.4023240408232</v>
      </c>
      <c r="AN1630" s="44"/>
      <c r="AO1630" s="72"/>
      <c r="AP1630" s="53">
        <f>P_1_minQ-(AP1628^2*R_up)+dpup_minQ</f>
        <v>-160.51677789192487</v>
      </c>
      <c r="AQ1630" s="44"/>
      <c r="AR1630" s="72"/>
      <c r="AS1630" s="53">
        <f>P_1_minQ-(AS1628^2*R_up)+dpup_minQ</f>
        <v>-224.71522092460972</v>
      </c>
      <c r="AT1630" s="44"/>
      <c r="AU1630" s="72"/>
    </row>
    <row r="1631" spans="15:47" ht="13" x14ac:dyDescent="0.3">
      <c r="O1631" s="6" t="s">
        <v>233</v>
      </c>
      <c r="P1631" s="6"/>
      <c r="Q1631" s="60"/>
      <c r="R1631" s="85">
        <f>P_2_minQ+(R1628^2*R_dn)-dpdn_minQ</f>
        <v>24.658119769190375</v>
      </c>
      <c r="S1631" s="66"/>
      <c r="T1631" s="74"/>
      <c r="U1631" s="53">
        <f>P_2_minQ+(U1628^2*R_dn)-dpdn_minQ</f>
        <v>24.7533835213797</v>
      </c>
      <c r="V1631" s="45"/>
      <c r="W1631" s="74"/>
      <c r="X1631" s="53">
        <f>P_2_minQ+(X1628^2*R_dn)-dpdn_minQ</f>
        <v>25.213435929221131</v>
      </c>
      <c r="Y1631" s="45"/>
      <c r="Z1631" s="74"/>
      <c r="AA1631" s="53">
        <f>P_2_minQ+(AA1628^2*R_dn)-dpdn_minQ</f>
        <v>26.686192458965227</v>
      </c>
      <c r="AB1631" s="45"/>
      <c r="AC1631" s="74"/>
      <c r="AD1631" s="53">
        <f>P_2_minQ+(AD1628^2*R_dn)-dpdn_minQ</f>
        <v>30.145977612450679</v>
      </c>
      <c r="AE1631" s="45"/>
      <c r="AF1631" s="74"/>
      <c r="AG1631" s="53">
        <f>P_2_minQ+(AG1628^2*R_dn)-dpdn_minQ</f>
        <v>36.824778388876112</v>
      </c>
      <c r="AH1631" s="45"/>
      <c r="AI1631" s="74"/>
      <c r="AJ1631" s="53">
        <f>P_2_minQ+(AJ1628^2*R_dn)-dpdn_minQ</f>
        <v>46.326782336027847</v>
      </c>
      <c r="AK1631" s="45"/>
      <c r="AL1631" s="74"/>
      <c r="AM1631" s="53">
        <f>P_2_minQ+(AM1628^2*R_dn)-dpdn_minQ</f>
        <v>56.920464808164645</v>
      </c>
      <c r="AN1631" s="45"/>
      <c r="AO1631" s="74"/>
      <c r="AP1631" s="53">
        <f>P_2_minQ+(AP1628^2*R_dn)-dpdn_minQ</f>
        <v>68.143355578384984</v>
      </c>
      <c r="AQ1631" s="45"/>
      <c r="AR1631" s="74"/>
      <c r="AS1631" s="53">
        <f>P_2_minQ+(AS1628^2*R_dn)-dpdn_minQ</f>
        <v>80.983044184921937</v>
      </c>
      <c r="AT1631" s="45"/>
      <c r="AU1631" s="74"/>
    </row>
    <row r="1632" spans="15:47" x14ac:dyDescent="0.25">
      <c r="O1632" s="6" t="s">
        <v>243</v>
      </c>
      <c r="Q1632" s="60"/>
      <c r="R1632" s="53">
        <f>R1630-R1631</f>
        <v>32.251281384857748</v>
      </c>
      <c r="S1632" s="56"/>
      <c r="T1632" s="72"/>
      <c r="U1632" s="64">
        <f>U1630-U1631</f>
        <v>31.679698871721801</v>
      </c>
      <c r="V1632" s="44"/>
      <c r="W1632" s="72"/>
      <c r="X1632" s="64">
        <f>X1630-X1631</f>
        <v>28.919384424673215</v>
      </c>
      <c r="Y1632" s="44"/>
      <c r="Z1632" s="72"/>
      <c r="AA1632" s="64">
        <f>AA1630-AA1631</f>
        <v>20.082845246208652</v>
      </c>
      <c r="AB1632" s="44"/>
      <c r="AC1632" s="72"/>
      <c r="AD1632" s="64">
        <f>AD1630-AD1631</f>
        <v>-0.67586567470406678</v>
      </c>
      <c r="AE1632" s="44"/>
      <c r="AF1632" s="72"/>
      <c r="AG1632" s="64">
        <f>AG1630-AG1631</f>
        <v>-40.748670333256669</v>
      </c>
      <c r="AH1632" s="44"/>
      <c r="AI1632" s="72"/>
      <c r="AJ1632" s="64">
        <f>AJ1630-AJ1631</f>
        <v>-97.760694016167093</v>
      </c>
      <c r="AK1632" s="44"/>
      <c r="AL1632" s="72"/>
      <c r="AM1632" s="64">
        <f>AM1630-AM1631</f>
        <v>-161.32278884898784</v>
      </c>
      <c r="AN1632" s="44"/>
      <c r="AO1632" s="72"/>
      <c r="AP1632" s="64">
        <f>AP1630-AP1631</f>
        <v>-228.66013347030986</v>
      </c>
      <c r="AQ1632" s="44"/>
      <c r="AR1632" s="72"/>
      <c r="AS1632" s="64">
        <f>AS1630-AS1631</f>
        <v>-305.69826510953169</v>
      </c>
      <c r="AT1632" s="44"/>
      <c r="AU1632" s="72"/>
    </row>
    <row r="1633" spans="15:47" ht="13" x14ac:dyDescent="0.3">
      <c r="O1633" s="6" t="s">
        <v>75</v>
      </c>
      <c r="P1633" s="6">
        <v>3</v>
      </c>
      <c r="Q1633" s="65"/>
      <c r="R1633" s="85">
        <f>(F_LP_h/F_P_h)^2*(R1630-('Valve Sizing'!$V$4*'Valve Sizing'!$G$7))</f>
        <v>46.759580478030244</v>
      </c>
      <c r="S1633" s="58"/>
      <c r="T1633" s="73"/>
      <c r="U1633" s="53">
        <f>(U$29/U$27)^2*(U1630-('Valve Sizing'!$V$4*'Valve Sizing'!$G$7))</f>
        <v>46.3525263138445</v>
      </c>
      <c r="V1633" s="41"/>
      <c r="W1633" s="73"/>
      <c r="X1633" s="53">
        <f>(X$29/X$27)^2*(X1630-('Valve Sizing'!$V$4*'Valve Sizing'!$G$7))</f>
        <v>43.445690335233294</v>
      </c>
      <c r="Y1633" s="41"/>
      <c r="Z1633" s="73"/>
      <c r="AA1633" s="53">
        <f>(AA$29/AA$27)^2*(AA1630-('Valve Sizing'!$V$4*'Valve Sizing'!$G$7))</f>
        <v>35.802907040120573</v>
      </c>
      <c r="AB1633" s="41"/>
      <c r="AC1633" s="73"/>
      <c r="AD1633" s="53">
        <f>(AD$29/AD$27)^2*(AD1630-('Valve Sizing'!$V$4*'Valve Sizing'!$G$7))</f>
        <v>20.936109568275903</v>
      </c>
      <c r="AE1633" s="41"/>
      <c r="AF1633" s="73"/>
      <c r="AG1633" s="53">
        <f>(AG$29/AG$27)^2*(AG1630-('Valve Sizing'!$V$4*'Valve Sizing'!$G$7))</f>
        <v>-2.8105753517397183</v>
      </c>
      <c r="AH1633" s="41"/>
      <c r="AI1633" s="73"/>
      <c r="AJ1633" s="53">
        <f>(AJ$29/AJ$27)^2*(AJ1630-('Valve Sizing'!$V$4*'Valve Sizing'!$G$7))</f>
        <v>-30.002053803324365</v>
      </c>
      <c r="AK1633" s="41"/>
      <c r="AL1633" s="73"/>
      <c r="AM1633" s="53">
        <f>(AM$29/AM$27)^2*(AM1630-('Valve Sizing'!$V$4*'Valve Sizing'!$G$7))</f>
        <v>-50.164159714884683</v>
      </c>
      <c r="AN1633" s="41"/>
      <c r="AO1633" s="73"/>
      <c r="AP1633" s="53">
        <f>(AP$29/AP$27)^2*(AP1630-('Valve Sizing'!$V$4*'Valve Sizing'!$G$7))</f>
        <v>-63.517885359039553</v>
      </c>
      <c r="AQ1633" s="41"/>
      <c r="AR1633" s="73"/>
      <c r="AS1633" s="53">
        <f>(AS$29/AS$27)^2*(AS1630-('Valve Sizing'!$V$4*'Valve Sizing'!$G$7))</f>
        <v>-84.690085286851954</v>
      </c>
      <c r="AT1633" s="41"/>
      <c r="AU1633" s="73"/>
    </row>
    <row r="1634" spans="15:47" ht="13" x14ac:dyDescent="0.25">
      <c r="O1634" s="1" t="s">
        <v>69</v>
      </c>
      <c r="P1634" s="17">
        <v>7</v>
      </c>
      <c r="Q1634" s="65"/>
      <c r="R1634" s="53">
        <f>(R1628/(N_1*F_P_h))*SQRT('Valve Sizing'!$G$6/R1632)</f>
        <v>2.4883125726299991</v>
      </c>
      <c r="S1634" s="58"/>
      <c r="T1634" s="73"/>
      <c r="U1634" s="64">
        <f>(U1628/(N_1*U$27))*SQRT('Valve Sizing'!$G$6/U1632)</f>
        <v>21.266462306014365</v>
      </c>
      <c r="V1634" s="41"/>
      <c r="W1634" s="73"/>
      <c r="X1634" s="64">
        <f>(X1628/(N_1*X$27))*SQRT('Valve Sizing'!$G$6/X1632)</f>
        <v>53.548436017901068</v>
      </c>
      <c r="Y1634" s="41"/>
      <c r="Z1634" s="73"/>
      <c r="AA1634" s="64">
        <f>(AA1628/(N_1*AA$27))*SQRT('Valve Sizing'!$G$6/AA1632)</f>
        <v>123.39833881906897</v>
      </c>
      <c r="AB1634" s="41"/>
      <c r="AC1634" s="73"/>
      <c r="AD1634" s="64" t="e">
        <f>(AD1628/(N_1*AD$27))*SQRT('Valve Sizing'!$G$6/AD1632)</f>
        <v>#NUM!</v>
      </c>
      <c r="AE1634" s="41"/>
      <c r="AF1634" s="73"/>
      <c r="AG1634" s="64" t="e">
        <f>(AG1628/(N_1*AG$27))*SQRT('Valve Sizing'!$G$6/AG1632)</f>
        <v>#NUM!</v>
      </c>
      <c r="AH1634" s="41"/>
      <c r="AI1634" s="73"/>
      <c r="AJ1634" s="64" t="e">
        <f>(AJ1628/(N_1*AJ$27))*SQRT('Valve Sizing'!$G$6/AJ1632)</f>
        <v>#NUM!</v>
      </c>
      <c r="AK1634" s="41"/>
      <c r="AL1634" s="73"/>
      <c r="AM1634" s="64" t="e">
        <f>(AM1628/(N_1*AM$27))*SQRT('Valve Sizing'!$G$6/AM1632)</f>
        <v>#NUM!</v>
      </c>
      <c r="AN1634" s="41"/>
      <c r="AO1634" s="73"/>
      <c r="AP1634" s="64" t="e">
        <f>(AP1628/(N_1*AP$27))*SQRT('Valve Sizing'!$G$6/AP1632)</f>
        <v>#NUM!</v>
      </c>
      <c r="AQ1634" s="41"/>
      <c r="AR1634" s="73"/>
      <c r="AS1634" s="64" t="e">
        <f>(AS1628/(N_1*AS$27))*SQRT('Valve Sizing'!$G$6/AS1632)</f>
        <v>#NUM!</v>
      </c>
      <c r="AT1634" s="41"/>
      <c r="AU1634" s="73"/>
    </row>
    <row r="1635" spans="15:47" ht="13" x14ac:dyDescent="0.3">
      <c r="O1635" s="1" t="s">
        <v>72</v>
      </c>
      <c r="P1635" s="17">
        <v>7</v>
      </c>
      <c r="Q1635" s="65"/>
      <c r="R1635" s="53">
        <f>(R1628/(N_1*F_P_h))*SQRT('Valve Sizing'!$G$6/R1633)</f>
        <v>2.0665366794296185</v>
      </c>
      <c r="S1635" s="56"/>
      <c r="T1635" s="72"/>
      <c r="U1635" s="85">
        <f>(U1628/(N_1*U$27))*SQRT('Valve Sizing'!$G$6/U1633)</f>
        <v>17.581222430867065</v>
      </c>
      <c r="V1635" s="44"/>
      <c r="W1635" s="72"/>
      <c r="X1635" s="85">
        <f>(X1628/(N_1*X$27))*SQRT('Valve Sizing'!$G$6/X1633)</f>
        <v>43.6885832995087</v>
      </c>
      <c r="Y1635" s="44"/>
      <c r="Z1635" s="72"/>
      <c r="AA1635" s="85">
        <f>(AA1628/(N_1*AA$27))*SQRT('Valve Sizing'!$G$6/AA1633)</f>
        <v>92.419324242553301</v>
      </c>
      <c r="AB1635" s="44"/>
      <c r="AC1635" s="72"/>
      <c r="AD1635" s="85">
        <f>(AD1628/(N_1*AD$27))*SQRT('Valve Sizing'!$G$6/AD1633)</f>
        <v>201.26480404546925</v>
      </c>
      <c r="AE1635" s="44"/>
      <c r="AF1635" s="72"/>
      <c r="AG1635" s="85" t="e">
        <f>(AG1628/(N_1*AG$27))*SQRT('Valve Sizing'!$G$6/AG1633)</f>
        <v>#NUM!</v>
      </c>
      <c r="AH1635" s="44"/>
      <c r="AI1635" s="72"/>
      <c r="AJ1635" s="85" t="e">
        <f>(AJ1628/(N_1*AJ$27))*SQRT('Valve Sizing'!$G$6/AJ1633)</f>
        <v>#NUM!</v>
      </c>
      <c r="AK1635" s="44"/>
      <c r="AL1635" s="72"/>
      <c r="AM1635" s="85" t="e">
        <f>(AM1628/(N_1*AM$27))*SQRT('Valve Sizing'!$G$6/AM1633)</f>
        <v>#NUM!</v>
      </c>
      <c r="AN1635" s="44"/>
      <c r="AO1635" s="72"/>
      <c r="AP1635" s="85" t="e">
        <f>(AP1628/(N_1*AP$27))*SQRT('Valve Sizing'!$G$6/AP1633)</f>
        <v>#NUM!</v>
      </c>
      <c r="AQ1635" s="44"/>
      <c r="AR1635" s="72"/>
      <c r="AS1635" s="85" t="e">
        <f>(AS1628/(N_1*AS$27))*SQRT('Valve Sizing'!$G$6/AS1633)</f>
        <v>#NUM!</v>
      </c>
      <c r="AT1635" s="44"/>
      <c r="AU1635" s="72"/>
    </row>
    <row r="1636" spans="15:47" x14ac:dyDescent="0.25">
      <c r="O1636" s="1" t="s">
        <v>246</v>
      </c>
      <c r="P1636" s="18"/>
      <c r="Q1636" s="65"/>
      <c r="R1636" s="53">
        <f>IF(R1632&lt;R1633,R1634,R1635)</f>
        <v>2.4883125726299991</v>
      </c>
      <c r="S1636" s="49"/>
      <c r="T1636" s="72"/>
      <c r="U1636" s="64">
        <f>IF(U1632&lt;U1633,U1634,U1635)</f>
        <v>21.266462306014365</v>
      </c>
      <c r="V1636" s="44"/>
      <c r="W1636" s="72"/>
      <c r="X1636" s="64">
        <f>IF(X1632&lt;X1633,X1634,X1635)</f>
        <v>53.548436017901068</v>
      </c>
      <c r="Y1636" s="44"/>
      <c r="Z1636" s="72"/>
      <c r="AA1636" s="64">
        <f>IF(AA1632&lt;AA1633,AA1634,AA1635)</f>
        <v>123.39833881906897</v>
      </c>
      <c r="AB1636" s="44"/>
      <c r="AC1636" s="72"/>
      <c r="AD1636" s="64" t="e">
        <f>IF(AD1632&lt;AD1633,AD1634,AD1635)</f>
        <v>#NUM!</v>
      </c>
      <c r="AE1636" s="44"/>
      <c r="AF1636" s="72"/>
      <c r="AG1636" s="64" t="e">
        <f>IF(AG1632&lt;AG1633,AG1634,AG1635)</f>
        <v>#NUM!</v>
      </c>
      <c r="AH1636" s="44"/>
      <c r="AI1636" s="72"/>
      <c r="AJ1636" s="64" t="e">
        <f>IF(AJ1632&lt;AJ1633,AJ1634,AJ1635)</f>
        <v>#NUM!</v>
      </c>
      <c r="AK1636" s="44"/>
      <c r="AL1636" s="72"/>
      <c r="AM1636" s="64" t="e">
        <f>IF(AM1632&lt;AM1633,AM1634,AM1635)</f>
        <v>#NUM!</v>
      </c>
      <c r="AN1636" s="44"/>
      <c r="AO1636" s="72"/>
      <c r="AP1636" s="64" t="e">
        <f>IF(AP1632&lt;AP1633,AP1634,AP1635)</f>
        <v>#NUM!</v>
      </c>
      <c r="AQ1636" s="44"/>
      <c r="AR1636" s="72"/>
      <c r="AS1636" s="64" t="e">
        <f>IF(AS1632&lt;AS1633,AS1634,AS1635)</f>
        <v>#NUM!</v>
      </c>
      <c r="AT1636" s="44"/>
      <c r="AU1636" s="72"/>
    </row>
    <row r="1637" spans="15:47" ht="13" x14ac:dyDescent="0.3">
      <c r="O1637" s="7" t="s">
        <v>264</v>
      </c>
      <c r="Q1637" s="61"/>
      <c r="R1637" s="53"/>
      <c r="S1637" s="69">
        <f>IFERROR(ABS(C_h-R1636),Q_max*10)</f>
        <v>2.5116874273700009</v>
      </c>
      <c r="T1637" s="76">
        <f>R1628</f>
        <v>14.129112804241254</v>
      </c>
      <c r="U1637" s="61"/>
      <c r="V1637" s="69">
        <f>IFERROR(ABS(U$23-U1636),Q_max*10)</f>
        <v>9.2664623060143647</v>
      </c>
      <c r="W1637" s="75">
        <f>U1628</f>
        <v>119.59694954414415</v>
      </c>
      <c r="X1637" s="61"/>
      <c r="Y1637" s="69">
        <f>IFERROR(ABS(X$23-X1636),Q_max*10)</f>
        <v>30.548436017901068</v>
      </c>
      <c r="Z1637" s="75">
        <f>X1628</f>
        <v>287.0787162455419</v>
      </c>
      <c r="AA1637" s="61"/>
      <c r="AB1637" s="69">
        <f>IFERROR(ABS(AA$23-AA1636),Q_max*10)</f>
        <v>84.398338819068968</v>
      </c>
      <c r="AC1637" s="75">
        <f>AA1628</f>
        <v>548.13848026735127</v>
      </c>
      <c r="AD1637" s="61"/>
      <c r="AE1637" s="69">
        <f>IFERROR(ABS(AD$23-AD1636),Q_max*10)</f>
        <v>5500</v>
      </c>
      <c r="AF1637" s="75">
        <f>AD1628</f>
        <v>901.48598742483114</v>
      </c>
      <c r="AG1637" s="61"/>
      <c r="AH1637" s="69">
        <f>IFERROR(ABS(AG$23-AG1636),Q_max*10)</f>
        <v>5500</v>
      </c>
      <c r="AI1637" s="75">
        <f>AG1628</f>
        <v>1342.1897930147986</v>
      </c>
      <c r="AJ1637" s="61"/>
      <c r="AK1637" s="69">
        <f>IFERROR(ABS(AJ$23-AJ1636),Q_max*10)</f>
        <v>5500</v>
      </c>
      <c r="AL1637" s="75">
        <f>AJ1628</f>
        <v>1791.1574818672207</v>
      </c>
      <c r="AM1637" s="61"/>
      <c r="AN1637" s="69">
        <f>IFERROR(ABS(AM$23-AM1636),Q_max*10)</f>
        <v>5500</v>
      </c>
      <c r="AO1637" s="75">
        <f>AM1628</f>
        <v>2185.5525193526637</v>
      </c>
      <c r="AP1637" s="61"/>
      <c r="AQ1637" s="69">
        <f>IFERROR(ABS(AP$23-AP1636),Q_max*10)</f>
        <v>5500</v>
      </c>
      <c r="AR1637" s="75">
        <f>AP1628</f>
        <v>2537.3586252991308</v>
      </c>
      <c r="AS1637" s="61"/>
      <c r="AT1637" s="69">
        <f>IFERROR(ABS(AS$23-AS1636),Q_max*10)</f>
        <v>5500</v>
      </c>
      <c r="AU1637" s="75">
        <f>AS1628</f>
        <v>2887.7508015023895</v>
      </c>
    </row>
    <row r="1638" spans="15:47" ht="14.5" x14ac:dyDescent="0.35">
      <c r="O1638" s="6"/>
      <c r="P1638" s="6"/>
      <c r="Q1638" s="60"/>
      <c r="R1638" s="67"/>
      <c r="S1638" s="56"/>
      <c r="T1638" s="72"/>
      <c r="V1638" s="11"/>
      <c r="W1638" s="38"/>
      <c r="Y1638" s="11"/>
      <c r="Z1638" s="38"/>
      <c r="AB1638" s="11"/>
      <c r="AC1638" s="38"/>
      <c r="AE1638" s="11"/>
      <c r="AF1638" s="38"/>
      <c r="AH1638" s="11"/>
      <c r="AI1638" s="38"/>
      <c r="AK1638" s="11"/>
      <c r="AL1638" s="38"/>
      <c r="AN1638" s="11"/>
      <c r="AO1638" s="38"/>
      <c r="AQ1638" s="11"/>
      <c r="AR1638" s="38"/>
      <c r="AT1638" s="11"/>
      <c r="AU1638" s="38"/>
    </row>
    <row r="1639" spans="15:47" ht="14" x14ac:dyDescent="0.3">
      <c r="O1639" s="8" t="s">
        <v>235</v>
      </c>
      <c r="P1639" s="6"/>
      <c r="Q1639" s="60"/>
      <c r="R1639" s="53">
        <f>R1628*1.02</f>
        <v>14.41169506032608</v>
      </c>
      <c r="S1639" s="58" t="s">
        <v>238</v>
      </c>
      <c r="T1639" s="73" t="s">
        <v>241</v>
      </c>
      <c r="U1639" s="84">
        <f>U1628*1.01</f>
        <v>120.7929190395856</v>
      </c>
      <c r="V1639" s="58" t="s">
        <v>238</v>
      </c>
      <c r="W1639" s="73" t="s">
        <v>241</v>
      </c>
      <c r="X1639" s="84">
        <f>X1628*1.01</f>
        <v>289.94950340799733</v>
      </c>
      <c r="Y1639" s="58" t="s">
        <v>238</v>
      </c>
      <c r="Z1639" s="73" t="s">
        <v>241</v>
      </c>
      <c r="AA1639" s="84">
        <f>AA1628*1.01</f>
        <v>553.61986507002484</v>
      </c>
      <c r="AB1639" s="58" t="s">
        <v>238</v>
      </c>
      <c r="AC1639" s="73" t="s">
        <v>241</v>
      </c>
      <c r="AD1639" s="84">
        <f>AD1628*1.01</f>
        <v>910.50084729907951</v>
      </c>
      <c r="AE1639" s="58" t="s">
        <v>238</v>
      </c>
      <c r="AF1639" s="73" t="s">
        <v>241</v>
      </c>
      <c r="AG1639" s="84">
        <f>AG1628*1.01</f>
        <v>1355.6116909449465</v>
      </c>
      <c r="AH1639" s="58" t="s">
        <v>238</v>
      </c>
      <c r="AI1639" s="73" t="s">
        <v>241</v>
      </c>
      <c r="AJ1639" s="84">
        <f>AJ1628*1.01</f>
        <v>1809.069056685893</v>
      </c>
      <c r="AK1639" s="58" t="s">
        <v>238</v>
      </c>
      <c r="AL1639" s="73" t="s">
        <v>241</v>
      </c>
      <c r="AM1639" s="84">
        <f>AM1628*1.01</f>
        <v>2207.4080445461905</v>
      </c>
      <c r="AN1639" s="58" t="s">
        <v>238</v>
      </c>
      <c r="AO1639" s="73" t="s">
        <v>241</v>
      </c>
      <c r="AP1639" s="84">
        <f>AP1628*1.01</f>
        <v>2562.732211552122</v>
      </c>
      <c r="AQ1639" s="58" t="s">
        <v>238</v>
      </c>
      <c r="AR1639" s="73" t="s">
        <v>241</v>
      </c>
      <c r="AS1639" s="84">
        <f>AS1628*1.01</f>
        <v>2916.6283095174135</v>
      </c>
      <c r="AT1639" s="58" t="s">
        <v>238</v>
      </c>
      <c r="AU1639" s="73" t="s">
        <v>241</v>
      </c>
    </row>
    <row r="1640" spans="15:47" ht="13" x14ac:dyDescent="0.25">
      <c r="O1640" s="6"/>
      <c r="P1640" s="6"/>
      <c r="Q1640" s="60"/>
      <c r="R1640" s="70"/>
      <c r="S1640" s="63" t="s">
        <v>250</v>
      </c>
      <c r="T1640" s="71" t="s">
        <v>242</v>
      </c>
      <c r="U1640" s="61"/>
      <c r="V1640" s="63" t="s">
        <v>250</v>
      </c>
      <c r="W1640" s="71" t="s">
        <v>242</v>
      </c>
      <c r="X1640" s="61"/>
      <c r="Y1640" s="63" t="s">
        <v>250</v>
      </c>
      <c r="Z1640" s="71" t="s">
        <v>242</v>
      </c>
      <c r="AA1640" s="61"/>
      <c r="AB1640" s="63" t="s">
        <v>250</v>
      </c>
      <c r="AC1640" s="71" t="s">
        <v>242</v>
      </c>
      <c r="AD1640" s="61"/>
      <c r="AE1640" s="63" t="s">
        <v>250</v>
      </c>
      <c r="AF1640" s="71" t="s">
        <v>242</v>
      </c>
      <c r="AG1640" s="61"/>
      <c r="AH1640" s="63" t="s">
        <v>250</v>
      </c>
      <c r="AI1640" s="71" t="s">
        <v>242</v>
      </c>
      <c r="AJ1640" s="61"/>
      <c r="AK1640" s="63" t="s">
        <v>250</v>
      </c>
      <c r="AL1640" s="71" t="s">
        <v>242</v>
      </c>
      <c r="AM1640" s="61"/>
      <c r="AN1640" s="63" t="s">
        <v>250</v>
      </c>
      <c r="AO1640" s="71" t="s">
        <v>242</v>
      </c>
      <c r="AP1640" s="61"/>
      <c r="AQ1640" s="63" t="s">
        <v>250</v>
      </c>
      <c r="AR1640" s="71" t="s">
        <v>242</v>
      </c>
      <c r="AS1640" s="61"/>
      <c r="AT1640" s="63" t="s">
        <v>250</v>
      </c>
      <c r="AU1640" s="71" t="s">
        <v>242</v>
      </c>
    </row>
    <row r="1641" spans="15:47" ht="13" x14ac:dyDescent="0.3">
      <c r="O1641" s="6" t="s">
        <v>231</v>
      </c>
      <c r="P1641" s="6"/>
      <c r="Q1641" s="60"/>
      <c r="R1641" s="85">
        <f>P_1_minQ-(R1639^2*R_up)+dpup_minQ</f>
        <v>56.909128775599058</v>
      </c>
      <c r="S1641" s="56"/>
      <c r="T1641" s="72"/>
      <c r="U1641" s="53">
        <f>P_1_minQ-(U1639^2*R_up)+dpup_minQ</f>
        <v>56.423372870986022</v>
      </c>
      <c r="V1641" s="44"/>
      <c r="W1641" s="72"/>
      <c r="X1641" s="53">
        <f>P_1_minQ-(X1639^2*R_up)+dpup_minQ</f>
        <v>54.076875564790804</v>
      </c>
      <c r="Y1641" s="44"/>
      <c r="Z1641" s="72"/>
      <c r="AA1641" s="53">
        <f>P_1_minQ-(AA1639^2*R_up)+dpup_minQ</f>
        <v>46.565080884831055</v>
      </c>
      <c r="AB1641" s="44"/>
      <c r="AC1641" s="72"/>
      <c r="AD1641" s="53">
        <f>P_1_minQ-(AD1639^2*R_up)+dpup_minQ</f>
        <v>28.918446709478498</v>
      </c>
      <c r="AE1641" s="44"/>
      <c r="AF1641" s="72"/>
      <c r="AG1641" s="53">
        <f>P_1_minQ-(AG1639^2*R_up)+dpup_minQ</f>
        <v>-5.1467766506794108</v>
      </c>
      <c r="AH1641" s="44"/>
      <c r="AI1641" s="72"/>
      <c r="AJ1641" s="53">
        <f>P_1_minQ-(AJ1639^2*R_up)+dpup_minQ</f>
        <v>-53.61174778312688</v>
      </c>
      <c r="AK1641" s="44"/>
      <c r="AL1641" s="72"/>
      <c r="AM1641" s="53">
        <f>P_1_minQ-(AM1639^2*R_up)+dpup_minQ</f>
        <v>-107.64482523226062</v>
      </c>
      <c r="AN1641" s="44"/>
      <c r="AO1641" s="72"/>
      <c r="AP1641" s="53">
        <f>P_1_minQ-(AP1639^2*R_up)+dpup_minQ</f>
        <v>-164.88717960576932</v>
      </c>
      <c r="AQ1641" s="44"/>
      <c r="AR1641" s="72"/>
      <c r="AS1641" s="53">
        <f>P_1_minQ-(AS1639^2*R_up)+dpup_minQ</f>
        <v>-230.37601134341125</v>
      </c>
      <c r="AT1641" s="44"/>
      <c r="AU1641" s="72"/>
    </row>
    <row r="1642" spans="15:47" ht="13" x14ac:dyDescent="0.3">
      <c r="O1642" s="6" t="s">
        <v>233</v>
      </c>
      <c r="P1642" s="6"/>
      <c r="Q1642" s="60"/>
      <c r="R1642" s="85">
        <f>P_2_minQ+(R1639^2*R_dn)-dpdn_minQ</f>
        <v>24.65817424488019</v>
      </c>
      <c r="S1642" s="66"/>
      <c r="T1642" s="74"/>
      <c r="U1642" s="53">
        <f>P_2_minQ+(U1639^2*R_dn)-dpdn_minQ</f>
        <v>24.755325425802798</v>
      </c>
      <c r="V1642" s="45"/>
      <c r="W1642" s="74"/>
      <c r="X1642" s="53">
        <f>P_2_minQ+(X1639^2*R_dn)-dpdn_minQ</f>
        <v>25.224624887041841</v>
      </c>
      <c r="Y1642" s="45"/>
      <c r="Z1642" s="74"/>
      <c r="AA1642" s="53">
        <f>P_2_minQ+(AA1639^2*R_dn)-dpdn_minQ</f>
        <v>26.726983823033791</v>
      </c>
      <c r="AB1642" s="45"/>
      <c r="AC1642" s="74"/>
      <c r="AD1642" s="53">
        <f>P_2_minQ+(AD1639^2*R_dn)-dpdn_minQ</f>
        <v>30.256310658104301</v>
      </c>
      <c r="AE1642" s="45"/>
      <c r="AF1642" s="74"/>
      <c r="AG1642" s="53">
        <f>P_2_minQ+(AG1639^2*R_dn)-dpdn_minQ</f>
        <v>37.069355330135885</v>
      </c>
      <c r="AH1642" s="45"/>
      <c r="AI1642" s="74"/>
      <c r="AJ1642" s="53">
        <f>P_2_minQ+(AJ1639^2*R_dn)-dpdn_minQ</f>
        <v>46.762349556625381</v>
      </c>
      <c r="AK1642" s="45"/>
      <c r="AL1642" s="74"/>
      <c r="AM1642" s="53">
        <f>P_2_minQ+(AM1639^2*R_dn)-dpdn_minQ</f>
        <v>57.568965046452128</v>
      </c>
      <c r="AN1642" s="45"/>
      <c r="AO1642" s="74"/>
      <c r="AP1642" s="53">
        <f>P_2_minQ+(AP1639^2*R_dn)-dpdn_minQ</f>
        <v>69.017435921153861</v>
      </c>
      <c r="AQ1642" s="45"/>
      <c r="AR1642" s="74"/>
      <c r="AS1642" s="53">
        <f>P_2_minQ+(AS1639^2*R_dn)-dpdn_minQ</f>
        <v>82.115202268682239</v>
      </c>
      <c r="AT1642" s="45"/>
      <c r="AU1642" s="74"/>
    </row>
    <row r="1643" spans="15:47" x14ac:dyDescent="0.25">
      <c r="O1643" s="6" t="s">
        <v>243</v>
      </c>
      <c r="Q1643" s="60"/>
      <c r="R1643" s="53">
        <f>R1641-R1642</f>
        <v>32.250954530718872</v>
      </c>
      <c r="S1643" s="56"/>
      <c r="T1643" s="72"/>
      <c r="U1643" s="64">
        <f>U1641-U1642</f>
        <v>31.668047445183223</v>
      </c>
      <c r="V1643" s="44"/>
      <c r="W1643" s="72"/>
      <c r="X1643" s="64">
        <f>X1641-X1642</f>
        <v>28.852250677748962</v>
      </c>
      <c r="Y1643" s="44"/>
      <c r="Z1643" s="72"/>
      <c r="AA1643" s="64">
        <f>AA1641-AA1642</f>
        <v>19.838097061797264</v>
      </c>
      <c r="AB1643" s="44"/>
      <c r="AC1643" s="72"/>
      <c r="AD1643" s="64">
        <f>AD1641-AD1642</f>
        <v>-1.3378639486258024</v>
      </c>
      <c r="AE1643" s="44"/>
      <c r="AF1643" s="72"/>
      <c r="AG1643" s="64">
        <f>AG1641-AG1642</f>
        <v>-42.216131980815298</v>
      </c>
      <c r="AH1643" s="44"/>
      <c r="AI1643" s="72"/>
      <c r="AJ1643" s="64">
        <f>AJ1641-AJ1642</f>
        <v>-100.37409733975227</v>
      </c>
      <c r="AK1643" s="44"/>
      <c r="AL1643" s="72"/>
      <c r="AM1643" s="64">
        <f>AM1641-AM1642</f>
        <v>-165.21379027871274</v>
      </c>
      <c r="AN1643" s="44"/>
      <c r="AO1643" s="72"/>
      <c r="AP1643" s="64">
        <f>AP1641-AP1642</f>
        <v>-233.90461552692318</v>
      </c>
      <c r="AQ1643" s="44"/>
      <c r="AR1643" s="72"/>
      <c r="AS1643" s="64">
        <f>AS1641-AS1642</f>
        <v>-312.49121361209347</v>
      </c>
      <c r="AT1643" s="44"/>
      <c r="AU1643" s="72"/>
    </row>
    <row r="1644" spans="15:47" ht="13" x14ac:dyDescent="0.3">
      <c r="O1644" s="6" t="s">
        <v>75</v>
      </c>
      <c r="P1644" s="6">
        <v>3</v>
      </c>
      <c r="Q1644" s="65"/>
      <c r="R1644" s="85">
        <f>(F_LP_h/F_P_h)^2*(R1641-('Valve Sizing'!$V$4*'Valve Sizing'!$G$7))</f>
        <v>46.759354934377292</v>
      </c>
      <c r="S1644" s="58"/>
      <c r="T1644" s="73"/>
      <c r="U1644" s="53">
        <f>(U$29/U$27)^2*(U1641-('Valve Sizing'!$V$4*'Valve Sizing'!$G$7))</f>
        <v>46.344488511250873</v>
      </c>
      <c r="V1644" s="41"/>
      <c r="W1644" s="73"/>
      <c r="X1644" s="53">
        <f>(X$29/X$27)^2*(X1641-('Valve Sizing'!$V$4*'Valve Sizing'!$G$7))</f>
        <v>43.400422409693221</v>
      </c>
      <c r="Y1644" s="41"/>
      <c r="Z1644" s="73"/>
      <c r="AA1644" s="53">
        <f>(AA$29/AA$27)^2*(AA1641-('Valve Sizing'!$V$4*'Valve Sizing'!$G$7))</f>
        <v>35.64528977608358</v>
      </c>
      <c r="AB1644" s="41"/>
      <c r="AC1644" s="73"/>
      <c r="AD1644" s="53">
        <f>(AD$29/AD$27)^2*(AD1641-('Valve Sizing'!$V$4*'Valve Sizing'!$G$7))</f>
        <v>20.538255552672236</v>
      </c>
      <c r="AE1644" s="41"/>
      <c r="AF1644" s="73"/>
      <c r="AG1644" s="53">
        <f>(AG$29/AG$27)^2*(AG1641-('Valve Sizing'!$V$4*'Valve Sizing'!$G$7))</f>
        <v>-3.598166849825819</v>
      </c>
      <c r="AH1644" s="41"/>
      <c r="AI1644" s="73"/>
      <c r="AJ1644" s="53">
        <f>(AJ$29/AJ$27)^2*(AJ1641-('Valve Sizing'!$V$4*'Valve Sizing'!$G$7))</f>
        <v>-31.261636533478256</v>
      </c>
      <c r="AK1644" s="41"/>
      <c r="AL1644" s="73"/>
      <c r="AM1644" s="53">
        <f>(AM$29/AM$27)^2*(AM1641-('Valve Sizing'!$V$4*'Valve Sizing'!$G$7))</f>
        <v>-51.715606229074204</v>
      </c>
      <c r="AN1644" s="41"/>
      <c r="AO1644" s="73"/>
      <c r="AP1644" s="53">
        <f>(AP$29/AP$27)^2*(AP1641-('Valve Sizing'!$V$4*'Valve Sizing'!$G$7))</f>
        <v>-65.242563121655706</v>
      </c>
      <c r="AQ1644" s="41"/>
      <c r="AR1644" s="73"/>
      <c r="AS1644" s="53">
        <f>(AS$29/AS$27)^2*(AS1641-('Valve Sizing'!$V$4*'Valve Sizing'!$G$7))</f>
        <v>-86.819339490235251</v>
      </c>
      <c r="AT1644" s="41"/>
      <c r="AU1644" s="73"/>
    </row>
    <row r="1645" spans="15:47" ht="13" x14ac:dyDescent="0.25">
      <c r="O1645" s="1" t="s">
        <v>69</v>
      </c>
      <c r="P1645" s="17">
        <v>7</v>
      </c>
      <c r="Q1645" s="65"/>
      <c r="R1645" s="53">
        <f>(R1639/(N_1*F_P_h))*SQRT('Valve Sizing'!$G$6/R1643)</f>
        <v>2.5380916853990878</v>
      </c>
      <c r="S1645" s="58"/>
      <c r="T1645" s="73"/>
      <c r="U1645" s="64">
        <f>(U1639/(N_1*U$27))*SQRT('Valve Sizing'!$G$6/U1643)</f>
        <v>21.483077906077714</v>
      </c>
      <c r="V1645" s="41"/>
      <c r="W1645" s="73"/>
      <c r="X1645" s="64">
        <f>(X1639/(N_1*X$27))*SQRT('Valve Sizing'!$G$6/X1643)</f>
        <v>54.14680536126653</v>
      </c>
      <c r="Y1645" s="41"/>
      <c r="Z1645" s="73"/>
      <c r="AA1645" s="64">
        <f>(AA1639/(N_1*AA$27))*SQRT('Valve Sizing'!$G$6/AA1643)</f>
        <v>125.39877747103881</v>
      </c>
      <c r="AB1645" s="41"/>
      <c r="AC1645" s="73"/>
      <c r="AD1645" s="64" t="e">
        <f>(AD1639/(N_1*AD$27))*SQRT('Valve Sizing'!$G$6/AD1643)</f>
        <v>#NUM!</v>
      </c>
      <c r="AE1645" s="41"/>
      <c r="AF1645" s="73"/>
      <c r="AG1645" s="64" t="e">
        <f>(AG1639/(N_1*AG$27))*SQRT('Valve Sizing'!$G$6/AG1643)</f>
        <v>#NUM!</v>
      </c>
      <c r="AH1645" s="41"/>
      <c r="AI1645" s="73"/>
      <c r="AJ1645" s="64" t="e">
        <f>(AJ1639/(N_1*AJ$27))*SQRT('Valve Sizing'!$G$6/AJ1643)</f>
        <v>#NUM!</v>
      </c>
      <c r="AK1645" s="41"/>
      <c r="AL1645" s="73"/>
      <c r="AM1645" s="64" t="e">
        <f>(AM1639/(N_1*AM$27))*SQRT('Valve Sizing'!$G$6/AM1643)</f>
        <v>#NUM!</v>
      </c>
      <c r="AN1645" s="41"/>
      <c r="AO1645" s="73"/>
      <c r="AP1645" s="64" t="e">
        <f>(AP1639/(N_1*AP$27))*SQRT('Valve Sizing'!$G$6/AP1643)</f>
        <v>#NUM!</v>
      </c>
      <c r="AQ1645" s="41"/>
      <c r="AR1645" s="73"/>
      <c r="AS1645" s="64" t="e">
        <f>(AS1639/(N_1*AS$27))*SQRT('Valve Sizing'!$G$6/AS1643)</f>
        <v>#NUM!</v>
      </c>
      <c r="AT1645" s="41"/>
      <c r="AU1645" s="73"/>
    </row>
    <row r="1646" spans="15:47" ht="13" x14ac:dyDescent="0.3">
      <c r="O1646" s="1" t="s">
        <v>72</v>
      </c>
      <c r="P1646" s="17">
        <v>7</v>
      </c>
      <c r="Q1646" s="65"/>
      <c r="R1646" s="53">
        <f>(R1639/(N_1*F_P_h))*SQRT('Valve Sizing'!$G$6/R1644)</f>
        <v>2.10787249665916</v>
      </c>
      <c r="S1646" s="56"/>
      <c r="T1646" s="72"/>
      <c r="U1646" s="85">
        <f>(U1639/(N_1*U$27))*SQRT('Valve Sizing'!$G$6/U1644)</f>
        <v>17.758574442924015</v>
      </c>
      <c r="V1646" s="44"/>
      <c r="W1646" s="72"/>
      <c r="X1646" s="85">
        <f>(X1639/(N_1*X$27))*SQRT('Valve Sizing'!$G$6/X1644)</f>
        <v>44.14847522042885</v>
      </c>
      <c r="Y1646" s="44"/>
      <c r="Z1646" s="72"/>
      <c r="AA1646" s="85">
        <f>(AA1639/(N_1*AA$27))*SQRT('Valve Sizing'!$G$6/AA1644)</f>
        <v>93.549664239710864</v>
      </c>
      <c r="AB1646" s="44"/>
      <c r="AC1646" s="72"/>
      <c r="AD1646" s="85">
        <f>(AD1639/(N_1*AD$27))*SQRT('Valve Sizing'!$G$6/AD1644)</f>
        <v>205.23688907539602</v>
      </c>
      <c r="AE1646" s="44"/>
      <c r="AF1646" s="72"/>
      <c r="AG1646" s="85" t="e">
        <f>(AG1639/(N_1*AG$27))*SQRT('Valve Sizing'!$G$6/AG1644)</f>
        <v>#NUM!</v>
      </c>
      <c r="AH1646" s="44"/>
      <c r="AI1646" s="72"/>
      <c r="AJ1646" s="85" t="e">
        <f>(AJ1639/(N_1*AJ$27))*SQRT('Valve Sizing'!$G$6/AJ1644)</f>
        <v>#NUM!</v>
      </c>
      <c r="AK1646" s="44"/>
      <c r="AL1646" s="72"/>
      <c r="AM1646" s="85" t="e">
        <f>(AM1639/(N_1*AM$27))*SQRT('Valve Sizing'!$G$6/AM1644)</f>
        <v>#NUM!</v>
      </c>
      <c r="AN1646" s="44"/>
      <c r="AO1646" s="72"/>
      <c r="AP1646" s="85" t="e">
        <f>(AP1639/(N_1*AP$27))*SQRT('Valve Sizing'!$G$6/AP1644)</f>
        <v>#NUM!</v>
      </c>
      <c r="AQ1646" s="44"/>
      <c r="AR1646" s="72"/>
      <c r="AS1646" s="85" t="e">
        <f>(AS1639/(N_1*AS$27))*SQRT('Valve Sizing'!$G$6/AS1644)</f>
        <v>#NUM!</v>
      </c>
      <c r="AT1646" s="44"/>
      <c r="AU1646" s="72"/>
    </row>
    <row r="1647" spans="15:47" x14ac:dyDescent="0.25">
      <c r="O1647" s="1" t="s">
        <v>246</v>
      </c>
      <c r="P1647" s="18"/>
      <c r="Q1647" s="65"/>
      <c r="R1647" s="53">
        <f>IF(R1643&lt;R1644,R1645,R1646)</f>
        <v>2.5380916853990878</v>
      </c>
      <c r="S1647" s="49"/>
      <c r="T1647" s="72"/>
      <c r="U1647" s="64">
        <f>IF(U1643&lt;U1644,U1645,U1646)</f>
        <v>21.483077906077714</v>
      </c>
      <c r="V1647" s="44"/>
      <c r="W1647" s="72"/>
      <c r="X1647" s="64">
        <f>IF(X1643&lt;X1644,X1645,X1646)</f>
        <v>54.14680536126653</v>
      </c>
      <c r="Y1647" s="44"/>
      <c r="Z1647" s="72"/>
      <c r="AA1647" s="64">
        <f>IF(AA1643&lt;AA1644,AA1645,AA1646)</f>
        <v>125.39877747103881</v>
      </c>
      <c r="AB1647" s="44"/>
      <c r="AC1647" s="72"/>
      <c r="AD1647" s="64" t="e">
        <f>IF(AD1643&lt;AD1644,AD1645,AD1646)</f>
        <v>#NUM!</v>
      </c>
      <c r="AE1647" s="44"/>
      <c r="AF1647" s="72"/>
      <c r="AG1647" s="64" t="e">
        <f>IF(AG1643&lt;AG1644,AG1645,AG1646)</f>
        <v>#NUM!</v>
      </c>
      <c r="AH1647" s="44"/>
      <c r="AI1647" s="72"/>
      <c r="AJ1647" s="64" t="e">
        <f>IF(AJ1643&lt;AJ1644,AJ1645,AJ1646)</f>
        <v>#NUM!</v>
      </c>
      <c r="AK1647" s="44"/>
      <c r="AL1647" s="72"/>
      <c r="AM1647" s="64" t="e">
        <f>IF(AM1643&lt;AM1644,AM1645,AM1646)</f>
        <v>#NUM!</v>
      </c>
      <c r="AN1647" s="44"/>
      <c r="AO1647" s="72"/>
      <c r="AP1647" s="64" t="e">
        <f>IF(AP1643&lt;AP1644,AP1645,AP1646)</f>
        <v>#NUM!</v>
      </c>
      <c r="AQ1647" s="44"/>
      <c r="AR1647" s="72"/>
      <c r="AS1647" s="64" t="e">
        <f>IF(AS1643&lt;AS1644,AS1645,AS1646)</f>
        <v>#NUM!</v>
      </c>
      <c r="AT1647" s="44"/>
      <c r="AU1647" s="72"/>
    </row>
    <row r="1648" spans="15:47" ht="13" x14ac:dyDescent="0.3">
      <c r="O1648" s="7" t="s">
        <v>264</v>
      </c>
      <c r="Q1648" s="61"/>
      <c r="R1648" s="53"/>
      <c r="S1648" s="69">
        <f>IFERROR(ABS(C_h-R1647),Q_max*10)</f>
        <v>2.4619083146009122</v>
      </c>
      <c r="T1648" s="76">
        <f>R1639</f>
        <v>14.41169506032608</v>
      </c>
      <c r="U1648" s="61"/>
      <c r="V1648" s="69">
        <f>IFERROR(ABS(U$23-U1647),Q_max*10)</f>
        <v>9.4830779060777139</v>
      </c>
      <c r="W1648" s="75">
        <f>U1639</f>
        <v>120.7929190395856</v>
      </c>
      <c r="X1648" s="61"/>
      <c r="Y1648" s="69">
        <f>IFERROR(ABS(X$23-X1647),Q_max*10)</f>
        <v>31.14680536126653</v>
      </c>
      <c r="Z1648" s="75">
        <f>X1639</f>
        <v>289.94950340799733</v>
      </c>
      <c r="AA1648" s="61"/>
      <c r="AB1648" s="69">
        <f>IFERROR(ABS(AA$23-AA1647),Q_max*10)</f>
        <v>86.398777471038812</v>
      </c>
      <c r="AC1648" s="75">
        <f>AA1639</f>
        <v>553.61986507002484</v>
      </c>
      <c r="AD1648" s="61"/>
      <c r="AE1648" s="69">
        <f>IFERROR(ABS(AD$23-AD1647),Q_max*10)</f>
        <v>5500</v>
      </c>
      <c r="AF1648" s="75">
        <f>AD1639</f>
        <v>910.50084729907951</v>
      </c>
      <c r="AG1648" s="61"/>
      <c r="AH1648" s="69">
        <f>IFERROR(ABS(AG$23-AG1647),Q_max*10)</f>
        <v>5500</v>
      </c>
      <c r="AI1648" s="75">
        <f>AG1639</f>
        <v>1355.6116909449465</v>
      </c>
      <c r="AJ1648" s="61"/>
      <c r="AK1648" s="69">
        <f>IFERROR(ABS(AJ$23-AJ1647),Q_max*10)</f>
        <v>5500</v>
      </c>
      <c r="AL1648" s="75">
        <f>AJ1639</f>
        <v>1809.069056685893</v>
      </c>
      <c r="AM1648" s="61"/>
      <c r="AN1648" s="69">
        <f>IFERROR(ABS(AM$23-AM1647),Q_max*10)</f>
        <v>5500</v>
      </c>
      <c r="AO1648" s="75">
        <f>AM1639</f>
        <v>2207.4080445461905</v>
      </c>
      <c r="AP1648" s="61"/>
      <c r="AQ1648" s="69">
        <f>IFERROR(ABS(AP$23-AP1647),Q_max*10)</f>
        <v>5500</v>
      </c>
      <c r="AR1648" s="75">
        <f>AP1639</f>
        <v>2562.732211552122</v>
      </c>
      <c r="AS1648" s="61"/>
      <c r="AT1648" s="69">
        <f>IFERROR(ABS(AS$23-AS1647),Q_max*10)</f>
        <v>5500</v>
      </c>
      <c r="AU1648" s="75">
        <f>AS1639</f>
        <v>2916.6283095174135</v>
      </c>
    </row>
    <row r="1649" spans="15:47" ht="14.5" x14ac:dyDescent="0.35">
      <c r="O1649" s="8"/>
      <c r="P1649" s="6"/>
      <c r="Q1649" s="60"/>
      <c r="R1649" s="67"/>
      <c r="S1649" s="58"/>
      <c r="T1649" s="73"/>
      <c r="V1649" s="11"/>
      <c r="W1649" s="38"/>
      <c r="Y1649" s="11"/>
      <c r="Z1649" s="38"/>
      <c r="AB1649" s="11"/>
      <c r="AC1649" s="38"/>
      <c r="AE1649" s="11"/>
      <c r="AF1649" s="38"/>
      <c r="AH1649" s="11"/>
      <c r="AI1649" s="38"/>
      <c r="AK1649" s="11"/>
      <c r="AL1649" s="38"/>
      <c r="AN1649" s="11"/>
      <c r="AO1649" s="38"/>
      <c r="AQ1649" s="11"/>
      <c r="AR1649" s="38"/>
      <c r="AT1649" s="11"/>
      <c r="AU1649" s="38"/>
    </row>
    <row r="1650" spans="15:47" ht="14" x14ac:dyDescent="0.3">
      <c r="O1650" s="8" t="s">
        <v>235</v>
      </c>
      <c r="P1650" s="6"/>
      <c r="Q1650" s="60"/>
      <c r="R1650" s="53">
        <f>R1639*1.02</f>
        <v>14.699928961532603</v>
      </c>
      <c r="S1650" s="58" t="s">
        <v>238</v>
      </c>
      <c r="T1650" s="73" t="s">
        <v>241</v>
      </c>
      <c r="U1650" s="84">
        <f>U1639*1.01</f>
        <v>122.00084822998146</v>
      </c>
      <c r="V1650" s="58" t="s">
        <v>238</v>
      </c>
      <c r="W1650" s="73" t="s">
        <v>241</v>
      </c>
      <c r="X1650" s="84">
        <f>X1639*1.01</f>
        <v>292.84899844207729</v>
      </c>
      <c r="Y1650" s="58" t="s">
        <v>238</v>
      </c>
      <c r="Z1650" s="73" t="s">
        <v>241</v>
      </c>
      <c r="AA1650" s="84">
        <f>AA1639*1.01</f>
        <v>559.15606372072511</v>
      </c>
      <c r="AB1650" s="58" t="s">
        <v>238</v>
      </c>
      <c r="AC1650" s="73" t="s">
        <v>241</v>
      </c>
      <c r="AD1650" s="84">
        <f>AD1639*1.01</f>
        <v>919.6058557720703</v>
      </c>
      <c r="AE1650" s="58" t="s">
        <v>238</v>
      </c>
      <c r="AF1650" s="73" t="s">
        <v>241</v>
      </c>
      <c r="AG1650" s="84">
        <f>AG1639*1.01</f>
        <v>1369.167807854396</v>
      </c>
      <c r="AH1650" s="58" t="s">
        <v>238</v>
      </c>
      <c r="AI1650" s="73" t="s">
        <v>241</v>
      </c>
      <c r="AJ1650" s="84">
        <f>AJ1639*1.01</f>
        <v>1827.1597472527519</v>
      </c>
      <c r="AK1650" s="58" t="s">
        <v>238</v>
      </c>
      <c r="AL1650" s="73" t="s">
        <v>241</v>
      </c>
      <c r="AM1650" s="84">
        <f>AM1639*1.01</f>
        <v>2229.4821249916522</v>
      </c>
      <c r="AN1650" s="58" t="s">
        <v>238</v>
      </c>
      <c r="AO1650" s="73" t="s">
        <v>241</v>
      </c>
      <c r="AP1650" s="84">
        <f>AP1639*1.01</f>
        <v>2588.3595336676431</v>
      </c>
      <c r="AQ1650" s="58" t="s">
        <v>238</v>
      </c>
      <c r="AR1650" s="73" t="s">
        <v>241</v>
      </c>
      <c r="AS1650" s="84">
        <f>AS1639*1.01</f>
        <v>2945.7945926125876</v>
      </c>
      <c r="AT1650" s="58" t="s">
        <v>238</v>
      </c>
      <c r="AU1650" s="73" t="s">
        <v>241</v>
      </c>
    </row>
    <row r="1651" spans="15:47" ht="13" x14ac:dyDescent="0.25">
      <c r="O1651" s="6"/>
      <c r="P1651" s="6"/>
      <c r="Q1651" s="60"/>
      <c r="R1651" s="70"/>
      <c r="S1651" s="63" t="s">
        <v>250</v>
      </c>
      <c r="T1651" s="71" t="s">
        <v>242</v>
      </c>
      <c r="U1651" s="61"/>
      <c r="V1651" s="63" t="s">
        <v>250</v>
      </c>
      <c r="W1651" s="71" t="s">
        <v>242</v>
      </c>
      <c r="X1651" s="61"/>
      <c r="Y1651" s="63" t="s">
        <v>250</v>
      </c>
      <c r="Z1651" s="71" t="s">
        <v>242</v>
      </c>
      <c r="AA1651" s="61"/>
      <c r="AB1651" s="63" t="s">
        <v>250</v>
      </c>
      <c r="AC1651" s="71" t="s">
        <v>242</v>
      </c>
      <c r="AD1651" s="61"/>
      <c r="AE1651" s="63" t="s">
        <v>250</v>
      </c>
      <c r="AF1651" s="71" t="s">
        <v>242</v>
      </c>
      <c r="AG1651" s="61"/>
      <c r="AH1651" s="63" t="s">
        <v>250</v>
      </c>
      <c r="AI1651" s="71" t="s">
        <v>242</v>
      </c>
      <c r="AJ1651" s="61"/>
      <c r="AK1651" s="63" t="s">
        <v>250</v>
      </c>
      <c r="AL1651" s="71" t="s">
        <v>242</v>
      </c>
      <c r="AM1651" s="61"/>
      <c r="AN1651" s="63" t="s">
        <v>250</v>
      </c>
      <c r="AO1651" s="71" t="s">
        <v>242</v>
      </c>
      <c r="AP1651" s="61"/>
      <c r="AQ1651" s="63" t="s">
        <v>250</v>
      </c>
      <c r="AR1651" s="71" t="s">
        <v>242</v>
      </c>
      <c r="AS1651" s="61"/>
      <c r="AT1651" s="63" t="s">
        <v>250</v>
      </c>
      <c r="AU1651" s="71" t="s">
        <v>242</v>
      </c>
    </row>
    <row r="1652" spans="15:47" ht="13" x14ac:dyDescent="0.3">
      <c r="O1652" s="6" t="s">
        <v>231</v>
      </c>
      <c r="P1652" s="6"/>
      <c r="Q1652" s="60"/>
      <c r="R1652" s="85">
        <f>P_1_minQ-(R1650^2*R_up)+dpup_minQ</f>
        <v>56.908845393060652</v>
      </c>
      <c r="S1652" s="56"/>
      <c r="T1652" s="72"/>
      <c r="U1652" s="53">
        <f>P_1_minQ-(U1650^2*R_up)+dpup_minQ</f>
        <v>56.41346818747602</v>
      </c>
      <c r="V1652" s="44"/>
      <c r="W1652" s="72"/>
      <c r="X1652" s="53">
        <f>P_1_minQ-(X1650^2*R_up)+dpup_minQ</f>
        <v>54.019806285426284</v>
      </c>
      <c r="Y1652" s="44"/>
      <c r="Z1652" s="72"/>
      <c r="AA1652" s="53">
        <f>P_1_minQ-(AA1650^2*R_up)+dpup_minQ</f>
        <v>46.357024532399336</v>
      </c>
      <c r="AB1652" s="44"/>
      <c r="AC1652" s="72"/>
      <c r="AD1652" s="53">
        <f>P_1_minQ-(AD1650^2*R_up)+dpup_minQ</f>
        <v>28.355693010122199</v>
      </c>
      <c r="AE1652" s="44"/>
      <c r="AF1652" s="72"/>
      <c r="AG1652" s="53">
        <f>P_1_minQ-(AG1650^2*R_up)+dpup_minQ</f>
        <v>-6.3942413395748803</v>
      </c>
      <c r="AH1652" s="44"/>
      <c r="AI1652" s="72"/>
      <c r="AJ1652" s="53">
        <f>P_1_minQ-(AJ1650^2*R_up)+dpup_minQ</f>
        <v>-55.83335839178455</v>
      </c>
      <c r="AK1652" s="44"/>
      <c r="AL1652" s="72"/>
      <c r="AM1652" s="53">
        <f>P_1_minQ-(AM1650^2*R_up)+dpup_minQ</f>
        <v>-110.95250069764583</v>
      </c>
      <c r="AN1652" s="44"/>
      <c r="AO1652" s="72"/>
      <c r="AP1652" s="53">
        <f>P_1_minQ-(AP1650^2*R_up)+dpup_minQ</f>
        <v>-169.34542639406212</v>
      </c>
      <c r="AQ1652" s="44"/>
      <c r="AR1652" s="72"/>
      <c r="AS1652" s="53">
        <f>P_1_minQ-(AS1650^2*R_up)+dpup_minQ</f>
        <v>-236.15058364963059</v>
      </c>
      <c r="AT1652" s="44"/>
      <c r="AU1652" s="72"/>
    </row>
    <row r="1653" spans="15:47" ht="13" x14ac:dyDescent="0.3">
      <c r="O1653" s="6" t="s">
        <v>233</v>
      </c>
      <c r="P1653" s="6"/>
      <c r="Q1653" s="60"/>
      <c r="R1653" s="85">
        <f>P_2_minQ+(R1650^2*R_dn)-dpdn_minQ</f>
        <v>24.658230921387872</v>
      </c>
      <c r="S1653" s="66"/>
      <c r="T1653" s="74"/>
      <c r="U1653" s="53">
        <f>P_2_minQ+(U1650^2*R_dn)-dpdn_minQ</f>
        <v>24.757306362504796</v>
      </c>
      <c r="V1653" s="45"/>
      <c r="W1653" s="74"/>
      <c r="X1653" s="53">
        <f>P_2_minQ+(X1650^2*R_dn)-dpdn_minQ</f>
        <v>25.236038742914744</v>
      </c>
      <c r="Y1653" s="45"/>
      <c r="Z1653" s="74"/>
      <c r="AA1653" s="53">
        <f>P_2_minQ+(AA1650^2*R_dn)-dpdn_minQ</f>
        <v>26.768595093520133</v>
      </c>
      <c r="AB1653" s="45"/>
      <c r="AC1653" s="74"/>
      <c r="AD1653" s="53">
        <f>P_2_minQ+(AD1650^2*R_dn)-dpdn_minQ</f>
        <v>30.368861397975561</v>
      </c>
      <c r="AE1653" s="45"/>
      <c r="AF1653" s="74"/>
      <c r="AG1653" s="53">
        <f>P_2_minQ+(AG1650^2*R_dn)-dpdn_minQ</f>
        <v>37.31884826791498</v>
      </c>
      <c r="AH1653" s="45"/>
      <c r="AI1653" s="74"/>
      <c r="AJ1653" s="53">
        <f>P_2_minQ+(AJ1650^2*R_dn)-dpdn_minQ</f>
        <v>47.206671678356912</v>
      </c>
      <c r="AK1653" s="45"/>
      <c r="AL1653" s="74"/>
      <c r="AM1653" s="53">
        <f>P_2_minQ+(AM1650^2*R_dn)-dpdn_minQ</f>
        <v>58.23050013952917</v>
      </c>
      <c r="AN1653" s="45"/>
      <c r="AO1653" s="74"/>
      <c r="AP1653" s="53">
        <f>P_2_minQ+(AP1650^2*R_dn)-dpdn_minQ</f>
        <v>69.909085278812427</v>
      </c>
      <c r="AQ1653" s="45"/>
      <c r="AR1653" s="74"/>
      <c r="AS1653" s="53">
        <f>P_2_minQ+(AS1650^2*R_dn)-dpdn_minQ</f>
        <v>83.270116729926116</v>
      </c>
      <c r="AT1653" s="45"/>
      <c r="AU1653" s="74"/>
    </row>
    <row r="1654" spans="15:47" x14ac:dyDescent="0.25">
      <c r="O1654" s="6" t="s">
        <v>243</v>
      </c>
      <c r="Q1654" s="60"/>
      <c r="R1654" s="53">
        <f>R1652-R1653</f>
        <v>32.250614471672776</v>
      </c>
      <c r="S1654" s="56"/>
      <c r="T1654" s="72"/>
      <c r="U1654" s="64">
        <f>U1652-U1653</f>
        <v>31.656161824971225</v>
      </c>
      <c r="V1654" s="44"/>
      <c r="W1654" s="72"/>
      <c r="X1654" s="64">
        <f>X1652-X1653</f>
        <v>28.783767542511541</v>
      </c>
      <c r="Y1654" s="44"/>
      <c r="Z1654" s="72"/>
      <c r="AA1654" s="64">
        <f>AA1652-AA1653</f>
        <v>19.588429438879203</v>
      </c>
      <c r="AB1654" s="44"/>
      <c r="AC1654" s="72"/>
      <c r="AD1654" s="64">
        <f>AD1652-AD1653</f>
        <v>-2.0131683878533622</v>
      </c>
      <c r="AE1654" s="44"/>
      <c r="AF1654" s="72"/>
      <c r="AG1654" s="64">
        <f>AG1652-AG1653</f>
        <v>-43.713089607489863</v>
      </c>
      <c r="AH1654" s="44"/>
      <c r="AI1654" s="72"/>
      <c r="AJ1654" s="64">
        <f>AJ1652-AJ1653</f>
        <v>-103.04003007014146</v>
      </c>
      <c r="AK1654" s="44"/>
      <c r="AL1654" s="72"/>
      <c r="AM1654" s="64">
        <f>AM1652-AM1653</f>
        <v>-169.183000837175</v>
      </c>
      <c r="AN1654" s="44"/>
      <c r="AO1654" s="72"/>
      <c r="AP1654" s="64">
        <f>AP1652-AP1653</f>
        <v>-239.25451167287454</v>
      </c>
      <c r="AQ1654" s="44"/>
      <c r="AR1654" s="72"/>
      <c r="AS1654" s="64">
        <f>AS1652-AS1653</f>
        <v>-319.42070037955671</v>
      </c>
      <c r="AT1654" s="44"/>
      <c r="AU1654" s="72"/>
    </row>
    <row r="1655" spans="15:47" ht="13" x14ac:dyDescent="0.3">
      <c r="O1655" s="6" t="s">
        <v>75</v>
      </c>
      <c r="P1655" s="6">
        <v>3</v>
      </c>
      <c r="Q1655" s="65"/>
      <c r="R1655" s="85">
        <f>(F_LP_h/F_P_h)^2*(R1652-('Valve Sizing'!$V$4*'Valve Sizing'!$G$7))</f>
        <v>46.759120278760761</v>
      </c>
      <c r="S1655" s="58"/>
      <c r="T1655" s="73"/>
      <c r="U1655" s="53">
        <f>(U$29/U$27)^2*(U1652-('Valve Sizing'!$V$4*'Valve Sizing'!$G$7))</f>
        <v>46.336289148825117</v>
      </c>
      <c r="V1655" s="41"/>
      <c r="W1655" s="73"/>
      <c r="X1655" s="53">
        <f>(X$29/X$27)^2*(X1652-('Valve Sizing'!$V$4*'Valve Sizing'!$G$7))</f>
        <v>43.354244598849796</v>
      </c>
      <c r="Y1655" s="41"/>
      <c r="Z1655" s="73"/>
      <c r="AA1655" s="53">
        <f>(AA$29/AA$27)^2*(AA1652-('Valve Sizing'!$V$4*'Valve Sizing'!$G$7))</f>
        <v>35.484504405039431</v>
      </c>
      <c r="AB1655" s="41"/>
      <c r="AC1655" s="73"/>
      <c r="AD1655" s="53">
        <f>(AD$29/AD$27)^2*(AD1652-('Valve Sizing'!$V$4*'Valve Sizing'!$G$7))</f>
        <v>20.132404671354941</v>
      </c>
      <c r="AE1655" s="41"/>
      <c r="AF1655" s="73"/>
      <c r="AG1655" s="53">
        <f>(AG$29/AG$27)^2*(AG1652-('Valve Sizing'!$V$4*'Valve Sizing'!$G$7))</f>
        <v>-4.4015889370234547</v>
      </c>
      <c r="AH1655" s="41"/>
      <c r="AI1655" s="73"/>
      <c r="AJ1655" s="53">
        <f>(AJ$29/AJ$27)^2*(AJ1652-('Valve Sizing'!$V$4*'Valve Sizing'!$G$7))</f>
        <v>-32.546536876508227</v>
      </c>
      <c r="AK1655" s="41"/>
      <c r="AL1655" s="73"/>
      <c r="AM1655" s="53">
        <f>(AM$29/AM$27)^2*(AM1652-('Valve Sizing'!$V$4*'Valve Sizing'!$G$7))</f>
        <v>-53.298236818198895</v>
      </c>
      <c r="AN1655" s="41"/>
      <c r="AO1655" s="73"/>
      <c r="AP1655" s="53">
        <f>(AP$29/AP$27)^2*(AP1652-('Valve Sizing'!$V$4*'Valve Sizing'!$G$7))</f>
        <v>-67.001906907300466</v>
      </c>
      <c r="AQ1655" s="41"/>
      <c r="AR1655" s="73"/>
      <c r="AS1655" s="53">
        <f>(AS$29/AS$27)^2*(AS1652-('Valve Sizing'!$V$4*'Valve Sizing'!$G$7))</f>
        <v>-88.991391703106515</v>
      </c>
      <c r="AT1655" s="41"/>
      <c r="AU1655" s="73"/>
    </row>
    <row r="1656" spans="15:47" ht="13" x14ac:dyDescent="0.25">
      <c r="O1656" s="1" t="s">
        <v>69</v>
      </c>
      <c r="P1656" s="17">
        <v>7</v>
      </c>
      <c r="Q1656" s="65"/>
      <c r="R1656" s="53">
        <f>(R1650/(N_1*F_P_h))*SQRT('Valve Sizing'!$G$6/R1654)</f>
        <v>2.5888671678506978</v>
      </c>
      <c r="S1656" s="58"/>
      <c r="T1656" s="73"/>
      <c r="U1656" s="64">
        <f>(U1650/(N_1*U$27))*SQRT('Valve Sizing'!$G$6/U1654)</f>
        <v>21.701981650472444</v>
      </c>
      <c r="V1656" s="41"/>
      <c r="W1656" s="73"/>
      <c r="X1656" s="64">
        <f>(X1650/(N_1*X$27))*SQRT('Valve Sizing'!$G$6/X1654)</f>
        <v>54.753292689708864</v>
      </c>
      <c r="Y1656" s="41"/>
      <c r="Z1656" s="73"/>
      <c r="AA1656" s="64">
        <f>(AA1650/(N_1*AA$27))*SQRT('Valve Sizing'!$G$6/AA1654)</f>
        <v>127.45734669474527</v>
      </c>
      <c r="AB1656" s="41"/>
      <c r="AC1656" s="73"/>
      <c r="AD1656" s="64" t="e">
        <f>(AD1650/(N_1*AD$27))*SQRT('Valve Sizing'!$G$6/AD1654)</f>
        <v>#NUM!</v>
      </c>
      <c r="AE1656" s="41"/>
      <c r="AF1656" s="73"/>
      <c r="AG1656" s="64" t="e">
        <f>(AG1650/(N_1*AG$27))*SQRT('Valve Sizing'!$G$6/AG1654)</f>
        <v>#NUM!</v>
      </c>
      <c r="AH1656" s="41"/>
      <c r="AI1656" s="73"/>
      <c r="AJ1656" s="64" t="e">
        <f>(AJ1650/(N_1*AJ$27))*SQRT('Valve Sizing'!$G$6/AJ1654)</f>
        <v>#NUM!</v>
      </c>
      <c r="AK1656" s="41"/>
      <c r="AL1656" s="73"/>
      <c r="AM1656" s="64" t="e">
        <f>(AM1650/(N_1*AM$27))*SQRT('Valve Sizing'!$G$6/AM1654)</f>
        <v>#NUM!</v>
      </c>
      <c r="AN1656" s="41"/>
      <c r="AO1656" s="73"/>
      <c r="AP1656" s="64" t="e">
        <f>(AP1650/(N_1*AP$27))*SQRT('Valve Sizing'!$G$6/AP1654)</f>
        <v>#NUM!</v>
      </c>
      <c r="AQ1656" s="41"/>
      <c r="AR1656" s="73"/>
      <c r="AS1656" s="64" t="e">
        <f>(AS1650/(N_1*AS$27))*SQRT('Valve Sizing'!$G$6/AS1654)</f>
        <v>#NUM!</v>
      </c>
      <c r="AT1656" s="41"/>
      <c r="AU1656" s="73"/>
    </row>
    <row r="1657" spans="15:47" ht="13" x14ac:dyDescent="0.3">
      <c r="O1657" s="1" t="s">
        <v>72</v>
      </c>
      <c r="P1657" s="17">
        <v>7</v>
      </c>
      <c r="Q1657" s="65"/>
      <c r="R1657" s="53">
        <f>(R1650/(N_1*F_P_h))*SQRT('Valve Sizing'!$G$6/R1655)</f>
        <v>2.1500353414326092</v>
      </c>
      <c r="S1657" s="56"/>
      <c r="T1657" s="72"/>
      <c r="U1657" s="85">
        <f>(U1650/(N_1*U$27))*SQRT('Valve Sizing'!$G$6/U1655)</f>
        <v>17.937747049133343</v>
      </c>
      <c r="V1657" s="44"/>
      <c r="W1657" s="72"/>
      <c r="X1657" s="85">
        <f>(X1650/(N_1*X$27))*SQRT('Valve Sizing'!$G$6/X1655)</f>
        <v>44.613700655416139</v>
      </c>
      <c r="Y1657" s="44"/>
      <c r="Z1657" s="72"/>
      <c r="AA1657" s="85">
        <f>(AA1650/(N_1*AA$27))*SQRT('Valve Sizing'!$G$6/AA1655)</f>
        <v>94.698981839906267</v>
      </c>
      <c r="AB1657" s="44"/>
      <c r="AC1657" s="72"/>
      <c r="AD1657" s="85">
        <f>(AD1650/(N_1*AD$27))*SQRT('Valve Sizing'!$G$6/AD1655)</f>
        <v>209.36821379263546</v>
      </c>
      <c r="AE1657" s="44"/>
      <c r="AF1657" s="72"/>
      <c r="AG1657" s="85" t="e">
        <f>(AG1650/(N_1*AG$27))*SQRT('Valve Sizing'!$G$6/AG1655)</f>
        <v>#NUM!</v>
      </c>
      <c r="AH1657" s="44"/>
      <c r="AI1657" s="72"/>
      <c r="AJ1657" s="85" t="e">
        <f>(AJ1650/(N_1*AJ$27))*SQRT('Valve Sizing'!$G$6/AJ1655)</f>
        <v>#NUM!</v>
      </c>
      <c r="AK1657" s="44"/>
      <c r="AL1657" s="72"/>
      <c r="AM1657" s="85" t="e">
        <f>(AM1650/(N_1*AM$27))*SQRT('Valve Sizing'!$G$6/AM1655)</f>
        <v>#NUM!</v>
      </c>
      <c r="AN1657" s="44"/>
      <c r="AO1657" s="72"/>
      <c r="AP1657" s="85" t="e">
        <f>(AP1650/(N_1*AP$27))*SQRT('Valve Sizing'!$G$6/AP1655)</f>
        <v>#NUM!</v>
      </c>
      <c r="AQ1657" s="44"/>
      <c r="AR1657" s="72"/>
      <c r="AS1657" s="85" t="e">
        <f>(AS1650/(N_1*AS$27))*SQRT('Valve Sizing'!$G$6/AS1655)</f>
        <v>#NUM!</v>
      </c>
      <c r="AT1657" s="44"/>
      <c r="AU1657" s="72"/>
    </row>
    <row r="1658" spans="15:47" x14ac:dyDescent="0.25">
      <c r="O1658" s="1" t="s">
        <v>246</v>
      </c>
      <c r="P1658" s="18"/>
      <c r="Q1658" s="65"/>
      <c r="R1658" s="53">
        <f>IF(R1654&lt;R1655,R1656,R1657)</f>
        <v>2.5888671678506978</v>
      </c>
      <c r="S1658" s="49"/>
      <c r="T1658" s="72"/>
      <c r="U1658" s="64">
        <f>IF(U1654&lt;U1655,U1656,U1657)</f>
        <v>21.701981650472444</v>
      </c>
      <c r="V1658" s="44"/>
      <c r="W1658" s="72"/>
      <c r="X1658" s="64">
        <f>IF(X1654&lt;X1655,X1656,X1657)</f>
        <v>54.753292689708864</v>
      </c>
      <c r="Y1658" s="44"/>
      <c r="Z1658" s="72"/>
      <c r="AA1658" s="64">
        <f>IF(AA1654&lt;AA1655,AA1656,AA1657)</f>
        <v>127.45734669474527</v>
      </c>
      <c r="AB1658" s="44"/>
      <c r="AC1658" s="72"/>
      <c r="AD1658" s="64" t="e">
        <f>IF(AD1654&lt;AD1655,AD1656,AD1657)</f>
        <v>#NUM!</v>
      </c>
      <c r="AE1658" s="44"/>
      <c r="AF1658" s="72"/>
      <c r="AG1658" s="64" t="e">
        <f>IF(AG1654&lt;AG1655,AG1656,AG1657)</f>
        <v>#NUM!</v>
      </c>
      <c r="AH1658" s="44"/>
      <c r="AI1658" s="72"/>
      <c r="AJ1658" s="64" t="e">
        <f>IF(AJ1654&lt;AJ1655,AJ1656,AJ1657)</f>
        <v>#NUM!</v>
      </c>
      <c r="AK1658" s="44"/>
      <c r="AL1658" s="72"/>
      <c r="AM1658" s="64" t="e">
        <f>IF(AM1654&lt;AM1655,AM1656,AM1657)</f>
        <v>#NUM!</v>
      </c>
      <c r="AN1658" s="44"/>
      <c r="AO1658" s="72"/>
      <c r="AP1658" s="64" t="e">
        <f>IF(AP1654&lt;AP1655,AP1656,AP1657)</f>
        <v>#NUM!</v>
      </c>
      <c r="AQ1658" s="44"/>
      <c r="AR1658" s="72"/>
      <c r="AS1658" s="64" t="e">
        <f>IF(AS1654&lt;AS1655,AS1656,AS1657)</f>
        <v>#NUM!</v>
      </c>
      <c r="AT1658" s="44"/>
      <c r="AU1658" s="72"/>
    </row>
    <row r="1659" spans="15:47" ht="13" x14ac:dyDescent="0.3">
      <c r="O1659" s="7" t="s">
        <v>264</v>
      </c>
      <c r="Q1659" s="61"/>
      <c r="R1659" s="53"/>
      <c r="S1659" s="69">
        <f>IFERROR(ABS(C_h-R1658),Q_max*10)</f>
        <v>2.4111328321493022</v>
      </c>
      <c r="T1659" s="76">
        <f>R1650</f>
        <v>14.699928961532603</v>
      </c>
      <c r="U1659" s="61"/>
      <c r="V1659" s="69">
        <f>IFERROR(ABS(U$23-U1658),Q_max*10)</f>
        <v>9.7019816504724439</v>
      </c>
      <c r="W1659" s="75">
        <f>U1650</f>
        <v>122.00084822998146</v>
      </c>
      <c r="X1659" s="61"/>
      <c r="Y1659" s="69">
        <f>IFERROR(ABS(X$23-X1658),Q_max*10)</f>
        <v>31.753292689708864</v>
      </c>
      <c r="Z1659" s="75">
        <f>X1650</f>
        <v>292.84899844207729</v>
      </c>
      <c r="AA1659" s="61"/>
      <c r="AB1659" s="69">
        <f>IFERROR(ABS(AA$23-AA1658),Q_max*10)</f>
        <v>88.457346694745269</v>
      </c>
      <c r="AC1659" s="75">
        <f>AA1650</f>
        <v>559.15606372072511</v>
      </c>
      <c r="AD1659" s="61"/>
      <c r="AE1659" s="69">
        <f>IFERROR(ABS(AD$23-AD1658),Q_max*10)</f>
        <v>5500</v>
      </c>
      <c r="AF1659" s="75">
        <f>AD1650</f>
        <v>919.6058557720703</v>
      </c>
      <c r="AG1659" s="61"/>
      <c r="AH1659" s="69">
        <f>IFERROR(ABS(AG$23-AG1658),Q_max*10)</f>
        <v>5500</v>
      </c>
      <c r="AI1659" s="75">
        <f>AG1650</f>
        <v>1369.167807854396</v>
      </c>
      <c r="AJ1659" s="61"/>
      <c r="AK1659" s="69">
        <f>IFERROR(ABS(AJ$23-AJ1658),Q_max*10)</f>
        <v>5500</v>
      </c>
      <c r="AL1659" s="75">
        <f>AJ1650</f>
        <v>1827.1597472527519</v>
      </c>
      <c r="AM1659" s="61"/>
      <c r="AN1659" s="69">
        <f>IFERROR(ABS(AM$23-AM1658),Q_max*10)</f>
        <v>5500</v>
      </c>
      <c r="AO1659" s="75">
        <f>AM1650</f>
        <v>2229.4821249916522</v>
      </c>
      <c r="AP1659" s="61"/>
      <c r="AQ1659" s="69">
        <f>IFERROR(ABS(AP$23-AP1658),Q_max*10)</f>
        <v>5500</v>
      </c>
      <c r="AR1659" s="75">
        <f>AP1650</f>
        <v>2588.3595336676431</v>
      </c>
      <c r="AS1659" s="61"/>
      <c r="AT1659" s="69">
        <f>IFERROR(ABS(AS$23-AS1658),Q_max*10)</f>
        <v>5500</v>
      </c>
      <c r="AU1659" s="75">
        <f>AS1650</f>
        <v>2945.7945926125876</v>
      </c>
    </row>
    <row r="1660" spans="15:47" ht="14.5" x14ac:dyDescent="0.35">
      <c r="O1660" s="6"/>
      <c r="P1660" s="6"/>
      <c r="Q1660" s="60"/>
      <c r="R1660" s="67"/>
      <c r="S1660" s="56"/>
      <c r="T1660" s="72"/>
      <c r="V1660" s="11"/>
      <c r="W1660" s="38"/>
      <c r="Y1660" s="11"/>
      <c r="Z1660" s="38"/>
      <c r="AB1660" s="11"/>
      <c r="AC1660" s="38"/>
      <c r="AE1660" s="11"/>
      <c r="AF1660" s="38"/>
      <c r="AH1660" s="11"/>
      <c r="AI1660" s="38"/>
      <c r="AK1660" s="11"/>
      <c r="AL1660" s="38"/>
      <c r="AN1660" s="11"/>
      <c r="AO1660" s="38"/>
      <c r="AQ1660" s="11"/>
      <c r="AR1660" s="38"/>
      <c r="AT1660" s="11"/>
      <c r="AU1660" s="38"/>
    </row>
    <row r="1661" spans="15:47" ht="14" x14ac:dyDescent="0.3">
      <c r="O1661" s="8" t="s">
        <v>235</v>
      </c>
      <c r="P1661" s="6"/>
      <c r="Q1661" s="60"/>
      <c r="R1661" s="53">
        <f>R1650*1.02</f>
        <v>14.993927540763256</v>
      </c>
      <c r="S1661" s="58" t="s">
        <v>238</v>
      </c>
      <c r="T1661" s="73" t="s">
        <v>241</v>
      </c>
      <c r="U1661" s="84">
        <f>U1650*1.01</f>
        <v>123.22085671228128</v>
      </c>
      <c r="V1661" s="58" t="s">
        <v>238</v>
      </c>
      <c r="W1661" s="73" t="s">
        <v>241</v>
      </c>
      <c r="X1661" s="84">
        <f>X1650*1.01</f>
        <v>295.77748842649805</v>
      </c>
      <c r="Y1661" s="58" t="s">
        <v>238</v>
      </c>
      <c r="Z1661" s="73" t="s">
        <v>241</v>
      </c>
      <c r="AA1661" s="84">
        <f>AA1650*1.01</f>
        <v>564.74762435793241</v>
      </c>
      <c r="AB1661" s="58" t="s">
        <v>238</v>
      </c>
      <c r="AC1661" s="73" t="s">
        <v>241</v>
      </c>
      <c r="AD1661" s="84">
        <f>AD1650*1.01</f>
        <v>928.80191432979097</v>
      </c>
      <c r="AE1661" s="58" t="s">
        <v>238</v>
      </c>
      <c r="AF1661" s="73" t="s">
        <v>241</v>
      </c>
      <c r="AG1661" s="84">
        <f>AG1650*1.01</f>
        <v>1382.8594859329398</v>
      </c>
      <c r="AH1661" s="58" t="s">
        <v>238</v>
      </c>
      <c r="AI1661" s="73" t="s">
        <v>241</v>
      </c>
      <c r="AJ1661" s="84">
        <f>AJ1650*1.01</f>
        <v>1845.4313447252794</v>
      </c>
      <c r="AK1661" s="58" t="s">
        <v>238</v>
      </c>
      <c r="AL1661" s="73" t="s">
        <v>241</v>
      </c>
      <c r="AM1661" s="84">
        <f>AM1650*1.01</f>
        <v>2251.7769462415686</v>
      </c>
      <c r="AN1661" s="58" t="s">
        <v>238</v>
      </c>
      <c r="AO1661" s="73" t="s">
        <v>241</v>
      </c>
      <c r="AP1661" s="84">
        <f>AP1650*1.01</f>
        <v>2614.2431290043196</v>
      </c>
      <c r="AQ1661" s="58" t="s">
        <v>238</v>
      </c>
      <c r="AR1661" s="73" t="s">
        <v>241</v>
      </c>
      <c r="AS1661" s="84">
        <f>AS1650*1.01</f>
        <v>2975.2525385387135</v>
      </c>
      <c r="AT1661" s="58" t="s">
        <v>238</v>
      </c>
      <c r="AU1661" s="73" t="s">
        <v>241</v>
      </c>
    </row>
    <row r="1662" spans="15:47" ht="13" x14ac:dyDescent="0.25">
      <c r="O1662" s="6"/>
      <c r="P1662" s="6"/>
      <c r="Q1662" s="60"/>
      <c r="R1662" s="70"/>
      <c r="S1662" s="63" t="s">
        <v>250</v>
      </c>
      <c r="T1662" s="71" t="s">
        <v>242</v>
      </c>
      <c r="U1662" s="61"/>
      <c r="V1662" s="63" t="s">
        <v>250</v>
      </c>
      <c r="W1662" s="71" t="s">
        <v>242</v>
      </c>
      <c r="X1662" s="61"/>
      <c r="Y1662" s="63" t="s">
        <v>250</v>
      </c>
      <c r="Z1662" s="71" t="s">
        <v>242</v>
      </c>
      <c r="AA1662" s="61"/>
      <c r="AB1662" s="63" t="s">
        <v>250</v>
      </c>
      <c r="AC1662" s="71" t="s">
        <v>242</v>
      </c>
      <c r="AD1662" s="61"/>
      <c r="AE1662" s="63" t="s">
        <v>250</v>
      </c>
      <c r="AF1662" s="71" t="s">
        <v>242</v>
      </c>
      <c r="AG1662" s="61"/>
      <c r="AH1662" s="63" t="s">
        <v>250</v>
      </c>
      <c r="AI1662" s="71" t="s">
        <v>242</v>
      </c>
      <c r="AJ1662" s="61"/>
      <c r="AK1662" s="63" t="s">
        <v>250</v>
      </c>
      <c r="AL1662" s="71" t="s">
        <v>242</v>
      </c>
      <c r="AM1662" s="61"/>
      <c r="AN1662" s="63" t="s">
        <v>250</v>
      </c>
      <c r="AO1662" s="71" t="s">
        <v>242</v>
      </c>
      <c r="AP1662" s="61"/>
      <c r="AQ1662" s="63" t="s">
        <v>250</v>
      </c>
      <c r="AR1662" s="71" t="s">
        <v>242</v>
      </c>
      <c r="AS1662" s="61"/>
      <c r="AT1662" s="63" t="s">
        <v>250</v>
      </c>
      <c r="AU1662" s="71" t="s">
        <v>242</v>
      </c>
    </row>
    <row r="1663" spans="15:47" ht="13" x14ac:dyDescent="0.3">
      <c r="O1663" s="6" t="s">
        <v>231</v>
      </c>
      <c r="P1663" s="6"/>
      <c r="Q1663" s="60"/>
      <c r="R1663" s="85">
        <f>P_1_minQ-(R1661^2*R_up)+dpup_minQ</f>
        <v>56.908550561867692</v>
      </c>
      <c r="S1663" s="56"/>
      <c r="T1663" s="72"/>
      <c r="U1663" s="53">
        <f>P_1_minQ-(U1661^2*R_up)+dpup_minQ</f>
        <v>56.403364419827469</v>
      </c>
      <c r="V1663" s="44"/>
      <c r="W1663" s="72"/>
      <c r="X1663" s="53">
        <f>P_1_minQ-(X1661^2*R_up)+dpup_minQ</f>
        <v>53.961589913546533</v>
      </c>
      <c r="Y1663" s="44"/>
      <c r="Z1663" s="72"/>
      <c r="AA1663" s="53">
        <f>P_1_minQ-(AA1661^2*R_up)+dpup_minQ</f>
        <v>46.14478624728374</v>
      </c>
      <c r="AB1663" s="44"/>
      <c r="AC1663" s="72"/>
      <c r="AD1663" s="53">
        <f>P_1_minQ-(AD1661^2*R_up)+dpup_minQ</f>
        <v>27.781627961408837</v>
      </c>
      <c r="AE1663" s="44"/>
      <c r="AF1663" s="72"/>
      <c r="AG1663" s="53">
        <f>P_1_minQ-(AG1661^2*R_up)+dpup_minQ</f>
        <v>-7.6667800687171495</v>
      </c>
      <c r="AH1663" s="44"/>
      <c r="AI1663" s="72"/>
      <c r="AJ1663" s="53">
        <f>P_1_minQ-(AJ1661^2*R_up)+dpup_minQ</f>
        <v>-58.099623373676231</v>
      </c>
      <c r="AK1663" s="44"/>
      <c r="AL1663" s="72"/>
      <c r="AM1663" s="53">
        <f>P_1_minQ-(AM1661^2*R_up)+dpup_minQ</f>
        <v>-114.32666043988533</v>
      </c>
      <c r="AN1663" s="44"/>
      <c r="AO1663" s="72"/>
      <c r="AP1663" s="53">
        <f>P_1_minQ-(AP1661^2*R_up)+dpup_minQ</f>
        <v>-173.89328394279957</v>
      </c>
      <c r="AQ1663" s="44"/>
      <c r="AR1663" s="72"/>
      <c r="AS1663" s="53">
        <f>P_1_minQ-(AS1661^2*R_up)+dpup_minQ</f>
        <v>-242.04122485920496</v>
      </c>
      <c r="AT1663" s="44"/>
      <c r="AU1663" s="72"/>
    </row>
    <row r="1664" spans="15:47" ht="13" x14ac:dyDescent="0.3">
      <c r="O1664" s="6" t="s">
        <v>233</v>
      </c>
      <c r="P1664" s="6"/>
      <c r="Q1664" s="60"/>
      <c r="R1664" s="85">
        <f>P_2_minQ+(R1661^2*R_dn)-dpdn_minQ</f>
        <v>24.658289887626463</v>
      </c>
      <c r="S1664" s="66"/>
      <c r="T1664" s="74"/>
      <c r="U1664" s="53">
        <f>P_2_minQ+(U1661^2*R_dn)-dpdn_minQ</f>
        <v>24.759327116034505</v>
      </c>
      <c r="V1664" s="45"/>
      <c r="W1664" s="74"/>
      <c r="X1664" s="53">
        <f>P_2_minQ+(X1661^2*R_dn)-dpdn_minQ</f>
        <v>25.247682017290696</v>
      </c>
      <c r="Y1664" s="45"/>
      <c r="Z1664" s="74"/>
      <c r="AA1664" s="53">
        <f>P_2_minQ+(AA1661^2*R_dn)-dpdn_minQ</f>
        <v>26.811042750543251</v>
      </c>
      <c r="AB1664" s="45"/>
      <c r="AC1664" s="74"/>
      <c r="AD1664" s="53">
        <f>P_2_minQ+(AD1661^2*R_dn)-dpdn_minQ</f>
        <v>30.483674407718233</v>
      </c>
      <c r="AE1664" s="45"/>
      <c r="AF1664" s="74"/>
      <c r="AG1664" s="53">
        <f>P_2_minQ+(AG1661^2*R_dn)-dpdn_minQ</f>
        <v>37.573356013743435</v>
      </c>
      <c r="AH1664" s="45"/>
      <c r="AI1664" s="74"/>
      <c r="AJ1664" s="53">
        <f>P_2_minQ+(AJ1661^2*R_dn)-dpdn_minQ</f>
        <v>47.659924674735251</v>
      </c>
      <c r="AK1664" s="45"/>
      <c r="AL1664" s="74"/>
      <c r="AM1664" s="53">
        <f>P_2_minQ+(AM1661^2*R_dn)-dpdn_minQ</f>
        <v>58.905332087977065</v>
      </c>
      <c r="AN1664" s="45"/>
      <c r="AO1664" s="74"/>
      <c r="AP1664" s="53">
        <f>P_2_minQ+(AP1661^2*R_dn)-dpdn_minQ</f>
        <v>70.81865678855992</v>
      </c>
      <c r="AQ1664" s="45"/>
      <c r="AR1664" s="74"/>
      <c r="AS1664" s="53">
        <f>P_2_minQ+(AS1661^2*R_dn)-dpdn_minQ</f>
        <v>84.448244971840992</v>
      </c>
      <c r="AT1664" s="45"/>
      <c r="AU1664" s="74"/>
    </row>
    <row r="1665" spans="15:47" x14ac:dyDescent="0.25">
      <c r="O1665" s="6" t="s">
        <v>243</v>
      </c>
      <c r="Q1665" s="60"/>
      <c r="R1665" s="53">
        <f>R1663-R1664</f>
        <v>32.250260674241233</v>
      </c>
      <c r="S1665" s="56"/>
      <c r="T1665" s="72"/>
      <c r="U1665" s="64">
        <f>U1663-U1664</f>
        <v>31.644037303792963</v>
      </c>
      <c r="V1665" s="44"/>
      <c r="W1665" s="72"/>
      <c r="X1665" s="64">
        <f>X1663-X1664</f>
        <v>28.713907896255837</v>
      </c>
      <c r="Y1665" s="44"/>
      <c r="Z1665" s="72"/>
      <c r="AA1665" s="64">
        <f>AA1663-AA1664</f>
        <v>19.333743496740489</v>
      </c>
      <c r="AB1665" s="44"/>
      <c r="AC1665" s="72"/>
      <c r="AD1665" s="64">
        <f>AD1663-AD1664</f>
        <v>-2.7020464463093958</v>
      </c>
      <c r="AE1665" s="44"/>
      <c r="AF1665" s="72"/>
      <c r="AG1665" s="64">
        <f>AG1663-AG1664</f>
        <v>-45.240136082460587</v>
      </c>
      <c r="AH1665" s="44"/>
      <c r="AI1665" s="72"/>
      <c r="AJ1665" s="64">
        <f>AJ1663-AJ1664</f>
        <v>-105.75954804841149</v>
      </c>
      <c r="AK1665" s="44"/>
      <c r="AL1665" s="72"/>
      <c r="AM1665" s="64">
        <f>AM1663-AM1664</f>
        <v>-173.23199252786239</v>
      </c>
      <c r="AN1665" s="44"/>
      <c r="AO1665" s="72"/>
      <c r="AP1665" s="64">
        <f>AP1663-AP1664</f>
        <v>-244.7119407313595</v>
      </c>
      <c r="AQ1665" s="44"/>
      <c r="AR1665" s="72"/>
      <c r="AS1665" s="64">
        <f>AS1663-AS1664</f>
        <v>-326.48946983104594</v>
      </c>
      <c r="AT1665" s="44"/>
      <c r="AU1665" s="72"/>
    </row>
    <row r="1666" spans="15:47" ht="13" x14ac:dyDescent="0.3">
      <c r="O1666" s="6" t="s">
        <v>75</v>
      </c>
      <c r="P1666" s="6">
        <v>3</v>
      </c>
      <c r="Q1666" s="65"/>
      <c r="R1666" s="85">
        <f>(F_LP_h/F_P_h)^2*(R1663-('Valve Sizing'!$V$4*'Valve Sizing'!$G$7))</f>
        <v>46.758876143057314</v>
      </c>
      <c r="S1666" s="58"/>
      <c r="T1666" s="73"/>
      <c r="U1666" s="53">
        <f>(U$29/U$27)^2*(U1663-('Valve Sizing'!$V$4*'Valve Sizing'!$G$7))</f>
        <v>46.3279249792146</v>
      </c>
      <c r="V1666" s="41"/>
      <c r="W1666" s="73"/>
      <c r="X1666" s="53">
        <f>(X$29/X$27)^2*(X1663-('Valve Sizing'!$V$4*'Valve Sizing'!$G$7))</f>
        <v>43.307138614008409</v>
      </c>
      <c r="Y1666" s="41"/>
      <c r="Z1666" s="73"/>
      <c r="AA1666" s="53">
        <f>(AA$29/AA$27)^2*(AA1663-('Valve Sizing'!$V$4*'Valve Sizing'!$G$7))</f>
        <v>35.320487248037303</v>
      </c>
      <c r="AB1666" s="41"/>
      <c r="AC1666" s="73"/>
      <c r="AD1666" s="53">
        <f>(AD$29/AD$27)^2*(AD1663-('Valve Sizing'!$V$4*'Valve Sizing'!$G$7))</f>
        <v>19.718396187323165</v>
      </c>
      <c r="AE1666" s="41"/>
      <c r="AF1666" s="73"/>
      <c r="AG1666" s="53">
        <f>(AG$29/AG$27)^2*(AG1663-('Valve Sizing'!$V$4*'Valve Sizing'!$G$7))</f>
        <v>-5.2211598081737627</v>
      </c>
      <c r="AH1666" s="41"/>
      <c r="AI1666" s="73"/>
      <c r="AJ1666" s="53">
        <f>(AJ$29/AJ$27)^2*(AJ1663-('Valve Sizing'!$V$4*'Valve Sizing'!$G$7))</f>
        <v>-33.857263716433096</v>
      </c>
      <c r="AK1666" s="41"/>
      <c r="AL1666" s="73"/>
      <c r="AM1666" s="53">
        <f>(AM$29/AM$27)^2*(AM1663-('Valve Sizing'!$V$4*'Valve Sizing'!$G$7))</f>
        <v>-54.912678282165011</v>
      </c>
      <c r="AN1666" s="41"/>
      <c r="AO1666" s="73"/>
      <c r="AP1666" s="53">
        <f>(AP$29/AP$27)^2*(AP1663-('Valve Sizing'!$V$4*'Valve Sizing'!$G$7))</f>
        <v>-68.796613503036667</v>
      </c>
      <c r="AQ1666" s="41"/>
      <c r="AR1666" s="73"/>
      <c r="AS1666" s="53">
        <f>(AS$29/AS$27)^2*(AS1663-('Valve Sizing'!$V$4*'Valve Sizing'!$G$7))</f>
        <v>-91.207102165456504</v>
      </c>
      <c r="AT1666" s="41"/>
      <c r="AU1666" s="73"/>
    </row>
    <row r="1667" spans="15:47" ht="13" x14ac:dyDescent="0.25">
      <c r="O1667" s="1" t="s">
        <v>69</v>
      </c>
      <c r="P1667" s="17">
        <v>7</v>
      </c>
      <c r="Q1667" s="65"/>
      <c r="R1667" s="53">
        <f>(R1661/(N_1*F_P_h))*SQRT('Valve Sizing'!$G$6/R1665)</f>
        <v>2.640658995597355</v>
      </c>
      <c r="S1667" s="58"/>
      <c r="T1667" s="73"/>
      <c r="U1667" s="64">
        <f>(U1661/(N_1*U$27))*SQRT('Valve Sizing'!$G$6/U1665)</f>
        <v>21.923200235031846</v>
      </c>
      <c r="V1667" s="41"/>
      <c r="W1667" s="73"/>
      <c r="X1667" s="64">
        <f>(X1661/(N_1*X$27))*SQRT('Valve Sizing'!$G$6/X1665)</f>
        <v>55.36805695928674</v>
      </c>
      <c r="Y1667" s="41"/>
      <c r="Z1667" s="73"/>
      <c r="AA1667" s="64">
        <f>(AA1661/(N_1*AA$27))*SQRT('Valve Sizing'!$G$6/AA1665)</f>
        <v>129.57704727039868</v>
      </c>
      <c r="AB1667" s="41"/>
      <c r="AC1667" s="73"/>
      <c r="AD1667" s="64" t="e">
        <f>(AD1661/(N_1*AD$27))*SQRT('Valve Sizing'!$G$6/AD1665)</f>
        <v>#NUM!</v>
      </c>
      <c r="AE1667" s="41"/>
      <c r="AF1667" s="73"/>
      <c r="AG1667" s="64" t="e">
        <f>(AG1661/(N_1*AG$27))*SQRT('Valve Sizing'!$G$6/AG1665)</f>
        <v>#NUM!</v>
      </c>
      <c r="AH1667" s="41"/>
      <c r="AI1667" s="73"/>
      <c r="AJ1667" s="64" t="e">
        <f>(AJ1661/(N_1*AJ$27))*SQRT('Valve Sizing'!$G$6/AJ1665)</f>
        <v>#NUM!</v>
      </c>
      <c r="AK1667" s="41"/>
      <c r="AL1667" s="73"/>
      <c r="AM1667" s="64" t="e">
        <f>(AM1661/(N_1*AM$27))*SQRT('Valve Sizing'!$G$6/AM1665)</f>
        <v>#NUM!</v>
      </c>
      <c r="AN1667" s="41"/>
      <c r="AO1667" s="73"/>
      <c r="AP1667" s="64" t="e">
        <f>(AP1661/(N_1*AP$27))*SQRT('Valve Sizing'!$G$6/AP1665)</f>
        <v>#NUM!</v>
      </c>
      <c r="AQ1667" s="41"/>
      <c r="AR1667" s="73"/>
      <c r="AS1667" s="64" t="e">
        <f>(AS1661/(N_1*AS$27))*SQRT('Valve Sizing'!$G$6/AS1665)</f>
        <v>#NUM!</v>
      </c>
      <c r="AT1667" s="41"/>
      <c r="AU1667" s="73"/>
    </row>
    <row r="1668" spans="15:47" ht="13" x14ac:dyDescent="0.3">
      <c r="O1668" s="1" t="s">
        <v>72</v>
      </c>
      <c r="P1668" s="17">
        <v>7</v>
      </c>
      <c r="Q1668" s="65"/>
      <c r="R1668" s="53">
        <f>(R1661/(N_1*F_P_h))*SQRT('Valve Sizing'!$G$6/R1666)</f>
        <v>2.1930417733528764</v>
      </c>
      <c r="S1668" s="56"/>
      <c r="T1668" s="72"/>
      <c r="U1668" s="85">
        <f>(U1661/(N_1*U$27))*SQRT('Valve Sizing'!$G$6/U1666)</f>
        <v>18.118759903287994</v>
      </c>
      <c r="V1668" s="44"/>
      <c r="W1668" s="72"/>
      <c r="X1668" s="85">
        <f>(X1661/(N_1*X$27))*SQRT('Valve Sizing'!$G$6/X1666)</f>
        <v>45.084337215817492</v>
      </c>
      <c r="Y1668" s="44"/>
      <c r="Z1668" s="72"/>
      <c r="AA1668" s="85">
        <f>(AA1661/(N_1*AA$27))*SQRT('Valve Sizing'!$G$6/AA1666)</f>
        <v>95.867789244858699</v>
      </c>
      <c r="AB1668" s="44"/>
      <c r="AC1668" s="72"/>
      <c r="AD1668" s="85">
        <f>(AD1661/(N_1*AD$27))*SQRT('Valve Sizing'!$G$6/AD1666)</f>
        <v>213.67029676875285</v>
      </c>
      <c r="AE1668" s="44"/>
      <c r="AF1668" s="72"/>
      <c r="AG1668" s="85" t="e">
        <f>(AG1661/(N_1*AG$27))*SQRT('Valve Sizing'!$G$6/AG1666)</f>
        <v>#NUM!</v>
      </c>
      <c r="AH1668" s="44"/>
      <c r="AI1668" s="72"/>
      <c r="AJ1668" s="85" t="e">
        <f>(AJ1661/(N_1*AJ$27))*SQRT('Valve Sizing'!$G$6/AJ1666)</f>
        <v>#NUM!</v>
      </c>
      <c r="AK1668" s="44"/>
      <c r="AL1668" s="72"/>
      <c r="AM1668" s="85" t="e">
        <f>(AM1661/(N_1*AM$27))*SQRT('Valve Sizing'!$G$6/AM1666)</f>
        <v>#NUM!</v>
      </c>
      <c r="AN1668" s="44"/>
      <c r="AO1668" s="72"/>
      <c r="AP1668" s="85" t="e">
        <f>(AP1661/(N_1*AP$27))*SQRT('Valve Sizing'!$G$6/AP1666)</f>
        <v>#NUM!</v>
      </c>
      <c r="AQ1668" s="44"/>
      <c r="AR1668" s="72"/>
      <c r="AS1668" s="85" t="e">
        <f>(AS1661/(N_1*AS$27))*SQRT('Valve Sizing'!$G$6/AS1666)</f>
        <v>#NUM!</v>
      </c>
      <c r="AT1668" s="44"/>
      <c r="AU1668" s="72"/>
    </row>
    <row r="1669" spans="15:47" x14ac:dyDescent="0.25">
      <c r="O1669" s="1" t="s">
        <v>246</v>
      </c>
      <c r="P1669" s="18"/>
      <c r="Q1669" s="65"/>
      <c r="R1669" s="53">
        <f>IF(R1665&lt;R1666,R1667,R1668)</f>
        <v>2.640658995597355</v>
      </c>
      <c r="S1669" s="49"/>
      <c r="T1669" s="72"/>
      <c r="U1669" s="64">
        <f>IF(U1665&lt;U1666,U1667,U1668)</f>
        <v>21.923200235031846</v>
      </c>
      <c r="V1669" s="44"/>
      <c r="W1669" s="72"/>
      <c r="X1669" s="64">
        <f>IF(X1665&lt;X1666,X1667,X1668)</f>
        <v>55.36805695928674</v>
      </c>
      <c r="Y1669" s="44"/>
      <c r="Z1669" s="72"/>
      <c r="AA1669" s="64">
        <f>IF(AA1665&lt;AA1666,AA1667,AA1668)</f>
        <v>129.57704727039868</v>
      </c>
      <c r="AB1669" s="44"/>
      <c r="AC1669" s="72"/>
      <c r="AD1669" s="64" t="e">
        <f>IF(AD1665&lt;AD1666,AD1667,AD1668)</f>
        <v>#NUM!</v>
      </c>
      <c r="AE1669" s="44"/>
      <c r="AF1669" s="72"/>
      <c r="AG1669" s="64" t="e">
        <f>IF(AG1665&lt;AG1666,AG1667,AG1668)</f>
        <v>#NUM!</v>
      </c>
      <c r="AH1669" s="44"/>
      <c r="AI1669" s="72"/>
      <c r="AJ1669" s="64" t="e">
        <f>IF(AJ1665&lt;AJ1666,AJ1667,AJ1668)</f>
        <v>#NUM!</v>
      </c>
      <c r="AK1669" s="44"/>
      <c r="AL1669" s="72"/>
      <c r="AM1669" s="64" t="e">
        <f>IF(AM1665&lt;AM1666,AM1667,AM1668)</f>
        <v>#NUM!</v>
      </c>
      <c r="AN1669" s="44"/>
      <c r="AO1669" s="72"/>
      <c r="AP1669" s="64" t="e">
        <f>IF(AP1665&lt;AP1666,AP1667,AP1668)</f>
        <v>#NUM!</v>
      </c>
      <c r="AQ1669" s="44"/>
      <c r="AR1669" s="72"/>
      <c r="AS1669" s="64" t="e">
        <f>IF(AS1665&lt;AS1666,AS1667,AS1668)</f>
        <v>#NUM!</v>
      </c>
      <c r="AT1669" s="44"/>
      <c r="AU1669" s="72"/>
    </row>
    <row r="1670" spans="15:47" ht="13" x14ac:dyDescent="0.3">
      <c r="O1670" s="7" t="s">
        <v>264</v>
      </c>
      <c r="Q1670" s="61"/>
      <c r="R1670" s="53"/>
      <c r="S1670" s="69">
        <f>IFERROR(ABS(C_h-R1669),Q_max*10)</f>
        <v>2.359341004402645</v>
      </c>
      <c r="T1670" s="76">
        <f>R1661</f>
        <v>14.993927540763256</v>
      </c>
      <c r="U1670" s="61"/>
      <c r="V1670" s="69">
        <f>IFERROR(ABS(U$23-U1669),Q_max*10)</f>
        <v>9.923200235031846</v>
      </c>
      <c r="W1670" s="75">
        <f>U1661</f>
        <v>123.22085671228128</v>
      </c>
      <c r="X1670" s="61"/>
      <c r="Y1670" s="69">
        <f>IFERROR(ABS(X$23-X1669),Q_max*10)</f>
        <v>32.36805695928674</v>
      </c>
      <c r="Z1670" s="75">
        <f>X1661</f>
        <v>295.77748842649805</v>
      </c>
      <c r="AA1670" s="61"/>
      <c r="AB1670" s="69">
        <f>IFERROR(ABS(AA$23-AA1669),Q_max*10)</f>
        <v>90.57704727039868</v>
      </c>
      <c r="AC1670" s="75">
        <f>AA1661</f>
        <v>564.74762435793241</v>
      </c>
      <c r="AD1670" s="61"/>
      <c r="AE1670" s="69">
        <f>IFERROR(ABS(AD$23-AD1669),Q_max*10)</f>
        <v>5500</v>
      </c>
      <c r="AF1670" s="75">
        <f>AD1661</f>
        <v>928.80191432979097</v>
      </c>
      <c r="AG1670" s="61"/>
      <c r="AH1670" s="69">
        <f>IFERROR(ABS(AG$23-AG1669),Q_max*10)</f>
        <v>5500</v>
      </c>
      <c r="AI1670" s="75">
        <f>AG1661</f>
        <v>1382.8594859329398</v>
      </c>
      <c r="AJ1670" s="61"/>
      <c r="AK1670" s="69">
        <f>IFERROR(ABS(AJ$23-AJ1669),Q_max*10)</f>
        <v>5500</v>
      </c>
      <c r="AL1670" s="75">
        <f>AJ1661</f>
        <v>1845.4313447252794</v>
      </c>
      <c r="AM1670" s="61"/>
      <c r="AN1670" s="69">
        <f>IFERROR(ABS(AM$23-AM1669),Q_max*10)</f>
        <v>5500</v>
      </c>
      <c r="AO1670" s="75">
        <f>AM1661</f>
        <v>2251.7769462415686</v>
      </c>
      <c r="AP1670" s="61"/>
      <c r="AQ1670" s="69">
        <f>IFERROR(ABS(AP$23-AP1669),Q_max*10)</f>
        <v>5500</v>
      </c>
      <c r="AR1670" s="75">
        <f>AP1661</f>
        <v>2614.2431290043196</v>
      </c>
      <c r="AS1670" s="61"/>
      <c r="AT1670" s="69">
        <f>IFERROR(ABS(AS$23-AS1669),Q_max*10)</f>
        <v>5500</v>
      </c>
      <c r="AU1670" s="75">
        <f>AS1661</f>
        <v>2975.2525385387135</v>
      </c>
    </row>
    <row r="1671" spans="15:47" ht="14.5" x14ac:dyDescent="0.35">
      <c r="O1671" s="6"/>
      <c r="P1671" s="6"/>
      <c r="Q1671" s="60"/>
      <c r="R1671" s="67"/>
      <c r="S1671" s="56"/>
      <c r="T1671" s="72"/>
      <c r="V1671" s="11"/>
      <c r="W1671" s="38"/>
      <c r="Y1671" s="11"/>
      <c r="Z1671" s="38"/>
      <c r="AB1671" s="11"/>
      <c r="AC1671" s="38"/>
      <c r="AE1671" s="11"/>
      <c r="AF1671" s="38"/>
      <c r="AH1671" s="11"/>
      <c r="AI1671" s="38"/>
      <c r="AK1671" s="11"/>
      <c r="AL1671" s="38"/>
      <c r="AN1671" s="11"/>
      <c r="AO1671" s="38"/>
      <c r="AQ1671" s="11"/>
      <c r="AR1671" s="38"/>
      <c r="AT1671" s="11"/>
      <c r="AU1671" s="38"/>
    </row>
    <row r="1672" spans="15:47" ht="14" x14ac:dyDescent="0.3">
      <c r="O1672" s="8" t="s">
        <v>235</v>
      </c>
      <c r="P1672" s="6"/>
      <c r="Q1672" s="60"/>
      <c r="R1672" s="53">
        <f>R1661*1.02</f>
        <v>15.293806091578521</v>
      </c>
      <c r="S1672" s="58" t="s">
        <v>238</v>
      </c>
      <c r="T1672" s="73" t="s">
        <v>241</v>
      </c>
      <c r="U1672" s="84">
        <f>U1661*1.01</f>
        <v>124.45306527940409</v>
      </c>
      <c r="V1672" s="58" t="s">
        <v>238</v>
      </c>
      <c r="W1672" s="73" t="s">
        <v>241</v>
      </c>
      <c r="X1672" s="84">
        <f>X1661*1.01</f>
        <v>298.73526331076306</v>
      </c>
      <c r="Y1672" s="58" t="s">
        <v>238</v>
      </c>
      <c r="Z1672" s="73" t="s">
        <v>241</v>
      </c>
      <c r="AA1672" s="84">
        <f>AA1661*1.01</f>
        <v>570.39510060151179</v>
      </c>
      <c r="AB1672" s="58" t="s">
        <v>238</v>
      </c>
      <c r="AC1672" s="73" t="s">
        <v>241</v>
      </c>
      <c r="AD1672" s="84">
        <f>AD1661*1.01</f>
        <v>938.08993347308888</v>
      </c>
      <c r="AE1672" s="58" t="s">
        <v>238</v>
      </c>
      <c r="AF1672" s="73" t="s">
        <v>241</v>
      </c>
      <c r="AG1672" s="84">
        <f>AG1661*1.01</f>
        <v>1396.6880807922691</v>
      </c>
      <c r="AH1672" s="58" t="s">
        <v>238</v>
      </c>
      <c r="AI1672" s="73" t="s">
        <v>241</v>
      </c>
      <c r="AJ1672" s="84">
        <f>AJ1661*1.01</f>
        <v>1863.8856581725322</v>
      </c>
      <c r="AK1672" s="58" t="s">
        <v>238</v>
      </c>
      <c r="AL1672" s="73" t="s">
        <v>241</v>
      </c>
      <c r="AM1672" s="84">
        <f>AM1661*1.01</f>
        <v>2274.2947157039844</v>
      </c>
      <c r="AN1672" s="58" t="s">
        <v>238</v>
      </c>
      <c r="AO1672" s="73" t="s">
        <v>241</v>
      </c>
      <c r="AP1672" s="84">
        <f>AP1661*1.01</f>
        <v>2640.3855602943627</v>
      </c>
      <c r="AQ1672" s="58" t="s">
        <v>238</v>
      </c>
      <c r="AR1672" s="73" t="s">
        <v>241</v>
      </c>
      <c r="AS1672" s="84">
        <f>AS1661*1.01</f>
        <v>3005.0050639241008</v>
      </c>
      <c r="AT1672" s="58" t="s">
        <v>238</v>
      </c>
      <c r="AU1672" s="73" t="s">
        <v>241</v>
      </c>
    </row>
    <row r="1673" spans="15:47" ht="13" x14ac:dyDescent="0.25">
      <c r="O1673" s="6"/>
      <c r="P1673" s="6"/>
      <c r="Q1673" s="60"/>
      <c r="R1673" s="70"/>
      <c r="S1673" s="63" t="s">
        <v>250</v>
      </c>
      <c r="T1673" s="71" t="s">
        <v>242</v>
      </c>
      <c r="U1673" s="61"/>
      <c r="V1673" s="63" t="s">
        <v>250</v>
      </c>
      <c r="W1673" s="71" t="s">
        <v>242</v>
      </c>
      <c r="X1673" s="61"/>
      <c r="Y1673" s="63" t="s">
        <v>250</v>
      </c>
      <c r="Z1673" s="71" t="s">
        <v>242</v>
      </c>
      <c r="AA1673" s="61"/>
      <c r="AB1673" s="63" t="s">
        <v>250</v>
      </c>
      <c r="AC1673" s="71" t="s">
        <v>242</v>
      </c>
      <c r="AD1673" s="61"/>
      <c r="AE1673" s="63" t="s">
        <v>250</v>
      </c>
      <c r="AF1673" s="71" t="s">
        <v>242</v>
      </c>
      <c r="AG1673" s="61"/>
      <c r="AH1673" s="63" t="s">
        <v>250</v>
      </c>
      <c r="AI1673" s="71" t="s">
        <v>242</v>
      </c>
      <c r="AJ1673" s="61"/>
      <c r="AK1673" s="63" t="s">
        <v>250</v>
      </c>
      <c r="AL1673" s="71" t="s">
        <v>242</v>
      </c>
      <c r="AM1673" s="61"/>
      <c r="AN1673" s="63" t="s">
        <v>250</v>
      </c>
      <c r="AO1673" s="71" t="s">
        <v>242</v>
      </c>
      <c r="AP1673" s="61"/>
      <c r="AQ1673" s="63" t="s">
        <v>250</v>
      </c>
      <c r="AR1673" s="71" t="s">
        <v>242</v>
      </c>
      <c r="AS1673" s="61"/>
      <c r="AT1673" s="63" t="s">
        <v>250</v>
      </c>
      <c r="AU1673" s="71" t="s">
        <v>242</v>
      </c>
    </row>
    <row r="1674" spans="15:47" ht="13" x14ac:dyDescent="0.3">
      <c r="O1674" s="6" t="s">
        <v>231</v>
      </c>
      <c r="P1674" s="6"/>
      <c r="Q1674" s="60"/>
      <c r="R1674" s="85">
        <f>P_1_minQ-(R1672^2*R_up)+dpup_minQ</f>
        <v>56.908243819494537</v>
      </c>
      <c r="S1674" s="56"/>
      <c r="T1674" s="72"/>
      <c r="U1674" s="53">
        <f>P_1_minQ-(U1672^2*R_up)+dpup_minQ</f>
        <v>56.393057566449187</v>
      </c>
      <c r="V1674" s="44"/>
      <c r="W1674" s="72"/>
      <c r="X1674" s="53">
        <f>P_1_minQ-(X1672^2*R_up)+dpup_minQ</f>
        <v>53.902203392592</v>
      </c>
      <c r="Y1674" s="44"/>
      <c r="Z1674" s="72"/>
      <c r="AA1674" s="53">
        <f>P_1_minQ-(AA1672^2*R_up)+dpup_minQ</f>
        <v>45.928281972637329</v>
      </c>
      <c r="AB1674" s="44"/>
      <c r="AC1674" s="72"/>
      <c r="AD1674" s="53">
        <f>P_1_minQ-(AD1672^2*R_up)+dpup_minQ</f>
        <v>27.196024205216336</v>
      </c>
      <c r="AE1674" s="44"/>
      <c r="AF1674" s="72"/>
      <c r="AG1674" s="53">
        <f>P_1_minQ-(AG1672^2*R_up)+dpup_minQ</f>
        <v>-8.9648968263151723</v>
      </c>
      <c r="AH1674" s="44"/>
      <c r="AI1674" s="72"/>
      <c r="AJ1674" s="53">
        <f>P_1_minQ-(AJ1672^2*R_up)+dpup_minQ</f>
        <v>-60.411440281703939</v>
      </c>
      <c r="AK1674" s="44"/>
      <c r="AL1674" s="72"/>
      <c r="AM1674" s="53">
        <f>P_1_minQ-(AM1672^2*R_up)+dpup_minQ</f>
        <v>-117.76864079294384</v>
      </c>
      <c r="AN1674" s="44"/>
      <c r="AO1674" s="72"/>
      <c r="AP1674" s="53">
        <f>P_1_minQ-(AP1672^2*R_up)+dpup_minQ</f>
        <v>-178.53255342826665</v>
      </c>
      <c r="AQ1674" s="44"/>
      <c r="AR1674" s="72"/>
      <c r="AS1674" s="53">
        <f>P_1_minQ-(AS1672^2*R_up)+dpup_minQ</f>
        <v>-248.05026795709185</v>
      </c>
      <c r="AT1674" s="44"/>
      <c r="AU1674" s="72"/>
    </row>
    <row r="1675" spans="15:47" ht="13" x14ac:dyDescent="0.3">
      <c r="O1675" s="6" t="s">
        <v>233</v>
      </c>
      <c r="P1675" s="6"/>
      <c r="Q1675" s="60"/>
      <c r="R1675" s="85">
        <f>P_2_minQ+(R1672^2*R_dn)-dpdn_minQ</f>
        <v>24.658351236101094</v>
      </c>
      <c r="S1675" s="66"/>
      <c r="T1675" s="74"/>
      <c r="U1675" s="53">
        <f>P_2_minQ+(U1672^2*R_dn)-dpdn_minQ</f>
        <v>24.761388486710164</v>
      </c>
      <c r="V1675" s="45"/>
      <c r="W1675" s="74"/>
      <c r="X1675" s="53">
        <f>P_2_minQ+(X1672^2*R_dn)-dpdn_minQ</f>
        <v>25.2595593214816</v>
      </c>
      <c r="Y1675" s="45"/>
      <c r="Z1675" s="74"/>
      <c r="AA1675" s="53">
        <f>P_2_minQ+(AA1672^2*R_dn)-dpdn_minQ</f>
        <v>26.854343605472536</v>
      </c>
      <c r="AB1675" s="45"/>
      <c r="AC1675" s="74"/>
      <c r="AD1675" s="53">
        <f>P_2_minQ+(AD1672^2*R_dn)-dpdn_minQ</f>
        <v>30.600795158956732</v>
      </c>
      <c r="AE1675" s="45"/>
      <c r="AF1675" s="74"/>
      <c r="AG1675" s="53">
        <f>P_2_minQ+(AG1672^2*R_dn)-dpdn_minQ</f>
        <v>37.832979365263043</v>
      </c>
      <c r="AH1675" s="45"/>
      <c r="AI1675" s="74"/>
      <c r="AJ1675" s="53">
        <f>P_2_minQ+(AJ1672^2*R_dn)-dpdn_minQ</f>
        <v>48.122288056340793</v>
      </c>
      <c r="AK1675" s="45"/>
      <c r="AL1675" s="74"/>
      <c r="AM1675" s="53">
        <f>P_2_minQ+(AM1672^2*R_dn)-dpdn_minQ</f>
        <v>59.593728158588767</v>
      </c>
      <c r="AN1675" s="45"/>
      <c r="AO1675" s="74"/>
      <c r="AP1675" s="53">
        <f>P_2_minQ+(AP1672^2*R_dn)-dpdn_minQ</f>
        <v>71.746510685653334</v>
      </c>
      <c r="AQ1675" s="45"/>
      <c r="AR1675" s="74"/>
      <c r="AS1675" s="53">
        <f>P_2_minQ+(AS1672^2*R_dn)-dpdn_minQ</f>
        <v>85.650053591418356</v>
      </c>
      <c r="AT1675" s="45"/>
      <c r="AU1675" s="74"/>
    </row>
    <row r="1676" spans="15:47" x14ac:dyDescent="0.25">
      <c r="O1676" s="6" t="s">
        <v>243</v>
      </c>
      <c r="Q1676" s="60"/>
      <c r="R1676" s="53">
        <f>R1674-R1675</f>
        <v>32.249892583393446</v>
      </c>
      <c r="S1676" s="56"/>
      <c r="T1676" s="72"/>
      <c r="U1676" s="64">
        <f>U1674-U1675</f>
        <v>31.631669079739023</v>
      </c>
      <c r="V1676" s="44"/>
      <c r="W1676" s="72"/>
      <c r="X1676" s="64">
        <f>X1674-X1675</f>
        <v>28.6426440711104</v>
      </c>
      <c r="Y1676" s="44"/>
      <c r="Z1676" s="72"/>
      <c r="AA1676" s="64">
        <f>AA1674-AA1675</f>
        <v>19.073938367164793</v>
      </c>
      <c r="AB1676" s="44"/>
      <c r="AC1676" s="72"/>
      <c r="AD1676" s="64">
        <f>AD1674-AD1675</f>
        <v>-3.4047709537403961</v>
      </c>
      <c r="AE1676" s="44"/>
      <c r="AF1676" s="72"/>
      <c r="AG1676" s="64">
        <f>AG1674-AG1675</f>
        <v>-46.797876191578212</v>
      </c>
      <c r="AH1676" s="44"/>
      <c r="AI1676" s="72"/>
      <c r="AJ1676" s="64">
        <f>AJ1674-AJ1675</f>
        <v>-108.53372833804474</v>
      </c>
      <c r="AK1676" s="44"/>
      <c r="AL1676" s="72"/>
      <c r="AM1676" s="64">
        <f>AM1674-AM1675</f>
        <v>-177.3623689515326</v>
      </c>
      <c r="AN1676" s="44"/>
      <c r="AO1676" s="72"/>
      <c r="AP1676" s="64">
        <f>AP1674-AP1675</f>
        <v>-250.27906411391999</v>
      </c>
      <c r="AQ1676" s="44"/>
      <c r="AR1676" s="72"/>
      <c r="AS1676" s="64">
        <f>AS1674-AS1675</f>
        <v>-333.7003215485102</v>
      </c>
      <c r="AT1676" s="44"/>
      <c r="AU1676" s="72"/>
    </row>
    <row r="1677" spans="15:47" ht="13" x14ac:dyDescent="0.3">
      <c r="O1677" s="6" t="s">
        <v>75</v>
      </c>
      <c r="P1677" s="6">
        <v>3</v>
      </c>
      <c r="Q1677" s="65"/>
      <c r="R1677" s="85">
        <f>(F_LP_h/F_P_h)^2*(R1674-('Valve Sizing'!$V$4*'Valve Sizing'!$G$7))</f>
        <v>46.758622144271456</v>
      </c>
      <c r="S1677" s="58"/>
      <c r="T1677" s="73"/>
      <c r="U1677" s="53">
        <f>(U$29/U$27)^2*(U1674-('Valve Sizing'!$V$4*'Valve Sizing'!$G$7))</f>
        <v>46.319392689794917</v>
      </c>
      <c r="V1677" s="41"/>
      <c r="W1677" s="73"/>
      <c r="X1677" s="53">
        <f>(X$29/X$27)^2*(X1674-('Valve Sizing'!$V$4*'Valve Sizing'!$G$7))</f>
        <v>43.259085798871716</v>
      </c>
      <c r="Y1677" s="41"/>
      <c r="Z1677" s="73"/>
      <c r="AA1677" s="53">
        <f>(AA$29/AA$27)^2*(AA1674-('Valve Sizing'!$V$4*'Valve Sizing'!$G$7))</f>
        <v>35.153173346179436</v>
      </c>
      <c r="AB1677" s="41"/>
      <c r="AC1677" s="73"/>
      <c r="AD1677" s="53">
        <f>(AD$29/AD$27)^2*(AD1674-('Valve Sizing'!$V$4*'Valve Sizing'!$G$7))</f>
        <v>19.296066132762348</v>
      </c>
      <c r="AE1677" s="41"/>
      <c r="AF1677" s="73"/>
      <c r="AG1677" s="53">
        <f>(AG$29/AG$27)^2*(AG1674-('Valve Sizing'!$V$4*'Valve Sizing'!$G$7))</f>
        <v>-6.0572040538341874</v>
      </c>
      <c r="AH1677" s="41"/>
      <c r="AI1677" s="73"/>
      <c r="AJ1677" s="53">
        <f>(AJ$29/AJ$27)^2*(AJ1674-('Valve Sizing'!$V$4*'Valve Sizing'!$G$7))</f>
        <v>-35.194336165840454</v>
      </c>
      <c r="AK1677" s="41"/>
      <c r="AL1677" s="73"/>
      <c r="AM1677" s="53">
        <f>(AM$29/AM$27)^2*(AM1674-('Valve Sizing'!$V$4*'Valve Sizing'!$G$7))</f>
        <v>-56.559570019556844</v>
      </c>
      <c r="AN1677" s="41"/>
      <c r="AO1677" s="73"/>
      <c r="AP1677" s="53">
        <f>(AP$29/AP$27)^2*(AP1674-('Valve Sizing'!$V$4*'Valve Sizing'!$G$7))</f>
        <v>-70.627393701347188</v>
      </c>
      <c r="AQ1677" s="41"/>
      <c r="AR1677" s="73"/>
      <c r="AS1677" s="53">
        <f>(AS$29/AS$27)^2*(AS1674-('Valve Sizing'!$V$4*'Valve Sizing'!$G$7))</f>
        <v>-93.467348408099753</v>
      </c>
      <c r="AT1677" s="41"/>
      <c r="AU1677" s="73"/>
    </row>
    <row r="1678" spans="15:47" ht="13" x14ac:dyDescent="0.25">
      <c r="O1678" s="1" t="s">
        <v>69</v>
      </c>
      <c r="P1678" s="17">
        <v>7</v>
      </c>
      <c r="Q1678" s="65"/>
      <c r="R1678" s="53">
        <f>(R1672/(N_1*F_P_h))*SQRT('Valve Sizing'!$G$6/R1676)</f>
        <v>2.6934875467175168</v>
      </c>
      <c r="S1678" s="58"/>
      <c r="T1678" s="73"/>
      <c r="U1678" s="64">
        <f>(U1672/(N_1*U$27))*SQRT('Valve Sizing'!$G$6/U1676)</f>
        <v>22.146760744312438</v>
      </c>
      <c r="V1678" s="41"/>
      <c r="W1678" s="73"/>
      <c r="X1678" s="64">
        <f>(X1672/(N_1*X$27))*SQRT('Valve Sizing'!$G$6/X1676)</f>
        <v>55.991261857174671</v>
      </c>
      <c r="Y1678" s="41"/>
      <c r="Z1678" s="73"/>
      <c r="AA1678" s="64">
        <f>(AA1672/(N_1*AA$27))*SQRT('Valve Sizing'!$G$6/AA1676)</f>
        <v>131.76110907754207</v>
      </c>
      <c r="AB1678" s="41"/>
      <c r="AC1678" s="73"/>
      <c r="AD1678" s="64" t="e">
        <f>(AD1672/(N_1*AD$27))*SQRT('Valve Sizing'!$G$6/AD1676)</f>
        <v>#NUM!</v>
      </c>
      <c r="AE1678" s="41"/>
      <c r="AF1678" s="73"/>
      <c r="AG1678" s="64" t="e">
        <f>(AG1672/(N_1*AG$27))*SQRT('Valve Sizing'!$G$6/AG1676)</f>
        <v>#NUM!</v>
      </c>
      <c r="AH1678" s="41"/>
      <c r="AI1678" s="73"/>
      <c r="AJ1678" s="64" t="e">
        <f>(AJ1672/(N_1*AJ$27))*SQRT('Valve Sizing'!$G$6/AJ1676)</f>
        <v>#NUM!</v>
      </c>
      <c r="AK1678" s="41"/>
      <c r="AL1678" s="73"/>
      <c r="AM1678" s="64" t="e">
        <f>(AM1672/(N_1*AM$27))*SQRT('Valve Sizing'!$G$6/AM1676)</f>
        <v>#NUM!</v>
      </c>
      <c r="AN1678" s="41"/>
      <c r="AO1678" s="73"/>
      <c r="AP1678" s="64" t="e">
        <f>(AP1672/(N_1*AP$27))*SQRT('Valve Sizing'!$G$6/AP1676)</f>
        <v>#NUM!</v>
      </c>
      <c r="AQ1678" s="41"/>
      <c r="AR1678" s="73"/>
      <c r="AS1678" s="64" t="e">
        <f>(AS1672/(N_1*AS$27))*SQRT('Valve Sizing'!$G$6/AS1676)</f>
        <v>#NUM!</v>
      </c>
      <c r="AT1678" s="41"/>
      <c r="AU1678" s="73"/>
    </row>
    <row r="1679" spans="15:47" ht="13" x14ac:dyDescent="0.3">
      <c r="O1679" s="1" t="s">
        <v>72</v>
      </c>
      <c r="P1679" s="17">
        <v>7</v>
      </c>
      <c r="Q1679" s="65"/>
      <c r="R1679" s="53">
        <f>(R1672/(N_1*F_P_h))*SQRT('Valve Sizing'!$G$6/R1677)</f>
        <v>2.2369086843814996</v>
      </c>
      <c r="S1679" s="56"/>
      <c r="T1679" s="72"/>
      <c r="U1679" s="85">
        <f>(U1672/(N_1*U$27))*SQRT('Valve Sizing'!$G$6/U1677)</f>
        <v>18.301632900699023</v>
      </c>
      <c r="V1679" s="44"/>
      <c r="W1679" s="72"/>
      <c r="X1679" s="85">
        <f>(X1672/(N_1*X$27))*SQRT('Valve Sizing'!$G$6/X1677)</f>
        <v>45.5604641355865</v>
      </c>
      <c r="Y1679" s="44"/>
      <c r="Z1679" s="72"/>
      <c r="AA1679" s="85">
        <f>(AA1672/(N_1*AA$27))*SQRT('Valve Sizing'!$G$6/AA1677)</f>
        <v>97.056619659497855</v>
      </c>
      <c r="AB1679" s="44"/>
      <c r="AC1679" s="72"/>
      <c r="AD1679" s="85">
        <f>(AD1672/(N_1*AD$27))*SQRT('Valve Sizing'!$G$6/AD1677)</f>
        <v>218.15588431619574</v>
      </c>
      <c r="AE1679" s="44"/>
      <c r="AF1679" s="72"/>
      <c r="AG1679" s="85" t="e">
        <f>(AG1672/(N_1*AG$27))*SQRT('Valve Sizing'!$G$6/AG1677)</f>
        <v>#NUM!</v>
      </c>
      <c r="AH1679" s="44"/>
      <c r="AI1679" s="72"/>
      <c r="AJ1679" s="85" t="e">
        <f>(AJ1672/(N_1*AJ$27))*SQRT('Valve Sizing'!$G$6/AJ1677)</f>
        <v>#NUM!</v>
      </c>
      <c r="AK1679" s="44"/>
      <c r="AL1679" s="72"/>
      <c r="AM1679" s="85" t="e">
        <f>(AM1672/(N_1*AM$27))*SQRT('Valve Sizing'!$G$6/AM1677)</f>
        <v>#NUM!</v>
      </c>
      <c r="AN1679" s="44"/>
      <c r="AO1679" s="72"/>
      <c r="AP1679" s="85" t="e">
        <f>(AP1672/(N_1*AP$27))*SQRT('Valve Sizing'!$G$6/AP1677)</f>
        <v>#NUM!</v>
      </c>
      <c r="AQ1679" s="44"/>
      <c r="AR1679" s="72"/>
      <c r="AS1679" s="85" t="e">
        <f>(AS1672/(N_1*AS$27))*SQRT('Valve Sizing'!$G$6/AS1677)</f>
        <v>#NUM!</v>
      </c>
      <c r="AT1679" s="44"/>
      <c r="AU1679" s="72"/>
    </row>
    <row r="1680" spans="15:47" x14ac:dyDescent="0.25">
      <c r="O1680" s="1" t="s">
        <v>246</v>
      </c>
      <c r="P1680" s="18"/>
      <c r="Q1680" s="65"/>
      <c r="R1680" s="53">
        <f>IF(R1676&lt;R1677,R1678,R1679)</f>
        <v>2.6934875467175168</v>
      </c>
      <c r="S1680" s="49"/>
      <c r="T1680" s="72"/>
      <c r="U1680" s="64">
        <f>IF(U1676&lt;U1677,U1678,U1679)</f>
        <v>22.146760744312438</v>
      </c>
      <c r="V1680" s="44"/>
      <c r="W1680" s="72"/>
      <c r="X1680" s="64">
        <f>IF(X1676&lt;X1677,X1678,X1679)</f>
        <v>55.991261857174671</v>
      </c>
      <c r="Y1680" s="44"/>
      <c r="Z1680" s="72"/>
      <c r="AA1680" s="64">
        <f>IF(AA1676&lt;AA1677,AA1678,AA1679)</f>
        <v>131.76110907754207</v>
      </c>
      <c r="AB1680" s="44"/>
      <c r="AC1680" s="72"/>
      <c r="AD1680" s="64" t="e">
        <f>IF(AD1676&lt;AD1677,AD1678,AD1679)</f>
        <v>#NUM!</v>
      </c>
      <c r="AE1680" s="44"/>
      <c r="AF1680" s="72"/>
      <c r="AG1680" s="64" t="e">
        <f>IF(AG1676&lt;AG1677,AG1678,AG1679)</f>
        <v>#NUM!</v>
      </c>
      <c r="AH1680" s="44"/>
      <c r="AI1680" s="72"/>
      <c r="AJ1680" s="64" t="e">
        <f>IF(AJ1676&lt;AJ1677,AJ1678,AJ1679)</f>
        <v>#NUM!</v>
      </c>
      <c r="AK1680" s="44"/>
      <c r="AL1680" s="72"/>
      <c r="AM1680" s="64" t="e">
        <f>IF(AM1676&lt;AM1677,AM1678,AM1679)</f>
        <v>#NUM!</v>
      </c>
      <c r="AN1680" s="44"/>
      <c r="AO1680" s="72"/>
      <c r="AP1680" s="64" t="e">
        <f>IF(AP1676&lt;AP1677,AP1678,AP1679)</f>
        <v>#NUM!</v>
      </c>
      <c r="AQ1680" s="44"/>
      <c r="AR1680" s="72"/>
      <c r="AS1680" s="64" t="e">
        <f>IF(AS1676&lt;AS1677,AS1678,AS1679)</f>
        <v>#NUM!</v>
      </c>
      <c r="AT1680" s="44"/>
      <c r="AU1680" s="72"/>
    </row>
    <row r="1681" spans="15:47" ht="13" x14ac:dyDescent="0.3">
      <c r="O1681" s="7" t="s">
        <v>264</v>
      </c>
      <c r="Q1681" s="61"/>
      <c r="R1681" s="53"/>
      <c r="S1681" s="69">
        <f>IFERROR(ABS(C_h-R1680),Q_max*10)</f>
        <v>2.3065124532824832</v>
      </c>
      <c r="T1681" s="76">
        <f>R1672</f>
        <v>15.293806091578521</v>
      </c>
      <c r="U1681" s="61"/>
      <c r="V1681" s="69">
        <f>IFERROR(ABS(U$23-U1680),Q_max*10)</f>
        <v>10.146760744312438</v>
      </c>
      <c r="W1681" s="75">
        <f>U1672</f>
        <v>124.45306527940409</v>
      </c>
      <c r="X1681" s="61"/>
      <c r="Y1681" s="69">
        <f>IFERROR(ABS(X$23-X1680),Q_max*10)</f>
        <v>32.991261857174671</v>
      </c>
      <c r="Z1681" s="75">
        <f>X1672</f>
        <v>298.73526331076306</v>
      </c>
      <c r="AA1681" s="61"/>
      <c r="AB1681" s="69">
        <f>IFERROR(ABS(AA$23-AA1680),Q_max*10)</f>
        <v>92.761109077542073</v>
      </c>
      <c r="AC1681" s="75">
        <f>AA1672</f>
        <v>570.39510060151179</v>
      </c>
      <c r="AD1681" s="61"/>
      <c r="AE1681" s="69">
        <f>IFERROR(ABS(AD$23-AD1680),Q_max*10)</f>
        <v>5500</v>
      </c>
      <c r="AF1681" s="75">
        <f>AD1672</f>
        <v>938.08993347308888</v>
      </c>
      <c r="AG1681" s="61"/>
      <c r="AH1681" s="69">
        <f>IFERROR(ABS(AG$23-AG1680),Q_max*10)</f>
        <v>5500</v>
      </c>
      <c r="AI1681" s="75">
        <f>AG1672</f>
        <v>1396.6880807922691</v>
      </c>
      <c r="AJ1681" s="61"/>
      <c r="AK1681" s="69">
        <f>IFERROR(ABS(AJ$23-AJ1680),Q_max*10)</f>
        <v>5500</v>
      </c>
      <c r="AL1681" s="75">
        <f>AJ1672</f>
        <v>1863.8856581725322</v>
      </c>
      <c r="AM1681" s="61"/>
      <c r="AN1681" s="69">
        <f>IFERROR(ABS(AM$23-AM1680),Q_max*10)</f>
        <v>5500</v>
      </c>
      <c r="AO1681" s="75">
        <f>AM1672</f>
        <v>2274.2947157039844</v>
      </c>
      <c r="AP1681" s="61"/>
      <c r="AQ1681" s="69">
        <f>IFERROR(ABS(AP$23-AP1680),Q_max*10)</f>
        <v>5500</v>
      </c>
      <c r="AR1681" s="75">
        <f>AP1672</f>
        <v>2640.3855602943627</v>
      </c>
      <c r="AS1681" s="61"/>
      <c r="AT1681" s="69">
        <f>IFERROR(ABS(AS$23-AS1680),Q_max*10)</f>
        <v>5500</v>
      </c>
      <c r="AU1681" s="75">
        <f>AS1672</f>
        <v>3005.0050639241008</v>
      </c>
    </row>
    <row r="1682" spans="15:47" ht="14.5" x14ac:dyDescent="0.35">
      <c r="O1682" s="6"/>
      <c r="P1682" s="6"/>
      <c r="Q1682" s="60"/>
      <c r="R1682" s="67"/>
      <c r="S1682" s="56"/>
      <c r="T1682" s="72"/>
      <c r="V1682" s="11"/>
      <c r="W1682" s="38"/>
      <c r="Y1682" s="11"/>
      <c r="Z1682" s="38"/>
      <c r="AB1682" s="11"/>
      <c r="AC1682" s="38"/>
      <c r="AE1682" s="11"/>
      <c r="AF1682" s="38"/>
      <c r="AH1682" s="11"/>
      <c r="AI1682" s="38"/>
      <c r="AK1682" s="11"/>
      <c r="AL1682" s="38"/>
      <c r="AN1682" s="11"/>
      <c r="AO1682" s="38"/>
      <c r="AQ1682" s="11"/>
      <c r="AR1682" s="38"/>
      <c r="AT1682" s="11"/>
      <c r="AU1682" s="38"/>
    </row>
    <row r="1683" spans="15:47" ht="14" x14ac:dyDescent="0.3">
      <c r="O1683" s="8" t="s">
        <v>235</v>
      </c>
      <c r="P1683" s="6"/>
      <c r="Q1683" s="60"/>
      <c r="R1683" s="53">
        <f>R1672*1.02</f>
        <v>15.599682213410091</v>
      </c>
      <c r="S1683" s="58" t="s">
        <v>238</v>
      </c>
      <c r="T1683" s="73" t="s">
        <v>241</v>
      </c>
      <c r="U1683" s="84">
        <f>U1672*1.01</f>
        <v>125.69759593219813</v>
      </c>
      <c r="V1683" s="58" t="s">
        <v>238</v>
      </c>
      <c r="W1683" s="73" t="s">
        <v>241</v>
      </c>
      <c r="X1683" s="84">
        <f>X1672*1.01</f>
        <v>301.72261594387066</v>
      </c>
      <c r="Y1683" s="58" t="s">
        <v>238</v>
      </c>
      <c r="Z1683" s="73" t="s">
        <v>241</v>
      </c>
      <c r="AA1683" s="84">
        <f>AA1672*1.01</f>
        <v>576.09905160752692</v>
      </c>
      <c r="AB1683" s="58" t="s">
        <v>238</v>
      </c>
      <c r="AC1683" s="73" t="s">
        <v>241</v>
      </c>
      <c r="AD1683" s="84">
        <f>AD1672*1.01</f>
        <v>947.47083280781976</v>
      </c>
      <c r="AE1683" s="58" t="s">
        <v>238</v>
      </c>
      <c r="AF1683" s="73" t="s">
        <v>241</v>
      </c>
      <c r="AG1683" s="84">
        <f>AG1672*1.01</f>
        <v>1410.6549616001919</v>
      </c>
      <c r="AH1683" s="58" t="s">
        <v>238</v>
      </c>
      <c r="AI1683" s="73" t="s">
        <v>241</v>
      </c>
      <c r="AJ1683" s="84">
        <f>AJ1672*1.01</f>
        <v>1882.5245147542576</v>
      </c>
      <c r="AK1683" s="58" t="s">
        <v>238</v>
      </c>
      <c r="AL1683" s="73" t="s">
        <v>241</v>
      </c>
      <c r="AM1683" s="84">
        <f>AM1672*1.01</f>
        <v>2297.0376628610243</v>
      </c>
      <c r="AN1683" s="58" t="s">
        <v>238</v>
      </c>
      <c r="AO1683" s="73" t="s">
        <v>241</v>
      </c>
      <c r="AP1683" s="84">
        <f>AP1672*1.01</f>
        <v>2666.7894158973063</v>
      </c>
      <c r="AQ1683" s="58" t="s">
        <v>238</v>
      </c>
      <c r="AR1683" s="73" t="s">
        <v>241</v>
      </c>
      <c r="AS1683" s="84">
        <f>AS1672*1.01</f>
        <v>3035.0551145633417</v>
      </c>
      <c r="AT1683" s="58" t="s">
        <v>238</v>
      </c>
      <c r="AU1683" s="73" t="s">
        <v>241</v>
      </c>
    </row>
    <row r="1684" spans="15:47" ht="13" x14ac:dyDescent="0.25">
      <c r="O1684" s="6"/>
      <c r="P1684" s="6"/>
      <c r="Q1684" s="60"/>
      <c r="R1684" s="70"/>
      <c r="S1684" s="63" t="s">
        <v>250</v>
      </c>
      <c r="T1684" s="71" t="s">
        <v>242</v>
      </c>
      <c r="U1684" s="61"/>
      <c r="V1684" s="63" t="s">
        <v>250</v>
      </c>
      <c r="W1684" s="71" t="s">
        <v>242</v>
      </c>
      <c r="X1684" s="61"/>
      <c r="Y1684" s="63" t="s">
        <v>250</v>
      </c>
      <c r="Z1684" s="71" t="s">
        <v>242</v>
      </c>
      <c r="AA1684" s="61"/>
      <c r="AB1684" s="63" t="s">
        <v>250</v>
      </c>
      <c r="AC1684" s="71" t="s">
        <v>242</v>
      </c>
      <c r="AD1684" s="61"/>
      <c r="AE1684" s="63" t="s">
        <v>250</v>
      </c>
      <c r="AF1684" s="71" t="s">
        <v>242</v>
      </c>
      <c r="AG1684" s="61"/>
      <c r="AH1684" s="63" t="s">
        <v>250</v>
      </c>
      <c r="AI1684" s="71" t="s">
        <v>242</v>
      </c>
      <c r="AJ1684" s="61"/>
      <c r="AK1684" s="63" t="s">
        <v>250</v>
      </c>
      <c r="AL1684" s="71" t="s">
        <v>242</v>
      </c>
      <c r="AM1684" s="61"/>
      <c r="AN1684" s="63" t="s">
        <v>250</v>
      </c>
      <c r="AO1684" s="71" t="s">
        <v>242</v>
      </c>
      <c r="AP1684" s="61"/>
      <c r="AQ1684" s="63" t="s">
        <v>250</v>
      </c>
      <c r="AR1684" s="71" t="s">
        <v>242</v>
      </c>
      <c r="AS1684" s="61"/>
      <c r="AT1684" s="63" t="s">
        <v>250</v>
      </c>
      <c r="AU1684" s="71" t="s">
        <v>242</v>
      </c>
    </row>
    <row r="1685" spans="15:47" ht="13" x14ac:dyDescent="0.3">
      <c r="O1685" s="6" t="s">
        <v>231</v>
      </c>
      <c r="P1685" s="6"/>
      <c r="Q1685" s="60"/>
      <c r="R1685" s="85">
        <f>P_1_minQ-(R1683^2*R_up)+dpup_minQ</f>
        <v>56.907924684729501</v>
      </c>
      <c r="S1685" s="56"/>
      <c r="T1685" s="72"/>
      <c r="U1685" s="53">
        <f>P_1_minQ-(U1683^2*R_up)+dpup_minQ</f>
        <v>56.382543545317994</v>
      </c>
      <c r="V1685" s="44"/>
      <c r="W1685" s="72"/>
      <c r="X1685" s="53">
        <f>P_1_minQ-(X1683^2*R_up)+dpup_minQ</f>
        <v>53.841623202566282</v>
      </c>
      <c r="Y1685" s="44"/>
      <c r="Z1685" s="72"/>
      <c r="AA1685" s="53">
        <f>P_1_minQ-(AA1683^2*R_up)+dpup_minQ</f>
        <v>45.707425962070516</v>
      </c>
      <c r="AB1685" s="44"/>
      <c r="AC1685" s="72"/>
      <c r="AD1685" s="53">
        <f>P_1_minQ-(AD1683^2*R_up)+dpup_minQ</f>
        <v>26.598649813524368</v>
      </c>
      <c r="AE1685" s="44"/>
      <c r="AF1685" s="72"/>
      <c r="AG1685" s="53">
        <f>P_1_minQ-(AG1683^2*R_up)+dpup_minQ</f>
        <v>-10.289105730740932</v>
      </c>
      <c r="AH1685" s="44"/>
      <c r="AI1685" s="72"/>
      <c r="AJ1685" s="53">
        <f>P_1_minQ-(AJ1683^2*R_up)+dpup_minQ</f>
        <v>-62.769724709583009</v>
      </c>
      <c r="AK1685" s="44"/>
      <c r="AL1685" s="72"/>
      <c r="AM1685" s="53">
        <f>P_1_minQ-(AM1683^2*R_up)+dpup_minQ</f>
        <v>-121.27980495109887</v>
      </c>
      <c r="AN1685" s="44"/>
      <c r="AO1685" s="72"/>
      <c r="AP1685" s="53">
        <f>P_1_minQ-(AP1683^2*R_up)+dpup_minQ</f>
        <v>-183.26507223039167</v>
      </c>
      <c r="AQ1685" s="44"/>
      <c r="AR1685" s="72"/>
      <c r="AS1685" s="53">
        <f>P_1_minQ-(AS1683^2*R_up)+dpup_minQ</f>
        <v>-254.18009282124623</v>
      </c>
      <c r="AT1685" s="44"/>
      <c r="AU1685" s="72"/>
    </row>
    <row r="1686" spans="15:47" ht="13" x14ac:dyDescent="0.3">
      <c r="O1686" s="6" t="s">
        <v>233</v>
      </c>
      <c r="P1686" s="6"/>
      <c r="Q1686" s="60"/>
      <c r="R1686" s="85">
        <f>P_2_minQ+(R1683^2*R_dn)-dpdn_minQ</f>
        <v>24.6584150630541</v>
      </c>
      <c r="S1686" s="66"/>
      <c r="T1686" s="74"/>
      <c r="U1686" s="53">
        <f>P_2_minQ+(U1683^2*R_dn)-dpdn_minQ</f>
        <v>24.7634912909364</v>
      </c>
      <c r="V1686" s="45"/>
      <c r="W1686" s="74"/>
      <c r="X1686" s="53">
        <f>P_2_minQ+(X1683^2*R_dn)-dpdn_minQ</f>
        <v>25.271675359486746</v>
      </c>
      <c r="Y1686" s="45"/>
      <c r="Z1686" s="74"/>
      <c r="AA1686" s="53">
        <f>P_2_minQ+(AA1683^2*R_dn)-dpdn_minQ</f>
        <v>26.898514807585897</v>
      </c>
      <c r="AB1686" s="45"/>
      <c r="AC1686" s="74"/>
      <c r="AD1686" s="53">
        <f>P_2_minQ+(AD1683^2*R_dn)-dpdn_minQ</f>
        <v>30.720270037295126</v>
      </c>
      <c r="AE1686" s="45"/>
      <c r="AF1686" s="74"/>
      <c r="AG1686" s="53">
        <f>P_2_minQ+(AG1683^2*R_dn)-dpdn_minQ</f>
        <v>38.097821146148192</v>
      </c>
      <c r="AH1686" s="45"/>
      <c r="AI1686" s="74"/>
      <c r="AJ1686" s="53">
        <f>P_2_minQ+(AJ1683^2*R_dn)-dpdn_minQ</f>
        <v>48.593944941916604</v>
      </c>
      <c r="AK1686" s="45"/>
      <c r="AL1686" s="74"/>
      <c r="AM1686" s="53">
        <f>P_2_minQ+(AM1683^2*R_dn)-dpdn_minQ</f>
        <v>60.295960990219776</v>
      </c>
      <c r="AN1686" s="45"/>
      <c r="AO1686" s="74"/>
      <c r="AP1686" s="53">
        <f>P_2_minQ+(AP1683^2*R_dn)-dpdn_minQ</f>
        <v>72.693014446078337</v>
      </c>
      <c r="AQ1686" s="45"/>
      <c r="AR1686" s="74"/>
      <c r="AS1686" s="53">
        <f>P_2_minQ+(AS1683^2*R_dn)-dpdn_minQ</f>
        <v>86.87601856424925</v>
      </c>
      <c r="AT1686" s="45"/>
      <c r="AU1686" s="74"/>
    </row>
    <row r="1687" spans="15:47" x14ac:dyDescent="0.25">
      <c r="O1687" s="6" t="s">
        <v>243</v>
      </c>
      <c r="Q1687" s="60"/>
      <c r="R1687" s="53">
        <f>R1685-R1686</f>
        <v>32.249509621675401</v>
      </c>
      <c r="S1687" s="56"/>
      <c r="T1687" s="72"/>
      <c r="U1687" s="64">
        <f>U1685-U1686</f>
        <v>31.619052254381593</v>
      </c>
      <c r="V1687" s="44"/>
      <c r="W1687" s="72"/>
      <c r="X1687" s="64">
        <f>X1685-X1686</f>
        <v>28.569947843079536</v>
      </c>
      <c r="Y1687" s="44"/>
      <c r="Z1687" s="72"/>
      <c r="AA1687" s="64">
        <f>AA1685-AA1686</f>
        <v>18.808911154484619</v>
      </c>
      <c r="AB1687" s="44"/>
      <c r="AC1687" s="72"/>
      <c r="AD1687" s="64">
        <f>AD1685-AD1686</f>
        <v>-4.1216202237707584</v>
      </c>
      <c r="AE1687" s="44"/>
      <c r="AF1687" s="72"/>
      <c r="AG1687" s="64">
        <f>AG1685-AG1686</f>
        <v>-48.38692687688912</v>
      </c>
      <c r="AH1687" s="44"/>
      <c r="AI1687" s="72"/>
      <c r="AJ1687" s="64">
        <f>AJ1685-AJ1686</f>
        <v>-111.36366965149961</v>
      </c>
      <c r="AK1687" s="44"/>
      <c r="AL1687" s="72"/>
      <c r="AM1687" s="64">
        <f>AM1685-AM1686</f>
        <v>-181.57576594131865</v>
      </c>
      <c r="AN1687" s="44"/>
      <c r="AO1687" s="72"/>
      <c r="AP1687" s="64">
        <f>AP1685-AP1686</f>
        <v>-255.95808667647</v>
      </c>
      <c r="AQ1687" s="44"/>
      <c r="AR1687" s="72"/>
      <c r="AS1687" s="64">
        <f>AS1685-AS1686</f>
        <v>-341.05611138549546</v>
      </c>
      <c r="AT1687" s="44"/>
      <c r="AU1687" s="72"/>
    </row>
    <row r="1688" spans="15:47" ht="13" x14ac:dyDescent="0.3">
      <c r="O1688" s="6" t="s">
        <v>75</v>
      </c>
      <c r="P1688" s="6">
        <v>3</v>
      </c>
      <c r="Q1688" s="65"/>
      <c r="R1688" s="85">
        <f>(F_LP_h/F_P_h)^2*(R1685-('Valve Sizing'!$V$4*'Valve Sizing'!$G$7))</f>
        <v>46.758357883934643</v>
      </c>
      <c r="S1688" s="58"/>
      <c r="T1688" s="73"/>
      <c r="U1688" s="53">
        <f>(U$29/U$27)^2*(U1685-('Valve Sizing'!$V$4*'Valve Sizing'!$G$7))</f>
        <v>46.310688901357892</v>
      </c>
      <c r="V1688" s="41"/>
      <c r="W1688" s="73"/>
      <c r="X1688" s="53">
        <f>(X$29/X$27)^2*(X1685-('Valve Sizing'!$V$4*'Valve Sizing'!$G$7))</f>
        <v>43.210067122150782</v>
      </c>
      <c r="Y1688" s="41"/>
      <c r="Z1688" s="73"/>
      <c r="AA1688" s="53">
        <f>(AA$29/AA$27)^2*(AA1685-('Valve Sizing'!$V$4*'Valve Sizing'!$G$7))</f>
        <v>34.982496434894216</v>
      </c>
      <c r="AB1688" s="41"/>
      <c r="AC1688" s="73"/>
      <c r="AD1688" s="53">
        <f>(AD$29/AD$27)^2*(AD1685-('Valve Sizing'!$V$4*'Valve Sizing'!$G$7))</f>
        <v>18.865247244104864</v>
      </c>
      <c r="AE1688" s="41"/>
      <c r="AF1688" s="73"/>
      <c r="AG1688" s="53">
        <f>(AG$29/AG$27)^2*(AG1685-('Valve Sizing'!$V$4*'Valve Sizing'!$G$7))</f>
        <v>-6.9100527888323988</v>
      </c>
      <c r="AH1688" s="41"/>
      <c r="AI1688" s="73"/>
      <c r="AJ1688" s="53">
        <f>(AJ$29/AJ$27)^2*(AJ1685-('Valve Sizing'!$V$4*'Valve Sizing'!$G$7))</f>
        <v>-36.558283771480909</v>
      </c>
      <c r="AK1688" s="41"/>
      <c r="AL1688" s="73"/>
      <c r="AM1688" s="53">
        <f>(AM$29/AM$27)^2*(AM1685-('Valve Sizing'!$V$4*'Valve Sizing'!$G$7))</f>
        <v>-58.239564280870269</v>
      </c>
      <c r="AN1688" s="41"/>
      <c r="AO1688" s="73"/>
      <c r="AP1688" s="53">
        <f>(AP$29/AP$27)^2*(AP1685-('Valve Sizing'!$V$4*'Valve Sizing'!$G$7))</f>
        <v>-72.494972581643751</v>
      </c>
      <c r="AQ1688" s="41"/>
      <c r="AR1688" s="73"/>
      <c r="AS1688" s="53">
        <f>(AS$29/AS$27)^2*(AS1685-('Valve Sizing'!$V$4*'Valve Sizing'!$G$7))</f>
        <v>-95.773025600220123</v>
      </c>
      <c r="AT1688" s="41"/>
      <c r="AU1688" s="73"/>
    </row>
    <row r="1689" spans="15:47" ht="13" x14ac:dyDescent="0.25">
      <c r="O1689" s="1" t="s">
        <v>69</v>
      </c>
      <c r="P1689" s="17">
        <v>7</v>
      </c>
      <c r="Q1689" s="65"/>
      <c r="R1689" s="53">
        <f>(R1683/(N_1*F_P_h))*SQRT('Valve Sizing'!$G$6/R1687)</f>
        <v>2.7473736099859094</v>
      </c>
      <c r="S1689" s="58"/>
      <c r="T1689" s="73"/>
      <c r="U1689" s="64">
        <f>(U1683/(N_1*U$27))*SQRT('Valve Sizing'!$G$6/U1687)</f>
        <v>22.372690659498495</v>
      </c>
      <c r="V1689" s="41"/>
      <c r="W1689" s="73"/>
      <c r="X1689" s="64">
        <f>(X1683/(N_1*X$27))*SQRT('Valve Sizing'!$G$6/X1687)</f>
        <v>56.623075993968932</v>
      </c>
      <c r="Y1689" s="41"/>
      <c r="Z1689" s="73"/>
      <c r="AA1689" s="64">
        <f>(AA1683/(N_1*AA$27))*SQRT('Valve Sizing'!$G$6/AA1687)</f>
        <v>134.01301424801719</v>
      </c>
      <c r="AB1689" s="41"/>
      <c r="AC1689" s="73"/>
      <c r="AD1689" s="64" t="e">
        <f>(AD1683/(N_1*AD$27))*SQRT('Valve Sizing'!$G$6/AD1687)</f>
        <v>#NUM!</v>
      </c>
      <c r="AE1689" s="41"/>
      <c r="AF1689" s="73"/>
      <c r="AG1689" s="64" t="e">
        <f>(AG1683/(N_1*AG$27))*SQRT('Valve Sizing'!$G$6/AG1687)</f>
        <v>#NUM!</v>
      </c>
      <c r="AH1689" s="41"/>
      <c r="AI1689" s="73"/>
      <c r="AJ1689" s="64" t="e">
        <f>(AJ1683/(N_1*AJ$27))*SQRT('Valve Sizing'!$G$6/AJ1687)</f>
        <v>#NUM!</v>
      </c>
      <c r="AK1689" s="41"/>
      <c r="AL1689" s="73"/>
      <c r="AM1689" s="64" t="e">
        <f>(AM1683/(N_1*AM$27))*SQRT('Valve Sizing'!$G$6/AM1687)</f>
        <v>#NUM!</v>
      </c>
      <c r="AN1689" s="41"/>
      <c r="AO1689" s="73"/>
      <c r="AP1689" s="64" t="e">
        <f>(AP1683/(N_1*AP$27))*SQRT('Valve Sizing'!$G$6/AP1687)</f>
        <v>#NUM!</v>
      </c>
      <c r="AQ1689" s="41"/>
      <c r="AR1689" s="73"/>
      <c r="AS1689" s="64" t="e">
        <f>(AS1683/(N_1*AS$27))*SQRT('Valve Sizing'!$G$6/AS1687)</f>
        <v>#NUM!</v>
      </c>
      <c r="AT1689" s="41"/>
      <c r="AU1689" s="73"/>
    </row>
    <row r="1690" spans="15:47" ht="13" x14ac:dyDescent="0.3">
      <c r="O1690" s="1" t="s">
        <v>72</v>
      </c>
      <c r="P1690" s="17">
        <v>7</v>
      </c>
      <c r="Q1690" s="65"/>
      <c r="R1690" s="53">
        <f>(R1683/(N_1*F_P_h))*SQRT('Valve Sizing'!$G$6/R1688)</f>
        <v>2.2816533055572639</v>
      </c>
      <c r="S1690" s="56"/>
      <c r="T1690" s="72"/>
      <c r="U1690" s="85">
        <f>(U1683/(N_1*U$27))*SQRT('Valve Sizing'!$G$6/U1688)</f>
        <v>18.48638618203135</v>
      </c>
      <c r="V1690" s="44"/>
      <c r="W1690" s="72"/>
      <c r="X1690" s="85">
        <f>(X1683/(N_1*X$27))*SQRT('Valve Sizing'!$G$6/X1688)</f>
        <v>46.042162319435384</v>
      </c>
      <c r="Y1690" s="44"/>
      <c r="Z1690" s="72"/>
      <c r="AA1690" s="85">
        <f>(AA1683/(N_1*AA$27))*SQRT('Valve Sizing'!$G$6/AA1688)</f>
        <v>98.266028439532178</v>
      </c>
      <c r="AB1690" s="44"/>
      <c r="AC1690" s="72"/>
      <c r="AD1690" s="85">
        <f>(AD1683/(N_1*AD$27))*SQRT('Valve Sizing'!$G$6/AD1688)</f>
        <v>222.83912488264056</v>
      </c>
      <c r="AE1690" s="44"/>
      <c r="AF1690" s="72"/>
      <c r="AG1690" s="85" t="e">
        <f>(AG1683/(N_1*AG$27))*SQRT('Valve Sizing'!$G$6/AG1688)</f>
        <v>#NUM!</v>
      </c>
      <c r="AH1690" s="44"/>
      <c r="AI1690" s="72"/>
      <c r="AJ1690" s="85" t="e">
        <f>(AJ1683/(N_1*AJ$27))*SQRT('Valve Sizing'!$G$6/AJ1688)</f>
        <v>#NUM!</v>
      </c>
      <c r="AK1690" s="44"/>
      <c r="AL1690" s="72"/>
      <c r="AM1690" s="85" t="e">
        <f>(AM1683/(N_1*AM$27))*SQRT('Valve Sizing'!$G$6/AM1688)</f>
        <v>#NUM!</v>
      </c>
      <c r="AN1690" s="44"/>
      <c r="AO1690" s="72"/>
      <c r="AP1690" s="85" t="e">
        <f>(AP1683/(N_1*AP$27))*SQRT('Valve Sizing'!$G$6/AP1688)</f>
        <v>#NUM!</v>
      </c>
      <c r="AQ1690" s="44"/>
      <c r="AR1690" s="72"/>
      <c r="AS1690" s="85" t="e">
        <f>(AS1683/(N_1*AS$27))*SQRT('Valve Sizing'!$G$6/AS1688)</f>
        <v>#NUM!</v>
      </c>
      <c r="AT1690" s="44"/>
      <c r="AU1690" s="72"/>
    </row>
    <row r="1691" spans="15:47" x14ac:dyDescent="0.25">
      <c r="O1691" s="1" t="s">
        <v>246</v>
      </c>
      <c r="P1691" s="18"/>
      <c r="Q1691" s="65"/>
      <c r="R1691" s="53">
        <f>IF(R1687&lt;R1688,R1689,R1690)</f>
        <v>2.7473736099859094</v>
      </c>
      <c r="S1691" s="49"/>
      <c r="T1691" s="72"/>
      <c r="U1691" s="64">
        <f>IF(U1687&lt;U1688,U1689,U1690)</f>
        <v>22.372690659498495</v>
      </c>
      <c r="V1691" s="44"/>
      <c r="W1691" s="72"/>
      <c r="X1691" s="64">
        <f>IF(X1687&lt;X1688,X1689,X1690)</f>
        <v>56.623075993968932</v>
      </c>
      <c r="Y1691" s="44"/>
      <c r="Z1691" s="72"/>
      <c r="AA1691" s="64">
        <f>IF(AA1687&lt;AA1688,AA1689,AA1690)</f>
        <v>134.01301424801719</v>
      </c>
      <c r="AB1691" s="44"/>
      <c r="AC1691" s="72"/>
      <c r="AD1691" s="64" t="e">
        <f>IF(AD1687&lt;AD1688,AD1689,AD1690)</f>
        <v>#NUM!</v>
      </c>
      <c r="AE1691" s="44"/>
      <c r="AF1691" s="72"/>
      <c r="AG1691" s="64" t="e">
        <f>IF(AG1687&lt;AG1688,AG1689,AG1690)</f>
        <v>#NUM!</v>
      </c>
      <c r="AH1691" s="44"/>
      <c r="AI1691" s="72"/>
      <c r="AJ1691" s="64" t="e">
        <f>IF(AJ1687&lt;AJ1688,AJ1689,AJ1690)</f>
        <v>#NUM!</v>
      </c>
      <c r="AK1691" s="44"/>
      <c r="AL1691" s="72"/>
      <c r="AM1691" s="64" t="e">
        <f>IF(AM1687&lt;AM1688,AM1689,AM1690)</f>
        <v>#NUM!</v>
      </c>
      <c r="AN1691" s="44"/>
      <c r="AO1691" s="72"/>
      <c r="AP1691" s="64" t="e">
        <f>IF(AP1687&lt;AP1688,AP1689,AP1690)</f>
        <v>#NUM!</v>
      </c>
      <c r="AQ1691" s="44"/>
      <c r="AR1691" s="72"/>
      <c r="AS1691" s="64" t="e">
        <f>IF(AS1687&lt;AS1688,AS1689,AS1690)</f>
        <v>#NUM!</v>
      </c>
      <c r="AT1691" s="44"/>
      <c r="AU1691" s="72"/>
    </row>
    <row r="1692" spans="15:47" ht="13" x14ac:dyDescent="0.3">
      <c r="O1692" s="7" t="s">
        <v>264</v>
      </c>
      <c r="Q1692" s="61"/>
      <c r="R1692" s="53"/>
      <c r="S1692" s="69">
        <f>IFERROR(ABS(C_h-R1691),Q_max*10)</f>
        <v>2.2526263900140906</v>
      </c>
      <c r="T1692" s="76">
        <f>R1683</f>
        <v>15.599682213410091</v>
      </c>
      <c r="U1692" s="61"/>
      <c r="V1692" s="69">
        <f>IFERROR(ABS(U$23-U1691),Q_max*10)</f>
        <v>10.372690659498495</v>
      </c>
      <c r="W1692" s="75">
        <f>U1683</f>
        <v>125.69759593219813</v>
      </c>
      <c r="X1692" s="61"/>
      <c r="Y1692" s="69">
        <f>IFERROR(ABS(X$23-X1691),Q_max*10)</f>
        <v>33.623075993968932</v>
      </c>
      <c r="Z1692" s="75">
        <f>X1683</f>
        <v>301.72261594387066</v>
      </c>
      <c r="AA1692" s="61"/>
      <c r="AB1692" s="69">
        <f>IFERROR(ABS(AA$23-AA1691),Q_max*10)</f>
        <v>95.013014248017186</v>
      </c>
      <c r="AC1692" s="75">
        <f>AA1683</f>
        <v>576.09905160752692</v>
      </c>
      <c r="AD1692" s="61"/>
      <c r="AE1692" s="69">
        <f>IFERROR(ABS(AD$23-AD1691),Q_max*10)</f>
        <v>5500</v>
      </c>
      <c r="AF1692" s="75">
        <f>AD1683</f>
        <v>947.47083280781976</v>
      </c>
      <c r="AG1692" s="61"/>
      <c r="AH1692" s="69">
        <f>IFERROR(ABS(AG$23-AG1691),Q_max*10)</f>
        <v>5500</v>
      </c>
      <c r="AI1692" s="75">
        <f>AG1683</f>
        <v>1410.6549616001919</v>
      </c>
      <c r="AJ1692" s="61"/>
      <c r="AK1692" s="69">
        <f>IFERROR(ABS(AJ$23-AJ1691),Q_max*10)</f>
        <v>5500</v>
      </c>
      <c r="AL1692" s="75">
        <f>AJ1683</f>
        <v>1882.5245147542576</v>
      </c>
      <c r="AM1692" s="61"/>
      <c r="AN1692" s="69">
        <f>IFERROR(ABS(AM$23-AM1691),Q_max*10)</f>
        <v>5500</v>
      </c>
      <c r="AO1692" s="75">
        <f>AM1683</f>
        <v>2297.0376628610243</v>
      </c>
      <c r="AP1692" s="61"/>
      <c r="AQ1692" s="69">
        <f>IFERROR(ABS(AP$23-AP1691),Q_max*10)</f>
        <v>5500</v>
      </c>
      <c r="AR1692" s="75">
        <f>AP1683</f>
        <v>2666.7894158973063</v>
      </c>
      <c r="AS1692" s="61"/>
      <c r="AT1692" s="69">
        <f>IFERROR(ABS(AS$23-AS1691),Q_max*10)</f>
        <v>5500</v>
      </c>
      <c r="AU1692" s="75">
        <f>AS1683</f>
        <v>3035.0551145633417</v>
      </c>
    </row>
    <row r="1693" spans="15:47" ht="14.5" x14ac:dyDescent="0.35">
      <c r="O1693" s="8"/>
      <c r="P1693" s="6"/>
      <c r="Q1693" s="60"/>
      <c r="R1693" s="67"/>
      <c r="S1693" s="58"/>
      <c r="T1693" s="73"/>
      <c r="V1693" s="11"/>
      <c r="W1693" s="38"/>
      <c r="Y1693" s="11"/>
      <c r="Z1693" s="38"/>
      <c r="AB1693" s="11"/>
      <c r="AC1693" s="38"/>
      <c r="AE1693" s="11"/>
      <c r="AF1693" s="38"/>
      <c r="AH1693" s="11"/>
      <c r="AI1693" s="38"/>
      <c r="AK1693" s="11"/>
      <c r="AL1693" s="38"/>
      <c r="AN1693" s="11"/>
      <c r="AO1693" s="38"/>
      <c r="AQ1693" s="11"/>
      <c r="AR1693" s="38"/>
      <c r="AT1693" s="11"/>
      <c r="AU1693" s="38"/>
    </row>
    <row r="1694" spans="15:47" ht="14" x14ac:dyDescent="0.3">
      <c r="O1694" s="8" t="s">
        <v>235</v>
      </c>
      <c r="P1694" s="6"/>
      <c r="Q1694" s="60"/>
      <c r="R1694" s="53">
        <f>R1683*1.02</f>
        <v>15.911675857678294</v>
      </c>
      <c r="S1694" s="58" t="s">
        <v>238</v>
      </c>
      <c r="T1694" s="73" t="s">
        <v>241</v>
      </c>
      <c r="U1694" s="84">
        <f>U1683*1.01</f>
        <v>126.9545718915201</v>
      </c>
      <c r="V1694" s="58" t="s">
        <v>238</v>
      </c>
      <c r="W1694" s="73" t="s">
        <v>241</v>
      </c>
      <c r="X1694" s="84">
        <f>X1683*1.01</f>
        <v>304.7398421033094</v>
      </c>
      <c r="Y1694" s="58" t="s">
        <v>238</v>
      </c>
      <c r="Z1694" s="73" t="s">
        <v>241</v>
      </c>
      <c r="AA1694" s="84">
        <f>AA1683*1.01</f>
        <v>581.86004212360217</v>
      </c>
      <c r="AB1694" s="58" t="s">
        <v>238</v>
      </c>
      <c r="AC1694" s="73" t="s">
        <v>241</v>
      </c>
      <c r="AD1694" s="84">
        <f>AD1683*1.01</f>
        <v>956.945541135898</v>
      </c>
      <c r="AE1694" s="58" t="s">
        <v>238</v>
      </c>
      <c r="AF1694" s="73" t="s">
        <v>241</v>
      </c>
      <c r="AG1694" s="84">
        <f>AG1683*1.01</f>
        <v>1424.7615112161939</v>
      </c>
      <c r="AH1694" s="58" t="s">
        <v>238</v>
      </c>
      <c r="AI1694" s="73" t="s">
        <v>241</v>
      </c>
      <c r="AJ1694" s="84">
        <f>AJ1683*1.01</f>
        <v>1901.3497599018001</v>
      </c>
      <c r="AK1694" s="58" t="s">
        <v>238</v>
      </c>
      <c r="AL1694" s="73" t="s">
        <v>241</v>
      </c>
      <c r="AM1694" s="84">
        <f>AM1683*1.01</f>
        <v>2320.0080394896345</v>
      </c>
      <c r="AN1694" s="58" t="s">
        <v>238</v>
      </c>
      <c r="AO1694" s="73" t="s">
        <v>241</v>
      </c>
      <c r="AP1694" s="84">
        <f>AP1683*1.01</f>
        <v>2693.4573100562793</v>
      </c>
      <c r="AQ1694" s="58" t="s">
        <v>238</v>
      </c>
      <c r="AR1694" s="73" t="s">
        <v>241</v>
      </c>
      <c r="AS1694" s="84">
        <f>AS1683*1.01</f>
        <v>3065.405665708975</v>
      </c>
      <c r="AT1694" s="58" t="s">
        <v>238</v>
      </c>
      <c r="AU1694" s="73" t="s">
        <v>241</v>
      </c>
    </row>
    <row r="1695" spans="15:47" ht="13" x14ac:dyDescent="0.25">
      <c r="O1695" s="6"/>
      <c r="P1695" s="6"/>
      <c r="Q1695" s="60"/>
      <c r="R1695" s="70"/>
      <c r="S1695" s="63" t="s">
        <v>250</v>
      </c>
      <c r="T1695" s="71" t="s">
        <v>242</v>
      </c>
      <c r="U1695" s="61"/>
      <c r="V1695" s="63" t="s">
        <v>250</v>
      </c>
      <c r="W1695" s="71" t="s">
        <v>242</v>
      </c>
      <c r="X1695" s="61"/>
      <c r="Y1695" s="63" t="s">
        <v>250</v>
      </c>
      <c r="Z1695" s="71" t="s">
        <v>242</v>
      </c>
      <c r="AA1695" s="61"/>
      <c r="AB1695" s="63" t="s">
        <v>250</v>
      </c>
      <c r="AC1695" s="71" t="s">
        <v>242</v>
      </c>
      <c r="AD1695" s="61"/>
      <c r="AE1695" s="63" t="s">
        <v>250</v>
      </c>
      <c r="AF1695" s="71" t="s">
        <v>242</v>
      </c>
      <c r="AG1695" s="61"/>
      <c r="AH1695" s="63" t="s">
        <v>250</v>
      </c>
      <c r="AI1695" s="71" t="s">
        <v>242</v>
      </c>
      <c r="AJ1695" s="61"/>
      <c r="AK1695" s="63" t="s">
        <v>250</v>
      </c>
      <c r="AL1695" s="71" t="s">
        <v>242</v>
      </c>
      <c r="AM1695" s="61"/>
      <c r="AN1695" s="63" t="s">
        <v>250</v>
      </c>
      <c r="AO1695" s="71" t="s">
        <v>242</v>
      </c>
      <c r="AP1695" s="61"/>
      <c r="AQ1695" s="63" t="s">
        <v>250</v>
      </c>
      <c r="AR1695" s="71" t="s">
        <v>242</v>
      </c>
      <c r="AS1695" s="61"/>
      <c r="AT1695" s="63" t="s">
        <v>250</v>
      </c>
      <c r="AU1695" s="71" t="s">
        <v>242</v>
      </c>
    </row>
    <row r="1696" spans="15:47" ht="13" x14ac:dyDescent="0.3">
      <c r="O1696" s="6" t="s">
        <v>231</v>
      </c>
      <c r="P1696" s="6"/>
      <c r="Q1696" s="60"/>
      <c r="R1696" s="85">
        <f>P_1_minQ-(R1694^2*R_up)+dpup_minQ</f>
        <v>56.907592656919967</v>
      </c>
      <c r="S1696" s="56"/>
      <c r="T1696" s="72"/>
      <c r="U1696" s="53">
        <f>P_1_minQ-(U1694^2*R_up)+dpup_minQ</f>
        <v>56.37181819236207</v>
      </c>
      <c r="V1696" s="44"/>
      <c r="W1696" s="72"/>
      <c r="X1696" s="53">
        <f>P_1_minQ-(X1694^2*R_up)+dpup_minQ</f>
        <v>53.77982535072104</v>
      </c>
      <c r="Y1696" s="44"/>
      <c r="Z1696" s="72"/>
      <c r="AA1696" s="53">
        <f>P_1_minQ-(AA1694^2*R_up)+dpup_minQ</f>
        <v>45.482130745691315</v>
      </c>
      <c r="AB1696" s="44"/>
      <c r="AC1696" s="72"/>
      <c r="AD1696" s="53">
        <f>P_1_minQ-(AD1694^2*R_up)+dpup_minQ</f>
        <v>25.989268196559387</v>
      </c>
      <c r="AE1696" s="44"/>
      <c r="AF1696" s="72"/>
      <c r="AG1696" s="53">
        <f>P_1_minQ-(AG1694^2*R_up)+dpup_minQ</f>
        <v>-11.639931234145639</v>
      </c>
      <c r="AH1696" s="44"/>
      <c r="AI1696" s="72"/>
      <c r="AJ1696" s="53">
        <f>P_1_minQ-(AJ1694^2*R_up)+dpup_minQ</f>
        <v>-65.175410654462439</v>
      </c>
      <c r="AK1696" s="44"/>
      <c r="AL1696" s="72"/>
      <c r="AM1696" s="53">
        <f>P_1_minQ-(AM1694^2*R_up)+dpup_minQ</f>
        <v>-124.86154350883274</v>
      </c>
      <c r="AN1696" s="44"/>
      <c r="AO1696" s="72"/>
      <c r="AP1696" s="53">
        <f>P_1_minQ-(AP1694^2*R_up)+dpup_minQ</f>
        <v>-188.09271466043933</v>
      </c>
      <c r="AQ1696" s="44"/>
      <c r="AR1696" s="72"/>
      <c r="AS1696" s="53">
        <f>P_1_minQ-(AS1694^2*R_up)+dpup_minQ</f>
        <v>-260.43312716517005</v>
      </c>
      <c r="AT1696" s="44"/>
      <c r="AU1696" s="72"/>
    </row>
    <row r="1697" spans="15:47" ht="13" x14ac:dyDescent="0.3">
      <c r="O1697" s="6" t="s">
        <v>233</v>
      </c>
      <c r="P1697" s="6"/>
      <c r="Q1697" s="60"/>
      <c r="R1697" s="85">
        <f>P_2_minQ+(R1694^2*R_dn)-dpdn_minQ</f>
        <v>24.658481468616007</v>
      </c>
      <c r="S1697" s="66"/>
      <c r="T1697" s="74"/>
      <c r="U1697" s="53">
        <f>P_2_minQ+(U1694^2*R_dn)-dpdn_minQ</f>
        <v>24.765636361527587</v>
      </c>
      <c r="V1697" s="45"/>
      <c r="W1697" s="74"/>
      <c r="X1697" s="53">
        <f>P_2_minQ+(X1694^2*R_dn)-dpdn_minQ</f>
        <v>25.284034929855792</v>
      </c>
      <c r="Y1697" s="45"/>
      <c r="Z1697" s="74"/>
      <c r="AA1697" s="53">
        <f>P_2_minQ+(AA1694^2*R_dn)-dpdn_minQ</f>
        <v>26.943573850861739</v>
      </c>
      <c r="AB1697" s="45"/>
      <c r="AC1697" s="74"/>
      <c r="AD1697" s="53">
        <f>P_2_minQ+(AD1694^2*R_dn)-dpdn_minQ</f>
        <v>30.842146360688123</v>
      </c>
      <c r="AE1697" s="45"/>
      <c r="AF1697" s="74"/>
      <c r="AG1697" s="53">
        <f>P_2_minQ+(AG1694^2*R_dn)-dpdn_minQ</f>
        <v>38.367986246829133</v>
      </c>
      <c r="AH1697" s="45"/>
      <c r="AI1697" s="74"/>
      <c r="AJ1697" s="53">
        <f>P_2_minQ+(AJ1694^2*R_dn)-dpdn_minQ</f>
        <v>49.07508213089249</v>
      </c>
      <c r="AK1697" s="45"/>
      <c r="AL1697" s="74"/>
      <c r="AM1697" s="53">
        <f>P_2_minQ+(AM1694^2*R_dn)-dpdn_minQ</f>
        <v>61.01230870176655</v>
      </c>
      <c r="AN1697" s="45"/>
      <c r="AO1697" s="74"/>
      <c r="AP1697" s="53">
        <f>P_2_minQ+(AP1694^2*R_dn)-dpdn_minQ</f>
        <v>73.658542932087869</v>
      </c>
      <c r="AQ1697" s="45"/>
      <c r="AR1697" s="74"/>
      <c r="AS1697" s="53">
        <f>P_2_minQ+(AS1694^2*R_dn)-dpdn_minQ</f>
        <v>88.126625433034008</v>
      </c>
      <c r="AT1697" s="45"/>
      <c r="AU1697" s="74"/>
    </row>
    <row r="1698" spans="15:47" x14ac:dyDescent="0.25">
      <c r="O1698" s="6" t="s">
        <v>243</v>
      </c>
      <c r="Q1698" s="60"/>
      <c r="R1698" s="53">
        <f>R1696-R1697</f>
        <v>32.249111188303957</v>
      </c>
      <c r="S1698" s="56"/>
      <c r="T1698" s="72"/>
      <c r="U1698" s="64">
        <f>U1696-U1697</f>
        <v>31.606181830834483</v>
      </c>
      <c r="V1698" s="44"/>
      <c r="W1698" s="72"/>
      <c r="X1698" s="64">
        <f>X1696-X1697</f>
        <v>28.495790420865248</v>
      </c>
      <c r="Y1698" s="44"/>
      <c r="Z1698" s="72"/>
      <c r="AA1698" s="64">
        <f>AA1696-AA1697</f>
        <v>18.538556894829576</v>
      </c>
      <c r="AB1698" s="44"/>
      <c r="AC1698" s="72"/>
      <c r="AD1698" s="64">
        <f>AD1696-AD1697</f>
        <v>-4.852878164128736</v>
      </c>
      <c r="AE1698" s="44"/>
      <c r="AF1698" s="72"/>
      <c r="AG1698" s="64">
        <f>AG1696-AG1697</f>
        <v>-50.007917480974768</v>
      </c>
      <c r="AH1698" s="44"/>
      <c r="AI1698" s="72"/>
      <c r="AJ1698" s="64">
        <f>AJ1696-AJ1697</f>
        <v>-114.25049278535494</v>
      </c>
      <c r="AK1698" s="44"/>
      <c r="AL1698" s="72"/>
      <c r="AM1698" s="64">
        <f>AM1696-AM1697</f>
        <v>-185.8738522105993</v>
      </c>
      <c r="AN1698" s="44"/>
      <c r="AO1698" s="72"/>
      <c r="AP1698" s="64">
        <f>AP1696-AP1697</f>
        <v>-261.75125759252717</v>
      </c>
      <c r="AQ1698" s="44"/>
      <c r="AR1698" s="72"/>
      <c r="AS1698" s="64">
        <f>AS1696-AS1697</f>
        <v>-348.55975259820406</v>
      </c>
      <c r="AT1698" s="44"/>
      <c r="AU1698" s="72"/>
    </row>
    <row r="1699" spans="15:47" ht="13" x14ac:dyDescent="0.3">
      <c r="O1699" s="6" t="s">
        <v>75</v>
      </c>
      <c r="P1699" s="6">
        <v>3</v>
      </c>
      <c r="Q1699" s="65"/>
      <c r="R1699" s="85">
        <f>(F_LP_h/F_P_h)^2*(R1696-('Valve Sizing'!$V$4*'Valve Sizing'!$G$7))</f>
        <v>46.758082947480226</v>
      </c>
      <c r="S1699" s="58"/>
      <c r="T1699" s="73"/>
      <c r="U1699" s="53">
        <f>(U$29/U$27)^2*(U1696-('Valve Sizing'!$V$4*'Valve Sizing'!$G$7))</f>
        <v>46.301810166773294</v>
      </c>
      <c r="V1699" s="41"/>
      <c r="W1699" s="73"/>
      <c r="X1699" s="53">
        <f>(X$29/X$27)^2*(X1696-('Valve Sizing'!$V$4*'Valve Sizing'!$G$7))</f>
        <v>43.16006317002774</v>
      </c>
      <c r="Y1699" s="41"/>
      <c r="Z1699" s="73"/>
      <c r="AA1699" s="53">
        <f>(AA$29/AA$27)^2*(AA1696-('Valve Sizing'!$V$4*'Valve Sizing'!$G$7))</f>
        <v>34.80838891769217</v>
      </c>
      <c r="AB1699" s="41"/>
      <c r="AC1699" s="73"/>
      <c r="AD1699" s="53">
        <f>(AD$29/AD$27)^2*(AD1696-('Valve Sizing'!$V$4*'Valve Sizing'!$G$7))</f>
        <v>18.425768895785357</v>
      </c>
      <c r="AE1699" s="41"/>
      <c r="AF1699" s="73"/>
      <c r="AG1699" s="53">
        <f>(AG$29/AG$27)^2*(AG1696-('Valve Sizing'!$V$4*'Valve Sizing'!$G$7))</f>
        <v>-7.780043783404067</v>
      </c>
      <c r="AH1699" s="41"/>
      <c r="AI1699" s="73"/>
      <c r="AJ1699" s="53">
        <f>(AJ$29/AJ$27)^2*(AJ1696-('Valve Sizing'!$V$4*'Valve Sizing'!$G$7))</f>
        <v>-37.949646723994725</v>
      </c>
      <c r="AK1699" s="41"/>
      <c r="AL1699" s="73"/>
      <c r="AM1699" s="53">
        <f>(AM$29/AM$27)^2*(AM1696-('Valve Sizing'!$V$4*'Valve Sizing'!$G$7))</f>
        <v>-59.953326426836064</v>
      </c>
      <c r="AN1699" s="41"/>
      <c r="AO1699" s="73"/>
      <c r="AP1699" s="53">
        <f>(AP$29/AP$27)^2*(AP1696-('Valve Sizing'!$V$4*'Valve Sizing'!$G$7))</f>
        <v>-74.400089797434248</v>
      </c>
      <c r="AQ1699" s="41"/>
      <c r="AR1699" s="73"/>
      <c r="AS1699" s="53">
        <f>(AS$29/AS$27)^2*(AS1696-('Valve Sizing'!$V$4*'Valve Sizing'!$G$7))</f>
        <v>-98.125046903902103</v>
      </c>
      <c r="AT1699" s="41"/>
      <c r="AU1699" s="73"/>
    </row>
    <row r="1700" spans="15:47" ht="13" x14ac:dyDescent="0.25">
      <c r="O1700" s="1" t="s">
        <v>69</v>
      </c>
      <c r="P1700" s="17">
        <v>7</v>
      </c>
      <c r="Q1700" s="65"/>
      <c r="R1700" s="53">
        <f>(R1694/(N_1*F_P_h))*SQRT('Valve Sizing'!$G$6/R1698)</f>
        <v>2.8023383932795904</v>
      </c>
      <c r="S1700" s="58"/>
      <c r="T1700" s="73"/>
      <c r="U1700" s="64">
        <f>(U1694/(N_1*U$27))*SQRT('Valve Sizing'!$G$6/U1698)</f>
        <v>22.60101786652498</v>
      </c>
      <c r="V1700" s="41"/>
      <c r="W1700" s="73"/>
      <c r="X1700" s="64">
        <f>(X1694/(N_1*X$27))*SQRT('Valve Sizing'!$G$6/X1698)</f>
        <v>57.263673105704093</v>
      </c>
      <c r="Y1700" s="41"/>
      <c r="Z1700" s="73"/>
      <c r="AA1700" s="64">
        <f>(AA1694/(N_1*AA$27))*SQRT('Valve Sizing'!$G$6/AA1698)</f>
        <v>136.33652325215522</v>
      </c>
      <c r="AB1700" s="41"/>
      <c r="AC1700" s="73"/>
      <c r="AD1700" s="64" t="e">
        <f>(AD1694/(N_1*AD$27))*SQRT('Valve Sizing'!$G$6/AD1698)</f>
        <v>#NUM!</v>
      </c>
      <c r="AE1700" s="41"/>
      <c r="AF1700" s="73"/>
      <c r="AG1700" s="64" t="e">
        <f>(AG1694/(N_1*AG$27))*SQRT('Valve Sizing'!$G$6/AG1698)</f>
        <v>#NUM!</v>
      </c>
      <c r="AH1700" s="41"/>
      <c r="AI1700" s="73"/>
      <c r="AJ1700" s="64" t="e">
        <f>(AJ1694/(N_1*AJ$27))*SQRT('Valve Sizing'!$G$6/AJ1698)</f>
        <v>#NUM!</v>
      </c>
      <c r="AK1700" s="41"/>
      <c r="AL1700" s="73"/>
      <c r="AM1700" s="64" t="e">
        <f>(AM1694/(N_1*AM$27))*SQRT('Valve Sizing'!$G$6/AM1698)</f>
        <v>#NUM!</v>
      </c>
      <c r="AN1700" s="41"/>
      <c r="AO1700" s="73"/>
      <c r="AP1700" s="64" t="e">
        <f>(AP1694/(N_1*AP$27))*SQRT('Valve Sizing'!$G$6/AP1698)</f>
        <v>#NUM!</v>
      </c>
      <c r="AQ1700" s="41"/>
      <c r="AR1700" s="73"/>
      <c r="AS1700" s="64" t="e">
        <f>(AS1694/(N_1*AS$27))*SQRT('Valve Sizing'!$G$6/AS1698)</f>
        <v>#NUM!</v>
      </c>
      <c r="AT1700" s="41"/>
      <c r="AU1700" s="73"/>
    </row>
    <row r="1701" spans="15:47" ht="13" x14ac:dyDescent="0.3">
      <c r="O1701" s="1" t="s">
        <v>72</v>
      </c>
      <c r="P1701" s="17">
        <v>7</v>
      </c>
      <c r="Q1701" s="65"/>
      <c r="R1701" s="53">
        <f>(R1694/(N_1*F_P_h))*SQRT('Valve Sizing'!$G$6/R1699)</f>
        <v>2.3272932138535736</v>
      </c>
      <c r="S1701" s="56"/>
      <c r="T1701" s="72"/>
      <c r="U1701" s="85">
        <f>(U1694/(N_1*U$27))*SQRT('Valve Sizing'!$G$6/U1699)</f>
        <v>18.673040137223868</v>
      </c>
      <c r="V1701" s="44"/>
      <c r="W1701" s="72"/>
      <c r="X1701" s="85">
        <f>(X1694/(N_1*X$27))*SQRT('Valve Sizing'!$G$6/X1699)</f>
        <v>46.529514392804757</v>
      </c>
      <c r="Y1701" s="44"/>
      <c r="Z1701" s="72"/>
      <c r="AA1701" s="85">
        <f>(AA1694/(N_1*AA$27))*SQRT('Valve Sizing'!$G$6/AA1699)</f>
        <v>99.496594316825295</v>
      </c>
      <c r="AB1701" s="44"/>
      <c r="AC1701" s="72"/>
      <c r="AD1701" s="85">
        <f>(AD1694/(N_1*AD$27))*SQRT('Valve Sizing'!$G$6/AD1699)</f>
        <v>227.73577477782317</v>
      </c>
      <c r="AE1701" s="44"/>
      <c r="AF1701" s="72"/>
      <c r="AG1701" s="85" t="e">
        <f>(AG1694/(N_1*AG$27))*SQRT('Valve Sizing'!$G$6/AG1699)</f>
        <v>#NUM!</v>
      </c>
      <c r="AH1701" s="44"/>
      <c r="AI1701" s="72"/>
      <c r="AJ1701" s="85" t="e">
        <f>(AJ1694/(N_1*AJ$27))*SQRT('Valve Sizing'!$G$6/AJ1699)</f>
        <v>#NUM!</v>
      </c>
      <c r="AK1701" s="44"/>
      <c r="AL1701" s="72"/>
      <c r="AM1701" s="85" t="e">
        <f>(AM1694/(N_1*AM$27))*SQRT('Valve Sizing'!$G$6/AM1699)</f>
        <v>#NUM!</v>
      </c>
      <c r="AN1701" s="44"/>
      <c r="AO1701" s="72"/>
      <c r="AP1701" s="85" t="e">
        <f>(AP1694/(N_1*AP$27))*SQRT('Valve Sizing'!$G$6/AP1699)</f>
        <v>#NUM!</v>
      </c>
      <c r="AQ1701" s="44"/>
      <c r="AR1701" s="72"/>
      <c r="AS1701" s="85" t="e">
        <f>(AS1694/(N_1*AS$27))*SQRT('Valve Sizing'!$G$6/AS1699)</f>
        <v>#NUM!</v>
      </c>
      <c r="AT1701" s="44"/>
      <c r="AU1701" s="72"/>
    </row>
    <row r="1702" spans="15:47" x14ac:dyDescent="0.25">
      <c r="O1702" s="1" t="s">
        <v>246</v>
      </c>
      <c r="P1702" s="18"/>
      <c r="Q1702" s="65"/>
      <c r="R1702" s="53">
        <f>IF(R1698&lt;R1699,R1700,R1701)</f>
        <v>2.8023383932795904</v>
      </c>
      <c r="S1702" s="49"/>
      <c r="T1702" s="72"/>
      <c r="U1702" s="64">
        <f>IF(U1698&lt;U1699,U1700,U1701)</f>
        <v>22.60101786652498</v>
      </c>
      <c r="V1702" s="44"/>
      <c r="W1702" s="72"/>
      <c r="X1702" s="64">
        <f>IF(X1698&lt;X1699,X1700,X1701)</f>
        <v>57.263673105704093</v>
      </c>
      <c r="Y1702" s="44"/>
      <c r="Z1702" s="72"/>
      <c r="AA1702" s="64">
        <f>IF(AA1698&lt;AA1699,AA1700,AA1701)</f>
        <v>136.33652325215522</v>
      </c>
      <c r="AB1702" s="44"/>
      <c r="AC1702" s="72"/>
      <c r="AD1702" s="64" t="e">
        <f>IF(AD1698&lt;AD1699,AD1700,AD1701)</f>
        <v>#NUM!</v>
      </c>
      <c r="AE1702" s="44"/>
      <c r="AF1702" s="72"/>
      <c r="AG1702" s="64" t="e">
        <f>IF(AG1698&lt;AG1699,AG1700,AG1701)</f>
        <v>#NUM!</v>
      </c>
      <c r="AH1702" s="44"/>
      <c r="AI1702" s="72"/>
      <c r="AJ1702" s="64" t="e">
        <f>IF(AJ1698&lt;AJ1699,AJ1700,AJ1701)</f>
        <v>#NUM!</v>
      </c>
      <c r="AK1702" s="44"/>
      <c r="AL1702" s="72"/>
      <c r="AM1702" s="64" t="e">
        <f>IF(AM1698&lt;AM1699,AM1700,AM1701)</f>
        <v>#NUM!</v>
      </c>
      <c r="AN1702" s="44"/>
      <c r="AO1702" s="72"/>
      <c r="AP1702" s="64" t="e">
        <f>IF(AP1698&lt;AP1699,AP1700,AP1701)</f>
        <v>#NUM!</v>
      </c>
      <c r="AQ1702" s="44"/>
      <c r="AR1702" s="72"/>
      <c r="AS1702" s="64" t="e">
        <f>IF(AS1698&lt;AS1699,AS1700,AS1701)</f>
        <v>#NUM!</v>
      </c>
      <c r="AT1702" s="44"/>
      <c r="AU1702" s="72"/>
    </row>
    <row r="1703" spans="15:47" ht="13" x14ac:dyDescent="0.3">
      <c r="O1703" s="7" t="s">
        <v>264</v>
      </c>
      <c r="Q1703" s="61"/>
      <c r="R1703" s="53"/>
      <c r="S1703" s="69">
        <f>IFERROR(ABS(C_h-R1702),Q_max*10)</f>
        <v>2.1976616067204096</v>
      </c>
      <c r="T1703" s="76">
        <f>R1694</f>
        <v>15.911675857678294</v>
      </c>
      <c r="U1703" s="61"/>
      <c r="V1703" s="69">
        <f>IFERROR(ABS(U$23-U1702),Q_max*10)</f>
        <v>10.60101786652498</v>
      </c>
      <c r="W1703" s="75">
        <f>U1694</f>
        <v>126.9545718915201</v>
      </c>
      <c r="X1703" s="61"/>
      <c r="Y1703" s="69">
        <f>IFERROR(ABS(X$23-X1702),Q_max*10)</f>
        <v>34.263673105704093</v>
      </c>
      <c r="Z1703" s="75">
        <f>X1694</f>
        <v>304.7398421033094</v>
      </c>
      <c r="AA1703" s="61"/>
      <c r="AB1703" s="69">
        <f>IFERROR(ABS(AA$23-AA1702),Q_max*10)</f>
        <v>97.336523252155217</v>
      </c>
      <c r="AC1703" s="75">
        <f>AA1694</f>
        <v>581.86004212360217</v>
      </c>
      <c r="AD1703" s="61"/>
      <c r="AE1703" s="69">
        <f>IFERROR(ABS(AD$23-AD1702),Q_max*10)</f>
        <v>5500</v>
      </c>
      <c r="AF1703" s="75">
        <f>AD1694</f>
        <v>956.945541135898</v>
      </c>
      <c r="AG1703" s="61"/>
      <c r="AH1703" s="69">
        <f>IFERROR(ABS(AG$23-AG1702),Q_max*10)</f>
        <v>5500</v>
      </c>
      <c r="AI1703" s="75">
        <f>AG1694</f>
        <v>1424.7615112161939</v>
      </c>
      <c r="AJ1703" s="61"/>
      <c r="AK1703" s="69">
        <f>IFERROR(ABS(AJ$23-AJ1702),Q_max*10)</f>
        <v>5500</v>
      </c>
      <c r="AL1703" s="75">
        <f>AJ1694</f>
        <v>1901.3497599018001</v>
      </c>
      <c r="AM1703" s="61"/>
      <c r="AN1703" s="69">
        <f>IFERROR(ABS(AM$23-AM1702),Q_max*10)</f>
        <v>5500</v>
      </c>
      <c r="AO1703" s="75">
        <f>AM1694</f>
        <v>2320.0080394896345</v>
      </c>
      <c r="AP1703" s="61"/>
      <c r="AQ1703" s="69">
        <f>IFERROR(ABS(AP$23-AP1702),Q_max*10)</f>
        <v>5500</v>
      </c>
      <c r="AR1703" s="75">
        <f>AP1694</f>
        <v>2693.4573100562793</v>
      </c>
      <c r="AS1703" s="61"/>
      <c r="AT1703" s="69">
        <f>IFERROR(ABS(AS$23-AS1702),Q_max*10)</f>
        <v>5500</v>
      </c>
      <c r="AU1703" s="75">
        <f>AS1694</f>
        <v>3065.405665708975</v>
      </c>
    </row>
    <row r="1704" spans="15:47" ht="14.5" x14ac:dyDescent="0.35">
      <c r="O1704" s="6"/>
      <c r="P1704" s="6"/>
      <c r="Q1704" s="60"/>
      <c r="R1704" s="67"/>
      <c r="S1704" s="56"/>
      <c r="T1704" s="72"/>
      <c r="V1704" s="11"/>
      <c r="W1704" s="38"/>
      <c r="Y1704" s="11"/>
      <c r="Z1704" s="38"/>
      <c r="AB1704" s="11"/>
      <c r="AC1704" s="38"/>
      <c r="AE1704" s="11"/>
      <c r="AF1704" s="38"/>
      <c r="AH1704" s="11"/>
      <c r="AI1704" s="38"/>
      <c r="AK1704" s="11"/>
      <c r="AL1704" s="38"/>
      <c r="AN1704" s="11"/>
      <c r="AO1704" s="38"/>
      <c r="AQ1704" s="11"/>
      <c r="AR1704" s="38"/>
      <c r="AT1704" s="11"/>
      <c r="AU1704" s="38"/>
    </row>
    <row r="1705" spans="15:47" ht="14" x14ac:dyDescent="0.3">
      <c r="O1705" s="8" t="s">
        <v>235</v>
      </c>
      <c r="P1705" s="6"/>
      <c r="Q1705" s="60"/>
      <c r="R1705" s="53">
        <f>R1694*1.02</f>
        <v>16.229909374831859</v>
      </c>
      <c r="S1705" s="58" t="s">
        <v>238</v>
      </c>
      <c r="T1705" s="73" t="s">
        <v>241</v>
      </c>
      <c r="U1705" s="84">
        <f>U1694*1.01</f>
        <v>128.22411761043531</v>
      </c>
      <c r="V1705" s="58" t="s">
        <v>238</v>
      </c>
      <c r="W1705" s="73" t="s">
        <v>241</v>
      </c>
      <c r="X1705" s="84">
        <f>X1694*1.01</f>
        <v>307.78724052434251</v>
      </c>
      <c r="Y1705" s="58" t="s">
        <v>238</v>
      </c>
      <c r="Z1705" s="73" t="s">
        <v>241</v>
      </c>
      <c r="AA1705" s="84">
        <f>AA1694*1.01</f>
        <v>587.67864254483823</v>
      </c>
      <c r="AB1705" s="58" t="s">
        <v>238</v>
      </c>
      <c r="AC1705" s="73" t="s">
        <v>241</v>
      </c>
      <c r="AD1705" s="84">
        <f>AD1694*1.01</f>
        <v>966.51499654725694</v>
      </c>
      <c r="AE1705" s="58" t="s">
        <v>238</v>
      </c>
      <c r="AF1705" s="73" t="s">
        <v>241</v>
      </c>
      <c r="AG1705" s="84">
        <f>AG1694*1.01</f>
        <v>1439.0091263283557</v>
      </c>
      <c r="AH1705" s="58" t="s">
        <v>238</v>
      </c>
      <c r="AI1705" s="73" t="s">
        <v>241</v>
      </c>
      <c r="AJ1705" s="84">
        <f>AJ1694*1.01</f>
        <v>1920.363257500818</v>
      </c>
      <c r="AK1705" s="58" t="s">
        <v>238</v>
      </c>
      <c r="AL1705" s="73" t="s">
        <v>241</v>
      </c>
      <c r="AM1705" s="84">
        <f>AM1694*1.01</f>
        <v>2343.2081198845308</v>
      </c>
      <c r="AN1705" s="58" t="s">
        <v>238</v>
      </c>
      <c r="AO1705" s="73" t="s">
        <v>241</v>
      </c>
      <c r="AP1705" s="84">
        <f>AP1694*1.01</f>
        <v>2720.3918831568421</v>
      </c>
      <c r="AQ1705" s="58" t="s">
        <v>238</v>
      </c>
      <c r="AR1705" s="73" t="s">
        <v>241</v>
      </c>
      <c r="AS1705" s="84">
        <f>AS1694*1.01</f>
        <v>3096.0597223660648</v>
      </c>
      <c r="AT1705" s="58" t="s">
        <v>238</v>
      </c>
      <c r="AU1705" s="73" t="s">
        <v>241</v>
      </c>
    </row>
    <row r="1706" spans="15:47" ht="13" x14ac:dyDescent="0.25">
      <c r="O1706" s="6"/>
      <c r="P1706" s="6"/>
      <c r="Q1706" s="60"/>
      <c r="R1706" s="70"/>
      <c r="S1706" s="63" t="s">
        <v>250</v>
      </c>
      <c r="T1706" s="71" t="s">
        <v>242</v>
      </c>
      <c r="U1706" s="61"/>
      <c r="V1706" s="63" t="s">
        <v>250</v>
      </c>
      <c r="W1706" s="71" t="s">
        <v>242</v>
      </c>
      <c r="X1706" s="61"/>
      <c r="Y1706" s="63" t="s">
        <v>250</v>
      </c>
      <c r="Z1706" s="71" t="s">
        <v>242</v>
      </c>
      <c r="AA1706" s="61"/>
      <c r="AB1706" s="63" t="s">
        <v>250</v>
      </c>
      <c r="AC1706" s="71" t="s">
        <v>242</v>
      </c>
      <c r="AD1706" s="61"/>
      <c r="AE1706" s="63" t="s">
        <v>250</v>
      </c>
      <c r="AF1706" s="71" t="s">
        <v>242</v>
      </c>
      <c r="AG1706" s="61"/>
      <c r="AH1706" s="63" t="s">
        <v>250</v>
      </c>
      <c r="AI1706" s="71" t="s">
        <v>242</v>
      </c>
      <c r="AJ1706" s="61"/>
      <c r="AK1706" s="63" t="s">
        <v>250</v>
      </c>
      <c r="AL1706" s="71" t="s">
        <v>242</v>
      </c>
      <c r="AM1706" s="61"/>
      <c r="AN1706" s="63" t="s">
        <v>250</v>
      </c>
      <c r="AO1706" s="71" t="s">
        <v>242</v>
      </c>
      <c r="AP1706" s="61"/>
      <c r="AQ1706" s="63" t="s">
        <v>250</v>
      </c>
      <c r="AR1706" s="71" t="s">
        <v>242</v>
      </c>
      <c r="AS1706" s="61"/>
      <c r="AT1706" s="63" t="s">
        <v>250</v>
      </c>
      <c r="AU1706" s="71" t="s">
        <v>242</v>
      </c>
    </row>
    <row r="1707" spans="15:47" ht="13" x14ac:dyDescent="0.3">
      <c r="O1707" s="6" t="s">
        <v>231</v>
      </c>
      <c r="P1707" s="6"/>
      <c r="Q1707" s="60"/>
      <c r="R1707" s="85">
        <f>P_1_minQ-(R1705^2*R_up)+dpup_minQ</f>
        <v>56.907247215186921</v>
      </c>
      <c r="S1707" s="56"/>
      <c r="T1707" s="72"/>
      <c r="U1707" s="53">
        <f>P_1_minQ-(U1705^2*R_up)+dpup_minQ</f>
        <v>56.36087725981173</v>
      </c>
      <c r="V1707" s="44"/>
      <c r="W1707" s="72"/>
      <c r="X1707" s="53">
        <f>P_1_minQ-(X1705^2*R_up)+dpup_minQ</f>
        <v>53.716785362053713</v>
      </c>
      <c r="Y1707" s="44"/>
      <c r="Z1707" s="72"/>
      <c r="AA1707" s="53">
        <f>P_1_minQ-(AA1705^2*R_up)+dpup_minQ</f>
        <v>45.252307095462889</v>
      </c>
      <c r="AB1707" s="44"/>
      <c r="AC1707" s="72"/>
      <c r="AD1707" s="53">
        <f>P_1_minQ-(AD1705^2*R_up)+dpup_minQ</f>
        <v>25.367638009093412</v>
      </c>
      <c r="AE1707" s="44"/>
      <c r="AF1707" s="72"/>
      <c r="AG1707" s="53">
        <f>P_1_minQ-(AG1705^2*R_up)+dpup_minQ</f>
        <v>-13.017908330168783</v>
      </c>
      <c r="AH1707" s="44"/>
      <c r="AI1707" s="72"/>
      <c r="AJ1707" s="53">
        <f>P_1_minQ-(AJ1705^2*R_up)+dpup_minQ</f>
        <v>-67.629450886833951</v>
      </c>
      <c r="AK1707" s="44"/>
      <c r="AL1707" s="72"/>
      <c r="AM1707" s="53">
        <f>P_1_minQ-(AM1705^2*R_up)+dpup_minQ</f>
        <v>-128.51527501157713</v>
      </c>
      <c r="AN1707" s="44"/>
      <c r="AO1707" s="72"/>
      <c r="AP1707" s="53">
        <f>P_1_minQ-(AP1705^2*R_up)+dpup_minQ</f>
        <v>-193.01739270333101</v>
      </c>
      <c r="AQ1707" s="44"/>
      <c r="AR1707" s="72"/>
      <c r="AS1707" s="53">
        <f>P_1_minQ-(AS1705^2*R_up)+dpup_minQ</f>
        <v>-266.81184749940678</v>
      </c>
      <c r="AT1707" s="44"/>
      <c r="AU1707" s="72"/>
    </row>
    <row r="1708" spans="15:47" ht="13" x14ac:dyDescent="0.3">
      <c r="O1708" s="6" t="s">
        <v>233</v>
      </c>
      <c r="P1708" s="6"/>
      <c r="Q1708" s="60"/>
      <c r="R1708" s="85">
        <f>P_2_minQ+(R1705^2*R_dn)-dpdn_minQ</f>
        <v>24.658550556962616</v>
      </c>
      <c r="S1708" s="66"/>
      <c r="T1708" s="74"/>
      <c r="U1708" s="53">
        <f>P_2_minQ+(U1705^2*R_dn)-dpdn_minQ</f>
        <v>24.767824548037655</v>
      </c>
      <c r="V1708" s="45"/>
      <c r="W1708" s="74"/>
      <c r="X1708" s="53">
        <f>P_2_minQ+(X1705^2*R_dn)-dpdn_minQ</f>
        <v>25.296642927589257</v>
      </c>
      <c r="Y1708" s="45"/>
      <c r="Z1708" s="74"/>
      <c r="AA1708" s="53">
        <f>P_2_minQ+(AA1705^2*R_dn)-dpdn_minQ</f>
        <v>26.989538580907421</v>
      </c>
      <c r="AB1708" s="45"/>
      <c r="AC1708" s="74"/>
      <c r="AD1708" s="53">
        <f>P_2_minQ+(AD1705^2*R_dn)-dpdn_minQ</f>
        <v>30.96647239818132</v>
      </c>
      <c r="AE1708" s="45"/>
      <c r="AF1708" s="74"/>
      <c r="AG1708" s="53">
        <f>P_2_minQ+(AG1705^2*R_dn)-dpdn_minQ</f>
        <v>38.643581666033761</v>
      </c>
      <c r="AH1708" s="45"/>
      <c r="AI1708" s="74"/>
      <c r="AJ1708" s="53">
        <f>P_2_minQ+(AJ1705^2*R_dn)-dpdn_minQ</f>
        <v>49.565890177366796</v>
      </c>
      <c r="AK1708" s="45"/>
      <c r="AL1708" s="74"/>
      <c r="AM1708" s="53">
        <f>P_2_minQ+(AM1705^2*R_dn)-dpdn_minQ</f>
        <v>61.743055002315423</v>
      </c>
      <c r="AN1708" s="45"/>
      <c r="AO1708" s="74"/>
      <c r="AP1708" s="53">
        <f>P_2_minQ+(AP1705^2*R_dn)-dpdn_minQ</f>
        <v>74.643478540666194</v>
      </c>
      <c r="AQ1708" s="45"/>
      <c r="AR1708" s="74"/>
      <c r="AS1708" s="53">
        <f>P_2_minQ+(AS1705^2*R_dn)-dpdn_minQ</f>
        <v>89.402369499881345</v>
      </c>
      <c r="AT1708" s="45"/>
      <c r="AU1708" s="74"/>
    </row>
    <row r="1709" spans="15:47" x14ac:dyDescent="0.25">
      <c r="O1709" s="6" t="s">
        <v>243</v>
      </c>
      <c r="Q1709" s="60"/>
      <c r="R1709" s="53">
        <f>R1707-R1708</f>
        <v>32.248696658224304</v>
      </c>
      <c r="S1709" s="56"/>
      <c r="T1709" s="72"/>
      <c r="U1709" s="64">
        <f>U1707-U1708</f>
        <v>31.593052711774074</v>
      </c>
      <c r="V1709" s="44"/>
      <c r="W1709" s="72"/>
      <c r="X1709" s="64">
        <f>X1707-X1708</f>
        <v>28.420142434464456</v>
      </c>
      <c r="Y1709" s="44"/>
      <c r="Z1709" s="72"/>
      <c r="AA1709" s="64">
        <f>AA1707-AA1708</f>
        <v>18.262768514555468</v>
      </c>
      <c r="AB1709" s="44"/>
      <c r="AC1709" s="72"/>
      <c r="AD1709" s="64">
        <f>AD1707-AD1708</f>
        <v>-5.5988343890879086</v>
      </c>
      <c r="AE1709" s="44"/>
      <c r="AF1709" s="72"/>
      <c r="AG1709" s="64">
        <f>AG1707-AG1708</f>
        <v>-51.661489996202548</v>
      </c>
      <c r="AH1709" s="44"/>
      <c r="AI1709" s="72"/>
      <c r="AJ1709" s="64">
        <f>AJ1707-AJ1708</f>
        <v>-117.19534106420075</v>
      </c>
      <c r="AK1709" s="44"/>
      <c r="AL1709" s="72"/>
      <c r="AM1709" s="64">
        <f>AM1707-AM1708</f>
        <v>-190.25833001389256</v>
      </c>
      <c r="AN1709" s="44"/>
      <c r="AO1709" s="72"/>
      <c r="AP1709" s="64">
        <f>AP1707-AP1708</f>
        <v>-267.66087124399724</v>
      </c>
      <c r="AQ1709" s="44"/>
      <c r="AR1709" s="72"/>
      <c r="AS1709" s="64">
        <f>AS1707-AS1708</f>
        <v>-356.21421699928811</v>
      </c>
      <c r="AT1709" s="44"/>
      <c r="AU1709" s="72"/>
    </row>
    <row r="1710" spans="15:47" ht="13" x14ac:dyDescent="0.3">
      <c r="O1710" s="6" t="s">
        <v>75</v>
      </c>
      <c r="P1710" s="6">
        <v>3</v>
      </c>
      <c r="Q1710" s="65"/>
      <c r="R1710" s="85">
        <f>(F_LP_h/F_P_h)^2*(R1707-('Valve Sizing'!$V$4*'Valve Sizing'!$G$7))</f>
        <v>46.757796903593054</v>
      </c>
      <c r="S1710" s="58"/>
      <c r="T1710" s="73"/>
      <c r="U1710" s="53">
        <f>(U$29/U$27)^2*(U1707-('Valve Sizing'!$V$4*'Valve Sizing'!$G$7))</f>
        <v>46.292752969623535</v>
      </c>
      <c r="V1710" s="41"/>
      <c r="W1710" s="73"/>
      <c r="X1710" s="53">
        <f>(X$29/X$27)^2*(X1707-('Valve Sizing'!$V$4*'Valve Sizing'!$G$7))</f>
        <v>43.109054138467037</v>
      </c>
      <c r="Y1710" s="41"/>
      <c r="Z1710" s="73"/>
      <c r="AA1710" s="53">
        <f>(AA$29/AA$27)^2*(AA1707-('Valve Sizing'!$V$4*'Valve Sizing'!$G$7))</f>
        <v>34.630781839394366</v>
      </c>
      <c r="AB1710" s="41"/>
      <c r="AC1710" s="73"/>
      <c r="AD1710" s="53">
        <f>(AD$29/AD$27)^2*(AD1707-('Valve Sizing'!$V$4*'Valve Sizing'!$G$7))</f>
        <v>17.977457032664635</v>
      </c>
      <c r="AE1710" s="41"/>
      <c r="AF1710" s="73"/>
      <c r="AG1710" s="53">
        <f>(AG$29/AG$27)^2*(AG1707-('Valve Sizing'!$V$4*'Valve Sizing'!$G$7))</f>
        <v>-8.6675215969666279</v>
      </c>
      <c r="AH1710" s="41"/>
      <c r="AI1710" s="73"/>
      <c r="AJ1710" s="53">
        <f>(AJ$29/AJ$27)^2*(AJ1707-('Valve Sizing'!$V$4*'Valve Sizing'!$G$7))</f>
        <v>-39.368976071854078</v>
      </c>
      <c r="AK1710" s="41"/>
      <c r="AL1710" s="73"/>
      <c r="AM1710" s="53">
        <f>(AM$29/AM$27)^2*(AM1707-('Valve Sizing'!$V$4*'Valve Sizing'!$G$7))</f>
        <v>-61.70153519193579</v>
      </c>
      <c r="AN1710" s="41"/>
      <c r="AO1710" s="73"/>
      <c r="AP1710" s="53">
        <f>(AP$29/AP$27)^2*(AP1707-('Valve Sizing'!$V$4*'Valve Sizing'!$G$7))</f>
        <v>-76.343499869262175</v>
      </c>
      <c r="AQ1710" s="41"/>
      <c r="AR1710" s="73"/>
      <c r="AS1710" s="53">
        <f>(AS$29/AS$27)^2*(AS1707-('Valve Sizing'!$V$4*'Valve Sizing'!$G$7))</f>
        <v>-100.52434383578809</v>
      </c>
      <c r="AT1710" s="41"/>
      <c r="AU1710" s="73"/>
    </row>
    <row r="1711" spans="15:47" ht="13" x14ac:dyDescent="0.25">
      <c r="O1711" s="1" t="s">
        <v>69</v>
      </c>
      <c r="P1711" s="17">
        <v>7</v>
      </c>
      <c r="Q1711" s="65"/>
      <c r="R1711" s="53">
        <f>(R1705/(N_1*F_P_h))*SQRT('Valve Sizing'!$G$6/R1709)</f>
        <v>2.8584035321639152</v>
      </c>
      <c r="S1711" s="58"/>
      <c r="T1711" s="73"/>
      <c r="U1711" s="64">
        <f>(U1705/(N_1*U$27))*SQRT('Valve Sizing'!$G$6/U1709)</f>
        <v>22.831770664426202</v>
      </c>
      <c r="V1711" s="41"/>
      <c r="W1711" s="73"/>
      <c r="X1711" s="64">
        <f>(X1705/(N_1*X$27))*SQRT('Valve Sizing'!$G$6/X1709)</f>
        <v>57.913232266164563</v>
      </c>
      <c r="Y1711" s="41"/>
      <c r="Z1711" s="73"/>
      <c r="AA1711" s="64">
        <f>(AA1705/(N_1*AA$27))*SQRT('Valve Sizing'!$G$6/AA1709)</f>
        <v>138.73570436844639</v>
      </c>
      <c r="AB1711" s="41"/>
      <c r="AC1711" s="73"/>
      <c r="AD1711" s="64" t="e">
        <f>(AD1705/(N_1*AD$27))*SQRT('Valve Sizing'!$G$6/AD1709)</f>
        <v>#NUM!</v>
      </c>
      <c r="AE1711" s="41"/>
      <c r="AF1711" s="73"/>
      <c r="AG1711" s="64" t="e">
        <f>(AG1705/(N_1*AG$27))*SQRT('Valve Sizing'!$G$6/AG1709)</f>
        <v>#NUM!</v>
      </c>
      <c r="AH1711" s="41"/>
      <c r="AI1711" s="73"/>
      <c r="AJ1711" s="64" t="e">
        <f>(AJ1705/(N_1*AJ$27))*SQRT('Valve Sizing'!$G$6/AJ1709)</f>
        <v>#NUM!</v>
      </c>
      <c r="AK1711" s="41"/>
      <c r="AL1711" s="73"/>
      <c r="AM1711" s="64" t="e">
        <f>(AM1705/(N_1*AM$27))*SQRT('Valve Sizing'!$G$6/AM1709)</f>
        <v>#NUM!</v>
      </c>
      <c r="AN1711" s="41"/>
      <c r="AO1711" s="73"/>
      <c r="AP1711" s="64" t="e">
        <f>(AP1705/(N_1*AP$27))*SQRT('Valve Sizing'!$G$6/AP1709)</f>
        <v>#NUM!</v>
      </c>
      <c r="AQ1711" s="41"/>
      <c r="AR1711" s="73"/>
      <c r="AS1711" s="64" t="e">
        <f>(AS1705/(N_1*AS$27))*SQRT('Valve Sizing'!$G$6/AS1709)</f>
        <v>#NUM!</v>
      </c>
      <c r="AT1711" s="41"/>
      <c r="AU1711" s="73"/>
    </row>
    <row r="1712" spans="15:47" ht="13" x14ac:dyDescent="0.3">
      <c r="O1712" s="1" t="s">
        <v>72</v>
      </c>
      <c r="P1712" s="17">
        <v>7</v>
      </c>
      <c r="Q1712" s="65"/>
      <c r="R1712" s="53">
        <f>(R1705/(N_1*F_P_h))*SQRT('Valve Sizing'!$G$6/R1710)</f>
        <v>2.3738463391776135</v>
      </c>
      <c r="S1712" s="56"/>
      <c r="T1712" s="72"/>
      <c r="U1712" s="85">
        <f>(U1705/(N_1*U$27))*SQRT('Valve Sizing'!$G$6/U1710)</f>
        <v>18.861615409496395</v>
      </c>
      <c r="V1712" s="44"/>
      <c r="W1712" s="72"/>
      <c r="X1712" s="85">
        <f>(X1705/(N_1*X$27))*SQRT('Valve Sizing'!$G$6/X1710)</f>
        <v>47.022604753732701</v>
      </c>
      <c r="Y1712" s="44"/>
      <c r="Z1712" s="72"/>
      <c r="AA1712" s="85">
        <f>(AA1705/(N_1*AA$27))*SQRT('Valve Sizing'!$G$6/AA1710)</f>
        <v>100.74892070890422</v>
      </c>
      <c r="AB1712" s="44"/>
      <c r="AC1712" s="72"/>
      <c r="AD1712" s="85">
        <f>(AD1705/(N_1*AD$27))*SQRT('Valve Sizing'!$G$6/AD1710)</f>
        <v>232.86344211919825</v>
      </c>
      <c r="AE1712" s="44"/>
      <c r="AF1712" s="72"/>
      <c r="AG1712" s="85" t="e">
        <f>(AG1705/(N_1*AG$27))*SQRT('Valve Sizing'!$G$6/AG1710)</f>
        <v>#NUM!</v>
      </c>
      <c r="AH1712" s="44"/>
      <c r="AI1712" s="72"/>
      <c r="AJ1712" s="85" t="e">
        <f>(AJ1705/(N_1*AJ$27))*SQRT('Valve Sizing'!$G$6/AJ1710)</f>
        <v>#NUM!</v>
      </c>
      <c r="AK1712" s="44"/>
      <c r="AL1712" s="72"/>
      <c r="AM1712" s="85" t="e">
        <f>(AM1705/(N_1*AM$27))*SQRT('Valve Sizing'!$G$6/AM1710)</f>
        <v>#NUM!</v>
      </c>
      <c r="AN1712" s="44"/>
      <c r="AO1712" s="72"/>
      <c r="AP1712" s="85" t="e">
        <f>(AP1705/(N_1*AP$27))*SQRT('Valve Sizing'!$G$6/AP1710)</f>
        <v>#NUM!</v>
      </c>
      <c r="AQ1712" s="44"/>
      <c r="AR1712" s="72"/>
      <c r="AS1712" s="85" t="e">
        <f>(AS1705/(N_1*AS$27))*SQRT('Valve Sizing'!$G$6/AS1710)</f>
        <v>#NUM!</v>
      </c>
      <c r="AT1712" s="44"/>
      <c r="AU1712" s="72"/>
    </row>
    <row r="1713" spans="15:47" x14ac:dyDescent="0.25">
      <c r="O1713" s="1" t="s">
        <v>246</v>
      </c>
      <c r="P1713" s="18"/>
      <c r="Q1713" s="65"/>
      <c r="R1713" s="53">
        <f>IF(R1709&lt;R1710,R1711,R1712)</f>
        <v>2.8584035321639152</v>
      </c>
      <c r="S1713" s="49"/>
      <c r="T1713" s="72"/>
      <c r="U1713" s="64">
        <f>IF(U1709&lt;U1710,U1711,U1712)</f>
        <v>22.831770664426202</v>
      </c>
      <c r="V1713" s="44"/>
      <c r="W1713" s="72"/>
      <c r="X1713" s="64">
        <f>IF(X1709&lt;X1710,X1711,X1712)</f>
        <v>57.913232266164563</v>
      </c>
      <c r="Y1713" s="44"/>
      <c r="Z1713" s="72"/>
      <c r="AA1713" s="64">
        <f>IF(AA1709&lt;AA1710,AA1711,AA1712)</f>
        <v>138.73570436844639</v>
      </c>
      <c r="AB1713" s="44"/>
      <c r="AC1713" s="72"/>
      <c r="AD1713" s="64" t="e">
        <f>IF(AD1709&lt;AD1710,AD1711,AD1712)</f>
        <v>#NUM!</v>
      </c>
      <c r="AE1713" s="44"/>
      <c r="AF1713" s="72"/>
      <c r="AG1713" s="64" t="e">
        <f>IF(AG1709&lt;AG1710,AG1711,AG1712)</f>
        <v>#NUM!</v>
      </c>
      <c r="AH1713" s="44"/>
      <c r="AI1713" s="72"/>
      <c r="AJ1713" s="64" t="e">
        <f>IF(AJ1709&lt;AJ1710,AJ1711,AJ1712)</f>
        <v>#NUM!</v>
      </c>
      <c r="AK1713" s="44"/>
      <c r="AL1713" s="72"/>
      <c r="AM1713" s="64" t="e">
        <f>IF(AM1709&lt;AM1710,AM1711,AM1712)</f>
        <v>#NUM!</v>
      </c>
      <c r="AN1713" s="44"/>
      <c r="AO1713" s="72"/>
      <c r="AP1713" s="64" t="e">
        <f>IF(AP1709&lt;AP1710,AP1711,AP1712)</f>
        <v>#NUM!</v>
      </c>
      <c r="AQ1713" s="44"/>
      <c r="AR1713" s="72"/>
      <c r="AS1713" s="64" t="e">
        <f>IF(AS1709&lt;AS1710,AS1711,AS1712)</f>
        <v>#NUM!</v>
      </c>
      <c r="AT1713" s="44"/>
      <c r="AU1713" s="72"/>
    </row>
    <row r="1714" spans="15:47" ht="13" x14ac:dyDescent="0.3">
      <c r="O1714" s="7" t="s">
        <v>264</v>
      </c>
      <c r="Q1714" s="61"/>
      <c r="R1714" s="53"/>
      <c r="S1714" s="69">
        <f>IFERROR(ABS(C_h-R1713),Q_max*10)</f>
        <v>2.1415964678360848</v>
      </c>
      <c r="T1714" s="76">
        <f>R1705</f>
        <v>16.229909374831859</v>
      </c>
      <c r="U1714" s="61"/>
      <c r="V1714" s="69">
        <f>IFERROR(ABS(U$23-U1713),Q_max*10)</f>
        <v>10.831770664426202</v>
      </c>
      <c r="W1714" s="75">
        <f>U1705</f>
        <v>128.22411761043531</v>
      </c>
      <c r="X1714" s="61"/>
      <c r="Y1714" s="69">
        <f>IFERROR(ABS(X$23-X1713),Q_max*10)</f>
        <v>34.913232266164563</v>
      </c>
      <c r="Z1714" s="75">
        <f>X1705</f>
        <v>307.78724052434251</v>
      </c>
      <c r="AA1714" s="61"/>
      <c r="AB1714" s="69">
        <f>IFERROR(ABS(AA$23-AA1713),Q_max*10)</f>
        <v>99.735704368446392</v>
      </c>
      <c r="AC1714" s="75">
        <f>AA1705</f>
        <v>587.67864254483823</v>
      </c>
      <c r="AD1714" s="61"/>
      <c r="AE1714" s="69">
        <f>IFERROR(ABS(AD$23-AD1713),Q_max*10)</f>
        <v>5500</v>
      </c>
      <c r="AF1714" s="75">
        <f>AD1705</f>
        <v>966.51499654725694</v>
      </c>
      <c r="AG1714" s="61"/>
      <c r="AH1714" s="69">
        <f>IFERROR(ABS(AG$23-AG1713),Q_max*10)</f>
        <v>5500</v>
      </c>
      <c r="AI1714" s="75">
        <f>AG1705</f>
        <v>1439.0091263283557</v>
      </c>
      <c r="AJ1714" s="61"/>
      <c r="AK1714" s="69">
        <f>IFERROR(ABS(AJ$23-AJ1713),Q_max*10)</f>
        <v>5500</v>
      </c>
      <c r="AL1714" s="75">
        <f>AJ1705</f>
        <v>1920.363257500818</v>
      </c>
      <c r="AM1714" s="61"/>
      <c r="AN1714" s="69">
        <f>IFERROR(ABS(AM$23-AM1713),Q_max*10)</f>
        <v>5500</v>
      </c>
      <c r="AO1714" s="75">
        <f>AM1705</f>
        <v>2343.2081198845308</v>
      </c>
      <c r="AP1714" s="61"/>
      <c r="AQ1714" s="69">
        <f>IFERROR(ABS(AP$23-AP1713),Q_max*10)</f>
        <v>5500</v>
      </c>
      <c r="AR1714" s="75">
        <f>AP1705</f>
        <v>2720.3918831568421</v>
      </c>
      <c r="AS1714" s="61"/>
      <c r="AT1714" s="69">
        <f>IFERROR(ABS(AS$23-AS1713),Q_max*10)</f>
        <v>5500</v>
      </c>
      <c r="AU1714" s="75">
        <f>AS1705</f>
        <v>3096.0597223660648</v>
      </c>
    </row>
    <row r="1715" spans="15:47" ht="14.5" x14ac:dyDescent="0.35">
      <c r="O1715" s="8"/>
      <c r="P1715" s="6"/>
      <c r="Q1715" s="60"/>
      <c r="R1715" s="67"/>
      <c r="S1715" s="66"/>
      <c r="T1715" s="74"/>
      <c r="V1715" s="11"/>
      <c r="W1715" s="38"/>
      <c r="Y1715" s="11"/>
      <c r="Z1715" s="38"/>
      <c r="AB1715" s="11"/>
      <c r="AC1715" s="38"/>
      <c r="AE1715" s="11"/>
      <c r="AF1715" s="38"/>
      <c r="AH1715" s="11"/>
      <c r="AI1715" s="38"/>
      <c r="AK1715" s="11"/>
      <c r="AL1715" s="38"/>
      <c r="AN1715" s="11"/>
      <c r="AO1715" s="38"/>
      <c r="AQ1715" s="11"/>
      <c r="AR1715" s="38"/>
      <c r="AT1715" s="11"/>
      <c r="AU1715" s="38"/>
    </row>
    <row r="1716" spans="15:47" ht="14" x14ac:dyDescent="0.3">
      <c r="O1716" s="8" t="s">
        <v>235</v>
      </c>
      <c r="P1716" s="6"/>
      <c r="Q1716" s="60"/>
      <c r="R1716" s="53">
        <f>R1705*1.02</f>
        <v>16.554507562328496</v>
      </c>
      <c r="S1716" s="58" t="s">
        <v>238</v>
      </c>
      <c r="T1716" s="73" t="s">
        <v>241</v>
      </c>
      <c r="U1716" s="84">
        <f>U1705*1.01</f>
        <v>129.50635878653966</v>
      </c>
      <c r="V1716" s="58" t="s">
        <v>238</v>
      </c>
      <c r="W1716" s="73" t="s">
        <v>241</v>
      </c>
      <c r="X1716" s="84">
        <f>X1705*1.01</f>
        <v>310.86511292958596</v>
      </c>
      <c r="Y1716" s="58" t="s">
        <v>238</v>
      </c>
      <c r="Z1716" s="73" t="s">
        <v>241</v>
      </c>
      <c r="AA1716" s="84">
        <f>AA1705*1.01</f>
        <v>593.55542897028658</v>
      </c>
      <c r="AB1716" s="58" t="s">
        <v>238</v>
      </c>
      <c r="AC1716" s="73" t="s">
        <v>241</v>
      </c>
      <c r="AD1716" s="84">
        <f>AD1705*1.01</f>
        <v>976.18014651272949</v>
      </c>
      <c r="AE1716" s="58" t="s">
        <v>238</v>
      </c>
      <c r="AF1716" s="73" t="s">
        <v>241</v>
      </c>
      <c r="AG1716" s="84">
        <f>AG1705*1.01</f>
        <v>1453.3992175916392</v>
      </c>
      <c r="AH1716" s="58" t="s">
        <v>238</v>
      </c>
      <c r="AI1716" s="73" t="s">
        <v>241</v>
      </c>
      <c r="AJ1716" s="84">
        <f>AJ1705*1.01</f>
        <v>1939.5668900758262</v>
      </c>
      <c r="AK1716" s="58" t="s">
        <v>238</v>
      </c>
      <c r="AL1716" s="73" t="s">
        <v>241</v>
      </c>
      <c r="AM1716" s="84">
        <f>AM1705*1.01</f>
        <v>2366.6402010833763</v>
      </c>
      <c r="AN1716" s="58" t="s">
        <v>238</v>
      </c>
      <c r="AO1716" s="73" t="s">
        <v>241</v>
      </c>
      <c r="AP1716" s="84">
        <f>AP1705*1.01</f>
        <v>2747.5958019884106</v>
      </c>
      <c r="AQ1716" s="58" t="s">
        <v>238</v>
      </c>
      <c r="AR1716" s="73" t="s">
        <v>241</v>
      </c>
      <c r="AS1716" s="84">
        <f>AS1705*1.01</f>
        <v>3127.0203195897257</v>
      </c>
      <c r="AT1716" s="58" t="s">
        <v>238</v>
      </c>
      <c r="AU1716" s="73" t="s">
        <v>241</v>
      </c>
    </row>
    <row r="1717" spans="15:47" ht="13" x14ac:dyDescent="0.25">
      <c r="O1717" s="6"/>
      <c r="P1717" s="6"/>
      <c r="Q1717" s="60"/>
      <c r="R1717" s="70"/>
      <c r="S1717" s="63" t="s">
        <v>250</v>
      </c>
      <c r="T1717" s="71" t="s">
        <v>242</v>
      </c>
      <c r="U1717" s="61"/>
      <c r="V1717" s="63" t="s">
        <v>250</v>
      </c>
      <c r="W1717" s="71" t="s">
        <v>242</v>
      </c>
      <c r="X1717" s="61"/>
      <c r="Y1717" s="63" t="s">
        <v>250</v>
      </c>
      <c r="Z1717" s="71" t="s">
        <v>242</v>
      </c>
      <c r="AA1717" s="61"/>
      <c r="AB1717" s="63" t="s">
        <v>250</v>
      </c>
      <c r="AC1717" s="71" t="s">
        <v>242</v>
      </c>
      <c r="AD1717" s="61"/>
      <c r="AE1717" s="63" t="s">
        <v>250</v>
      </c>
      <c r="AF1717" s="71" t="s">
        <v>242</v>
      </c>
      <c r="AG1717" s="61"/>
      <c r="AH1717" s="63" t="s">
        <v>250</v>
      </c>
      <c r="AI1717" s="71" t="s">
        <v>242</v>
      </c>
      <c r="AJ1717" s="61"/>
      <c r="AK1717" s="63" t="s">
        <v>250</v>
      </c>
      <c r="AL1717" s="71" t="s">
        <v>242</v>
      </c>
      <c r="AM1717" s="61"/>
      <c r="AN1717" s="63" t="s">
        <v>250</v>
      </c>
      <c r="AO1717" s="71" t="s">
        <v>242</v>
      </c>
      <c r="AP1717" s="61"/>
      <c r="AQ1717" s="63" t="s">
        <v>250</v>
      </c>
      <c r="AR1717" s="71" t="s">
        <v>242</v>
      </c>
      <c r="AS1717" s="61"/>
      <c r="AT1717" s="63" t="s">
        <v>250</v>
      </c>
      <c r="AU1717" s="71" t="s">
        <v>242</v>
      </c>
    </row>
    <row r="1718" spans="15:47" ht="13" x14ac:dyDescent="0.3">
      <c r="O1718" s="6" t="s">
        <v>231</v>
      </c>
      <c r="P1718" s="6"/>
      <c r="Q1718" s="60"/>
      <c r="R1718" s="85">
        <f>P_1_minQ-(R1716^2*R_up)+dpup_minQ</f>
        <v>56.90688781760786</v>
      </c>
      <c r="S1718" s="56"/>
      <c r="T1718" s="72"/>
      <c r="U1718" s="53">
        <f>P_1_minQ-(U1716^2*R_up)+dpup_minQ</f>
        <v>56.349716414517125</v>
      </c>
      <c r="V1718" s="44"/>
      <c r="W1718" s="72"/>
      <c r="X1718" s="53">
        <f>P_1_minQ-(X1716^2*R_up)+dpup_minQ</f>
        <v>53.652478269614178</v>
      </c>
      <c r="Y1718" s="44"/>
      <c r="Z1718" s="72"/>
      <c r="AA1718" s="53">
        <f>P_1_minQ-(AA1716^2*R_up)+dpup_minQ</f>
        <v>45.017863989864878</v>
      </c>
      <c r="AB1718" s="44"/>
      <c r="AC1718" s="72"/>
      <c r="AD1718" s="53">
        <f>P_1_minQ-(AD1716^2*R_up)+dpup_minQ</f>
        <v>24.733513054859369</v>
      </c>
      <c r="AE1718" s="44"/>
      <c r="AF1718" s="72"/>
      <c r="AG1718" s="53">
        <f>P_1_minQ-(AG1716^2*R_up)+dpup_minQ</f>
        <v>-14.42358276582198</v>
      </c>
      <c r="AH1718" s="44"/>
      <c r="AI1718" s="72"/>
      <c r="AJ1718" s="53">
        <f>P_1_minQ-(AJ1716^2*R_up)+dpup_minQ</f>
        <v>-70.132817327876126</v>
      </c>
      <c r="AK1718" s="44"/>
      <c r="AL1718" s="72"/>
      <c r="AM1718" s="53">
        <f>P_1_minQ-(AM1716^2*R_up)+dpup_minQ</f>
        <v>-132.24244651752664</v>
      </c>
      <c r="AN1718" s="44"/>
      <c r="AO1718" s="72"/>
      <c r="AP1718" s="53">
        <f>P_1_minQ-(AP1716^2*R_up)+dpup_minQ</f>
        <v>-198.04105677488477</v>
      </c>
      <c r="AQ1718" s="44"/>
      <c r="AR1718" s="72"/>
      <c r="AS1718" s="53">
        <f>P_1_minQ-(AS1716^2*R_up)+dpup_minQ</f>
        <v>-273.31878011236171</v>
      </c>
      <c r="AT1718" s="44"/>
      <c r="AU1718" s="72"/>
    </row>
    <row r="1719" spans="15:47" ht="13" x14ac:dyDescent="0.3">
      <c r="O1719" s="6" t="s">
        <v>233</v>
      </c>
      <c r="P1719" s="6"/>
      <c r="Q1719" s="60"/>
      <c r="R1719" s="85">
        <f>P_2_minQ+(R1716^2*R_dn)-dpdn_minQ</f>
        <v>24.658622436478428</v>
      </c>
      <c r="S1719" s="66"/>
      <c r="T1719" s="74"/>
      <c r="U1719" s="53">
        <f>P_2_minQ+(U1716^2*R_dn)-dpdn_minQ</f>
        <v>24.770056717096576</v>
      </c>
      <c r="V1719" s="45"/>
      <c r="W1719" s="74"/>
      <c r="X1719" s="53">
        <f>P_2_minQ+(X1716^2*R_dn)-dpdn_minQ</f>
        <v>25.309504346077166</v>
      </c>
      <c r="Y1719" s="45"/>
      <c r="Z1719" s="74"/>
      <c r="AA1719" s="53">
        <f>P_2_minQ+(AA1716^2*R_dn)-dpdn_minQ</f>
        <v>27.036427202027024</v>
      </c>
      <c r="AB1719" s="45"/>
      <c r="AC1719" s="74"/>
      <c r="AD1719" s="53">
        <f>P_2_minQ+(AD1716^2*R_dn)-dpdn_minQ</f>
        <v>31.093297389028127</v>
      </c>
      <c r="AE1719" s="45"/>
      <c r="AF1719" s="74"/>
      <c r="AG1719" s="53">
        <f>P_2_minQ+(AG1716^2*R_dn)-dpdn_minQ</f>
        <v>38.924716553164401</v>
      </c>
      <c r="AH1719" s="45"/>
      <c r="AI1719" s="74"/>
      <c r="AJ1719" s="53">
        <f>P_2_minQ+(AJ1716^2*R_dn)-dpdn_minQ</f>
        <v>50.066563465575229</v>
      </c>
      <c r="AK1719" s="45"/>
      <c r="AL1719" s="74"/>
      <c r="AM1719" s="53">
        <f>P_2_minQ+(AM1716^2*R_dn)-dpdn_minQ</f>
        <v>62.488489303505332</v>
      </c>
      <c r="AN1719" s="45"/>
      <c r="AO1719" s="74"/>
      <c r="AP1719" s="53">
        <f>P_2_minQ+(AP1716^2*R_dn)-dpdn_minQ</f>
        <v>75.648211354976951</v>
      </c>
      <c r="AQ1719" s="45"/>
      <c r="AR1719" s="74"/>
      <c r="AS1719" s="53">
        <f>P_2_minQ+(AS1716^2*R_dn)-dpdn_minQ</f>
        <v>90.703756022472348</v>
      </c>
      <c r="AT1719" s="45"/>
      <c r="AU1719" s="74"/>
    </row>
    <row r="1720" spans="15:47" x14ac:dyDescent="0.25">
      <c r="O1720" s="6" t="s">
        <v>243</v>
      </c>
      <c r="Q1720" s="60"/>
      <c r="R1720" s="53">
        <f>R1718-R1719</f>
        <v>32.248265381129428</v>
      </c>
      <c r="S1720" s="56"/>
      <c r="T1720" s="72"/>
      <c r="U1720" s="64">
        <f>U1718-U1719</f>
        <v>31.579659697420549</v>
      </c>
      <c r="V1720" s="44"/>
      <c r="W1720" s="72"/>
      <c r="X1720" s="64">
        <f>X1718-X1719</f>
        <v>28.342973923537013</v>
      </c>
      <c r="Y1720" s="44"/>
      <c r="Z1720" s="72"/>
      <c r="AA1720" s="64">
        <f>AA1718-AA1719</f>
        <v>17.981436787837854</v>
      </c>
      <c r="AB1720" s="44"/>
      <c r="AC1720" s="72"/>
      <c r="AD1720" s="64">
        <f>AD1718-AD1719</f>
        <v>-6.3597843341687579</v>
      </c>
      <c r="AE1720" s="44"/>
      <c r="AF1720" s="72"/>
      <c r="AG1720" s="64">
        <f>AG1718-AG1719</f>
        <v>-53.348299318986378</v>
      </c>
      <c r="AH1720" s="44"/>
      <c r="AI1720" s="72"/>
      <c r="AJ1720" s="64">
        <f>AJ1718-AJ1719</f>
        <v>-120.19938079345135</v>
      </c>
      <c r="AK1720" s="44"/>
      <c r="AL1720" s="72"/>
      <c r="AM1720" s="64">
        <f>AM1718-AM1719</f>
        <v>-194.73093582103198</v>
      </c>
      <c r="AN1720" s="44"/>
      <c r="AO1720" s="72"/>
      <c r="AP1720" s="64">
        <f>AP1718-AP1719</f>
        <v>-273.68926812986172</v>
      </c>
      <c r="AQ1720" s="44"/>
      <c r="AR1720" s="72"/>
      <c r="AS1720" s="64">
        <f>AS1718-AS1719</f>
        <v>-364.02253613483407</v>
      </c>
      <c r="AT1720" s="44"/>
      <c r="AU1720" s="72"/>
    </row>
    <row r="1721" spans="15:47" ht="13" x14ac:dyDescent="0.3">
      <c r="O1721" s="6" t="s">
        <v>75</v>
      </c>
      <c r="P1721" s="6">
        <v>3</v>
      </c>
      <c r="Q1721" s="65"/>
      <c r="R1721" s="85">
        <f>(F_LP_h/F_P_h)^2*(R1718-('Valve Sizing'!$V$4*'Valve Sizing'!$G$7))</f>
        <v>46.757499303532832</v>
      </c>
      <c r="S1721" s="58"/>
      <c r="T1721" s="73"/>
      <c r="U1721" s="53">
        <f>(U$29/U$27)^2*(U1718-('Valve Sizing'!$V$4*'Valve Sizing'!$G$7))</f>
        <v>46.283513722811072</v>
      </c>
      <c r="V1721" s="41"/>
      <c r="W1721" s="73"/>
      <c r="X1721" s="53">
        <f>(X$29/X$27)^2*(X1718-('Valve Sizing'!$V$4*'Valve Sizing'!$G$7))</f>
        <v>43.057019825371967</v>
      </c>
      <c r="Y1721" s="41"/>
      <c r="Z1721" s="73"/>
      <c r="AA1721" s="53">
        <f>(AA$29/AA$27)^2*(AA1718-('Valve Sizing'!$V$4*'Valve Sizing'!$G$7))</f>
        <v>34.449604858822774</v>
      </c>
      <c r="AB1721" s="41"/>
      <c r="AC1721" s="73"/>
      <c r="AD1721" s="53">
        <f>(AD$29/AD$27)^2*(AD1718-('Valve Sizing'!$V$4*'Valve Sizing'!$G$7))</f>
        <v>17.520134101095181</v>
      </c>
      <c r="AE1721" s="41"/>
      <c r="AF1721" s="73"/>
      <c r="AG1721" s="53">
        <f>(AG$29/AG$27)^2*(AG1718-('Valve Sizing'!$V$4*'Valve Sizing'!$G$7))</f>
        <v>-9.5728377145817873</v>
      </c>
      <c r="AH1721" s="41"/>
      <c r="AI1721" s="73"/>
      <c r="AJ1721" s="53">
        <f>(AJ$29/AJ$27)^2*(AJ1718-('Valve Sizing'!$V$4*'Valve Sizing'!$G$7))</f>
        <v>-40.816833939605395</v>
      </c>
      <c r="AK1721" s="41"/>
      <c r="AL1721" s="73"/>
      <c r="AM1721" s="53">
        <f>(AM$29/AM$27)^2*(AM1718-('Valve Sizing'!$V$4*'Valve Sizing'!$G$7))</f>
        <v>-63.484882953214019</v>
      </c>
      <c r="AN1721" s="41"/>
      <c r="AO1721" s="73"/>
      <c r="AP1721" s="53">
        <f>(AP$29/AP$27)^2*(AP1718-('Valve Sizing'!$V$4*'Valve Sizing'!$G$7))</f>
        <v>-78.325972483533803</v>
      </c>
      <c r="AQ1721" s="41"/>
      <c r="AR1721" s="73"/>
      <c r="AS1721" s="53">
        <f>(AS$29/AS$27)^2*(AS1718-('Valve Sizing'!$V$4*'Valve Sizing'!$G$7))</f>
        <v>-102.97186663600499</v>
      </c>
      <c r="AT1721" s="41"/>
      <c r="AU1721" s="73"/>
    </row>
    <row r="1722" spans="15:47" ht="13" x14ac:dyDescent="0.25">
      <c r="O1722" s="1" t="s">
        <v>69</v>
      </c>
      <c r="P1722" s="17">
        <v>7</v>
      </c>
      <c r="Q1722" s="65"/>
      <c r="R1722" s="53">
        <f>(R1716/(N_1*F_P_h))*SQRT('Valve Sizing'!$G$6/R1720)</f>
        <v>2.9155910986627358</v>
      </c>
      <c r="S1722" s="58"/>
      <c r="T1722" s="73"/>
      <c r="U1722" s="64">
        <f>(U1716/(N_1*U$27))*SQRT('Valve Sizing'!$G$6/U1720)</f>
        <v>23.064977773917985</v>
      </c>
      <c r="V1722" s="41"/>
      <c r="W1722" s="73"/>
      <c r="X1722" s="64">
        <f>(X1716/(N_1*X$27))*SQRT('Valve Sizing'!$G$6/X1720)</f>
        <v>58.571938110116569</v>
      </c>
      <c r="Y1722" s="41"/>
      <c r="Z1722" s="73"/>
      <c r="AA1722" s="64">
        <f>(AA1716/(N_1*AA$27))*SQRT('Valve Sizing'!$G$6/AA1720)</f>
        <v>141.21496706870033</v>
      </c>
      <c r="AB1722" s="41"/>
      <c r="AC1722" s="73"/>
      <c r="AD1722" s="64" t="e">
        <f>(AD1716/(N_1*AD$27))*SQRT('Valve Sizing'!$G$6/AD1720)</f>
        <v>#NUM!</v>
      </c>
      <c r="AE1722" s="41"/>
      <c r="AF1722" s="73"/>
      <c r="AG1722" s="64" t="e">
        <f>(AG1716/(N_1*AG$27))*SQRT('Valve Sizing'!$G$6/AG1720)</f>
        <v>#NUM!</v>
      </c>
      <c r="AH1722" s="41"/>
      <c r="AI1722" s="73"/>
      <c r="AJ1722" s="64" t="e">
        <f>(AJ1716/(N_1*AJ$27))*SQRT('Valve Sizing'!$G$6/AJ1720)</f>
        <v>#NUM!</v>
      </c>
      <c r="AK1722" s="41"/>
      <c r="AL1722" s="73"/>
      <c r="AM1722" s="64" t="e">
        <f>(AM1716/(N_1*AM$27))*SQRT('Valve Sizing'!$G$6/AM1720)</f>
        <v>#NUM!</v>
      </c>
      <c r="AN1722" s="41"/>
      <c r="AO1722" s="73"/>
      <c r="AP1722" s="64" t="e">
        <f>(AP1716/(N_1*AP$27))*SQRT('Valve Sizing'!$G$6/AP1720)</f>
        <v>#NUM!</v>
      </c>
      <c r="AQ1722" s="41"/>
      <c r="AR1722" s="73"/>
      <c r="AS1722" s="64" t="e">
        <f>(AS1716/(N_1*AS$27))*SQRT('Valve Sizing'!$G$6/AS1720)</f>
        <v>#NUM!</v>
      </c>
      <c r="AT1722" s="41"/>
      <c r="AU1722" s="73"/>
    </row>
    <row r="1723" spans="15:47" ht="13" x14ac:dyDescent="0.3">
      <c r="O1723" s="1" t="s">
        <v>72</v>
      </c>
      <c r="P1723" s="17">
        <v>7</v>
      </c>
      <c r="Q1723" s="65"/>
      <c r="R1723" s="53">
        <f>(R1716/(N_1*F_P_h))*SQRT('Valve Sizing'!$G$6/R1721)</f>
        <v>2.4213309715144344</v>
      </c>
      <c r="S1723" s="56"/>
      <c r="T1723" s="72"/>
      <c r="U1723" s="85">
        <f>(U1716/(N_1*U$27))*SQRT('Valve Sizing'!$G$6/U1721)</f>
        <v>19.05213289944593</v>
      </c>
      <c r="V1723" s="44"/>
      <c r="W1723" s="72"/>
      <c r="X1723" s="85">
        <f>(X1716/(N_1*X$27))*SQRT('Valve Sizing'!$G$6/X1721)</f>
        <v>47.521519626709093</v>
      </c>
      <c r="Y1723" s="44"/>
      <c r="Z1723" s="72"/>
      <c r="AA1723" s="85">
        <f>(AA1716/(N_1*AA$27))*SQRT('Valve Sizing'!$G$6/AA1721)</f>
        <v>102.02363711952309</v>
      </c>
      <c r="AB1723" s="44"/>
      <c r="AC1723" s="72"/>
      <c r="AD1723" s="85">
        <f>(AD1716/(N_1*AD$27))*SQRT('Valve Sizing'!$G$6/AD1721)</f>
        <v>238.24187769169993</v>
      </c>
      <c r="AE1723" s="44"/>
      <c r="AF1723" s="72"/>
      <c r="AG1723" s="85" t="e">
        <f>(AG1716/(N_1*AG$27))*SQRT('Valve Sizing'!$G$6/AG1721)</f>
        <v>#NUM!</v>
      </c>
      <c r="AH1723" s="44"/>
      <c r="AI1723" s="72"/>
      <c r="AJ1723" s="85" t="e">
        <f>(AJ1716/(N_1*AJ$27))*SQRT('Valve Sizing'!$G$6/AJ1721)</f>
        <v>#NUM!</v>
      </c>
      <c r="AK1723" s="44"/>
      <c r="AL1723" s="72"/>
      <c r="AM1723" s="85" t="e">
        <f>(AM1716/(N_1*AM$27))*SQRT('Valve Sizing'!$G$6/AM1721)</f>
        <v>#NUM!</v>
      </c>
      <c r="AN1723" s="44"/>
      <c r="AO1723" s="72"/>
      <c r="AP1723" s="85" t="e">
        <f>(AP1716/(N_1*AP$27))*SQRT('Valve Sizing'!$G$6/AP1721)</f>
        <v>#NUM!</v>
      </c>
      <c r="AQ1723" s="44"/>
      <c r="AR1723" s="72"/>
      <c r="AS1723" s="85" t="e">
        <f>(AS1716/(N_1*AS$27))*SQRT('Valve Sizing'!$G$6/AS1721)</f>
        <v>#NUM!</v>
      </c>
      <c r="AT1723" s="44"/>
      <c r="AU1723" s="72"/>
    </row>
    <row r="1724" spans="15:47" x14ac:dyDescent="0.25">
      <c r="O1724" s="1" t="s">
        <v>246</v>
      </c>
      <c r="P1724" s="18"/>
      <c r="Q1724" s="65"/>
      <c r="R1724" s="53">
        <f>IF(R1720&lt;R1721,R1722,R1723)</f>
        <v>2.9155910986627358</v>
      </c>
      <c r="S1724" s="49"/>
      <c r="T1724" s="72"/>
      <c r="U1724" s="64">
        <f>IF(U1720&lt;U1721,U1722,U1723)</f>
        <v>23.064977773917985</v>
      </c>
      <c r="V1724" s="44"/>
      <c r="W1724" s="72"/>
      <c r="X1724" s="64">
        <f>IF(X1720&lt;X1721,X1722,X1723)</f>
        <v>58.571938110116569</v>
      </c>
      <c r="Y1724" s="44"/>
      <c r="Z1724" s="72"/>
      <c r="AA1724" s="64">
        <f>IF(AA1720&lt;AA1721,AA1722,AA1723)</f>
        <v>141.21496706870033</v>
      </c>
      <c r="AB1724" s="44"/>
      <c r="AC1724" s="72"/>
      <c r="AD1724" s="64" t="e">
        <f>IF(AD1720&lt;AD1721,AD1722,AD1723)</f>
        <v>#NUM!</v>
      </c>
      <c r="AE1724" s="44"/>
      <c r="AF1724" s="72"/>
      <c r="AG1724" s="64" t="e">
        <f>IF(AG1720&lt;AG1721,AG1722,AG1723)</f>
        <v>#NUM!</v>
      </c>
      <c r="AH1724" s="44"/>
      <c r="AI1724" s="72"/>
      <c r="AJ1724" s="64" t="e">
        <f>IF(AJ1720&lt;AJ1721,AJ1722,AJ1723)</f>
        <v>#NUM!</v>
      </c>
      <c r="AK1724" s="44"/>
      <c r="AL1724" s="72"/>
      <c r="AM1724" s="64" t="e">
        <f>IF(AM1720&lt;AM1721,AM1722,AM1723)</f>
        <v>#NUM!</v>
      </c>
      <c r="AN1724" s="44"/>
      <c r="AO1724" s="72"/>
      <c r="AP1724" s="64" t="e">
        <f>IF(AP1720&lt;AP1721,AP1722,AP1723)</f>
        <v>#NUM!</v>
      </c>
      <c r="AQ1724" s="44"/>
      <c r="AR1724" s="72"/>
      <c r="AS1724" s="64" t="e">
        <f>IF(AS1720&lt;AS1721,AS1722,AS1723)</f>
        <v>#NUM!</v>
      </c>
      <c r="AT1724" s="44"/>
      <c r="AU1724" s="72"/>
    </row>
    <row r="1725" spans="15:47" ht="13" x14ac:dyDescent="0.3">
      <c r="O1725" s="7" t="s">
        <v>264</v>
      </c>
      <c r="Q1725" s="61"/>
      <c r="R1725" s="53"/>
      <c r="S1725" s="69">
        <f>IFERROR(ABS(C_h-R1724),Q_max*10)</f>
        <v>2.0844089013372642</v>
      </c>
      <c r="T1725" s="76">
        <f>R1716</f>
        <v>16.554507562328496</v>
      </c>
      <c r="U1725" s="61"/>
      <c r="V1725" s="69">
        <f>IFERROR(ABS(U$23-U1724),Q_max*10)</f>
        <v>11.064977773917985</v>
      </c>
      <c r="W1725" s="75">
        <f>U1716</f>
        <v>129.50635878653966</v>
      </c>
      <c r="X1725" s="61"/>
      <c r="Y1725" s="69">
        <f>IFERROR(ABS(X$23-X1724),Q_max*10)</f>
        <v>35.571938110116569</v>
      </c>
      <c r="Z1725" s="75">
        <f>X1716</f>
        <v>310.86511292958596</v>
      </c>
      <c r="AA1725" s="61"/>
      <c r="AB1725" s="69">
        <f>IFERROR(ABS(AA$23-AA1724),Q_max*10)</f>
        <v>102.21496706870033</v>
      </c>
      <c r="AC1725" s="75">
        <f>AA1716</f>
        <v>593.55542897028658</v>
      </c>
      <c r="AD1725" s="61"/>
      <c r="AE1725" s="69">
        <f>IFERROR(ABS(AD$23-AD1724),Q_max*10)</f>
        <v>5500</v>
      </c>
      <c r="AF1725" s="75">
        <f>AD1716</f>
        <v>976.18014651272949</v>
      </c>
      <c r="AG1725" s="61"/>
      <c r="AH1725" s="69">
        <f>IFERROR(ABS(AG$23-AG1724),Q_max*10)</f>
        <v>5500</v>
      </c>
      <c r="AI1725" s="75">
        <f>AG1716</f>
        <v>1453.3992175916392</v>
      </c>
      <c r="AJ1725" s="61"/>
      <c r="AK1725" s="69">
        <f>IFERROR(ABS(AJ$23-AJ1724),Q_max*10)</f>
        <v>5500</v>
      </c>
      <c r="AL1725" s="75">
        <f>AJ1716</f>
        <v>1939.5668900758262</v>
      </c>
      <c r="AM1725" s="61"/>
      <c r="AN1725" s="69">
        <f>IFERROR(ABS(AM$23-AM1724),Q_max*10)</f>
        <v>5500</v>
      </c>
      <c r="AO1725" s="75">
        <f>AM1716</f>
        <v>2366.6402010833763</v>
      </c>
      <c r="AP1725" s="61"/>
      <c r="AQ1725" s="69">
        <f>IFERROR(ABS(AP$23-AP1724),Q_max*10)</f>
        <v>5500</v>
      </c>
      <c r="AR1725" s="75">
        <f>AP1716</f>
        <v>2747.5958019884106</v>
      </c>
      <c r="AS1725" s="61"/>
      <c r="AT1725" s="69">
        <f>IFERROR(ABS(AS$23-AS1724),Q_max*10)</f>
        <v>5500</v>
      </c>
      <c r="AU1725" s="75">
        <f>AS1716</f>
        <v>3127.0203195897257</v>
      </c>
    </row>
    <row r="1726" spans="15:47" ht="14.5" x14ac:dyDescent="0.35">
      <c r="O1726" s="6"/>
      <c r="P1726" s="6"/>
      <c r="Q1726" s="60"/>
      <c r="R1726" s="67"/>
      <c r="S1726" s="56"/>
      <c r="T1726" s="72"/>
      <c r="V1726" s="11"/>
      <c r="W1726" s="38"/>
      <c r="Y1726" s="11"/>
      <c r="Z1726" s="38"/>
      <c r="AB1726" s="11"/>
      <c r="AC1726" s="38"/>
      <c r="AE1726" s="11"/>
      <c r="AF1726" s="38"/>
      <c r="AH1726" s="11"/>
      <c r="AI1726" s="38"/>
      <c r="AK1726" s="11"/>
      <c r="AL1726" s="38"/>
      <c r="AN1726" s="11"/>
      <c r="AO1726" s="38"/>
      <c r="AQ1726" s="11"/>
      <c r="AR1726" s="38"/>
      <c r="AT1726" s="11"/>
      <c r="AU1726" s="38"/>
    </row>
    <row r="1727" spans="15:47" ht="14" x14ac:dyDescent="0.3">
      <c r="O1727" s="8" t="s">
        <v>235</v>
      </c>
      <c r="P1727" s="6"/>
      <c r="Q1727" s="60"/>
      <c r="R1727" s="53">
        <f>R1716*1.02</f>
        <v>16.885597713575066</v>
      </c>
      <c r="S1727" s="58" t="s">
        <v>238</v>
      </c>
      <c r="T1727" s="73" t="s">
        <v>241</v>
      </c>
      <c r="U1727" s="84">
        <f>U1716*1.01</f>
        <v>130.80142237440506</v>
      </c>
      <c r="V1727" s="58" t="s">
        <v>238</v>
      </c>
      <c r="W1727" s="73" t="s">
        <v>241</v>
      </c>
      <c r="X1727" s="84">
        <f>X1716*1.01</f>
        <v>313.97376405888184</v>
      </c>
      <c r="Y1727" s="58" t="s">
        <v>238</v>
      </c>
      <c r="Z1727" s="73" t="s">
        <v>241</v>
      </c>
      <c r="AA1727" s="84">
        <f>AA1716*1.01</f>
        <v>599.49098325998943</v>
      </c>
      <c r="AB1727" s="58" t="s">
        <v>238</v>
      </c>
      <c r="AC1727" s="73" t="s">
        <v>241</v>
      </c>
      <c r="AD1727" s="84">
        <f>AD1716*1.01</f>
        <v>985.94194797785678</v>
      </c>
      <c r="AE1727" s="58" t="s">
        <v>238</v>
      </c>
      <c r="AF1727" s="73" t="s">
        <v>241</v>
      </c>
      <c r="AG1727" s="84">
        <f>AG1716*1.01</f>
        <v>1467.9332097675556</v>
      </c>
      <c r="AH1727" s="58" t="s">
        <v>238</v>
      </c>
      <c r="AI1727" s="73" t="s">
        <v>241</v>
      </c>
      <c r="AJ1727" s="84">
        <f>AJ1716*1.01</f>
        <v>1958.9625589765844</v>
      </c>
      <c r="AK1727" s="58" t="s">
        <v>238</v>
      </c>
      <c r="AL1727" s="73" t="s">
        <v>241</v>
      </c>
      <c r="AM1727" s="84">
        <f>AM1716*1.01</f>
        <v>2390.30660309421</v>
      </c>
      <c r="AN1727" s="58" t="s">
        <v>238</v>
      </c>
      <c r="AO1727" s="73" t="s">
        <v>241</v>
      </c>
      <c r="AP1727" s="84">
        <f>AP1716*1.01</f>
        <v>2775.0717600082949</v>
      </c>
      <c r="AQ1727" s="58" t="s">
        <v>238</v>
      </c>
      <c r="AR1727" s="73" t="s">
        <v>241</v>
      </c>
      <c r="AS1727" s="84">
        <f>AS1716*1.01</f>
        <v>3158.2905227856231</v>
      </c>
      <c r="AT1727" s="58" t="s">
        <v>238</v>
      </c>
      <c r="AU1727" s="73" t="s">
        <v>241</v>
      </c>
    </row>
    <row r="1728" spans="15:47" ht="13" x14ac:dyDescent="0.25">
      <c r="O1728" s="6"/>
      <c r="P1728" s="6"/>
      <c r="Q1728" s="60"/>
      <c r="R1728" s="70"/>
      <c r="S1728" s="63" t="s">
        <v>250</v>
      </c>
      <c r="T1728" s="71" t="s">
        <v>242</v>
      </c>
      <c r="U1728" s="61"/>
      <c r="V1728" s="63" t="s">
        <v>250</v>
      </c>
      <c r="W1728" s="71" t="s">
        <v>242</v>
      </c>
      <c r="X1728" s="61"/>
      <c r="Y1728" s="63" t="s">
        <v>250</v>
      </c>
      <c r="Z1728" s="71" t="s">
        <v>242</v>
      </c>
      <c r="AA1728" s="61"/>
      <c r="AB1728" s="63" t="s">
        <v>250</v>
      </c>
      <c r="AC1728" s="71" t="s">
        <v>242</v>
      </c>
      <c r="AD1728" s="61"/>
      <c r="AE1728" s="63" t="s">
        <v>250</v>
      </c>
      <c r="AF1728" s="71" t="s">
        <v>242</v>
      </c>
      <c r="AG1728" s="61"/>
      <c r="AH1728" s="63" t="s">
        <v>250</v>
      </c>
      <c r="AI1728" s="71" t="s">
        <v>242</v>
      </c>
      <c r="AJ1728" s="61"/>
      <c r="AK1728" s="63" t="s">
        <v>250</v>
      </c>
      <c r="AL1728" s="71" t="s">
        <v>242</v>
      </c>
      <c r="AM1728" s="61"/>
      <c r="AN1728" s="63" t="s">
        <v>250</v>
      </c>
      <c r="AO1728" s="71" t="s">
        <v>242</v>
      </c>
      <c r="AP1728" s="61"/>
      <c r="AQ1728" s="63" t="s">
        <v>250</v>
      </c>
      <c r="AR1728" s="71" t="s">
        <v>242</v>
      </c>
      <c r="AS1728" s="61"/>
      <c r="AT1728" s="63" t="s">
        <v>250</v>
      </c>
      <c r="AU1728" s="71" t="s">
        <v>242</v>
      </c>
    </row>
    <row r="1729" spans="15:47" ht="13" x14ac:dyDescent="0.3">
      <c r="O1729" s="6" t="s">
        <v>231</v>
      </c>
      <c r="P1729" s="6"/>
      <c r="Q1729" s="60"/>
      <c r="R1729" s="85">
        <f>P_1_minQ-(R1727^2*R_up)+dpup_minQ</f>
        <v>56.906513900366612</v>
      </c>
      <c r="S1729" s="56"/>
      <c r="T1729" s="72"/>
      <c r="U1729" s="53">
        <f>P_1_minQ-(U1727^2*R_up)+dpup_minQ</f>
        <v>56.338331236232101</v>
      </c>
      <c r="V1729" s="44"/>
      <c r="W1729" s="72"/>
      <c r="X1729" s="53">
        <f>P_1_minQ-(X1727^2*R_up)+dpup_minQ</f>
        <v>53.586878604616601</v>
      </c>
      <c r="Y1729" s="44"/>
      <c r="Z1729" s="72"/>
      <c r="AA1729" s="53">
        <f>P_1_minQ-(AA1727^2*R_up)+dpup_minQ</f>
        <v>44.778708577844341</v>
      </c>
      <c r="AB1729" s="44"/>
      <c r="AC1729" s="72"/>
      <c r="AD1729" s="53">
        <f>P_1_minQ-(AD1727^2*R_up)+dpup_minQ</f>
        <v>24.086642189045225</v>
      </c>
      <c r="AE1729" s="44"/>
      <c r="AF1729" s="72"/>
      <c r="AG1729" s="53">
        <f>P_1_minQ-(AG1727^2*R_up)+dpup_minQ</f>
        <v>-15.857511257631831</v>
      </c>
      <c r="AH1729" s="44"/>
      <c r="AI1729" s="72"/>
      <c r="AJ1729" s="53">
        <f>P_1_minQ-(AJ1727^2*R_up)+dpup_minQ</f>
        <v>-72.686501434383246</v>
      </c>
      <c r="AK1729" s="44"/>
      <c r="AL1729" s="72"/>
      <c r="AM1729" s="53">
        <f>P_1_minQ-(AM1727^2*R_up)+dpup_minQ</f>
        <v>-136.04453417074578</v>
      </c>
      <c r="AN1729" s="44"/>
      <c r="AO1729" s="72"/>
      <c r="AP1729" s="53">
        <f>P_1_minQ-(AP1727^2*R_up)+dpup_minQ</f>
        <v>-203.16569649427683</v>
      </c>
      <c r="AQ1729" s="44"/>
      <c r="AR1729" s="72"/>
      <c r="AS1729" s="53">
        <f>P_1_minQ-(AS1727^2*R_up)+dpup_minQ</f>
        <v>-279.95650207083708</v>
      </c>
      <c r="AT1729" s="44"/>
      <c r="AU1729" s="72"/>
    </row>
    <row r="1730" spans="15:47" ht="13" x14ac:dyDescent="0.3">
      <c r="O1730" s="6" t="s">
        <v>233</v>
      </c>
      <c r="P1730" s="6"/>
      <c r="Q1730" s="60"/>
      <c r="R1730" s="85">
        <f>P_2_minQ+(R1727^2*R_dn)-dpdn_minQ</f>
        <v>24.65869721992668</v>
      </c>
      <c r="S1730" s="66"/>
      <c r="T1730" s="74"/>
      <c r="U1730" s="53">
        <f>P_2_minQ+(U1727^2*R_dn)-dpdn_minQ</f>
        <v>24.772333752753582</v>
      </c>
      <c r="V1730" s="45"/>
      <c r="W1730" s="74"/>
      <c r="X1730" s="53">
        <f>P_2_minQ+(X1727^2*R_dn)-dpdn_minQ</f>
        <v>25.322624279076681</v>
      </c>
      <c r="Y1730" s="45"/>
      <c r="Z1730" s="74"/>
      <c r="AA1730" s="53">
        <f>P_2_minQ+(AA1727^2*R_dn)-dpdn_minQ</f>
        <v>27.084258284431133</v>
      </c>
      <c r="AB1730" s="45"/>
      <c r="AC1730" s="74"/>
      <c r="AD1730" s="53">
        <f>P_2_minQ+(AD1727^2*R_dn)-dpdn_minQ</f>
        <v>31.222671562190957</v>
      </c>
      <c r="AE1730" s="45"/>
      <c r="AF1730" s="74"/>
      <c r="AG1730" s="53">
        <f>P_2_minQ+(AG1727^2*R_dn)-dpdn_minQ</f>
        <v>39.211502251526369</v>
      </c>
      <c r="AH1730" s="45"/>
      <c r="AI1730" s="74"/>
      <c r="AJ1730" s="53">
        <f>P_2_minQ+(AJ1727^2*R_dn)-dpdn_minQ</f>
        <v>50.57730028687665</v>
      </c>
      <c r="AK1730" s="45"/>
      <c r="AL1730" s="74"/>
      <c r="AM1730" s="53">
        <f>P_2_minQ+(AM1727^2*R_dn)-dpdn_minQ</f>
        <v>63.248906834149153</v>
      </c>
      <c r="AN1730" s="45"/>
      <c r="AO1730" s="74"/>
      <c r="AP1730" s="53">
        <f>P_2_minQ+(AP1727^2*R_dn)-dpdn_minQ</f>
        <v>76.673139298855347</v>
      </c>
      <c r="AQ1730" s="45"/>
      <c r="AR1730" s="74"/>
      <c r="AS1730" s="53">
        <f>P_2_minQ+(AS1727^2*R_dn)-dpdn_minQ</f>
        <v>92.031300414167404</v>
      </c>
      <c r="AT1730" s="45"/>
      <c r="AU1730" s="74"/>
    </row>
    <row r="1731" spans="15:47" x14ac:dyDescent="0.25">
      <c r="O1731" s="6" t="s">
        <v>243</v>
      </c>
      <c r="Q1731" s="60"/>
      <c r="R1731" s="53">
        <f>R1729-R1730</f>
        <v>32.247816680439932</v>
      </c>
      <c r="S1731" s="56"/>
      <c r="T1731" s="72"/>
      <c r="U1731" s="64">
        <f>U1729-U1730</f>
        <v>31.565997483478519</v>
      </c>
      <c r="V1731" s="44"/>
      <c r="W1731" s="72"/>
      <c r="X1731" s="64">
        <f>X1729-X1730</f>
        <v>28.26425432553992</v>
      </c>
      <c r="Y1731" s="44"/>
      <c r="Z1731" s="72"/>
      <c r="AA1731" s="64">
        <f>AA1729-AA1730</f>
        <v>17.694450293413208</v>
      </c>
      <c r="AB1731" s="44"/>
      <c r="AC1731" s="72"/>
      <c r="AD1731" s="64">
        <f>AD1729-AD1730</f>
        <v>-7.1360293731457318</v>
      </c>
      <c r="AE1731" s="44"/>
      <c r="AF1731" s="72"/>
      <c r="AG1731" s="64">
        <f>AG1729-AG1730</f>
        <v>-55.069013509158196</v>
      </c>
      <c r="AH1731" s="44"/>
      <c r="AI1731" s="72"/>
      <c r="AJ1731" s="64">
        <f>AJ1729-AJ1730</f>
        <v>-123.2638017212599</v>
      </c>
      <c r="AK1731" s="44"/>
      <c r="AL1731" s="72"/>
      <c r="AM1731" s="64">
        <f>AM1729-AM1730</f>
        <v>-199.29344100489493</v>
      </c>
      <c r="AN1731" s="44"/>
      <c r="AO1731" s="72"/>
      <c r="AP1731" s="64">
        <f>AP1729-AP1730</f>
        <v>-279.83883579313215</v>
      </c>
      <c r="AQ1731" s="44"/>
      <c r="AR1731" s="72"/>
      <c r="AS1731" s="64">
        <f>AS1729-AS1730</f>
        <v>-371.98780248500447</v>
      </c>
      <c r="AT1731" s="44"/>
      <c r="AU1731" s="72"/>
    </row>
    <row r="1732" spans="15:47" ht="13" x14ac:dyDescent="0.3">
      <c r="O1732" s="6" t="s">
        <v>75</v>
      </c>
      <c r="P1732" s="6">
        <v>3</v>
      </c>
      <c r="Q1732" s="65"/>
      <c r="R1732" s="85">
        <f>(F_LP_h/F_P_h)^2*(R1729-('Valve Sizing'!$V$4*'Valve Sizing'!$G$7))</f>
        <v>46.757189680430187</v>
      </c>
      <c r="S1732" s="58"/>
      <c r="T1732" s="73"/>
      <c r="U1732" s="53">
        <f>(U$29/U$27)^2*(U1729-('Valve Sizing'!$V$4*'Valve Sizing'!$G$7))</f>
        <v>46.274088767137677</v>
      </c>
      <c r="V1732" s="41"/>
      <c r="W1732" s="73"/>
      <c r="X1732" s="53">
        <f>(X$29/X$27)^2*(X1729-('Valve Sizing'!$V$4*'Valve Sizing'!$G$7))</f>
        <v>43.00393962258368</v>
      </c>
      <c r="Y1732" s="41"/>
      <c r="Z1732" s="73"/>
      <c r="AA1732" s="53">
        <f>(AA$29/AA$27)^2*(AA1729-('Valve Sizing'!$V$4*'Valve Sizing'!$G$7))</f>
        <v>34.264786220941687</v>
      </c>
      <c r="AB1732" s="41"/>
      <c r="AC1732" s="73"/>
      <c r="AD1732" s="53">
        <f>(AD$29/AD$27)^2*(AD1729-('Valve Sizing'!$V$4*'Valve Sizing'!$G$7))</f>
        <v>17.053618978601186</v>
      </c>
      <c r="AE1732" s="41"/>
      <c r="AF1732" s="73"/>
      <c r="AG1732" s="53">
        <f>(AG$29/AG$27)^2*(AG1729-('Valve Sizing'!$V$4*'Valve Sizing'!$G$7))</f>
        <v>-10.496350686161028</v>
      </c>
      <c r="AH1732" s="41"/>
      <c r="AI1732" s="73"/>
      <c r="AJ1732" s="53">
        <f>(AJ$29/AJ$27)^2*(AJ1729-('Valve Sizing'!$V$4*'Valve Sizing'!$G$7))</f>
        <v>-42.293793750498516</v>
      </c>
      <c r="AK1732" s="41"/>
      <c r="AL1732" s="73"/>
      <c r="AM1732" s="53">
        <f>(AM$29/AM$27)^2*(AM1729-('Valve Sizing'!$V$4*'Valve Sizing'!$G$7))</f>
        <v>-65.30407600449395</v>
      </c>
      <c r="AN1732" s="41"/>
      <c r="AO1732" s="73"/>
      <c r="AP1732" s="53">
        <f>(AP$29/AP$27)^2*(AP1729-('Valve Sizing'!$V$4*'Valve Sizing'!$G$7))</f>
        <v>-80.348292797352343</v>
      </c>
      <c r="AQ1732" s="41"/>
      <c r="AR1732" s="73"/>
      <c r="AS1732" s="53">
        <f>(AS$29/AS$27)^2*(AS1729-('Valve Sizing'!$V$4*'Valve Sizing'!$G$7))</f>
        <v>-105.46858464450628</v>
      </c>
      <c r="AT1732" s="41"/>
      <c r="AU1732" s="73"/>
    </row>
    <row r="1733" spans="15:47" ht="13" x14ac:dyDescent="0.25">
      <c r="O1733" s="1" t="s">
        <v>69</v>
      </c>
      <c r="P1733" s="17">
        <v>7</v>
      </c>
      <c r="Q1733" s="65"/>
      <c r="R1733" s="53">
        <f>(R1727/(N_1*F_P_h))*SQRT('Valve Sizing'!$G$6/R1731)</f>
        <v>2.9739236102172812</v>
      </c>
      <c r="S1733" s="58"/>
      <c r="T1733" s="73"/>
      <c r="U1733" s="64">
        <f>(U1727/(N_1*U$27))*SQRT('Valve Sizing'!$G$6/U1731)</f>
        <v>23.300668346221151</v>
      </c>
      <c r="V1733" s="41"/>
      <c r="W1733" s="73"/>
      <c r="X1733" s="64">
        <f>(X1727/(N_1*X$27))*SQRT('Valve Sizing'!$G$6/X1731)</f>
        <v>59.239981068130547</v>
      </c>
      <c r="Y1733" s="41"/>
      <c r="Z1733" s="73"/>
      <c r="AA1733" s="64">
        <f>(AA1727/(N_1*AA$27))*SQRT('Valve Sizing'!$G$6/AA1731)</f>
        <v>143.77909994972592</v>
      </c>
      <c r="AB1733" s="41"/>
      <c r="AC1733" s="73"/>
      <c r="AD1733" s="64" t="e">
        <f>(AD1727/(N_1*AD$27))*SQRT('Valve Sizing'!$G$6/AD1731)</f>
        <v>#NUM!</v>
      </c>
      <c r="AE1733" s="41"/>
      <c r="AF1733" s="73"/>
      <c r="AG1733" s="64" t="e">
        <f>(AG1727/(N_1*AG$27))*SQRT('Valve Sizing'!$G$6/AG1731)</f>
        <v>#NUM!</v>
      </c>
      <c r="AH1733" s="41"/>
      <c r="AI1733" s="73"/>
      <c r="AJ1733" s="64" t="e">
        <f>(AJ1727/(N_1*AJ$27))*SQRT('Valve Sizing'!$G$6/AJ1731)</f>
        <v>#NUM!</v>
      </c>
      <c r="AK1733" s="41"/>
      <c r="AL1733" s="73"/>
      <c r="AM1733" s="64" t="e">
        <f>(AM1727/(N_1*AM$27))*SQRT('Valve Sizing'!$G$6/AM1731)</f>
        <v>#NUM!</v>
      </c>
      <c r="AN1733" s="41"/>
      <c r="AO1733" s="73"/>
      <c r="AP1733" s="64" t="e">
        <f>(AP1727/(N_1*AP$27))*SQRT('Valve Sizing'!$G$6/AP1731)</f>
        <v>#NUM!</v>
      </c>
      <c r="AQ1733" s="41"/>
      <c r="AR1733" s="73"/>
      <c r="AS1733" s="64" t="e">
        <f>(AS1727/(N_1*AS$27))*SQRT('Valve Sizing'!$G$6/AS1731)</f>
        <v>#NUM!</v>
      </c>
      <c r="AT1733" s="41"/>
      <c r="AU1733" s="73"/>
    </row>
    <row r="1734" spans="15:47" ht="13" x14ac:dyDescent="0.3">
      <c r="O1734" s="1" t="s">
        <v>72</v>
      </c>
      <c r="P1734" s="17">
        <v>7</v>
      </c>
      <c r="Q1734" s="65"/>
      <c r="R1734" s="53">
        <f>(R1727/(N_1*F_P_h))*SQRT('Valve Sizing'!$G$6/R1732)</f>
        <v>2.4697657682191418</v>
      </c>
      <c r="S1734" s="56"/>
      <c r="T1734" s="72"/>
      <c r="U1734" s="85">
        <f>(U1727/(N_1*U$27))*SQRT('Valve Sizing'!$G$6/U1732)</f>
        <v>19.244613769234714</v>
      </c>
      <c r="V1734" s="44"/>
      <c r="W1734" s="72"/>
      <c r="X1734" s="85">
        <f>(X1727/(N_1*X$27))*SQRT('Valve Sizing'!$G$6/X1732)</f>
        <v>48.02634711860501</v>
      </c>
      <c r="Y1734" s="44"/>
      <c r="Z1734" s="72"/>
      <c r="AA1734" s="85">
        <f>(AA1727/(N_1*AA$27))*SQRT('Valve Sizing'!$G$6/AA1732)</f>
        <v>103.3214006378747</v>
      </c>
      <c r="AB1734" s="44"/>
      <c r="AC1734" s="72"/>
      <c r="AD1734" s="85">
        <f>(AD1727/(N_1*AD$27))*SQRT('Valve Sizing'!$G$6/AD1732)</f>
        <v>243.8933237841859</v>
      </c>
      <c r="AE1734" s="44"/>
      <c r="AF1734" s="72"/>
      <c r="AG1734" s="85" t="e">
        <f>(AG1727/(N_1*AG$27))*SQRT('Valve Sizing'!$G$6/AG1732)</f>
        <v>#NUM!</v>
      </c>
      <c r="AH1734" s="44"/>
      <c r="AI1734" s="72"/>
      <c r="AJ1734" s="85" t="e">
        <f>(AJ1727/(N_1*AJ$27))*SQRT('Valve Sizing'!$G$6/AJ1732)</f>
        <v>#NUM!</v>
      </c>
      <c r="AK1734" s="44"/>
      <c r="AL1734" s="72"/>
      <c r="AM1734" s="85" t="e">
        <f>(AM1727/(N_1*AM$27))*SQRT('Valve Sizing'!$G$6/AM1732)</f>
        <v>#NUM!</v>
      </c>
      <c r="AN1734" s="44"/>
      <c r="AO1734" s="72"/>
      <c r="AP1734" s="85" t="e">
        <f>(AP1727/(N_1*AP$27))*SQRT('Valve Sizing'!$G$6/AP1732)</f>
        <v>#NUM!</v>
      </c>
      <c r="AQ1734" s="44"/>
      <c r="AR1734" s="72"/>
      <c r="AS1734" s="85" t="e">
        <f>(AS1727/(N_1*AS$27))*SQRT('Valve Sizing'!$G$6/AS1732)</f>
        <v>#NUM!</v>
      </c>
      <c r="AT1734" s="44"/>
      <c r="AU1734" s="72"/>
    </row>
    <row r="1735" spans="15:47" x14ac:dyDescent="0.25">
      <c r="O1735" s="1" t="s">
        <v>246</v>
      </c>
      <c r="P1735" s="18"/>
      <c r="Q1735" s="65"/>
      <c r="R1735" s="53">
        <f>IF(R1731&lt;R1732,R1733,R1734)</f>
        <v>2.9739236102172812</v>
      </c>
      <c r="S1735" s="49"/>
      <c r="T1735" s="72"/>
      <c r="U1735" s="64">
        <f>IF(U1731&lt;U1732,U1733,U1734)</f>
        <v>23.300668346221151</v>
      </c>
      <c r="V1735" s="44"/>
      <c r="W1735" s="72"/>
      <c r="X1735" s="64">
        <f>IF(X1731&lt;X1732,X1733,X1734)</f>
        <v>59.239981068130547</v>
      </c>
      <c r="Y1735" s="44"/>
      <c r="Z1735" s="72"/>
      <c r="AA1735" s="64">
        <f>IF(AA1731&lt;AA1732,AA1733,AA1734)</f>
        <v>143.77909994972592</v>
      </c>
      <c r="AB1735" s="44"/>
      <c r="AC1735" s="72"/>
      <c r="AD1735" s="64" t="e">
        <f>IF(AD1731&lt;AD1732,AD1733,AD1734)</f>
        <v>#NUM!</v>
      </c>
      <c r="AE1735" s="44"/>
      <c r="AF1735" s="72"/>
      <c r="AG1735" s="64" t="e">
        <f>IF(AG1731&lt;AG1732,AG1733,AG1734)</f>
        <v>#NUM!</v>
      </c>
      <c r="AH1735" s="44"/>
      <c r="AI1735" s="72"/>
      <c r="AJ1735" s="64" t="e">
        <f>IF(AJ1731&lt;AJ1732,AJ1733,AJ1734)</f>
        <v>#NUM!</v>
      </c>
      <c r="AK1735" s="44"/>
      <c r="AL1735" s="72"/>
      <c r="AM1735" s="64" t="e">
        <f>IF(AM1731&lt;AM1732,AM1733,AM1734)</f>
        <v>#NUM!</v>
      </c>
      <c r="AN1735" s="44"/>
      <c r="AO1735" s="72"/>
      <c r="AP1735" s="64" t="e">
        <f>IF(AP1731&lt;AP1732,AP1733,AP1734)</f>
        <v>#NUM!</v>
      </c>
      <c r="AQ1735" s="44"/>
      <c r="AR1735" s="72"/>
      <c r="AS1735" s="64" t="e">
        <f>IF(AS1731&lt;AS1732,AS1733,AS1734)</f>
        <v>#NUM!</v>
      </c>
      <c r="AT1735" s="44"/>
      <c r="AU1735" s="72"/>
    </row>
    <row r="1736" spans="15:47" ht="13" x14ac:dyDescent="0.3">
      <c r="O1736" s="7" t="s">
        <v>264</v>
      </c>
      <c r="Q1736" s="61"/>
      <c r="R1736" s="53"/>
      <c r="S1736" s="69">
        <f>IFERROR(ABS(C_h-R1735),Q_max*10)</f>
        <v>2.0260763897827188</v>
      </c>
      <c r="T1736" s="76">
        <f>R1727</f>
        <v>16.885597713575066</v>
      </c>
      <c r="U1736" s="61"/>
      <c r="V1736" s="69">
        <f>IFERROR(ABS(U$23-U1735),Q_max*10)</f>
        <v>11.300668346221151</v>
      </c>
      <c r="W1736" s="75">
        <f>U1727</f>
        <v>130.80142237440506</v>
      </c>
      <c r="X1736" s="61"/>
      <c r="Y1736" s="69">
        <f>IFERROR(ABS(X$23-X1735),Q_max*10)</f>
        <v>36.239981068130547</v>
      </c>
      <c r="Z1736" s="75">
        <f>X1727</f>
        <v>313.97376405888184</v>
      </c>
      <c r="AA1736" s="61"/>
      <c r="AB1736" s="69">
        <f>IFERROR(ABS(AA$23-AA1735),Q_max*10)</f>
        <v>104.77909994972592</v>
      </c>
      <c r="AC1736" s="75">
        <f>AA1727</f>
        <v>599.49098325998943</v>
      </c>
      <c r="AD1736" s="61"/>
      <c r="AE1736" s="69">
        <f>IFERROR(ABS(AD$23-AD1735),Q_max*10)</f>
        <v>5500</v>
      </c>
      <c r="AF1736" s="75">
        <f>AD1727</f>
        <v>985.94194797785678</v>
      </c>
      <c r="AG1736" s="61"/>
      <c r="AH1736" s="69">
        <f>IFERROR(ABS(AG$23-AG1735),Q_max*10)</f>
        <v>5500</v>
      </c>
      <c r="AI1736" s="75">
        <f>AG1727</f>
        <v>1467.9332097675556</v>
      </c>
      <c r="AJ1736" s="61"/>
      <c r="AK1736" s="69">
        <f>IFERROR(ABS(AJ$23-AJ1735),Q_max*10)</f>
        <v>5500</v>
      </c>
      <c r="AL1736" s="75">
        <f>AJ1727</f>
        <v>1958.9625589765844</v>
      </c>
      <c r="AM1736" s="61"/>
      <c r="AN1736" s="69">
        <f>IFERROR(ABS(AM$23-AM1735),Q_max*10)</f>
        <v>5500</v>
      </c>
      <c r="AO1736" s="75">
        <f>AM1727</f>
        <v>2390.30660309421</v>
      </c>
      <c r="AP1736" s="61"/>
      <c r="AQ1736" s="69">
        <f>IFERROR(ABS(AP$23-AP1735),Q_max*10)</f>
        <v>5500</v>
      </c>
      <c r="AR1736" s="75">
        <f>AP1727</f>
        <v>2775.0717600082949</v>
      </c>
      <c r="AS1736" s="61"/>
      <c r="AT1736" s="69">
        <f>IFERROR(ABS(AS$23-AS1735),Q_max*10)</f>
        <v>5500</v>
      </c>
      <c r="AU1736" s="75">
        <f>AS1727</f>
        <v>3158.2905227856231</v>
      </c>
    </row>
    <row r="1737" spans="15:47" ht="14.5" x14ac:dyDescent="0.35">
      <c r="O1737" s="8"/>
      <c r="P1737" s="6"/>
      <c r="Q1737" s="60"/>
      <c r="R1737" s="67"/>
      <c r="S1737" s="58"/>
      <c r="T1737" s="73"/>
      <c r="V1737" s="11"/>
      <c r="W1737" s="38"/>
      <c r="Y1737" s="11"/>
      <c r="Z1737" s="38"/>
      <c r="AB1737" s="11"/>
      <c r="AC1737" s="38"/>
      <c r="AE1737" s="11"/>
      <c r="AF1737" s="38"/>
      <c r="AH1737" s="11"/>
      <c r="AI1737" s="38"/>
      <c r="AK1737" s="11"/>
      <c r="AL1737" s="38"/>
      <c r="AN1737" s="11"/>
      <c r="AO1737" s="38"/>
      <c r="AQ1737" s="11"/>
      <c r="AR1737" s="38"/>
      <c r="AT1737" s="11"/>
      <c r="AU1737" s="38"/>
    </row>
    <row r="1738" spans="15:47" ht="14" x14ac:dyDescent="0.3">
      <c r="O1738" s="8" t="s">
        <v>235</v>
      </c>
      <c r="P1738" s="6"/>
      <c r="Q1738" s="60"/>
      <c r="R1738" s="53">
        <f>R1727*1.02</f>
        <v>17.223309667846568</v>
      </c>
      <c r="S1738" s="58" t="s">
        <v>238</v>
      </c>
      <c r="T1738" s="73" t="s">
        <v>241</v>
      </c>
      <c r="U1738" s="84">
        <f>U1727*1.01</f>
        <v>132.1094365981491</v>
      </c>
      <c r="V1738" s="58" t="s">
        <v>238</v>
      </c>
      <c r="W1738" s="73" t="s">
        <v>241</v>
      </c>
      <c r="X1738" s="84">
        <f>X1727*1.01</f>
        <v>317.11350169947065</v>
      </c>
      <c r="Y1738" s="58" t="s">
        <v>238</v>
      </c>
      <c r="Z1738" s="73" t="s">
        <v>241</v>
      </c>
      <c r="AA1738" s="84">
        <f>AA1727*1.01</f>
        <v>605.48589309258932</v>
      </c>
      <c r="AB1738" s="58" t="s">
        <v>238</v>
      </c>
      <c r="AC1738" s="73" t="s">
        <v>241</v>
      </c>
      <c r="AD1738" s="84">
        <f>AD1727*1.01</f>
        <v>995.80136745763537</v>
      </c>
      <c r="AE1738" s="58" t="s">
        <v>238</v>
      </c>
      <c r="AF1738" s="73" t="s">
        <v>241</v>
      </c>
      <c r="AG1738" s="84">
        <f>AG1727*1.01</f>
        <v>1482.6125418652312</v>
      </c>
      <c r="AH1738" s="58" t="s">
        <v>238</v>
      </c>
      <c r="AI1738" s="73" t="s">
        <v>241</v>
      </c>
      <c r="AJ1738" s="84">
        <f>AJ1727*1.01</f>
        <v>1978.5521845663502</v>
      </c>
      <c r="AK1738" s="58" t="s">
        <v>238</v>
      </c>
      <c r="AL1738" s="73" t="s">
        <v>241</v>
      </c>
      <c r="AM1738" s="84">
        <f>AM1727*1.01</f>
        <v>2414.2096691251522</v>
      </c>
      <c r="AN1738" s="58" t="s">
        <v>238</v>
      </c>
      <c r="AO1738" s="73" t="s">
        <v>241</v>
      </c>
      <c r="AP1738" s="84">
        <f>AP1727*1.01</f>
        <v>2802.822477608378</v>
      </c>
      <c r="AQ1738" s="58" t="s">
        <v>238</v>
      </c>
      <c r="AR1738" s="73" t="s">
        <v>241</v>
      </c>
      <c r="AS1738" s="84">
        <f>AS1727*1.01</f>
        <v>3189.8734280134795</v>
      </c>
      <c r="AT1738" s="58" t="s">
        <v>238</v>
      </c>
      <c r="AU1738" s="73" t="s">
        <v>241</v>
      </c>
    </row>
    <row r="1739" spans="15:47" ht="13" x14ac:dyDescent="0.25">
      <c r="O1739" s="6"/>
      <c r="P1739" s="6"/>
      <c r="Q1739" s="60"/>
      <c r="R1739" s="70"/>
      <c r="S1739" s="63" t="s">
        <v>250</v>
      </c>
      <c r="T1739" s="71" t="s">
        <v>242</v>
      </c>
      <c r="U1739" s="61"/>
      <c r="V1739" s="63" t="s">
        <v>250</v>
      </c>
      <c r="W1739" s="71" t="s">
        <v>242</v>
      </c>
      <c r="X1739" s="61"/>
      <c r="Y1739" s="63" t="s">
        <v>250</v>
      </c>
      <c r="Z1739" s="71" t="s">
        <v>242</v>
      </c>
      <c r="AA1739" s="61"/>
      <c r="AB1739" s="63" t="s">
        <v>250</v>
      </c>
      <c r="AC1739" s="71" t="s">
        <v>242</v>
      </c>
      <c r="AD1739" s="61"/>
      <c r="AE1739" s="63" t="s">
        <v>250</v>
      </c>
      <c r="AF1739" s="71" t="s">
        <v>242</v>
      </c>
      <c r="AG1739" s="61"/>
      <c r="AH1739" s="63" t="s">
        <v>250</v>
      </c>
      <c r="AI1739" s="71" t="s">
        <v>242</v>
      </c>
      <c r="AJ1739" s="61"/>
      <c r="AK1739" s="63" t="s">
        <v>250</v>
      </c>
      <c r="AL1739" s="71" t="s">
        <v>242</v>
      </c>
      <c r="AM1739" s="61"/>
      <c r="AN1739" s="63" t="s">
        <v>250</v>
      </c>
      <c r="AO1739" s="71" t="s">
        <v>242</v>
      </c>
      <c r="AP1739" s="61"/>
      <c r="AQ1739" s="63" t="s">
        <v>250</v>
      </c>
      <c r="AR1739" s="71" t="s">
        <v>242</v>
      </c>
      <c r="AS1739" s="61"/>
      <c r="AT1739" s="63" t="s">
        <v>250</v>
      </c>
      <c r="AU1739" s="71" t="s">
        <v>242</v>
      </c>
    </row>
    <row r="1740" spans="15:47" ht="13" x14ac:dyDescent="0.3">
      <c r="O1740" s="6" t="s">
        <v>231</v>
      </c>
      <c r="P1740" s="6"/>
      <c r="Q1740" s="60"/>
      <c r="R1740" s="85">
        <f>P_1_minQ-(R1738^2*R_up)+dpup_minQ</f>
        <v>56.906124876868809</v>
      </c>
      <c r="S1740" s="56"/>
      <c r="T1740" s="72"/>
      <c r="U1740" s="53">
        <f>P_1_minQ-(U1738^2*R_up)+dpup_minQ</f>
        <v>56.326717215863546</v>
      </c>
      <c r="V1740" s="44"/>
      <c r="W1740" s="72"/>
      <c r="X1740" s="53">
        <f>P_1_minQ-(X1738^2*R_up)+dpup_minQ</f>
        <v>53.519960386352579</v>
      </c>
      <c r="Y1740" s="44"/>
      <c r="Z1740" s="72"/>
      <c r="AA1740" s="53">
        <f>P_1_minQ-(AA1738^2*R_up)+dpup_minQ</f>
        <v>44.534746142042195</v>
      </c>
      <c r="AB1740" s="44"/>
      <c r="AC1740" s="72"/>
      <c r="AD1740" s="53">
        <f>P_1_minQ-(AD1738^2*R_up)+dpup_minQ</f>
        <v>23.426769218828216</v>
      </c>
      <c r="AE1740" s="44"/>
      <c r="AF1740" s="72"/>
      <c r="AG1740" s="53">
        <f>P_1_minQ-(AG1738^2*R_up)+dpup_minQ</f>
        <v>-17.320261712127053</v>
      </c>
      <c r="AH1740" s="44"/>
      <c r="AI1740" s="72"/>
      <c r="AJ1740" s="53">
        <f>P_1_minQ-(AJ1738^2*R_up)+dpup_minQ</f>
        <v>-75.291514591431167</v>
      </c>
      <c r="AK1740" s="44"/>
      <c r="AL1740" s="72"/>
      <c r="AM1740" s="53">
        <f>P_1_minQ-(AM1738^2*R_up)+dpup_minQ</f>
        <v>-139.92304378579459</v>
      </c>
      <c r="AN1740" s="44"/>
      <c r="AO1740" s="72"/>
      <c r="AP1740" s="53">
        <f>P_1_minQ-(AP1738^2*R_up)+dpup_minQ</f>
        <v>-208.39334147202865</v>
      </c>
      <c r="AQ1740" s="44"/>
      <c r="AR1740" s="72"/>
      <c r="AS1740" s="53">
        <f>P_1_minQ-(AS1738^2*R_up)+dpup_minQ</f>
        <v>-286.72764224067777</v>
      </c>
      <c r="AT1740" s="44"/>
      <c r="AU1740" s="72"/>
    </row>
    <row r="1741" spans="15:47" ht="13" x14ac:dyDescent="0.3">
      <c r="O1741" s="6" t="s">
        <v>233</v>
      </c>
      <c r="P1741" s="6"/>
      <c r="Q1741" s="60"/>
      <c r="R1741" s="85">
        <f>P_2_minQ+(R1738^2*R_dn)-dpdn_minQ</f>
        <v>24.658775024626241</v>
      </c>
      <c r="S1741" s="66"/>
      <c r="T1741" s="74"/>
      <c r="U1741" s="53">
        <f>P_2_minQ+(U1738^2*R_dn)-dpdn_minQ</f>
        <v>24.774656556827292</v>
      </c>
      <c r="V1741" s="45"/>
      <c r="W1741" s="74"/>
      <c r="X1741" s="53">
        <f>P_2_minQ+(X1738^2*R_dn)-dpdn_minQ</f>
        <v>25.336007922729486</v>
      </c>
      <c r="Y1741" s="45"/>
      <c r="Z1741" s="74"/>
      <c r="AA1741" s="53">
        <f>P_2_minQ+(AA1738^2*R_dn)-dpdn_minQ</f>
        <v>27.133050771591563</v>
      </c>
      <c r="AB1741" s="45"/>
      <c r="AC1741" s="74"/>
      <c r="AD1741" s="53">
        <f>P_2_minQ+(AD1738^2*R_dn)-dpdn_minQ</f>
        <v>31.354646156234356</v>
      </c>
      <c r="AE1741" s="45"/>
      <c r="AF1741" s="74"/>
      <c r="AG1741" s="53">
        <f>P_2_minQ+(AG1738^2*R_dn)-dpdn_minQ</f>
        <v>39.50405234242541</v>
      </c>
      <c r="AH1741" s="45"/>
      <c r="AI1741" s="74"/>
      <c r="AJ1741" s="53">
        <f>P_2_minQ+(AJ1738^2*R_dn)-dpdn_minQ</f>
        <v>51.098302918286237</v>
      </c>
      <c r="AK1741" s="45"/>
      <c r="AL1741" s="74"/>
      <c r="AM1741" s="53">
        <f>P_2_minQ+(AM1738^2*R_dn)-dpdn_minQ</f>
        <v>64.024608757158916</v>
      </c>
      <c r="AN1741" s="45"/>
      <c r="AO1741" s="74"/>
      <c r="AP1741" s="53">
        <f>P_2_minQ+(AP1738^2*R_dn)-dpdn_minQ</f>
        <v>77.718668294405717</v>
      </c>
      <c r="AQ1741" s="45"/>
      <c r="AR1741" s="74"/>
      <c r="AS1741" s="53">
        <f>P_2_minQ+(AS1738^2*R_dn)-dpdn_minQ</f>
        <v>93.385528448135545</v>
      </c>
      <c r="AT1741" s="45"/>
      <c r="AU1741" s="74"/>
    </row>
    <row r="1742" spans="15:47" x14ac:dyDescent="0.25">
      <c r="O1742" s="6" t="s">
        <v>243</v>
      </c>
      <c r="Q1742" s="60"/>
      <c r="R1742" s="53">
        <f>R1740-R1741</f>
        <v>32.247349852242564</v>
      </c>
      <c r="S1742" s="56"/>
      <c r="T1742" s="72"/>
      <c r="U1742" s="64">
        <f>U1740-U1741</f>
        <v>31.552060659036254</v>
      </c>
      <c r="V1742" s="44"/>
      <c r="W1742" s="72"/>
      <c r="X1742" s="64">
        <f>X1740-X1741</f>
        <v>28.183952463623093</v>
      </c>
      <c r="Y1742" s="44"/>
      <c r="Z1742" s="72"/>
      <c r="AA1742" s="64">
        <f>AA1740-AA1741</f>
        <v>17.401695370450632</v>
      </c>
      <c r="AB1742" s="44"/>
      <c r="AC1742" s="72"/>
      <c r="AD1742" s="64">
        <f>AD1740-AD1741</f>
        <v>-7.9278769374061397</v>
      </c>
      <c r="AE1742" s="44"/>
      <c r="AF1742" s="72"/>
      <c r="AG1742" s="64">
        <f>AG1740-AG1741</f>
        <v>-56.82431405455246</v>
      </c>
      <c r="AH1742" s="44"/>
      <c r="AI1742" s="72"/>
      <c r="AJ1742" s="64">
        <f>AJ1740-AJ1741</f>
        <v>-126.3898175097174</v>
      </c>
      <c r="AK1742" s="44"/>
      <c r="AL1742" s="72"/>
      <c r="AM1742" s="64">
        <f>AM1740-AM1741</f>
        <v>-203.94765254295351</v>
      </c>
      <c r="AN1742" s="44"/>
      <c r="AO1742" s="72"/>
      <c r="AP1742" s="64">
        <f>AP1740-AP1741</f>
        <v>-286.11200976643437</v>
      </c>
      <c r="AQ1742" s="44"/>
      <c r="AR1742" s="72"/>
      <c r="AS1742" s="64">
        <f>AS1740-AS1741</f>
        <v>-380.11317068881328</v>
      </c>
      <c r="AT1742" s="44"/>
      <c r="AU1742" s="72"/>
    </row>
    <row r="1743" spans="15:47" ht="13" x14ac:dyDescent="0.3">
      <c r="O1743" s="6" t="s">
        <v>75</v>
      </c>
      <c r="P1743" s="6">
        <v>3</v>
      </c>
      <c r="Q1743" s="65"/>
      <c r="R1743" s="85">
        <f>(F_LP_h/F_P_h)^2*(R1740-('Valve Sizing'!$V$4*'Valve Sizing'!$G$7))</f>
        <v>46.756867548554183</v>
      </c>
      <c r="S1743" s="58"/>
      <c r="T1743" s="73"/>
      <c r="U1743" s="53">
        <f>(U$29/U$27)^2*(U1740-('Valve Sizing'!$V$4*'Valve Sizing'!$G$7))</f>
        <v>46.264474369855243</v>
      </c>
      <c r="V1743" s="41"/>
      <c r="W1743" s="73"/>
      <c r="X1743" s="53">
        <f>(X$29/X$27)^2*(X1740-('Valve Sizing'!$V$4*'Valve Sizing'!$G$7))</f>
        <v>42.949792507719351</v>
      </c>
      <c r="Y1743" s="41"/>
      <c r="Z1743" s="73"/>
      <c r="AA1743" s="53">
        <f>(AA$29/AA$27)^2*(AA1740-('Valve Sizing'!$V$4*'Valve Sizing'!$G$7))</f>
        <v>34.076252728439201</v>
      </c>
      <c r="AB1743" s="41"/>
      <c r="AC1743" s="73"/>
      <c r="AD1743" s="53">
        <f>(AD$29/AD$27)^2*(AD1740-('Valve Sizing'!$V$4*'Valve Sizing'!$G$7))</f>
        <v>16.577726902145059</v>
      </c>
      <c r="AE1743" s="41"/>
      <c r="AF1743" s="73"/>
      <c r="AG1743" s="53">
        <f>(AG$29/AG$27)^2*(AG1740-('Valve Sizing'!$V$4*'Valve Sizing'!$G$7))</f>
        <v>-11.438426268469007</v>
      </c>
      <c r="AH1743" s="41"/>
      <c r="AI1743" s="73"/>
      <c r="AJ1743" s="53">
        <f>(AJ$29/AJ$27)^2*(AJ1740-('Valve Sizing'!$V$4*'Valve Sizing'!$G$7))</f>
        <v>-43.800440453590596</v>
      </c>
      <c r="AK1743" s="41"/>
      <c r="AL1743" s="73"/>
      <c r="AM1743" s="53">
        <f>(AM$29/AM$27)^2*(AM1740-('Valve Sizing'!$V$4*'Valve Sizing'!$G$7))</f>
        <v>-67.159834836104594</v>
      </c>
      <c r="AN1743" s="41"/>
      <c r="AO1743" s="73"/>
      <c r="AP1743" s="53">
        <f>(AP$29/AP$27)^2*(AP1740-('Valve Sizing'!$V$4*'Valve Sizing'!$G$7))</f>
        <v>-82.411261749478612</v>
      </c>
      <c r="AQ1743" s="41"/>
      <c r="AR1743" s="73"/>
      <c r="AS1743" s="53">
        <f>(AS$29/AS$27)^2*(AS1740-('Valve Sizing'!$V$4*'Valve Sizing'!$G$7))</f>
        <v>-108.01548668497843</v>
      </c>
      <c r="AT1743" s="41"/>
      <c r="AU1743" s="73"/>
    </row>
    <row r="1744" spans="15:47" ht="13" x14ac:dyDescent="0.25">
      <c r="O1744" s="1" t="s">
        <v>69</v>
      </c>
      <c r="P1744" s="17">
        <v>7</v>
      </c>
      <c r="Q1744" s="65"/>
      <c r="R1744" s="53">
        <f>(R1738/(N_1*F_P_h))*SQRT('Valve Sizing'!$G$6/R1742)</f>
        <v>3.033424038838318</v>
      </c>
      <c r="S1744" s="58"/>
      <c r="T1744" s="73"/>
      <c r="U1744" s="64">
        <f>(U1738/(N_1*U$27))*SQRT('Valve Sizing'!$G$6/U1742)</f>
        <v>23.538871972134679</v>
      </c>
      <c r="V1744" s="41"/>
      <c r="W1744" s="73"/>
      <c r="X1744" s="64">
        <f>(X1738/(N_1*X$27))*SQRT('Valve Sizing'!$G$6/X1742)</f>
        <v>59.917557613711487</v>
      </c>
      <c r="Y1744" s="41"/>
      <c r="Z1744" s="73"/>
      <c r="AA1744" s="64">
        <f>(AA1738/(N_1*AA$27))*SQRT('Valve Sizing'!$G$6/AA1742)</f>
        <v>146.4333139630007</v>
      </c>
      <c r="AB1744" s="41"/>
      <c r="AC1744" s="73"/>
      <c r="AD1744" s="64" t="e">
        <f>(AD1738/(N_1*AD$27))*SQRT('Valve Sizing'!$G$6/AD1742)</f>
        <v>#NUM!</v>
      </c>
      <c r="AE1744" s="41"/>
      <c r="AF1744" s="73"/>
      <c r="AG1744" s="64" t="e">
        <f>(AG1738/(N_1*AG$27))*SQRT('Valve Sizing'!$G$6/AG1742)</f>
        <v>#NUM!</v>
      </c>
      <c r="AH1744" s="41"/>
      <c r="AI1744" s="73"/>
      <c r="AJ1744" s="64" t="e">
        <f>(AJ1738/(N_1*AJ$27))*SQRT('Valve Sizing'!$G$6/AJ1742)</f>
        <v>#NUM!</v>
      </c>
      <c r="AK1744" s="41"/>
      <c r="AL1744" s="73"/>
      <c r="AM1744" s="64" t="e">
        <f>(AM1738/(N_1*AM$27))*SQRT('Valve Sizing'!$G$6/AM1742)</f>
        <v>#NUM!</v>
      </c>
      <c r="AN1744" s="41"/>
      <c r="AO1744" s="73"/>
      <c r="AP1744" s="64" t="e">
        <f>(AP1738/(N_1*AP$27))*SQRT('Valve Sizing'!$G$6/AP1742)</f>
        <v>#NUM!</v>
      </c>
      <c r="AQ1744" s="41"/>
      <c r="AR1744" s="73"/>
      <c r="AS1744" s="64" t="e">
        <f>(AS1738/(N_1*AS$27))*SQRT('Valve Sizing'!$G$6/AS1742)</f>
        <v>#NUM!</v>
      </c>
      <c r="AT1744" s="41"/>
      <c r="AU1744" s="73"/>
    </row>
    <row r="1745" spans="15:47" ht="13" x14ac:dyDescent="0.3">
      <c r="O1745" s="1" t="s">
        <v>72</v>
      </c>
      <c r="P1745" s="17">
        <v>7</v>
      </c>
      <c r="Q1745" s="65"/>
      <c r="R1745" s="53">
        <f>(R1738/(N_1*F_P_h))*SQRT('Valve Sizing'!$G$6/R1743)</f>
        <v>2.519169761460494</v>
      </c>
      <c r="S1745" s="56"/>
      <c r="T1745" s="72"/>
      <c r="U1745" s="85">
        <f>(U1738/(N_1*U$27))*SQRT('Valve Sizing'!$G$6/U1743)</f>
        <v>19.43907944687286</v>
      </c>
      <c r="V1745" s="44"/>
      <c r="W1745" s="72"/>
      <c r="X1745" s="85">
        <f>(X1738/(N_1*X$27))*SQRT('Valve Sizing'!$G$6/X1743)</f>
        <v>48.537177276772347</v>
      </c>
      <c r="Y1745" s="44"/>
      <c r="Z1745" s="72"/>
      <c r="AA1745" s="85">
        <f>(AA1738/(N_1*AA$27))*SQRT('Valve Sizing'!$G$6/AA1743)</f>
        <v>104.642897544782</v>
      </c>
      <c r="AB1745" s="44"/>
      <c r="AC1745" s="72"/>
      <c r="AD1745" s="85">
        <f>(AD1738/(N_1*AD$27))*SQRT('Valve Sizing'!$G$6/AD1743)</f>
        <v>249.84293519083297</v>
      </c>
      <c r="AE1745" s="44"/>
      <c r="AF1745" s="72"/>
      <c r="AG1745" s="85" t="e">
        <f>(AG1738/(N_1*AG$27))*SQRT('Valve Sizing'!$G$6/AG1743)</f>
        <v>#NUM!</v>
      </c>
      <c r="AH1745" s="44"/>
      <c r="AI1745" s="72"/>
      <c r="AJ1745" s="85" t="e">
        <f>(AJ1738/(N_1*AJ$27))*SQRT('Valve Sizing'!$G$6/AJ1743)</f>
        <v>#NUM!</v>
      </c>
      <c r="AK1745" s="44"/>
      <c r="AL1745" s="72"/>
      <c r="AM1745" s="85" t="e">
        <f>(AM1738/(N_1*AM$27))*SQRT('Valve Sizing'!$G$6/AM1743)</f>
        <v>#NUM!</v>
      </c>
      <c r="AN1745" s="44"/>
      <c r="AO1745" s="72"/>
      <c r="AP1745" s="85" t="e">
        <f>(AP1738/(N_1*AP$27))*SQRT('Valve Sizing'!$G$6/AP1743)</f>
        <v>#NUM!</v>
      </c>
      <c r="AQ1745" s="44"/>
      <c r="AR1745" s="72"/>
      <c r="AS1745" s="85" t="e">
        <f>(AS1738/(N_1*AS$27))*SQRT('Valve Sizing'!$G$6/AS1743)</f>
        <v>#NUM!</v>
      </c>
      <c r="AT1745" s="44"/>
      <c r="AU1745" s="72"/>
    </row>
    <row r="1746" spans="15:47" x14ac:dyDescent="0.25">
      <c r="O1746" s="1" t="s">
        <v>246</v>
      </c>
      <c r="P1746" s="18"/>
      <c r="Q1746" s="65"/>
      <c r="R1746" s="53">
        <f>IF(R1742&lt;R1743,R1744,R1745)</f>
        <v>3.033424038838318</v>
      </c>
      <c r="S1746" s="49"/>
      <c r="T1746" s="72"/>
      <c r="U1746" s="64">
        <f>IF(U1742&lt;U1743,U1744,U1745)</f>
        <v>23.538871972134679</v>
      </c>
      <c r="V1746" s="44"/>
      <c r="W1746" s="72"/>
      <c r="X1746" s="64">
        <f>IF(X1742&lt;X1743,X1744,X1745)</f>
        <v>59.917557613711487</v>
      </c>
      <c r="Y1746" s="44"/>
      <c r="Z1746" s="72"/>
      <c r="AA1746" s="64">
        <f>IF(AA1742&lt;AA1743,AA1744,AA1745)</f>
        <v>146.4333139630007</v>
      </c>
      <c r="AB1746" s="44"/>
      <c r="AC1746" s="72"/>
      <c r="AD1746" s="64" t="e">
        <f>IF(AD1742&lt;AD1743,AD1744,AD1745)</f>
        <v>#NUM!</v>
      </c>
      <c r="AE1746" s="44"/>
      <c r="AF1746" s="72"/>
      <c r="AG1746" s="64" t="e">
        <f>IF(AG1742&lt;AG1743,AG1744,AG1745)</f>
        <v>#NUM!</v>
      </c>
      <c r="AH1746" s="44"/>
      <c r="AI1746" s="72"/>
      <c r="AJ1746" s="64" t="e">
        <f>IF(AJ1742&lt;AJ1743,AJ1744,AJ1745)</f>
        <v>#NUM!</v>
      </c>
      <c r="AK1746" s="44"/>
      <c r="AL1746" s="72"/>
      <c r="AM1746" s="64" t="e">
        <f>IF(AM1742&lt;AM1743,AM1744,AM1745)</f>
        <v>#NUM!</v>
      </c>
      <c r="AN1746" s="44"/>
      <c r="AO1746" s="72"/>
      <c r="AP1746" s="64" t="e">
        <f>IF(AP1742&lt;AP1743,AP1744,AP1745)</f>
        <v>#NUM!</v>
      </c>
      <c r="AQ1746" s="44"/>
      <c r="AR1746" s="72"/>
      <c r="AS1746" s="64" t="e">
        <f>IF(AS1742&lt;AS1743,AS1744,AS1745)</f>
        <v>#NUM!</v>
      </c>
      <c r="AT1746" s="44"/>
      <c r="AU1746" s="72"/>
    </row>
    <row r="1747" spans="15:47" ht="13" x14ac:dyDescent="0.3">
      <c r="O1747" s="7" t="s">
        <v>264</v>
      </c>
      <c r="Q1747" s="61"/>
      <c r="R1747" s="53"/>
      <c r="S1747" s="69">
        <f>IFERROR(ABS(C_h-R1746),Q_max*10)</f>
        <v>1.966575961161682</v>
      </c>
      <c r="T1747" s="76">
        <f>R1738</f>
        <v>17.223309667846568</v>
      </c>
      <c r="U1747" s="61"/>
      <c r="V1747" s="69">
        <f>IFERROR(ABS(U$23-U1746),Q_max*10)</f>
        <v>11.538871972134679</v>
      </c>
      <c r="W1747" s="75">
        <f>U1738</f>
        <v>132.1094365981491</v>
      </c>
      <c r="X1747" s="61"/>
      <c r="Y1747" s="69">
        <f>IFERROR(ABS(X$23-X1746),Q_max*10)</f>
        <v>36.917557613711487</v>
      </c>
      <c r="Z1747" s="75">
        <f>X1738</f>
        <v>317.11350169947065</v>
      </c>
      <c r="AA1747" s="61"/>
      <c r="AB1747" s="69">
        <f>IFERROR(ABS(AA$23-AA1746),Q_max*10)</f>
        <v>107.4333139630007</v>
      </c>
      <c r="AC1747" s="75">
        <f>AA1738</f>
        <v>605.48589309258932</v>
      </c>
      <c r="AD1747" s="61"/>
      <c r="AE1747" s="69">
        <f>IFERROR(ABS(AD$23-AD1746),Q_max*10)</f>
        <v>5500</v>
      </c>
      <c r="AF1747" s="75">
        <f>AD1738</f>
        <v>995.80136745763537</v>
      </c>
      <c r="AG1747" s="61"/>
      <c r="AH1747" s="69">
        <f>IFERROR(ABS(AG$23-AG1746),Q_max*10)</f>
        <v>5500</v>
      </c>
      <c r="AI1747" s="75">
        <f>AG1738</f>
        <v>1482.6125418652312</v>
      </c>
      <c r="AJ1747" s="61"/>
      <c r="AK1747" s="69">
        <f>IFERROR(ABS(AJ$23-AJ1746),Q_max*10)</f>
        <v>5500</v>
      </c>
      <c r="AL1747" s="75">
        <f>AJ1738</f>
        <v>1978.5521845663502</v>
      </c>
      <c r="AM1747" s="61"/>
      <c r="AN1747" s="69">
        <f>IFERROR(ABS(AM$23-AM1746),Q_max*10)</f>
        <v>5500</v>
      </c>
      <c r="AO1747" s="75">
        <f>AM1738</f>
        <v>2414.2096691251522</v>
      </c>
      <c r="AP1747" s="61"/>
      <c r="AQ1747" s="69">
        <f>IFERROR(ABS(AP$23-AP1746),Q_max*10)</f>
        <v>5500</v>
      </c>
      <c r="AR1747" s="75">
        <f>AP1738</f>
        <v>2802.822477608378</v>
      </c>
      <c r="AS1747" s="61"/>
      <c r="AT1747" s="69">
        <f>IFERROR(ABS(AS$23-AS1746),Q_max*10)</f>
        <v>5500</v>
      </c>
      <c r="AU1747" s="75">
        <f>AS1738</f>
        <v>3189.8734280134795</v>
      </c>
    </row>
    <row r="1748" spans="15:47" ht="14.5" x14ac:dyDescent="0.35">
      <c r="O1748" s="6"/>
      <c r="P1748" s="6"/>
      <c r="Q1748" s="60"/>
      <c r="R1748" s="67"/>
      <c r="S1748" s="56"/>
      <c r="T1748" s="72"/>
      <c r="V1748" s="11"/>
      <c r="W1748" s="38"/>
      <c r="Y1748" s="11"/>
      <c r="Z1748" s="38"/>
      <c r="AB1748" s="11"/>
      <c r="AC1748" s="38"/>
      <c r="AE1748" s="11"/>
      <c r="AF1748" s="38"/>
      <c r="AH1748" s="11"/>
      <c r="AI1748" s="38"/>
      <c r="AK1748" s="11"/>
      <c r="AL1748" s="38"/>
      <c r="AN1748" s="11"/>
      <c r="AO1748" s="38"/>
      <c r="AQ1748" s="11"/>
      <c r="AR1748" s="38"/>
      <c r="AT1748" s="11"/>
      <c r="AU1748" s="38"/>
    </row>
    <row r="1749" spans="15:47" ht="14" x14ac:dyDescent="0.3">
      <c r="O1749" s="8" t="s">
        <v>235</v>
      </c>
      <c r="P1749" s="6"/>
      <c r="Q1749" s="60"/>
      <c r="R1749" s="53">
        <f>R1738*1.02</f>
        <v>17.567775861203501</v>
      </c>
      <c r="S1749" s="58" t="s">
        <v>238</v>
      </c>
      <c r="T1749" s="73" t="s">
        <v>241</v>
      </c>
      <c r="U1749" s="84">
        <f>U1738*1.01</f>
        <v>133.43053096413058</v>
      </c>
      <c r="V1749" s="58" t="s">
        <v>238</v>
      </c>
      <c r="W1749" s="73" t="s">
        <v>241</v>
      </c>
      <c r="X1749" s="84">
        <f>X1738*1.01</f>
        <v>320.28463671646534</v>
      </c>
      <c r="Y1749" s="58" t="s">
        <v>238</v>
      </c>
      <c r="Z1749" s="73" t="s">
        <v>241</v>
      </c>
      <c r="AA1749" s="84">
        <f>AA1738*1.01</f>
        <v>611.54075202351521</v>
      </c>
      <c r="AB1749" s="58" t="s">
        <v>238</v>
      </c>
      <c r="AC1749" s="73" t="s">
        <v>241</v>
      </c>
      <c r="AD1749" s="84">
        <f>AD1738*1.01</f>
        <v>1005.7593811322117</v>
      </c>
      <c r="AE1749" s="58" t="s">
        <v>238</v>
      </c>
      <c r="AF1749" s="73" t="s">
        <v>241</v>
      </c>
      <c r="AG1749" s="84">
        <f>AG1738*1.01</f>
        <v>1497.4386672838834</v>
      </c>
      <c r="AH1749" s="58" t="s">
        <v>238</v>
      </c>
      <c r="AI1749" s="73" t="s">
        <v>241</v>
      </c>
      <c r="AJ1749" s="84">
        <f>AJ1738*1.01</f>
        <v>1998.3377064120136</v>
      </c>
      <c r="AK1749" s="58" t="s">
        <v>238</v>
      </c>
      <c r="AL1749" s="73" t="s">
        <v>241</v>
      </c>
      <c r="AM1749" s="84">
        <f>AM1738*1.01</f>
        <v>2438.3517658164037</v>
      </c>
      <c r="AN1749" s="58" t="s">
        <v>238</v>
      </c>
      <c r="AO1749" s="73" t="s">
        <v>241</v>
      </c>
      <c r="AP1749" s="84">
        <f>AP1738*1.01</f>
        <v>2830.8507023844618</v>
      </c>
      <c r="AQ1749" s="58" t="s">
        <v>238</v>
      </c>
      <c r="AR1749" s="73" t="s">
        <v>241</v>
      </c>
      <c r="AS1749" s="84">
        <f>AS1738*1.01</f>
        <v>3221.7721622936142</v>
      </c>
      <c r="AT1749" s="58" t="s">
        <v>238</v>
      </c>
      <c r="AU1749" s="73" t="s">
        <v>241</v>
      </c>
    </row>
    <row r="1750" spans="15:47" ht="13" x14ac:dyDescent="0.25">
      <c r="O1750" s="6"/>
      <c r="P1750" s="6"/>
      <c r="Q1750" s="60"/>
      <c r="R1750" s="70"/>
      <c r="S1750" s="63" t="s">
        <v>250</v>
      </c>
      <c r="T1750" s="71" t="s">
        <v>242</v>
      </c>
      <c r="U1750" s="61"/>
      <c r="V1750" s="63" t="s">
        <v>250</v>
      </c>
      <c r="W1750" s="71" t="s">
        <v>242</v>
      </c>
      <c r="X1750" s="61"/>
      <c r="Y1750" s="63" t="s">
        <v>250</v>
      </c>
      <c r="Z1750" s="71" t="s">
        <v>242</v>
      </c>
      <c r="AA1750" s="61"/>
      <c r="AB1750" s="63" t="s">
        <v>250</v>
      </c>
      <c r="AC1750" s="71" t="s">
        <v>242</v>
      </c>
      <c r="AD1750" s="61"/>
      <c r="AE1750" s="63" t="s">
        <v>250</v>
      </c>
      <c r="AF1750" s="71" t="s">
        <v>242</v>
      </c>
      <c r="AG1750" s="61"/>
      <c r="AH1750" s="63" t="s">
        <v>250</v>
      </c>
      <c r="AI1750" s="71" t="s">
        <v>242</v>
      </c>
      <c r="AJ1750" s="61"/>
      <c r="AK1750" s="63" t="s">
        <v>250</v>
      </c>
      <c r="AL1750" s="71" t="s">
        <v>242</v>
      </c>
      <c r="AM1750" s="61"/>
      <c r="AN1750" s="63" t="s">
        <v>250</v>
      </c>
      <c r="AO1750" s="71" t="s">
        <v>242</v>
      </c>
      <c r="AP1750" s="61"/>
      <c r="AQ1750" s="63" t="s">
        <v>250</v>
      </c>
      <c r="AR1750" s="71" t="s">
        <v>242</v>
      </c>
      <c r="AS1750" s="61"/>
      <c r="AT1750" s="63" t="s">
        <v>250</v>
      </c>
      <c r="AU1750" s="71" t="s">
        <v>242</v>
      </c>
    </row>
    <row r="1751" spans="15:47" ht="13" x14ac:dyDescent="0.3">
      <c r="O1751" s="6" t="s">
        <v>231</v>
      </c>
      <c r="P1751" s="6"/>
      <c r="Q1751" s="60"/>
      <c r="R1751" s="85">
        <f>P_1_minQ-(R1749^2*R_up)+dpup_minQ</f>
        <v>56.905720136821699</v>
      </c>
      <c r="S1751" s="56"/>
      <c r="T1751" s="72"/>
      <c r="U1751" s="53">
        <f>P_1_minQ-(U1749^2*R_up)+dpup_minQ</f>
        <v>56.314869753685585</v>
      </c>
      <c r="V1751" s="44"/>
      <c r="W1751" s="72"/>
      <c r="X1751" s="53">
        <f>P_1_minQ-(X1749^2*R_up)+dpup_minQ</f>
        <v>53.451697111901446</v>
      </c>
      <c r="Y1751" s="44"/>
      <c r="Z1751" s="72"/>
      <c r="AA1751" s="53">
        <f>P_1_minQ-(AA1749^2*R_up)+dpup_minQ</f>
        <v>44.28588006128043</v>
      </c>
      <c r="AB1751" s="44"/>
      <c r="AC1751" s="72"/>
      <c r="AD1751" s="53">
        <f>P_1_minQ-(AD1749^2*R_up)+dpup_minQ</f>
        <v>22.753632801909848</v>
      </c>
      <c r="AE1751" s="44"/>
      <c r="AF1751" s="72"/>
      <c r="AG1751" s="53">
        <f>P_1_minQ-(AG1749^2*R_up)+dpup_minQ</f>
        <v>-18.812413450757607</v>
      </c>
      <c r="AH1751" s="44"/>
      <c r="AI1751" s="72"/>
      <c r="AJ1751" s="53">
        <f>P_1_minQ-(AJ1749^2*R_up)+dpup_minQ</f>
        <v>-77.948888512935724</v>
      </c>
      <c r="AK1751" s="44"/>
      <c r="AL1751" s="72"/>
      <c r="AM1751" s="53">
        <f>P_1_minQ-(AM1749^2*R_up)+dpup_minQ</f>
        <v>-143.87951144410587</v>
      </c>
      <c r="AN1751" s="44"/>
      <c r="AO1751" s="72"/>
      <c r="AP1751" s="53">
        <f>P_1_minQ-(AP1749^2*R_up)+dpup_minQ</f>
        <v>-213.72606211383325</v>
      </c>
      <c r="AQ1751" s="44"/>
      <c r="AR1751" s="72"/>
      <c r="AS1751" s="53">
        <f>P_1_minQ-(AS1749^2*R_up)+dpup_minQ</f>
        <v>-293.63488232793213</v>
      </c>
      <c r="AT1751" s="44"/>
      <c r="AU1751" s="72"/>
    </row>
    <row r="1752" spans="15:47" ht="13" x14ac:dyDescent="0.3">
      <c r="O1752" s="6" t="s">
        <v>233</v>
      </c>
      <c r="P1752" s="6"/>
      <c r="Q1752" s="60"/>
      <c r="R1752" s="85">
        <f>P_2_minQ+(R1749^2*R_dn)-dpdn_minQ</f>
        <v>24.65885597263566</v>
      </c>
      <c r="S1752" s="66"/>
      <c r="T1752" s="74"/>
      <c r="U1752" s="53">
        <f>P_2_minQ+(U1749^2*R_dn)-dpdn_minQ</f>
        <v>24.777026049262883</v>
      </c>
      <c r="V1752" s="45"/>
      <c r="W1752" s="74"/>
      <c r="X1752" s="53">
        <f>P_2_minQ+(X1749^2*R_dn)-dpdn_minQ</f>
        <v>25.349660577619712</v>
      </c>
      <c r="Y1752" s="45"/>
      <c r="Z1752" s="74"/>
      <c r="AA1752" s="53">
        <f>P_2_minQ+(AA1749^2*R_dn)-dpdn_minQ</f>
        <v>27.182823987743916</v>
      </c>
      <c r="AB1752" s="45"/>
      <c r="AC1752" s="74"/>
      <c r="AD1752" s="53">
        <f>P_2_minQ+(AD1749^2*R_dn)-dpdn_minQ</f>
        <v>31.489273439618032</v>
      </c>
      <c r="AE1752" s="45"/>
      <c r="AF1752" s="74"/>
      <c r="AG1752" s="53">
        <f>P_2_minQ+(AG1749^2*R_dn)-dpdn_minQ</f>
        <v>39.802482690151528</v>
      </c>
      <c r="AH1752" s="45"/>
      <c r="AI1752" s="74"/>
      <c r="AJ1752" s="53">
        <f>P_2_minQ+(AJ1749^2*R_dn)-dpdn_minQ</f>
        <v>51.629777702587148</v>
      </c>
      <c r="AK1752" s="45"/>
      <c r="AL1752" s="74"/>
      <c r="AM1752" s="53">
        <f>P_2_minQ+(AM1749^2*R_dn)-dpdn_minQ</f>
        <v>64.815902288821178</v>
      </c>
      <c r="AN1752" s="45"/>
      <c r="AO1752" s="74"/>
      <c r="AP1752" s="53">
        <f>P_2_minQ+(AP1749^2*R_dn)-dpdn_minQ</f>
        <v>78.785212422766648</v>
      </c>
      <c r="AQ1752" s="45"/>
      <c r="AR1752" s="74"/>
      <c r="AS1752" s="53">
        <f>P_2_minQ+(AS1749^2*R_dn)-dpdn_minQ</f>
        <v>94.766976465586424</v>
      </c>
      <c r="AT1752" s="45"/>
      <c r="AU1752" s="74"/>
    </row>
    <row r="1753" spans="15:47" x14ac:dyDescent="0.25">
      <c r="O1753" s="6" t="s">
        <v>243</v>
      </c>
      <c r="Q1753" s="60"/>
      <c r="R1753" s="53">
        <f>R1751-R1752</f>
        <v>32.246864164186036</v>
      </c>
      <c r="S1753" s="56"/>
      <c r="T1753" s="72"/>
      <c r="U1753" s="64">
        <f>U1751-U1752</f>
        <v>31.537843704422702</v>
      </c>
      <c r="V1753" s="44"/>
      <c r="W1753" s="72"/>
      <c r="X1753" s="64">
        <f>X1751-X1752</f>
        <v>28.102036534281734</v>
      </c>
      <c r="Y1753" s="44"/>
      <c r="Z1753" s="72"/>
      <c r="AA1753" s="64">
        <f>AA1751-AA1752</f>
        <v>17.103056073536514</v>
      </c>
      <c r="AB1753" s="44"/>
      <c r="AC1753" s="72"/>
      <c r="AD1753" s="64">
        <f>AD1751-AD1752</f>
        <v>-8.7356406377081832</v>
      </c>
      <c r="AE1753" s="44"/>
      <c r="AF1753" s="72"/>
      <c r="AG1753" s="64">
        <f>AG1751-AG1752</f>
        <v>-58.614896140909138</v>
      </c>
      <c r="AH1753" s="44"/>
      <c r="AI1753" s="72"/>
      <c r="AJ1753" s="64">
        <f>AJ1751-AJ1752</f>
        <v>-129.57866621552287</v>
      </c>
      <c r="AK1753" s="44"/>
      <c r="AL1753" s="72"/>
      <c r="AM1753" s="64">
        <f>AM1751-AM1752</f>
        <v>-208.69541373292705</v>
      </c>
      <c r="AN1753" s="44"/>
      <c r="AO1753" s="72"/>
      <c r="AP1753" s="64">
        <f>AP1751-AP1752</f>
        <v>-292.5112745365999</v>
      </c>
      <c r="AQ1753" s="44"/>
      <c r="AR1753" s="72"/>
      <c r="AS1753" s="64">
        <f>AS1751-AS1752</f>
        <v>-388.40185879351856</v>
      </c>
      <c r="AT1753" s="44"/>
      <c r="AU1753" s="72"/>
    </row>
    <row r="1754" spans="15:47" ht="13" x14ac:dyDescent="0.3">
      <c r="O1754" s="6" t="s">
        <v>75</v>
      </c>
      <c r="P1754" s="6">
        <v>3</v>
      </c>
      <c r="Q1754" s="65"/>
      <c r="R1754" s="85">
        <f>(F_LP_h/F_P_h)^2*(R1751-('Valve Sizing'!$V$4*'Valve Sizing'!$G$7))</f>
        <v>46.756532402550398</v>
      </c>
      <c r="S1754" s="58"/>
      <c r="T1754" s="73"/>
      <c r="U1754" s="53">
        <f>(U$29/U$27)^2*(U1751-('Valve Sizing'!$V$4*'Valve Sizing'!$G$7))</f>
        <v>46.254666723187434</v>
      </c>
      <c r="V1754" s="41"/>
      <c r="W1754" s="73"/>
      <c r="X1754" s="53">
        <f>(X$29/X$27)^2*(X1751-('Valve Sizing'!$V$4*'Valve Sizing'!$G$7))</f>
        <v>42.894557035846248</v>
      </c>
      <c r="Y1754" s="41"/>
      <c r="Z1754" s="73"/>
      <c r="AA1754" s="53">
        <f>(AA$29/AA$27)^2*(AA1751-('Valve Sizing'!$V$4*'Valve Sizing'!$G$7))</f>
        <v>33.883929712737412</v>
      </c>
      <c r="AB1754" s="41"/>
      <c r="AC1754" s="73"/>
      <c r="AD1754" s="53">
        <f>(AD$29/AD$27)^2*(AD1751-('Valve Sizing'!$V$4*'Valve Sizing'!$G$7))</f>
        <v>16.092269394952165</v>
      </c>
      <c r="AE1754" s="41"/>
      <c r="AF1754" s="73"/>
      <c r="AG1754" s="53">
        <f>(AG$29/AG$27)^2*(AG1751-('Valve Sizing'!$V$4*'Valve Sizing'!$G$7))</f>
        <v>-12.399437569981362</v>
      </c>
      <c r="AH1754" s="41"/>
      <c r="AI1754" s="73"/>
      <c r="AJ1754" s="53">
        <f>(AJ$29/AJ$27)^2*(AJ1751-('Valve Sizing'!$V$4*'Valve Sizing'!$G$7))</f>
        <v>-45.337370755414803</v>
      </c>
      <c r="AK1754" s="41"/>
      <c r="AL1754" s="73"/>
      <c r="AM1754" s="53">
        <f>(AM$29/AM$27)^2*(AM1751-('Valve Sizing'!$V$4*'Valve Sizing'!$G$7))</f>
        <v>-69.052894420230615</v>
      </c>
      <c r="AN1754" s="41"/>
      <c r="AO1754" s="73"/>
      <c r="AP1754" s="53">
        <f>(AP$29/AP$27)^2*(AP1751-('Valve Sizing'!$V$4*'Valve Sizing'!$G$7))</f>
        <v>-84.515696377542611</v>
      </c>
      <c r="AQ1754" s="41"/>
      <c r="AR1754" s="73"/>
      <c r="AS1754" s="53">
        <f>(AS$29/AS$27)^2*(AS1751-('Valve Sizing'!$V$4*'Valve Sizing'!$G$7))</f>
        <v>-110.61358145646402</v>
      </c>
      <c r="AT1754" s="41"/>
      <c r="AU1754" s="73"/>
    </row>
    <row r="1755" spans="15:47" ht="13" x14ac:dyDescent="0.25">
      <c r="O1755" s="1" t="s">
        <v>69</v>
      </c>
      <c r="P1755" s="17">
        <v>7</v>
      </c>
      <c r="Q1755" s="65"/>
      <c r="R1755" s="53">
        <f>(R1749/(N_1*F_P_h))*SQRT('Valve Sizing'!$G$6/R1753)</f>
        <v>3.0941158204563153</v>
      </c>
      <c r="S1755" s="58"/>
      <c r="T1755" s="73"/>
      <c r="U1755" s="64">
        <f>(U1749/(N_1*U$27))*SQRT('Valve Sizing'!$G$6/U1753)</f>
        <v>23.779618691367144</v>
      </c>
      <c r="V1755" s="41"/>
      <c r="W1755" s="73"/>
      <c r="X1755" s="64">
        <f>(X1749/(N_1*X$27))*SQRT('Valve Sizing'!$G$6/X1753)</f>
        <v>60.604870523507067</v>
      </c>
      <c r="Y1755" s="41"/>
      <c r="Z1755" s="73"/>
      <c r="AA1755" s="64">
        <f>(AA1749/(N_1*AA$27))*SQRT('Valve Sizing'!$G$6/AA1753)</f>
        <v>149.18329184100006</v>
      </c>
      <c r="AB1755" s="41"/>
      <c r="AC1755" s="73"/>
      <c r="AD1755" s="64" t="e">
        <f>(AD1749/(N_1*AD$27))*SQRT('Valve Sizing'!$G$6/AD1753)</f>
        <v>#NUM!</v>
      </c>
      <c r="AE1755" s="41"/>
      <c r="AF1755" s="73"/>
      <c r="AG1755" s="64" t="e">
        <f>(AG1749/(N_1*AG$27))*SQRT('Valve Sizing'!$G$6/AG1753)</f>
        <v>#NUM!</v>
      </c>
      <c r="AH1755" s="41"/>
      <c r="AI1755" s="73"/>
      <c r="AJ1755" s="64" t="e">
        <f>(AJ1749/(N_1*AJ$27))*SQRT('Valve Sizing'!$G$6/AJ1753)</f>
        <v>#NUM!</v>
      </c>
      <c r="AK1755" s="41"/>
      <c r="AL1755" s="73"/>
      <c r="AM1755" s="64" t="e">
        <f>(AM1749/(N_1*AM$27))*SQRT('Valve Sizing'!$G$6/AM1753)</f>
        <v>#NUM!</v>
      </c>
      <c r="AN1755" s="41"/>
      <c r="AO1755" s="73"/>
      <c r="AP1755" s="64" t="e">
        <f>(AP1749/(N_1*AP$27))*SQRT('Valve Sizing'!$G$6/AP1753)</f>
        <v>#NUM!</v>
      </c>
      <c r="AQ1755" s="41"/>
      <c r="AR1755" s="73"/>
      <c r="AS1755" s="64" t="e">
        <f>(AS1749/(N_1*AS$27))*SQRT('Valve Sizing'!$G$6/AS1753)</f>
        <v>#NUM!</v>
      </c>
      <c r="AT1755" s="41"/>
      <c r="AU1755" s="73"/>
    </row>
    <row r="1756" spans="15:47" ht="13" x14ac:dyDescent="0.3">
      <c r="O1756" s="1" t="s">
        <v>72</v>
      </c>
      <c r="P1756" s="17">
        <v>7</v>
      </c>
      <c r="Q1756" s="65"/>
      <c r="R1756" s="53">
        <f>(R1749/(N_1*F_P_h))*SQRT('Valve Sizing'!$G$6/R1754)</f>
        <v>2.5695623658192583</v>
      </c>
      <c r="S1756" s="56"/>
      <c r="T1756" s="72"/>
      <c r="U1756" s="85">
        <f>(U1749/(N_1*U$27))*SQRT('Valve Sizing'!$G$6/U1754)</f>
        <v>19.635551630598133</v>
      </c>
      <c r="V1756" s="44"/>
      <c r="W1756" s="72"/>
      <c r="X1756" s="85">
        <f>(X1749/(N_1*X$27))*SQRT('Valve Sizing'!$G$6/X1754)</f>
        <v>49.054102149413382</v>
      </c>
      <c r="Y1756" s="44"/>
      <c r="Z1756" s="72"/>
      <c r="AA1756" s="85">
        <f>(AA1749/(N_1*AA$27))*SQRT('Valve Sizing'!$G$6/AA1754)</f>
        <v>105.98884503502643</v>
      </c>
      <c r="AB1756" s="44"/>
      <c r="AC1756" s="72"/>
      <c r="AD1756" s="85">
        <f>(AD1749/(N_1*AD$27))*SQRT('Valve Sizing'!$G$6/AD1754)</f>
        <v>256.1192907320775</v>
      </c>
      <c r="AE1756" s="44"/>
      <c r="AF1756" s="72"/>
      <c r="AG1756" s="85" t="e">
        <f>(AG1749/(N_1*AG$27))*SQRT('Valve Sizing'!$G$6/AG1754)</f>
        <v>#NUM!</v>
      </c>
      <c r="AH1756" s="44"/>
      <c r="AI1756" s="72"/>
      <c r="AJ1756" s="85" t="e">
        <f>(AJ1749/(N_1*AJ$27))*SQRT('Valve Sizing'!$G$6/AJ1754)</f>
        <v>#NUM!</v>
      </c>
      <c r="AK1756" s="44"/>
      <c r="AL1756" s="72"/>
      <c r="AM1756" s="85" t="e">
        <f>(AM1749/(N_1*AM$27))*SQRT('Valve Sizing'!$G$6/AM1754)</f>
        <v>#NUM!</v>
      </c>
      <c r="AN1756" s="44"/>
      <c r="AO1756" s="72"/>
      <c r="AP1756" s="85" t="e">
        <f>(AP1749/(N_1*AP$27))*SQRT('Valve Sizing'!$G$6/AP1754)</f>
        <v>#NUM!</v>
      </c>
      <c r="AQ1756" s="44"/>
      <c r="AR1756" s="72"/>
      <c r="AS1756" s="85" t="e">
        <f>(AS1749/(N_1*AS$27))*SQRT('Valve Sizing'!$G$6/AS1754)</f>
        <v>#NUM!</v>
      </c>
      <c r="AT1756" s="44"/>
      <c r="AU1756" s="72"/>
    </row>
    <row r="1757" spans="15:47" x14ac:dyDescent="0.25">
      <c r="O1757" s="1" t="s">
        <v>246</v>
      </c>
      <c r="P1757" s="18"/>
      <c r="Q1757" s="65"/>
      <c r="R1757" s="53">
        <f>IF(R1753&lt;R1754,R1755,R1756)</f>
        <v>3.0941158204563153</v>
      </c>
      <c r="S1757" s="49"/>
      <c r="T1757" s="72"/>
      <c r="U1757" s="64">
        <f>IF(U1753&lt;U1754,U1755,U1756)</f>
        <v>23.779618691367144</v>
      </c>
      <c r="V1757" s="44"/>
      <c r="W1757" s="72"/>
      <c r="X1757" s="64">
        <f>IF(X1753&lt;X1754,X1755,X1756)</f>
        <v>60.604870523507067</v>
      </c>
      <c r="Y1757" s="44"/>
      <c r="Z1757" s="72"/>
      <c r="AA1757" s="64">
        <f>IF(AA1753&lt;AA1754,AA1755,AA1756)</f>
        <v>149.18329184100006</v>
      </c>
      <c r="AB1757" s="44"/>
      <c r="AC1757" s="72"/>
      <c r="AD1757" s="64" t="e">
        <f>IF(AD1753&lt;AD1754,AD1755,AD1756)</f>
        <v>#NUM!</v>
      </c>
      <c r="AE1757" s="44"/>
      <c r="AF1757" s="72"/>
      <c r="AG1757" s="64" t="e">
        <f>IF(AG1753&lt;AG1754,AG1755,AG1756)</f>
        <v>#NUM!</v>
      </c>
      <c r="AH1757" s="44"/>
      <c r="AI1757" s="72"/>
      <c r="AJ1757" s="64" t="e">
        <f>IF(AJ1753&lt;AJ1754,AJ1755,AJ1756)</f>
        <v>#NUM!</v>
      </c>
      <c r="AK1757" s="44"/>
      <c r="AL1757" s="72"/>
      <c r="AM1757" s="64" t="e">
        <f>IF(AM1753&lt;AM1754,AM1755,AM1756)</f>
        <v>#NUM!</v>
      </c>
      <c r="AN1757" s="44"/>
      <c r="AO1757" s="72"/>
      <c r="AP1757" s="64" t="e">
        <f>IF(AP1753&lt;AP1754,AP1755,AP1756)</f>
        <v>#NUM!</v>
      </c>
      <c r="AQ1757" s="44"/>
      <c r="AR1757" s="72"/>
      <c r="AS1757" s="64" t="e">
        <f>IF(AS1753&lt;AS1754,AS1755,AS1756)</f>
        <v>#NUM!</v>
      </c>
      <c r="AT1757" s="44"/>
      <c r="AU1757" s="72"/>
    </row>
    <row r="1758" spans="15:47" ht="13" x14ac:dyDescent="0.3">
      <c r="O1758" s="7" t="s">
        <v>264</v>
      </c>
      <c r="Q1758" s="61"/>
      <c r="R1758" s="53"/>
      <c r="S1758" s="69">
        <f>IFERROR(ABS(C_h-R1757),Q_max*10)</f>
        <v>1.9058841795436847</v>
      </c>
      <c r="T1758" s="76">
        <f>R1749</f>
        <v>17.567775861203501</v>
      </c>
      <c r="U1758" s="61"/>
      <c r="V1758" s="69">
        <f>IFERROR(ABS(U$23-U1757),Q_max*10)</f>
        <v>11.779618691367144</v>
      </c>
      <c r="W1758" s="75">
        <f>U1749</f>
        <v>133.43053096413058</v>
      </c>
      <c r="X1758" s="61"/>
      <c r="Y1758" s="69">
        <f>IFERROR(ABS(X$23-X1757),Q_max*10)</f>
        <v>37.604870523507067</v>
      </c>
      <c r="Z1758" s="75">
        <f>X1749</f>
        <v>320.28463671646534</v>
      </c>
      <c r="AA1758" s="61"/>
      <c r="AB1758" s="69">
        <f>IFERROR(ABS(AA$23-AA1757),Q_max*10)</f>
        <v>110.18329184100006</v>
      </c>
      <c r="AC1758" s="75">
        <f>AA1749</f>
        <v>611.54075202351521</v>
      </c>
      <c r="AD1758" s="61"/>
      <c r="AE1758" s="69">
        <f>IFERROR(ABS(AD$23-AD1757),Q_max*10)</f>
        <v>5500</v>
      </c>
      <c r="AF1758" s="75">
        <f>AD1749</f>
        <v>1005.7593811322117</v>
      </c>
      <c r="AG1758" s="61"/>
      <c r="AH1758" s="69">
        <f>IFERROR(ABS(AG$23-AG1757),Q_max*10)</f>
        <v>5500</v>
      </c>
      <c r="AI1758" s="75">
        <f>AG1749</f>
        <v>1497.4386672838834</v>
      </c>
      <c r="AJ1758" s="61"/>
      <c r="AK1758" s="69">
        <f>IFERROR(ABS(AJ$23-AJ1757),Q_max*10)</f>
        <v>5500</v>
      </c>
      <c r="AL1758" s="75">
        <f>AJ1749</f>
        <v>1998.3377064120136</v>
      </c>
      <c r="AM1758" s="61"/>
      <c r="AN1758" s="69">
        <f>IFERROR(ABS(AM$23-AM1757),Q_max*10)</f>
        <v>5500</v>
      </c>
      <c r="AO1758" s="75">
        <f>AM1749</f>
        <v>2438.3517658164037</v>
      </c>
      <c r="AP1758" s="61"/>
      <c r="AQ1758" s="69">
        <f>IFERROR(ABS(AP$23-AP1757),Q_max*10)</f>
        <v>5500</v>
      </c>
      <c r="AR1758" s="75">
        <f>AP1749</f>
        <v>2830.8507023844618</v>
      </c>
      <c r="AS1758" s="61"/>
      <c r="AT1758" s="69">
        <f>IFERROR(ABS(AS$23-AS1757),Q_max*10)</f>
        <v>5500</v>
      </c>
      <c r="AU1758" s="75">
        <f>AS1749</f>
        <v>3221.7721622936142</v>
      </c>
    </row>
    <row r="1759" spans="15:47" ht="14.5" x14ac:dyDescent="0.35">
      <c r="O1759" s="6"/>
      <c r="P1759" s="6"/>
      <c r="Q1759" s="60"/>
      <c r="R1759" s="67"/>
      <c r="S1759" s="56"/>
      <c r="T1759" s="72"/>
      <c r="V1759" s="11"/>
      <c r="W1759" s="38"/>
      <c r="Y1759" s="11"/>
      <c r="Z1759" s="38"/>
      <c r="AB1759" s="11"/>
      <c r="AC1759" s="38"/>
      <c r="AE1759" s="11"/>
      <c r="AF1759" s="38"/>
      <c r="AH1759" s="11"/>
      <c r="AI1759" s="38"/>
      <c r="AK1759" s="11"/>
      <c r="AL1759" s="38"/>
      <c r="AN1759" s="11"/>
      <c r="AO1759" s="38"/>
      <c r="AQ1759" s="11"/>
      <c r="AR1759" s="38"/>
      <c r="AT1759" s="11"/>
      <c r="AU1759" s="38"/>
    </row>
    <row r="1760" spans="15:47" ht="14" x14ac:dyDescent="0.3">
      <c r="O1760" s="8" t="s">
        <v>235</v>
      </c>
      <c r="P1760" s="6"/>
      <c r="Q1760" s="60"/>
      <c r="R1760" s="53">
        <f>R1749*1.02</f>
        <v>17.919131378427572</v>
      </c>
      <c r="S1760" s="58" t="s">
        <v>238</v>
      </c>
      <c r="T1760" s="73" t="s">
        <v>241</v>
      </c>
      <c r="U1760" s="84">
        <f>U1749*1.01</f>
        <v>134.76483627377189</v>
      </c>
      <c r="V1760" s="58" t="s">
        <v>238</v>
      </c>
      <c r="W1760" s="73" t="s">
        <v>241</v>
      </c>
      <c r="X1760" s="84">
        <f>X1749*1.01</f>
        <v>323.48748308363002</v>
      </c>
      <c r="Y1760" s="58" t="s">
        <v>238</v>
      </c>
      <c r="Z1760" s="73" t="s">
        <v>241</v>
      </c>
      <c r="AA1760" s="84">
        <f>AA1749*1.01</f>
        <v>617.65615954375039</v>
      </c>
      <c r="AB1760" s="58" t="s">
        <v>238</v>
      </c>
      <c r="AC1760" s="73" t="s">
        <v>241</v>
      </c>
      <c r="AD1760" s="84">
        <f>AD1749*1.01</f>
        <v>1015.8169749435339</v>
      </c>
      <c r="AE1760" s="58" t="s">
        <v>238</v>
      </c>
      <c r="AF1760" s="73" t="s">
        <v>241</v>
      </c>
      <c r="AG1760" s="84">
        <f>AG1749*1.01</f>
        <v>1512.4130539567223</v>
      </c>
      <c r="AH1760" s="58" t="s">
        <v>238</v>
      </c>
      <c r="AI1760" s="73" t="s">
        <v>241</v>
      </c>
      <c r="AJ1760" s="84">
        <f>AJ1749*1.01</f>
        <v>2018.3210834761337</v>
      </c>
      <c r="AK1760" s="58" t="s">
        <v>238</v>
      </c>
      <c r="AL1760" s="73" t="s">
        <v>241</v>
      </c>
      <c r="AM1760" s="84">
        <f>AM1749*1.01</f>
        <v>2462.735283474568</v>
      </c>
      <c r="AN1760" s="58" t="s">
        <v>238</v>
      </c>
      <c r="AO1760" s="73" t="s">
        <v>241</v>
      </c>
      <c r="AP1760" s="84">
        <f>AP1749*1.01</f>
        <v>2859.1592094083067</v>
      </c>
      <c r="AQ1760" s="58" t="s">
        <v>238</v>
      </c>
      <c r="AR1760" s="73" t="s">
        <v>241</v>
      </c>
      <c r="AS1760" s="84">
        <f>AS1749*1.01</f>
        <v>3253.9898839165503</v>
      </c>
      <c r="AT1760" s="58" t="s">
        <v>238</v>
      </c>
      <c r="AU1760" s="73" t="s">
        <v>241</v>
      </c>
    </row>
    <row r="1761" spans="15:47" ht="13" x14ac:dyDescent="0.25">
      <c r="O1761" s="6"/>
      <c r="P1761" s="6"/>
      <c r="Q1761" s="60"/>
      <c r="R1761" s="70"/>
      <c r="S1761" s="63" t="s">
        <v>250</v>
      </c>
      <c r="T1761" s="71" t="s">
        <v>242</v>
      </c>
      <c r="U1761" s="61"/>
      <c r="V1761" s="63" t="s">
        <v>250</v>
      </c>
      <c r="W1761" s="71" t="s">
        <v>242</v>
      </c>
      <c r="X1761" s="61"/>
      <c r="Y1761" s="63" t="s">
        <v>250</v>
      </c>
      <c r="Z1761" s="71" t="s">
        <v>242</v>
      </c>
      <c r="AA1761" s="61"/>
      <c r="AB1761" s="63" t="s">
        <v>250</v>
      </c>
      <c r="AC1761" s="71" t="s">
        <v>242</v>
      </c>
      <c r="AD1761" s="61"/>
      <c r="AE1761" s="63" t="s">
        <v>250</v>
      </c>
      <c r="AF1761" s="71" t="s">
        <v>242</v>
      </c>
      <c r="AG1761" s="61"/>
      <c r="AH1761" s="63" t="s">
        <v>250</v>
      </c>
      <c r="AI1761" s="71" t="s">
        <v>242</v>
      </c>
      <c r="AJ1761" s="61"/>
      <c r="AK1761" s="63" t="s">
        <v>250</v>
      </c>
      <c r="AL1761" s="71" t="s">
        <v>242</v>
      </c>
      <c r="AM1761" s="61"/>
      <c r="AN1761" s="63" t="s">
        <v>250</v>
      </c>
      <c r="AO1761" s="71" t="s">
        <v>242</v>
      </c>
      <c r="AP1761" s="61"/>
      <c r="AQ1761" s="63" t="s">
        <v>250</v>
      </c>
      <c r="AR1761" s="71" t="s">
        <v>242</v>
      </c>
      <c r="AS1761" s="61"/>
      <c r="AT1761" s="63" t="s">
        <v>250</v>
      </c>
      <c r="AU1761" s="71" t="s">
        <v>242</v>
      </c>
    </row>
    <row r="1762" spans="15:47" ht="13" x14ac:dyDescent="0.3">
      <c r="O1762" s="6" t="s">
        <v>231</v>
      </c>
      <c r="P1762" s="6"/>
      <c r="Q1762" s="60"/>
      <c r="R1762" s="85">
        <f>P_1_minQ-(R1760^2*R_up)+dpup_minQ</f>
        <v>56.905299045276685</v>
      </c>
      <c r="S1762" s="56"/>
      <c r="T1762" s="72"/>
      <c r="U1762" s="53">
        <f>P_1_minQ-(U1760^2*R_up)+dpup_minQ</f>
        <v>56.302784157517848</v>
      </c>
      <c r="V1762" s="44"/>
      <c r="W1762" s="72"/>
      <c r="X1762" s="53">
        <f>P_1_minQ-(X1760^2*R_up)+dpup_minQ</f>
        <v>53.382061745633848</v>
      </c>
      <c r="Y1762" s="44"/>
      <c r="Z1762" s="72"/>
      <c r="AA1762" s="53">
        <f>P_1_minQ-(AA1760^2*R_up)+dpup_minQ</f>
        <v>44.032011772295341</v>
      </c>
      <c r="AB1762" s="44"/>
      <c r="AC1762" s="72"/>
      <c r="AD1762" s="53">
        <f>P_1_minQ-(AD1760^2*R_up)+dpup_minQ</f>
        <v>22.066966343011412</v>
      </c>
      <c r="AE1762" s="44"/>
      <c r="AF1762" s="72"/>
      <c r="AG1762" s="53">
        <f>P_1_minQ-(AG1760^2*R_up)+dpup_minQ</f>
        <v>-20.334557439334663</v>
      </c>
      <c r="AH1762" s="44"/>
      <c r="AI1762" s="72"/>
      <c r="AJ1762" s="53">
        <f>P_1_minQ-(AJ1760^2*R_up)+dpup_minQ</f>
        <v>-80.659675650262557</v>
      </c>
      <c r="AK1762" s="44"/>
      <c r="AL1762" s="72"/>
      <c r="AM1762" s="53">
        <f>P_1_minQ-(AM1760^2*R_up)+dpup_minQ</f>
        <v>-147.91550410234922</v>
      </c>
      <c r="AN1762" s="44"/>
      <c r="AO1762" s="72"/>
      <c r="AP1762" s="53">
        <f>P_1_minQ-(AP1760^2*R_up)+dpup_minQ</f>
        <v>-219.16597044053813</v>
      </c>
      <c r="AQ1762" s="44"/>
      <c r="AR1762" s="72"/>
      <c r="AS1762" s="53">
        <f>P_1_minQ-(AS1760^2*R_up)+dpup_minQ</f>
        <v>-300.68095794094035</v>
      </c>
      <c r="AT1762" s="44"/>
      <c r="AU1762" s="72"/>
    </row>
    <row r="1763" spans="15:47" ht="13" x14ac:dyDescent="0.3">
      <c r="O1763" s="6" t="s">
        <v>233</v>
      </c>
      <c r="P1763" s="6"/>
      <c r="Q1763" s="60"/>
      <c r="R1763" s="85">
        <f>P_2_minQ+(R1760^2*R_dn)-dpdn_minQ</f>
        <v>24.658940190944666</v>
      </c>
      <c r="S1763" s="66"/>
      <c r="T1763" s="74"/>
      <c r="U1763" s="53">
        <f>P_2_minQ+(U1760^2*R_dn)-dpdn_minQ</f>
        <v>24.779443168496432</v>
      </c>
      <c r="V1763" s="45"/>
      <c r="W1763" s="74"/>
      <c r="X1763" s="53">
        <f>P_2_minQ+(X1760^2*R_dn)-dpdn_minQ</f>
        <v>25.363587650873232</v>
      </c>
      <c r="Y1763" s="45"/>
      <c r="Z1763" s="74"/>
      <c r="AA1763" s="53">
        <f>P_2_minQ+(AA1760^2*R_dn)-dpdn_minQ</f>
        <v>27.233597645540932</v>
      </c>
      <c r="AB1763" s="45"/>
      <c r="AC1763" s="74"/>
      <c r="AD1763" s="53">
        <f>P_2_minQ+(AD1760^2*R_dn)-dpdn_minQ</f>
        <v>31.626606731397718</v>
      </c>
      <c r="AE1763" s="45"/>
      <c r="AF1763" s="74"/>
      <c r="AG1763" s="53">
        <f>P_2_minQ+(AG1760^2*R_dn)-dpdn_minQ</f>
        <v>40.106911487866938</v>
      </c>
      <c r="AH1763" s="45"/>
      <c r="AI1763" s="74"/>
      <c r="AJ1763" s="53">
        <f>P_2_minQ+(AJ1760^2*R_dn)-dpdn_minQ</f>
        <v>52.171935130052518</v>
      </c>
      <c r="AK1763" s="45"/>
      <c r="AL1763" s="74"/>
      <c r="AM1763" s="53">
        <f>P_2_minQ+(AM1760^2*R_dn)-dpdn_minQ</f>
        <v>65.623100820469844</v>
      </c>
      <c r="AN1763" s="45"/>
      <c r="AO1763" s="74"/>
      <c r="AP1763" s="53">
        <f>P_2_minQ+(AP1760^2*R_dn)-dpdn_minQ</f>
        <v>79.873194088107624</v>
      </c>
      <c r="AQ1763" s="45"/>
      <c r="AR1763" s="74"/>
      <c r="AS1763" s="53">
        <f>P_2_minQ+(AS1760^2*R_dn)-dpdn_minQ</f>
        <v>96.176191588188075</v>
      </c>
      <c r="AT1763" s="45"/>
      <c r="AU1763" s="74"/>
    </row>
    <row r="1764" spans="15:47" x14ac:dyDescent="0.25">
      <c r="O1764" s="6" t="s">
        <v>243</v>
      </c>
      <c r="Q1764" s="60"/>
      <c r="R1764" s="53">
        <f>R1762-R1763</f>
        <v>32.246358854332016</v>
      </c>
      <c r="S1764" s="56"/>
      <c r="T1764" s="72"/>
      <c r="U1764" s="64">
        <f>U1762-U1763</f>
        <v>31.523340989021417</v>
      </c>
      <c r="V1764" s="44"/>
      <c r="W1764" s="72"/>
      <c r="X1764" s="64">
        <f>X1762-X1763</f>
        <v>28.018474094760617</v>
      </c>
      <c r="Y1764" s="44"/>
      <c r="Z1764" s="72"/>
      <c r="AA1764" s="64">
        <f>AA1762-AA1763</f>
        <v>16.798414126754409</v>
      </c>
      <c r="AB1764" s="44"/>
      <c r="AC1764" s="72"/>
      <c r="AD1764" s="64">
        <f>AD1762-AD1763</f>
        <v>-9.5596403883863061</v>
      </c>
      <c r="AE1764" s="44"/>
      <c r="AF1764" s="72"/>
      <c r="AG1764" s="64">
        <f>AG1762-AG1763</f>
        <v>-60.441468927201598</v>
      </c>
      <c r="AH1764" s="44"/>
      <c r="AI1764" s="72"/>
      <c r="AJ1764" s="64">
        <f>AJ1762-AJ1763</f>
        <v>-132.83161078031509</v>
      </c>
      <c r="AK1764" s="44"/>
      <c r="AL1764" s="72"/>
      <c r="AM1764" s="64">
        <f>AM1762-AM1763</f>
        <v>-213.53860492281905</v>
      </c>
      <c r="AN1764" s="44"/>
      <c r="AO1764" s="72"/>
      <c r="AP1764" s="64">
        <f>AP1762-AP1763</f>
        <v>-299.03916452864576</v>
      </c>
      <c r="AQ1764" s="44"/>
      <c r="AR1764" s="72"/>
      <c r="AS1764" s="64">
        <f>AS1762-AS1763</f>
        <v>-396.85714952912844</v>
      </c>
      <c r="AT1764" s="44"/>
      <c r="AU1764" s="72"/>
    </row>
    <row r="1765" spans="15:47" ht="13" x14ac:dyDescent="0.3">
      <c r="O1765" s="6" t="s">
        <v>75</v>
      </c>
      <c r="P1765" s="6">
        <v>3</v>
      </c>
      <c r="Q1765" s="65"/>
      <c r="R1765" s="85">
        <f>(F_LP_h/F_P_h)^2*(R1762-('Valve Sizing'!$V$4*'Valve Sizing'!$G$7))</f>
        <v>46.756183716648053</v>
      </c>
      <c r="S1765" s="58"/>
      <c r="T1765" s="73"/>
      <c r="U1765" s="53">
        <f>(U$29/U$27)^2*(U1762-('Valve Sizing'!$V$4*'Valve Sizing'!$G$7))</f>
        <v>46.244661942821608</v>
      </c>
      <c r="V1765" s="41"/>
      <c r="W1765" s="73"/>
      <c r="X1765" s="53">
        <f>(X$29/X$27)^2*(X1762-('Valve Sizing'!$V$4*'Valve Sizing'!$G$7))</f>
        <v>42.838211330988493</v>
      </c>
      <c r="Y1765" s="41"/>
      <c r="Z1765" s="73"/>
      <c r="AA1765" s="53">
        <f>(AA$29/AA$27)^2*(AA1762-('Valve Sizing'!$V$4*'Valve Sizing'!$G$7))</f>
        <v>33.687741004420005</v>
      </c>
      <c r="AB1765" s="41"/>
      <c r="AC1765" s="73"/>
      <c r="AD1765" s="53">
        <f>(AD$29/AD$27)^2*(AD1762-('Valve Sizing'!$V$4*'Valve Sizing'!$G$7))</f>
        <v>15.597054191864691</v>
      </c>
      <c r="AE1765" s="41"/>
      <c r="AF1765" s="73"/>
      <c r="AG1765" s="53">
        <f>(AG$29/AG$27)^2*(AG1762-('Valve Sizing'!$V$4*'Valve Sizing'!$G$7))</f>
        <v>-13.379765198654134</v>
      </c>
      <c r="AH1765" s="41"/>
      <c r="AI1765" s="73"/>
      <c r="AJ1765" s="53">
        <f>(AJ$29/AJ$27)^2*(AJ1762-('Valve Sizing'!$V$4*'Valve Sizing'!$G$7))</f>
        <v>-46.905193356305702</v>
      </c>
      <c r="AK1765" s="41"/>
      <c r="AL1765" s="73"/>
      <c r="AM1765" s="53">
        <f>(AM$29/AM$27)^2*(AM1762-('Valve Sizing'!$V$4*'Valve Sizing'!$G$7))</f>
        <v>-70.984004501997561</v>
      </c>
      <c r="AN1765" s="41"/>
      <c r="AO1765" s="73"/>
      <c r="AP1765" s="53">
        <f>(AP$29/AP$27)^2*(AP1762-('Valve Sizing'!$V$4*'Valve Sizing'!$G$7))</f>
        <v>-86.662430141630693</v>
      </c>
      <c r="AQ1765" s="41"/>
      <c r="AR1765" s="73"/>
      <c r="AS1765" s="53">
        <f>(AS$29/AS$27)^2*(AS1762-('Valve Sizing'!$V$4*'Valve Sizing'!$G$7))</f>
        <v>-113.26389793285648</v>
      </c>
      <c r="AT1765" s="41"/>
      <c r="AU1765" s="73"/>
    </row>
    <row r="1766" spans="15:47" ht="13" x14ac:dyDescent="0.25">
      <c r="O1766" s="1" t="s">
        <v>69</v>
      </c>
      <c r="P1766" s="17">
        <v>7</v>
      </c>
      <c r="Q1766" s="65"/>
      <c r="R1766" s="53">
        <f>(R1760/(N_1*F_P_h))*SQRT('Valve Sizing'!$G$6/R1764)</f>
        <v>3.1560228644744948</v>
      </c>
      <c r="S1766" s="58"/>
      <c r="T1766" s="73"/>
      <c r="U1766" s="64">
        <f>(U1760/(N_1*U$27))*SQRT('Valve Sizing'!$G$6/U1764)</f>
        <v>24.022939002135324</v>
      </c>
      <c r="V1766" s="41"/>
      <c r="W1766" s="73"/>
      <c r="X1766" s="64">
        <f>(X1760/(N_1*X$27))*SQRT('Valve Sizing'!$G$6/X1764)</f>
        <v>61.302129151419024</v>
      </c>
      <c r="Y1766" s="41"/>
      <c r="Z1766" s="73"/>
      <c r="AA1766" s="64">
        <f>(AA1760/(N_1*AA$27))*SQRT('Valve Sizing'!$G$6/AA1764)</f>
        <v>152.03524479962593</v>
      </c>
      <c r="AB1766" s="41"/>
      <c r="AC1766" s="73"/>
      <c r="AD1766" s="64" t="e">
        <f>(AD1760/(N_1*AD$27))*SQRT('Valve Sizing'!$G$6/AD1764)</f>
        <v>#NUM!</v>
      </c>
      <c r="AE1766" s="41"/>
      <c r="AF1766" s="73"/>
      <c r="AG1766" s="64" t="e">
        <f>(AG1760/(N_1*AG$27))*SQRT('Valve Sizing'!$G$6/AG1764)</f>
        <v>#NUM!</v>
      </c>
      <c r="AH1766" s="41"/>
      <c r="AI1766" s="73"/>
      <c r="AJ1766" s="64" t="e">
        <f>(AJ1760/(N_1*AJ$27))*SQRT('Valve Sizing'!$G$6/AJ1764)</f>
        <v>#NUM!</v>
      </c>
      <c r="AK1766" s="41"/>
      <c r="AL1766" s="73"/>
      <c r="AM1766" s="64" t="e">
        <f>(AM1760/(N_1*AM$27))*SQRT('Valve Sizing'!$G$6/AM1764)</f>
        <v>#NUM!</v>
      </c>
      <c r="AN1766" s="41"/>
      <c r="AO1766" s="73"/>
      <c r="AP1766" s="64" t="e">
        <f>(AP1760/(N_1*AP$27))*SQRT('Valve Sizing'!$G$6/AP1764)</f>
        <v>#NUM!</v>
      </c>
      <c r="AQ1766" s="41"/>
      <c r="AR1766" s="73"/>
      <c r="AS1766" s="64" t="e">
        <f>(AS1760/(N_1*AS$27))*SQRT('Valve Sizing'!$G$6/AS1764)</f>
        <v>#NUM!</v>
      </c>
      <c r="AT1766" s="41"/>
      <c r="AU1766" s="73"/>
    </row>
    <row r="1767" spans="15:47" ht="13" x14ac:dyDescent="0.3">
      <c r="O1767" s="1" t="s">
        <v>72</v>
      </c>
      <c r="P1767" s="17">
        <v>7</v>
      </c>
      <c r="Q1767" s="65"/>
      <c r="R1767" s="53">
        <f>(R1760/(N_1*F_P_h))*SQRT('Valve Sizing'!$G$6/R1765)</f>
        <v>2.6209633860447981</v>
      </c>
      <c r="S1767" s="56"/>
      <c r="T1767" s="72"/>
      <c r="U1767" s="85">
        <f>(U1760/(N_1*U$27))*SQRT('Valve Sizing'!$G$6/U1765)</f>
        <v>19.834052293355899</v>
      </c>
      <c r="V1767" s="44"/>
      <c r="W1767" s="72"/>
      <c r="X1767" s="85">
        <f>(X1760/(N_1*X$27))*SQRT('Valve Sizing'!$G$6/X1765)</f>
        <v>49.577215848325707</v>
      </c>
      <c r="Y1767" s="44"/>
      <c r="Z1767" s="72"/>
      <c r="AA1767" s="85">
        <f>(AA1760/(N_1*AA$27))*SQRT('Valve Sizing'!$G$6/AA1765)</f>
        <v>107.35999306588786</v>
      </c>
      <c r="AB1767" s="44"/>
      <c r="AC1767" s="72"/>
      <c r="AD1767" s="85">
        <f>(AD1760/(N_1*AD$27))*SQRT('Valve Sizing'!$G$6/AD1765)</f>
        <v>262.75501925984867</v>
      </c>
      <c r="AE1767" s="44"/>
      <c r="AF1767" s="72"/>
      <c r="AG1767" s="85" t="e">
        <f>(AG1760/(N_1*AG$27))*SQRT('Valve Sizing'!$G$6/AG1765)</f>
        <v>#NUM!</v>
      </c>
      <c r="AH1767" s="44"/>
      <c r="AI1767" s="72"/>
      <c r="AJ1767" s="85" t="e">
        <f>(AJ1760/(N_1*AJ$27))*SQRT('Valve Sizing'!$G$6/AJ1765)</f>
        <v>#NUM!</v>
      </c>
      <c r="AK1767" s="44"/>
      <c r="AL1767" s="72"/>
      <c r="AM1767" s="85" t="e">
        <f>(AM1760/(N_1*AM$27))*SQRT('Valve Sizing'!$G$6/AM1765)</f>
        <v>#NUM!</v>
      </c>
      <c r="AN1767" s="44"/>
      <c r="AO1767" s="72"/>
      <c r="AP1767" s="85" t="e">
        <f>(AP1760/(N_1*AP$27))*SQRT('Valve Sizing'!$G$6/AP1765)</f>
        <v>#NUM!</v>
      </c>
      <c r="AQ1767" s="44"/>
      <c r="AR1767" s="72"/>
      <c r="AS1767" s="85" t="e">
        <f>(AS1760/(N_1*AS$27))*SQRT('Valve Sizing'!$G$6/AS1765)</f>
        <v>#NUM!</v>
      </c>
      <c r="AT1767" s="44"/>
      <c r="AU1767" s="72"/>
    </row>
    <row r="1768" spans="15:47" x14ac:dyDescent="0.25">
      <c r="O1768" s="1" t="s">
        <v>246</v>
      </c>
      <c r="P1768" s="18"/>
      <c r="Q1768" s="65"/>
      <c r="R1768" s="53">
        <f>IF(R1764&lt;R1765,R1766,R1767)</f>
        <v>3.1560228644744948</v>
      </c>
      <c r="S1768" s="49"/>
      <c r="T1768" s="72"/>
      <c r="U1768" s="64">
        <f>IF(U1764&lt;U1765,U1766,U1767)</f>
        <v>24.022939002135324</v>
      </c>
      <c r="V1768" s="44"/>
      <c r="W1768" s="72"/>
      <c r="X1768" s="64">
        <f>IF(X1764&lt;X1765,X1766,X1767)</f>
        <v>61.302129151419024</v>
      </c>
      <c r="Y1768" s="44"/>
      <c r="Z1768" s="72"/>
      <c r="AA1768" s="64">
        <f>IF(AA1764&lt;AA1765,AA1766,AA1767)</f>
        <v>152.03524479962593</v>
      </c>
      <c r="AB1768" s="44"/>
      <c r="AC1768" s="72"/>
      <c r="AD1768" s="64" t="e">
        <f>IF(AD1764&lt;AD1765,AD1766,AD1767)</f>
        <v>#NUM!</v>
      </c>
      <c r="AE1768" s="44"/>
      <c r="AF1768" s="72"/>
      <c r="AG1768" s="64" t="e">
        <f>IF(AG1764&lt;AG1765,AG1766,AG1767)</f>
        <v>#NUM!</v>
      </c>
      <c r="AH1768" s="44"/>
      <c r="AI1768" s="72"/>
      <c r="AJ1768" s="64" t="e">
        <f>IF(AJ1764&lt;AJ1765,AJ1766,AJ1767)</f>
        <v>#NUM!</v>
      </c>
      <c r="AK1768" s="44"/>
      <c r="AL1768" s="72"/>
      <c r="AM1768" s="64" t="e">
        <f>IF(AM1764&lt;AM1765,AM1766,AM1767)</f>
        <v>#NUM!</v>
      </c>
      <c r="AN1768" s="44"/>
      <c r="AO1768" s="72"/>
      <c r="AP1768" s="64" t="e">
        <f>IF(AP1764&lt;AP1765,AP1766,AP1767)</f>
        <v>#NUM!</v>
      </c>
      <c r="AQ1768" s="44"/>
      <c r="AR1768" s="72"/>
      <c r="AS1768" s="64" t="e">
        <f>IF(AS1764&lt;AS1765,AS1766,AS1767)</f>
        <v>#NUM!</v>
      </c>
      <c r="AT1768" s="44"/>
      <c r="AU1768" s="72"/>
    </row>
    <row r="1769" spans="15:47" ht="13" x14ac:dyDescent="0.3">
      <c r="O1769" s="7" t="s">
        <v>264</v>
      </c>
      <c r="Q1769" s="61"/>
      <c r="R1769" s="53"/>
      <c r="S1769" s="69">
        <f>IFERROR(ABS(C_h-R1768),Q_max*10)</f>
        <v>1.8439771355255052</v>
      </c>
      <c r="T1769" s="76">
        <f>R1760</f>
        <v>17.919131378427572</v>
      </c>
      <c r="U1769" s="61"/>
      <c r="V1769" s="69">
        <f>IFERROR(ABS(U$23-U1768),Q_max*10)</f>
        <v>12.022939002135324</v>
      </c>
      <c r="W1769" s="75">
        <f>U1760</f>
        <v>134.76483627377189</v>
      </c>
      <c r="X1769" s="61"/>
      <c r="Y1769" s="69">
        <f>IFERROR(ABS(X$23-X1768),Q_max*10)</f>
        <v>38.302129151419024</v>
      </c>
      <c r="Z1769" s="75">
        <f>X1760</f>
        <v>323.48748308363002</v>
      </c>
      <c r="AA1769" s="61"/>
      <c r="AB1769" s="69">
        <f>IFERROR(ABS(AA$23-AA1768),Q_max*10)</f>
        <v>113.03524479962593</v>
      </c>
      <c r="AC1769" s="75">
        <f>AA1760</f>
        <v>617.65615954375039</v>
      </c>
      <c r="AD1769" s="61"/>
      <c r="AE1769" s="69">
        <f>IFERROR(ABS(AD$23-AD1768),Q_max*10)</f>
        <v>5500</v>
      </c>
      <c r="AF1769" s="75">
        <f>AD1760</f>
        <v>1015.8169749435339</v>
      </c>
      <c r="AG1769" s="61"/>
      <c r="AH1769" s="69">
        <f>IFERROR(ABS(AG$23-AG1768),Q_max*10)</f>
        <v>5500</v>
      </c>
      <c r="AI1769" s="75">
        <f>AG1760</f>
        <v>1512.4130539567223</v>
      </c>
      <c r="AJ1769" s="61"/>
      <c r="AK1769" s="69">
        <f>IFERROR(ABS(AJ$23-AJ1768),Q_max*10)</f>
        <v>5500</v>
      </c>
      <c r="AL1769" s="75">
        <f>AJ1760</f>
        <v>2018.3210834761337</v>
      </c>
      <c r="AM1769" s="61"/>
      <c r="AN1769" s="69">
        <f>IFERROR(ABS(AM$23-AM1768),Q_max*10)</f>
        <v>5500</v>
      </c>
      <c r="AO1769" s="75">
        <f>AM1760</f>
        <v>2462.735283474568</v>
      </c>
      <c r="AP1769" s="61"/>
      <c r="AQ1769" s="69">
        <f>IFERROR(ABS(AP$23-AP1768),Q_max*10)</f>
        <v>5500</v>
      </c>
      <c r="AR1769" s="75">
        <f>AP1760</f>
        <v>2859.1592094083067</v>
      </c>
      <c r="AS1769" s="61"/>
      <c r="AT1769" s="69">
        <f>IFERROR(ABS(AS$23-AS1768),Q_max*10)</f>
        <v>5500</v>
      </c>
      <c r="AU1769" s="75">
        <f>AS1760</f>
        <v>3253.9898839165503</v>
      </c>
    </row>
    <row r="1770" spans="15:47" ht="14.5" x14ac:dyDescent="0.35">
      <c r="O1770" s="6"/>
      <c r="P1770" s="6"/>
      <c r="Q1770" s="60"/>
      <c r="R1770" s="67"/>
      <c r="S1770" s="58"/>
      <c r="T1770" s="73"/>
      <c r="V1770" s="11"/>
      <c r="W1770" s="38"/>
      <c r="Y1770" s="11"/>
      <c r="Z1770" s="38"/>
      <c r="AB1770" s="11"/>
      <c r="AC1770" s="38"/>
      <c r="AE1770" s="11"/>
      <c r="AF1770" s="38"/>
      <c r="AH1770" s="11"/>
      <c r="AI1770" s="38"/>
      <c r="AK1770" s="11"/>
      <c r="AL1770" s="38"/>
      <c r="AN1770" s="11"/>
      <c r="AO1770" s="38"/>
      <c r="AQ1770" s="11"/>
      <c r="AR1770" s="38"/>
      <c r="AT1770" s="11"/>
      <c r="AU1770" s="38"/>
    </row>
    <row r="1771" spans="15:47" ht="14" x14ac:dyDescent="0.3">
      <c r="O1771" s="8" t="s">
        <v>235</v>
      </c>
      <c r="P1771" s="6"/>
      <c r="Q1771" s="60"/>
      <c r="R1771" s="53">
        <f>R1760*1.02</f>
        <v>18.277514005996125</v>
      </c>
      <c r="S1771" s="58" t="s">
        <v>238</v>
      </c>
      <c r="T1771" s="73" t="s">
        <v>241</v>
      </c>
      <c r="U1771" s="84">
        <f>U1760*1.01</f>
        <v>136.11248463650961</v>
      </c>
      <c r="V1771" s="58" t="s">
        <v>238</v>
      </c>
      <c r="W1771" s="73" t="s">
        <v>241</v>
      </c>
      <c r="X1771" s="84">
        <f>X1760*1.01</f>
        <v>326.72235791446633</v>
      </c>
      <c r="Y1771" s="58" t="s">
        <v>238</v>
      </c>
      <c r="Z1771" s="73" t="s">
        <v>241</v>
      </c>
      <c r="AA1771" s="84">
        <f>AA1760*1.01</f>
        <v>623.83272113918792</v>
      </c>
      <c r="AB1771" s="58" t="s">
        <v>238</v>
      </c>
      <c r="AC1771" s="73" t="s">
        <v>241</v>
      </c>
      <c r="AD1771" s="84">
        <f>AD1760*1.01</f>
        <v>1025.9751446929693</v>
      </c>
      <c r="AE1771" s="58" t="s">
        <v>238</v>
      </c>
      <c r="AF1771" s="73" t="s">
        <v>241</v>
      </c>
      <c r="AG1771" s="84">
        <f>AG1760*1.01</f>
        <v>1527.5371844962895</v>
      </c>
      <c r="AH1771" s="58" t="s">
        <v>238</v>
      </c>
      <c r="AI1771" s="73" t="s">
        <v>241</v>
      </c>
      <c r="AJ1771" s="84">
        <f>AJ1760*1.01</f>
        <v>2038.5042943108951</v>
      </c>
      <c r="AK1771" s="58" t="s">
        <v>238</v>
      </c>
      <c r="AL1771" s="73" t="s">
        <v>241</v>
      </c>
      <c r="AM1771" s="84">
        <f>AM1760*1.01</f>
        <v>2487.3626363093135</v>
      </c>
      <c r="AN1771" s="58" t="s">
        <v>238</v>
      </c>
      <c r="AO1771" s="73" t="s">
        <v>241</v>
      </c>
      <c r="AP1771" s="84">
        <f>AP1760*1.01</f>
        <v>2887.7508015023895</v>
      </c>
      <c r="AQ1771" s="58" t="s">
        <v>238</v>
      </c>
      <c r="AR1771" s="73" t="s">
        <v>241</v>
      </c>
      <c r="AS1771" s="84">
        <f>AS1760*1.01</f>
        <v>3286.529782755716</v>
      </c>
      <c r="AT1771" s="58" t="s">
        <v>238</v>
      </c>
      <c r="AU1771" s="73" t="s">
        <v>241</v>
      </c>
    </row>
    <row r="1772" spans="15:47" ht="13" x14ac:dyDescent="0.25">
      <c r="O1772" s="6"/>
      <c r="P1772" s="6"/>
      <c r="Q1772" s="60"/>
      <c r="R1772" s="70"/>
      <c r="S1772" s="63" t="s">
        <v>250</v>
      </c>
      <c r="T1772" s="71" t="s">
        <v>242</v>
      </c>
      <c r="U1772" s="61"/>
      <c r="V1772" s="63" t="s">
        <v>250</v>
      </c>
      <c r="W1772" s="71" t="s">
        <v>242</v>
      </c>
      <c r="X1772" s="61"/>
      <c r="Y1772" s="63" t="s">
        <v>250</v>
      </c>
      <c r="Z1772" s="71" t="s">
        <v>242</v>
      </c>
      <c r="AA1772" s="61"/>
      <c r="AB1772" s="63" t="s">
        <v>250</v>
      </c>
      <c r="AC1772" s="71" t="s">
        <v>242</v>
      </c>
      <c r="AD1772" s="61"/>
      <c r="AE1772" s="63" t="s">
        <v>250</v>
      </c>
      <c r="AF1772" s="71" t="s">
        <v>242</v>
      </c>
      <c r="AG1772" s="61"/>
      <c r="AH1772" s="63" t="s">
        <v>250</v>
      </c>
      <c r="AI1772" s="71" t="s">
        <v>242</v>
      </c>
      <c r="AJ1772" s="61"/>
      <c r="AK1772" s="63" t="s">
        <v>250</v>
      </c>
      <c r="AL1772" s="71" t="s">
        <v>242</v>
      </c>
      <c r="AM1772" s="61"/>
      <c r="AN1772" s="63" t="s">
        <v>250</v>
      </c>
      <c r="AO1772" s="71" t="s">
        <v>242</v>
      </c>
      <c r="AP1772" s="61"/>
      <c r="AQ1772" s="63" t="s">
        <v>250</v>
      </c>
      <c r="AR1772" s="71" t="s">
        <v>242</v>
      </c>
      <c r="AS1772" s="61"/>
      <c r="AT1772" s="63" t="s">
        <v>250</v>
      </c>
      <c r="AU1772" s="71" t="s">
        <v>242</v>
      </c>
    </row>
    <row r="1773" spans="15:47" ht="13" x14ac:dyDescent="0.3">
      <c r="O1773" s="6" t="s">
        <v>231</v>
      </c>
      <c r="P1773" s="6"/>
      <c r="Q1773" s="60"/>
      <c r="R1773" s="85">
        <f>P_1_minQ-(R1771^2*R_up)+dpup_minQ</f>
        <v>56.904860941633252</v>
      </c>
      <c r="S1773" s="56"/>
      <c r="T1773" s="72"/>
      <c r="U1773" s="53">
        <f>P_1_minQ-(U1771^2*R_up)+dpup_minQ</f>
        <v>56.290455640867137</v>
      </c>
      <c r="V1773" s="44"/>
      <c r="W1773" s="72"/>
      <c r="X1773" s="53">
        <f>P_1_minQ-(X1771^2*R_up)+dpup_minQ</f>
        <v>53.311026708504265</v>
      </c>
      <c r="Y1773" s="44"/>
      <c r="Z1773" s="72"/>
      <c r="AA1773" s="53">
        <f>P_1_minQ-(AA1771^2*R_up)+dpup_minQ</f>
        <v>43.773040730701659</v>
      </c>
      <c r="AB1773" s="44"/>
      <c r="AC1773" s="72"/>
      <c r="AD1773" s="53">
        <f>P_1_minQ-(AD1771^2*R_up)+dpup_minQ</f>
        <v>21.366497888289114</v>
      </c>
      <c r="AE1773" s="44"/>
      <c r="AF1773" s="72"/>
      <c r="AG1773" s="53">
        <f>P_1_minQ-(AG1771^2*R_up)+dpup_minQ</f>
        <v>-21.887296522082099</v>
      </c>
      <c r="AH1773" s="44"/>
      <c r="AI1773" s="72"/>
      <c r="AJ1773" s="53">
        <f>P_1_minQ-(AJ1771^2*R_up)+dpup_minQ</f>
        <v>-83.424949609049662</v>
      </c>
      <c r="AK1773" s="44"/>
      <c r="AL1773" s="72"/>
      <c r="AM1773" s="53">
        <f>P_1_minQ-(AM1771^2*R_up)+dpup_minQ</f>
        <v>-152.03262021302325</v>
      </c>
      <c r="AN1773" s="44"/>
      <c r="AO1773" s="72"/>
      <c r="AP1773" s="53">
        <f>P_1_minQ-(AP1771^2*R_up)+dpup_minQ</f>
        <v>-224.71522092460972</v>
      </c>
      <c r="AQ1773" s="44"/>
      <c r="AR1773" s="72"/>
      <c r="AS1773" s="53">
        <f>P_1_minQ-(AS1771^2*R_up)+dpup_minQ</f>
        <v>-307.8686596737702</v>
      </c>
      <c r="AT1773" s="44"/>
      <c r="AU1773" s="72"/>
    </row>
    <row r="1774" spans="15:47" ht="13" x14ac:dyDescent="0.3">
      <c r="O1774" s="6" t="s">
        <v>233</v>
      </c>
      <c r="P1774" s="6"/>
      <c r="Q1774" s="60"/>
      <c r="R1774" s="85">
        <f>P_2_minQ+(R1771^2*R_dn)-dpdn_minQ</f>
        <v>24.659027811673351</v>
      </c>
      <c r="S1774" s="66"/>
      <c r="T1774" s="74"/>
      <c r="U1774" s="53">
        <f>P_2_minQ+(U1771^2*R_dn)-dpdn_minQ</f>
        <v>24.781908871826573</v>
      </c>
      <c r="V1774" s="45"/>
      <c r="W1774" s="74"/>
      <c r="X1774" s="53">
        <f>P_2_minQ+(X1771^2*R_dn)-dpdn_minQ</f>
        <v>25.377794658299148</v>
      </c>
      <c r="Y1774" s="45"/>
      <c r="Z1774" s="74"/>
      <c r="AA1774" s="53">
        <f>P_2_minQ+(AA1771^2*R_dn)-dpdn_minQ</f>
        <v>27.285391853859668</v>
      </c>
      <c r="AB1774" s="45"/>
      <c r="AC1774" s="74"/>
      <c r="AD1774" s="53">
        <f>P_2_minQ+(AD1771^2*R_dn)-dpdn_minQ</f>
        <v>31.766700422342179</v>
      </c>
      <c r="AE1774" s="45"/>
      <c r="AF1774" s="74"/>
      <c r="AG1774" s="53">
        <f>P_2_minQ+(AG1771^2*R_dn)-dpdn_minQ</f>
        <v>40.417459304416425</v>
      </c>
      <c r="AH1774" s="45"/>
      <c r="AI1774" s="74"/>
      <c r="AJ1774" s="53">
        <f>P_2_minQ+(AJ1771^2*R_dn)-dpdn_minQ</f>
        <v>52.724989921809936</v>
      </c>
      <c r="AK1774" s="45"/>
      <c r="AL1774" s="74"/>
      <c r="AM1774" s="53">
        <f>P_2_minQ+(AM1771^2*R_dn)-dpdn_minQ</f>
        <v>66.446524042604651</v>
      </c>
      <c r="AN1774" s="45"/>
      <c r="AO1774" s="74"/>
      <c r="AP1774" s="53">
        <f>P_2_minQ+(AP1771^2*R_dn)-dpdn_minQ</f>
        <v>80.983044184921937</v>
      </c>
      <c r="AQ1774" s="45"/>
      <c r="AR1774" s="74"/>
      <c r="AS1774" s="53">
        <f>P_2_minQ+(AS1771^2*R_dn)-dpdn_minQ</f>
        <v>97.613731934754028</v>
      </c>
      <c r="AT1774" s="45"/>
      <c r="AU1774" s="74"/>
    </row>
    <row r="1775" spans="15:47" x14ac:dyDescent="0.25">
      <c r="O1775" s="6" t="s">
        <v>243</v>
      </c>
      <c r="Q1775" s="60"/>
      <c r="R1775" s="53">
        <f>R1773-R1774</f>
        <v>32.245833129959905</v>
      </c>
      <c r="S1775" s="56"/>
      <c r="T1775" s="72"/>
      <c r="U1775" s="64">
        <f>U1773-U1774</f>
        <v>31.508546769040564</v>
      </c>
      <c r="V1775" s="44"/>
      <c r="W1775" s="72"/>
      <c r="X1775" s="64">
        <f>X1773-X1774</f>
        <v>27.933232050205117</v>
      </c>
      <c r="Y1775" s="44"/>
      <c r="Z1775" s="72"/>
      <c r="AA1775" s="64">
        <f>AA1773-AA1774</f>
        <v>16.487648876841991</v>
      </c>
      <c r="AB1775" s="44"/>
      <c r="AC1775" s="72"/>
      <c r="AD1775" s="64">
        <f>AD1773-AD1774</f>
        <v>-10.400202534053065</v>
      </c>
      <c r="AE1775" s="44"/>
      <c r="AF1775" s="72"/>
      <c r="AG1775" s="64">
        <f>AG1773-AG1774</f>
        <v>-62.304755826498521</v>
      </c>
      <c r="AH1775" s="44"/>
      <c r="AI1775" s="72"/>
      <c r="AJ1775" s="64">
        <f>AJ1773-AJ1774</f>
        <v>-136.1499395308596</v>
      </c>
      <c r="AK1775" s="44"/>
      <c r="AL1775" s="72"/>
      <c r="AM1775" s="64">
        <f>AM1773-AM1774</f>
        <v>-218.47914425562789</v>
      </c>
      <c r="AN1775" s="44"/>
      <c r="AO1775" s="72"/>
      <c r="AP1775" s="64">
        <f>AP1773-AP1774</f>
        <v>-305.69826510953169</v>
      </c>
      <c r="AQ1775" s="44"/>
      <c r="AR1775" s="72"/>
      <c r="AS1775" s="64">
        <f>AS1773-AS1774</f>
        <v>-405.48239160852421</v>
      </c>
      <c r="AT1775" s="44"/>
      <c r="AU1775" s="72"/>
    </row>
    <row r="1776" spans="15:47" ht="13" x14ac:dyDescent="0.3">
      <c r="O1776" s="6" t="s">
        <v>75</v>
      </c>
      <c r="P1776" s="6">
        <v>3</v>
      </c>
      <c r="Q1776" s="65"/>
      <c r="R1776" s="85">
        <f>(F_LP_h/F_P_h)^2*(R1773-('Valve Sizing'!$V$4*'Valve Sizing'!$G$7))</f>
        <v>46.755820943835261</v>
      </c>
      <c r="S1776" s="58"/>
      <c r="T1776" s="73"/>
      <c r="U1776" s="53">
        <f>(U$29/U$27)^2*(U1773-('Valve Sizing'!$V$4*'Valve Sizing'!$G$7))</f>
        <v>46.23445606637042</v>
      </c>
      <c r="V1776" s="41"/>
      <c r="W1776" s="73"/>
      <c r="X1776" s="53">
        <f>(X$29/X$27)^2*(X1773-('Valve Sizing'!$V$4*'Valve Sizing'!$G$7))</f>
        <v>42.780733077463097</v>
      </c>
      <c r="Y1776" s="41"/>
      <c r="Z1776" s="73"/>
      <c r="AA1776" s="53">
        <f>(AA$29/AA$27)^2*(AA1773-('Valve Sizing'!$V$4*'Valve Sizing'!$G$7))</f>
        <v>33.487608903065428</v>
      </c>
      <c r="AB1776" s="41"/>
      <c r="AC1776" s="73"/>
      <c r="AD1776" s="53">
        <f>(AD$29/AD$27)^2*(AD1773-('Valve Sizing'!$V$4*'Valve Sizing'!$G$7))</f>
        <v>15.091885163195155</v>
      </c>
      <c r="AE1776" s="41"/>
      <c r="AF1776" s="73"/>
      <c r="AG1776" s="53">
        <f>(AG$29/AG$27)^2*(AG1773-('Valve Sizing'!$V$4*'Valve Sizing'!$G$7))</f>
        <v>-14.379797412663216</v>
      </c>
      <c r="AH1776" s="41"/>
      <c r="AI1776" s="73"/>
      <c r="AJ1776" s="53">
        <f>(AJ$29/AJ$27)^2*(AJ1773-('Valve Sizing'!$V$4*'Valve Sizing'!$G$7))</f>
        <v>-48.504529191474511</v>
      </c>
      <c r="AK1776" s="41"/>
      <c r="AL1776" s="73"/>
      <c r="AM1776" s="53">
        <f>(AM$29/AM$27)^2*(AM1773-('Valve Sizing'!$V$4*'Valve Sizing'!$G$7))</f>
        <v>-72.953929896408027</v>
      </c>
      <c r="AN1776" s="41"/>
      <c r="AO1776" s="73"/>
      <c r="AP1776" s="53">
        <f>(AP$29/AP$27)^2*(AP1773-('Valve Sizing'!$V$4*'Valve Sizing'!$G$7))</f>
        <v>-88.852313254376924</v>
      </c>
      <c r="AQ1776" s="41"/>
      <c r="AR1776" s="73"/>
      <c r="AS1776" s="53">
        <f>(AS$29/AS$27)^2*(AS1773-('Valve Sizing'!$V$4*'Valve Sizing'!$G$7))</f>
        <v>-115.9674857704245</v>
      </c>
      <c r="AT1776" s="41"/>
      <c r="AU1776" s="73"/>
    </row>
    <row r="1777" spans="15:47" ht="13" x14ac:dyDescent="0.25">
      <c r="O1777" s="1" t="s">
        <v>69</v>
      </c>
      <c r="P1777" s="17">
        <v>7</v>
      </c>
      <c r="Q1777" s="65"/>
      <c r="R1777" s="53">
        <f>(R1771/(N_1*F_P_h))*SQRT('Valve Sizing'!$G$6/R1775)</f>
        <v>3.2191695635298094</v>
      </c>
      <c r="S1777" s="58"/>
      <c r="T1777" s="73"/>
      <c r="U1777" s="64">
        <f>(U1771/(N_1*U$27))*SQRT('Valve Sizing'!$G$6/U1775)</f>
        <v>24.268863871039237</v>
      </c>
      <c r="V1777" s="41"/>
      <c r="W1777" s="73"/>
      <c r="X1777" s="64">
        <f>(X1771/(N_1*X$27))*SQRT('Valve Sizing'!$G$6/X1775)</f>
        <v>62.009549717504477</v>
      </c>
      <c r="Y1777" s="41"/>
      <c r="Z1777" s="73"/>
      <c r="AA1777" s="64">
        <f>(AA1771/(N_1*AA$27))*SQRT('Valve Sizing'!$G$6/AA1775)</f>
        <v>154.99597781932118</v>
      </c>
      <c r="AB1777" s="41"/>
      <c r="AC1777" s="73"/>
      <c r="AD1777" s="64" t="e">
        <f>(AD1771/(N_1*AD$27))*SQRT('Valve Sizing'!$G$6/AD1775)</f>
        <v>#NUM!</v>
      </c>
      <c r="AE1777" s="41"/>
      <c r="AF1777" s="73"/>
      <c r="AG1777" s="64" t="e">
        <f>(AG1771/(N_1*AG$27))*SQRT('Valve Sizing'!$G$6/AG1775)</f>
        <v>#NUM!</v>
      </c>
      <c r="AH1777" s="41"/>
      <c r="AI1777" s="73"/>
      <c r="AJ1777" s="64" t="e">
        <f>(AJ1771/(N_1*AJ$27))*SQRT('Valve Sizing'!$G$6/AJ1775)</f>
        <v>#NUM!</v>
      </c>
      <c r="AK1777" s="41"/>
      <c r="AL1777" s="73"/>
      <c r="AM1777" s="64" t="e">
        <f>(AM1771/(N_1*AM$27))*SQRT('Valve Sizing'!$G$6/AM1775)</f>
        <v>#NUM!</v>
      </c>
      <c r="AN1777" s="41"/>
      <c r="AO1777" s="73"/>
      <c r="AP1777" s="64" t="e">
        <f>(AP1771/(N_1*AP$27))*SQRT('Valve Sizing'!$G$6/AP1775)</f>
        <v>#NUM!</v>
      </c>
      <c r="AQ1777" s="41"/>
      <c r="AR1777" s="73"/>
      <c r="AS1777" s="64" t="e">
        <f>(AS1771/(N_1*AS$27))*SQRT('Valve Sizing'!$G$6/AS1775)</f>
        <v>#NUM!</v>
      </c>
      <c r="AT1777" s="41"/>
      <c r="AU1777" s="73"/>
    </row>
    <row r="1778" spans="15:47" ht="13" x14ac:dyDescent="0.3">
      <c r="O1778" s="1" t="s">
        <v>72</v>
      </c>
      <c r="P1778" s="17">
        <v>7</v>
      </c>
      <c r="Q1778" s="65"/>
      <c r="R1778" s="53">
        <f>(R1771/(N_1*F_P_h))*SQRT('Valve Sizing'!$G$6/R1776)</f>
        <v>2.6733930249734303</v>
      </c>
      <c r="S1778" s="56"/>
      <c r="T1778" s="72"/>
      <c r="U1778" s="85">
        <f>(U1771/(N_1*U$27))*SQRT('Valve Sizing'!$G$6/U1776)</f>
        <v>20.034603687381949</v>
      </c>
      <c r="V1778" s="44"/>
      <c r="W1778" s="72"/>
      <c r="X1778" s="85">
        <f>(X1771/(N_1*X$27))*SQRT('Valve Sizing'!$G$6/X1776)</f>
        <v>50.106614614133264</v>
      </c>
      <c r="Y1778" s="44"/>
      <c r="Z1778" s="72"/>
      <c r="AA1778" s="85">
        <f>(AA1771/(N_1*AA$27))*SQRT('Valve Sizing'!$G$6/AA1776)</f>
        <v>108.75712634299393</v>
      </c>
      <c r="AB1778" s="44"/>
      <c r="AC1778" s="72"/>
      <c r="AD1778" s="85">
        <f>(AD1771/(N_1*AD$27))*SQRT('Valve Sizing'!$G$6/AD1776)</f>
        <v>269.78757174902574</v>
      </c>
      <c r="AE1778" s="44"/>
      <c r="AF1778" s="72"/>
      <c r="AG1778" s="85" t="e">
        <f>(AG1771/(N_1*AG$27))*SQRT('Valve Sizing'!$G$6/AG1776)</f>
        <v>#NUM!</v>
      </c>
      <c r="AH1778" s="44"/>
      <c r="AI1778" s="72"/>
      <c r="AJ1778" s="85" t="e">
        <f>(AJ1771/(N_1*AJ$27))*SQRT('Valve Sizing'!$G$6/AJ1776)</f>
        <v>#NUM!</v>
      </c>
      <c r="AK1778" s="44"/>
      <c r="AL1778" s="72"/>
      <c r="AM1778" s="85" t="e">
        <f>(AM1771/(N_1*AM$27))*SQRT('Valve Sizing'!$G$6/AM1776)</f>
        <v>#NUM!</v>
      </c>
      <c r="AN1778" s="44"/>
      <c r="AO1778" s="72"/>
      <c r="AP1778" s="85" t="e">
        <f>(AP1771/(N_1*AP$27))*SQRT('Valve Sizing'!$G$6/AP1776)</f>
        <v>#NUM!</v>
      </c>
      <c r="AQ1778" s="44"/>
      <c r="AR1778" s="72"/>
      <c r="AS1778" s="85" t="e">
        <f>(AS1771/(N_1*AS$27))*SQRT('Valve Sizing'!$G$6/AS1776)</f>
        <v>#NUM!</v>
      </c>
      <c r="AT1778" s="44"/>
      <c r="AU1778" s="72"/>
    </row>
    <row r="1779" spans="15:47" x14ac:dyDescent="0.25">
      <c r="O1779" s="1" t="s">
        <v>246</v>
      </c>
      <c r="P1779" s="18"/>
      <c r="Q1779" s="65"/>
      <c r="R1779" s="53">
        <f>IF(R1775&lt;R1776,R1777,R1778)</f>
        <v>3.2191695635298094</v>
      </c>
      <c r="S1779" s="49"/>
      <c r="T1779" s="72"/>
      <c r="U1779" s="64">
        <f>IF(U1775&lt;U1776,U1777,U1778)</f>
        <v>24.268863871039237</v>
      </c>
      <c r="V1779" s="44"/>
      <c r="W1779" s="72"/>
      <c r="X1779" s="64">
        <f>IF(X1775&lt;X1776,X1777,X1778)</f>
        <v>62.009549717504477</v>
      </c>
      <c r="Y1779" s="44"/>
      <c r="Z1779" s="72"/>
      <c r="AA1779" s="64">
        <f>IF(AA1775&lt;AA1776,AA1777,AA1778)</f>
        <v>154.99597781932118</v>
      </c>
      <c r="AB1779" s="44"/>
      <c r="AC1779" s="72"/>
      <c r="AD1779" s="64" t="e">
        <f>IF(AD1775&lt;AD1776,AD1777,AD1778)</f>
        <v>#NUM!</v>
      </c>
      <c r="AE1779" s="44"/>
      <c r="AF1779" s="72"/>
      <c r="AG1779" s="64" t="e">
        <f>IF(AG1775&lt;AG1776,AG1777,AG1778)</f>
        <v>#NUM!</v>
      </c>
      <c r="AH1779" s="44"/>
      <c r="AI1779" s="72"/>
      <c r="AJ1779" s="64" t="e">
        <f>IF(AJ1775&lt;AJ1776,AJ1777,AJ1778)</f>
        <v>#NUM!</v>
      </c>
      <c r="AK1779" s="44"/>
      <c r="AL1779" s="72"/>
      <c r="AM1779" s="64" t="e">
        <f>IF(AM1775&lt;AM1776,AM1777,AM1778)</f>
        <v>#NUM!</v>
      </c>
      <c r="AN1779" s="44"/>
      <c r="AO1779" s="72"/>
      <c r="AP1779" s="64" t="e">
        <f>IF(AP1775&lt;AP1776,AP1777,AP1778)</f>
        <v>#NUM!</v>
      </c>
      <c r="AQ1779" s="44"/>
      <c r="AR1779" s="72"/>
      <c r="AS1779" s="64" t="e">
        <f>IF(AS1775&lt;AS1776,AS1777,AS1778)</f>
        <v>#NUM!</v>
      </c>
      <c r="AT1779" s="44"/>
      <c r="AU1779" s="72"/>
    </row>
    <row r="1780" spans="15:47" ht="13" x14ac:dyDescent="0.3">
      <c r="O1780" s="7" t="s">
        <v>264</v>
      </c>
      <c r="Q1780" s="61"/>
      <c r="R1780" s="53"/>
      <c r="S1780" s="69">
        <f>IFERROR(ABS(C_h-R1779),Q_max*10)</f>
        <v>1.7808304364701906</v>
      </c>
      <c r="T1780" s="76">
        <f>R1771</f>
        <v>18.277514005996125</v>
      </c>
      <c r="U1780" s="61"/>
      <c r="V1780" s="69">
        <f>IFERROR(ABS(U$23-U1779),Q_max*10)</f>
        <v>12.268863871039237</v>
      </c>
      <c r="W1780" s="75">
        <f>U1771</f>
        <v>136.11248463650961</v>
      </c>
      <c r="X1780" s="61"/>
      <c r="Y1780" s="69">
        <f>IFERROR(ABS(X$23-X1779),Q_max*10)</f>
        <v>39.009549717504477</v>
      </c>
      <c r="Z1780" s="75">
        <f>X1771</f>
        <v>326.72235791446633</v>
      </c>
      <c r="AA1780" s="61"/>
      <c r="AB1780" s="69">
        <f>IFERROR(ABS(AA$23-AA1779),Q_max*10)</f>
        <v>115.99597781932118</v>
      </c>
      <c r="AC1780" s="75">
        <f>AA1771</f>
        <v>623.83272113918792</v>
      </c>
      <c r="AD1780" s="61"/>
      <c r="AE1780" s="69">
        <f>IFERROR(ABS(AD$23-AD1779),Q_max*10)</f>
        <v>5500</v>
      </c>
      <c r="AF1780" s="75">
        <f>AD1771</f>
        <v>1025.9751446929693</v>
      </c>
      <c r="AG1780" s="61"/>
      <c r="AH1780" s="69">
        <f>IFERROR(ABS(AG$23-AG1779),Q_max*10)</f>
        <v>5500</v>
      </c>
      <c r="AI1780" s="75">
        <f>AG1771</f>
        <v>1527.5371844962895</v>
      </c>
      <c r="AJ1780" s="61"/>
      <c r="AK1780" s="69">
        <f>IFERROR(ABS(AJ$23-AJ1779),Q_max*10)</f>
        <v>5500</v>
      </c>
      <c r="AL1780" s="75">
        <f>AJ1771</f>
        <v>2038.5042943108951</v>
      </c>
      <c r="AM1780" s="61"/>
      <c r="AN1780" s="69">
        <f>IFERROR(ABS(AM$23-AM1779),Q_max*10)</f>
        <v>5500</v>
      </c>
      <c r="AO1780" s="75">
        <f>AM1771</f>
        <v>2487.3626363093135</v>
      </c>
      <c r="AP1780" s="61"/>
      <c r="AQ1780" s="69">
        <f>IFERROR(ABS(AP$23-AP1779),Q_max*10)</f>
        <v>5500</v>
      </c>
      <c r="AR1780" s="75">
        <f>AP1771</f>
        <v>2887.7508015023895</v>
      </c>
      <c r="AS1780" s="61"/>
      <c r="AT1780" s="69">
        <f>IFERROR(ABS(AS$23-AS1779),Q_max*10)</f>
        <v>5500</v>
      </c>
      <c r="AU1780" s="75">
        <f>AS1771</f>
        <v>3286.529782755716</v>
      </c>
    </row>
    <row r="1781" spans="15:47" ht="14.5" x14ac:dyDescent="0.35">
      <c r="O1781" s="8"/>
      <c r="P1781" s="6"/>
      <c r="Q1781" s="60"/>
      <c r="R1781" s="67"/>
      <c r="S1781" s="56"/>
      <c r="T1781" s="72"/>
      <c r="V1781" s="11"/>
      <c r="W1781" s="38"/>
      <c r="Y1781" s="11"/>
      <c r="Z1781" s="38"/>
      <c r="AB1781" s="11"/>
      <c r="AC1781" s="38"/>
      <c r="AE1781" s="11"/>
      <c r="AF1781" s="38"/>
      <c r="AH1781" s="11"/>
      <c r="AI1781" s="38"/>
      <c r="AK1781" s="11"/>
      <c r="AL1781" s="38"/>
      <c r="AN1781" s="11"/>
      <c r="AO1781" s="38"/>
      <c r="AQ1781" s="11"/>
      <c r="AR1781" s="38"/>
      <c r="AT1781" s="11"/>
      <c r="AU1781" s="38"/>
    </row>
    <row r="1782" spans="15:47" ht="14" x14ac:dyDescent="0.3">
      <c r="O1782" s="8" t="s">
        <v>235</v>
      </c>
      <c r="P1782" s="6"/>
      <c r="Q1782" s="60"/>
      <c r="R1782" s="53">
        <f>R1771*1.02</f>
        <v>18.643064286116047</v>
      </c>
      <c r="S1782" s="58" t="s">
        <v>238</v>
      </c>
      <c r="T1782" s="73" t="s">
        <v>241</v>
      </c>
      <c r="U1782" s="84">
        <f>U1771*1.01</f>
        <v>137.47360948287471</v>
      </c>
      <c r="V1782" s="58" t="s">
        <v>238</v>
      </c>
      <c r="W1782" s="73" t="s">
        <v>241</v>
      </c>
      <c r="X1782" s="84">
        <f>X1771*1.01</f>
        <v>329.98958149361101</v>
      </c>
      <c r="Y1782" s="58" t="s">
        <v>238</v>
      </c>
      <c r="Z1782" s="73" t="s">
        <v>241</v>
      </c>
      <c r="AA1782" s="84">
        <f>AA1771*1.01</f>
        <v>630.07104835057976</v>
      </c>
      <c r="AB1782" s="58" t="s">
        <v>238</v>
      </c>
      <c r="AC1782" s="73" t="s">
        <v>241</v>
      </c>
      <c r="AD1782" s="84">
        <f>AD1771*1.01</f>
        <v>1036.2348961398989</v>
      </c>
      <c r="AE1782" s="58" t="s">
        <v>238</v>
      </c>
      <c r="AF1782" s="73" t="s">
        <v>241</v>
      </c>
      <c r="AG1782" s="84">
        <f>AG1771*1.01</f>
        <v>1542.8125563412523</v>
      </c>
      <c r="AH1782" s="58" t="s">
        <v>238</v>
      </c>
      <c r="AI1782" s="73" t="s">
        <v>241</v>
      </c>
      <c r="AJ1782" s="84">
        <f>AJ1771*1.01</f>
        <v>2058.8893372540042</v>
      </c>
      <c r="AK1782" s="58" t="s">
        <v>238</v>
      </c>
      <c r="AL1782" s="73" t="s">
        <v>241</v>
      </c>
      <c r="AM1782" s="84">
        <f>AM1771*1.01</f>
        <v>2512.2362626724066</v>
      </c>
      <c r="AN1782" s="58" t="s">
        <v>238</v>
      </c>
      <c r="AO1782" s="73" t="s">
        <v>241</v>
      </c>
      <c r="AP1782" s="84">
        <f>AP1771*1.01</f>
        <v>2916.6283095174135</v>
      </c>
      <c r="AQ1782" s="58" t="s">
        <v>238</v>
      </c>
      <c r="AR1782" s="73" t="s">
        <v>241</v>
      </c>
      <c r="AS1782" s="84">
        <f>AS1771*1.01</f>
        <v>3319.3950805832733</v>
      </c>
      <c r="AT1782" s="58" t="s">
        <v>238</v>
      </c>
      <c r="AU1782" s="73" t="s">
        <v>241</v>
      </c>
    </row>
    <row r="1783" spans="15:47" ht="13" x14ac:dyDescent="0.25">
      <c r="O1783" s="6"/>
      <c r="P1783" s="6"/>
      <c r="Q1783" s="60"/>
      <c r="R1783" s="70"/>
      <c r="S1783" s="63" t="s">
        <v>250</v>
      </c>
      <c r="T1783" s="71" t="s">
        <v>242</v>
      </c>
      <c r="U1783" s="61"/>
      <c r="V1783" s="63" t="s">
        <v>250</v>
      </c>
      <c r="W1783" s="71" t="s">
        <v>242</v>
      </c>
      <c r="X1783" s="61"/>
      <c r="Y1783" s="63" t="s">
        <v>250</v>
      </c>
      <c r="Z1783" s="71" t="s">
        <v>242</v>
      </c>
      <c r="AA1783" s="61"/>
      <c r="AB1783" s="63" t="s">
        <v>250</v>
      </c>
      <c r="AC1783" s="71" t="s">
        <v>242</v>
      </c>
      <c r="AD1783" s="61"/>
      <c r="AE1783" s="63" t="s">
        <v>250</v>
      </c>
      <c r="AF1783" s="71" t="s">
        <v>242</v>
      </c>
      <c r="AG1783" s="61"/>
      <c r="AH1783" s="63" t="s">
        <v>250</v>
      </c>
      <c r="AI1783" s="71" t="s">
        <v>242</v>
      </c>
      <c r="AJ1783" s="61"/>
      <c r="AK1783" s="63" t="s">
        <v>250</v>
      </c>
      <c r="AL1783" s="71" t="s">
        <v>242</v>
      </c>
      <c r="AM1783" s="61"/>
      <c r="AN1783" s="63" t="s">
        <v>250</v>
      </c>
      <c r="AO1783" s="71" t="s">
        <v>242</v>
      </c>
      <c r="AP1783" s="61"/>
      <c r="AQ1783" s="63" t="s">
        <v>250</v>
      </c>
      <c r="AR1783" s="71" t="s">
        <v>242</v>
      </c>
      <c r="AS1783" s="61"/>
      <c r="AT1783" s="63" t="s">
        <v>250</v>
      </c>
      <c r="AU1783" s="71" t="s">
        <v>242</v>
      </c>
    </row>
    <row r="1784" spans="15:47" ht="13" x14ac:dyDescent="0.3">
      <c r="O1784" s="6" t="s">
        <v>231</v>
      </c>
      <c r="P1784" s="6"/>
      <c r="Q1784" s="60"/>
      <c r="R1784" s="85">
        <f>P_1_minQ-(R1782^2*R_up)+dpup_minQ</f>
        <v>56.904405138602627</v>
      </c>
      <c r="S1784" s="56"/>
      <c r="T1784" s="72"/>
      <c r="U1784" s="53">
        <f>P_1_minQ-(U1782^2*R_up)+dpup_minQ</f>
        <v>56.277879321031747</v>
      </c>
      <c r="V1784" s="44"/>
      <c r="W1784" s="72"/>
      <c r="X1784" s="53">
        <f>P_1_minQ-(X1782^2*R_up)+dpup_minQ</f>
        <v>53.238563867128384</v>
      </c>
      <c r="Y1784" s="44"/>
      <c r="Z1784" s="72"/>
      <c r="AA1784" s="53">
        <f>P_1_minQ-(AA1782^2*R_up)+dpup_minQ</f>
        <v>43.508864371171946</v>
      </c>
      <c r="AB1784" s="44"/>
      <c r="AC1784" s="72"/>
      <c r="AD1784" s="53">
        <f>P_1_minQ-(AD1782^2*R_up)+dpup_minQ</f>
        <v>20.65195001762692</v>
      </c>
      <c r="AE1784" s="44"/>
      <c r="AF1784" s="72"/>
      <c r="AG1784" s="53">
        <f>P_1_minQ-(AG1782^2*R_up)+dpup_minQ</f>
        <v>-23.471245660392771</v>
      </c>
      <c r="AH1784" s="44"/>
      <c r="AI1784" s="72"/>
      <c r="AJ1784" s="53">
        <f>P_1_minQ-(AJ1782^2*R_up)+dpup_minQ</f>
        <v>-86.245805574408422</v>
      </c>
      <c r="AK1784" s="44"/>
      <c r="AL1784" s="72"/>
      <c r="AM1784" s="53">
        <f>P_1_minQ-(AM1782^2*R_up)+dpup_minQ</f>
        <v>-156.23249035752181</v>
      </c>
      <c r="AN1784" s="44"/>
      <c r="AO1784" s="72"/>
      <c r="AP1784" s="53">
        <f>P_1_minQ-(AP1782^2*R_up)+dpup_minQ</f>
        <v>-230.37601134341125</v>
      </c>
      <c r="AQ1784" s="44"/>
      <c r="AR1784" s="72"/>
      <c r="AS1784" s="53">
        <f>P_1_minQ-(AS1782^2*R_up)+dpup_minQ</f>
        <v>-315.20083421142976</v>
      </c>
      <c r="AT1784" s="44"/>
      <c r="AU1784" s="72"/>
    </row>
    <row r="1785" spans="15:47" ht="13" x14ac:dyDescent="0.3">
      <c r="O1785" s="6" t="s">
        <v>233</v>
      </c>
      <c r="P1785" s="6"/>
      <c r="Q1785" s="60"/>
      <c r="R1785" s="85">
        <f>P_2_minQ+(R1782^2*R_dn)-dpdn_minQ</f>
        <v>24.659118972279476</v>
      </c>
      <c r="S1785" s="66"/>
      <c r="T1785" s="74"/>
      <c r="U1785" s="53">
        <f>P_2_minQ+(U1782^2*R_dn)-dpdn_minQ</f>
        <v>24.784424135793653</v>
      </c>
      <c r="V1785" s="45"/>
      <c r="W1785" s="74"/>
      <c r="X1785" s="53">
        <f>P_2_minQ+(X1782^2*R_dn)-dpdn_minQ</f>
        <v>25.392287226574325</v>
      </c>
      <c r="Y1785" s="45"/>
      <c r="Z1785" s="74"/>
      <c r="AA1785" s="53">
        <f>P_2_minQ+(AA1782^2*R_dn)-dpdn_minQ</f>
        <v>27.338227125765613</v>
      </c>
      <c r="AB1785" s="45"/>
      <c r="AC1785" s="74"/>
      <c r="AD1785" s="53">
        <f>P_2_minQ+(AD1782^2*R_dn)-dpdn_minQ</f>
        <v>31.909609996474618</v>
      </c>
      <c r="AE1785" s="45"/>
      <c r="AF1785" s="74"/>
      <c r="AG1785" s="53">
        <f>P_2_minQ+(AG1782^2*R_dn)-dpdn_minQ</f>
        <v>40.73424913207856</v>
      </c>
      <c r="AH1785" s="45"/>
      <c r="AI1785" s="74"/>
      <c r="AJ1785" s="53">
        <f>P_2_minQ+(AJ1782^2*R_dn)-dpdn_minQ</f>
        <v>53.289161114881686</v>
      </c>
      <c r="AK1785" s="45"/>
      <c r="AL1785" s="74"/>
      <c r="AM1785" s="53">
        <f>P_2_minQ+(AM1782^2*R_dn)-dpdn_minQ</f>
        <v>67.286498071504369</v>
      </c>
      <c r="AN1785" s="45"/>
      <c r="AO1785" s="74"/>
      <c r="AP1785" s="53">
        <f>P_2_minQ+(AP1782^2*R_dn)-dpdn_minQ</f>
        <v>82.115202268682239</v>
      </c>
      <c r="AQ1785" s="45"/>
      <c r="AR1785" s="74"/>
      <c r="AS1785" s="53">
        <f>P_2_minQ+(AS1782^2*R_dn)-dpdn_minQ</f>
        <v>99.080166842285948</v>
      </c>
      <c r="AT1785" s="45"/>
      <c r="AU1785" s="74"/>
    </row>
    <row r="1786" spans="15:47" x14ac:dyDescent="0.25">
      <c r="O1786" s="6" t="s">
        <v>243</v>
      </c>
      <c r="Q1786" s="60"/>
      <c r="R1786" s="53">
        <f>R1784-R1785</f>
        <v>32.245286166323154</v>
      </c>
      <c r="S1786" s="56"/>
      <c r="T1786" s="72"/>
      <c r="U1786" s="64">
        <f>U1784-U1785</f>
        <v>31.493455185238094</v>
      </c>
      <c r="V1786" s="44"/>
      <c r="W1786" s="72"/>
      <c r="X1786" s="64">
        <f>X1784-X1785</f>
        <v>27.846276640554059</v>
      </c>
      <c r="Y1786" s="44"/>
      <c r="Z1786" s="72"/>
      <c r="AA1786" s="64">
        <f>AA1784-AA1785</f>
        <v>16.170637245406333</v>
      </c>
      <c r="AB1786" s="44"/>
      <c r="AC1786" s="72"/>
      <c r="AD1786" s="64">
        <f>AD1784-AD1785</f>
        <v>-11.257659978847698</v>
      </c>
      <c r="AE1786" s="44"/>
      <c r="AF1786" s="72"/>
      <c r="AG1786" s="64">
        <f>AG1784-AG1785</f>
        <v>-64.205494792471328</v>
      </c>
      <c r="AH1786" s="44"/>
      <c r="AI1786" s="72"/>
      <c r="AJ1786" s="64">
        <f>AJ1784-AJ1785</f>
        <v>-139.53496668929012</v>
      </c>
      <c r="AK1786" s="44"/>
      <c r="AL1786" s="72"/>
      <c r="AM1786" s="64">
        <f>AM1784-AM1785</f>
        <v>-223.51898842902619</v>
      </c>
      <c r="AN1786" s="44"/>
      <c r="AO1786" s="72"/>
      <c r="AP1786" s="64">
        <f>AP1784-AP1785</f>
        <v>-312.49121361209347</v>
      </c>
      <c r="AQ1786" s="44"/>
      <c r="AR1786" s="72"/>
      <c r="AS1786" s="64">
        <f>AS1784-AS1785</f>
        <v>-414.28100105371573</v>
      </c>
      <c r="AT1786" s="44"/>
      <c r="AU1786" s="72"/>
    </row>
    <row r="1787" spans="15:47" ht="13" x14ac:dyDescent="0.3">
      <c r="O1787" s="6" t="s">
        <v>75</v>
      </c>
      <c r="P1787" s="6">
        <v>3</v>
      </c>
      <c r="Q1787" s="65"/>
      <c r="R1787" s="85">
        <f>(F_LP_h/F_P_h)^2*(R1784-('Valve Sizing'!$V$4*'Valve Sizing'!$G$7))</f>
        <v>46.755443515000827</v>
      </c>
      <c r="S1787" s="58"/>
      <c r="T1787" s="73"/>
      <c r="U1787" s="53">
        <f>(U$29/U$27)^2*(U1784-('Valve Sizing'!$V$4*'Valve Sizing'!$G$7))</f>
        <v>46.22404505180257</v>
      </c>
      <c r="V1787" s="41"/>
      <c r="W1787" s="73"/>
      <c r="X1787" s="53">
        <f>(X$29/X$27)^2*(X1784-('Valve Sizing'!$V$4*'Valve Sizing'!$G$7))</f>
        <v>42.72209951104184</v>
      </c>
      <c r="Y1787" s="41"/>
      <c r="Z1787" s="73"/>
      <c r="AA1787" s="53">
        <f>(AA$29/AA$27)^2*(AA1784-('Valve Sizing'!$V$4*'Valve Sizing'!$G$7))</f>
        <v>33.283454146473623</v>
      </c>
      <c r="AB1787" s="41"/>
      <c r="AC1787" s="73"/>
      <c r="AD1787" s="53">
        <f>(AD$29/AD$27)^2*(AD1784-('Valve Sizing'!$V$4*'Valve Sizing'!$G$7))</f>
        <v>14.576562237049375</v>
      </c>
      <c r="AE1787" s="41"/>
      <c r="AF1787" s="73"/>
      <c r="AG1787" s="53">
        <f>(AG$29/AG$27)^2*(AG1784-('Valve Sizing'!$V$4*'Valve Sizing'!$G$7))</f>
        <v>-15.399930274173888</v>
      </c>
      <c r="AH1787" s="41"/>
      <c r="AI1787" s="73"/>
      <c r="AJ1787" s="53">
        <f>(AJ$29/AJ$27)^2*(AJ1784-('Valve Sizing'!$V$4*'Valve Sizing'!$G$7))</f>
        <v>-50.136011676930231</v>
      </c>
      <c r="AK1787" s="41"/>
      <c r="AL1787" s="73"/>
      <c r="AM1787" s="53">
        <f>(AM$29/AM$27)^2*(AM1784-('Valve Sizing'!$V$4*'Valve Sizing'!$G$7))</f>
        <v>-74.963450791246146</v>
      </c>
      <c r="AN1787" s="41"/>
      <c r="AO1787" s="73"/>
      <c r="AP1787" s="53">
        <f>(AP$29/AP$27)^2*(AP1784-('Valve Sizing'!$V$4*'Valve Sizing'!$G$7))</f>
        <v>-91.086213017689403</v>
      </c>
      <c r="AQ1787" s="41"/>
      <c r="AR1787" s="73"/>
      <c r="AS1787" s="53">
        <f>(AS$29/AS$27)^2*(AS1784-('Valve Sizing'!$V$4*'Valve Sizing'!$G$7))</f>
        <v>-118.72541572352758</v>
      </c>
      <c r="AT1787" s="41"/>
      <c r="AU1787" s="73"/>
    </row>
    <row r="1788" spans="15:47" ht="13" x14ac:dyDescent="0.25">
      <c r="O1788" s="1" t="s">
        <v>69</v>
      </c>
      <c r="P1788" s="17">
        <v>7</v>
      </c>
      <c r="Q1788" s="65"/>
      <c r="R1788" s="53">
        <f>(R1782/(N_1*F_P_h))*SQRT('Valve Sizing'!$G$6/R1786)</f>
        <v>3.283580803467034</v>
      </c>
      <c r="S1788" s="58"/>
      <c r="T1788" s="73"/>
      <c r="U1788" s="64">
        <f>(U1782/(N_1*U$27))*SQRT('Valve Sizing'!$G$6/U1786)</f>
        <v>24.517424743223369</v>
      </c>
      <c r="V1788" s="41"/>
      <c r="W1788" s="73"/>
      <c r="X1788" s="64">
        <f>(X1782/(N_1*X$27))*SQRT('Valve Sizing'!$G$6/X1786)</f>
        <v>62.727355612619881</v>
      </c>
      <c r="Y1788" s="41"/>
      <c r="Z1788" s="73"/>
      <c r="AA1788" s="64">
        <f>(AA1782/(N_1*AA$27))*SQRT('Valve Sizing'!$G$6/AA1786)</f>
        <v>158.07296508439941</v>
      </c>
      <c r="AB1788" s="41"/>
      <c r="AC1788" s="73"/>
      <c r="AD1788" s="64" t="e">
        <f>(AD1782/(N_1*AD$27))*SQRT('Valve Sizing'!$G$6/AD1786)</f>
        <v>#NUM!</v>
      </c>
      <c r="AE1788" s="41"/>
      <c r="AF1788" s="73"/>
      <c r="AG1788" s="64" t="e">
        <f>(AG1782/(N_1*AG$27))*SQRT('Valve Sizing'!$G$6/AG1786)</f>
        <v>#NUM!</v>
      </c>
      <c r="AH1788" s="41"/>
      <c r="AI1788" s="73"/>
      <c r="AJ1788" s="64" t="e">
        <f>(AJ1782/(N_1*AJ$27))*SQRT('Valve Sizing'!$G$6/AJ1786)</f>
        <v>#NUM!</v>
      </c>
      <c r="AK1788" s="41"/>
      <c r="AL1788" s="73"/>
      <c r="AM1788" s="64" t="e">
        <f>(AM1782/(N_1*AM$27))*SQRT('Valve Sizing'!$G$6/AM1786)</f>
        <v>#NUM!</v>
      </c>
      <c r="AN1788" s="41"/>
      <c r="AO1788" s="73"/>
      <c r="AP1788" s="64" t="e">
        <f>(AP1782/(N_1*AP$27))*SQRT('Valve Sizing'!$G$6/AP1786)</f>
        <v>#NUM!</v>
      </c>
      <c r="AQ1788" s="41"/>
      <c r="AR1788" s="73"/>
      <c r="AS1788" s="64" t="e">
        <f>(AS1782/(N_1*AS$27))*SQRT('Valve Sizing'!$G$6/AS1786)</f>
        <v>#NUM!</v>
      </c>
      <c r="AT1788" s="41"/>
      <c r="AU1788" s="73"/>
    </row>
    <row r="1789" spans="15:47" ht="13" x14ac:dyDescent="0.3">
      <c r="O1789" s="1" t="s">
        <v>72</v>
      </c>
      <c r="P1789" s="17">
        <v>7</v>
      </c>
      <c r="Q1789" s="65"/>
      <c r="R1789" s="53">
        <f>(R1782/(N_1*F_P_h))*SQRT('Valve Sizing'!$G$6/R1787)</f>
        <v>2.7268718916121983</v>
      </c>
      <c r="S1789" s="56"/>
      <c r="T1789" s="72"/>
      <c r="U1789" s="85">
        <f>(U1782/(N_1*U$27))*SQRT('Valve Sizing'!$G$6/U1787)</f>
        <v>20.237228348891431</v>
      </c>
      <c r="V1789" s="44"/>
      <c r="W1789" s="72"/>
      <c r="X1789" s="85">
        <f>(X1782/(N_1*X$27))*SQRT('Valve Sizing'!$G$6/X1787)</f>
        <v>50.6423968841206</v>
      </c>
      <c r="Y1789" s="44"/>
      <c r="Z1789" s="72"/>
      <c r="AA1789" s="85">
        <f>(AA1782/(N_1*AA$27))*SQRT('Valve Sizing'!$G$6/AA1787)</f>
        <v>110.18106645572125</v>
      </c>
      <c r="AB1789" s="44"/>
      <c r="AC1789" s="72"/>
      <c r="AD1789" s="85">
        <f>(AD1782/(N_1*AD$27))*SQRT('Valve Sizing'!$G$6/AD1787)</f>
        <v>277.26018159652591</v>
      </c>
      <c r="AE1789" s="44"/>
      <c r="AF1789" s="72"/>
      <c r="AG1789" s="85" t="e">
        <f>(AG1782/(N_1*AG$27))*SQRT('Valve Sizing'!$G$6/AG1787)</f>
        <v>#NUM!</v>
      </c>
      <c r="AH1789" s="44"/>
      <c r="AI1789" s="72"/>
      <c r="AJ1789" s="85" t="e">
        <f>(AJ1782/(N_1*AJ$27))*SQRT('Valve Sizing'!$G$6/AJ1787)</f>
        <v>#NUM!</v>
      </c>
      <c r="AK1789" s="44"/>
      <c r="AL1789" s="72"/>
      <c r="AM1789" s="85" t="e">
        <f>(AM1782/(N_1*AM$27))*SQRT('Valve Sizing'!$G$6/AM1787)</f>
        <v>#NUM!</v>
      </c>
      <c r="AN1789" s="44"/>
      <c r="AO1789" s="72"/>
      <c r="AP1789" s="85" t="e">
        <f>(AP1782/(N_1*AP$27))*SQRT('Valve Sizing'!$G$6/AP1787)</f>
        <v>#NUM!</v>
      </c>
      <c r="AQ1789" s="44"/>
      <c r="AR1789" s="72"/>
      <c r="AS1789" s="85" t="e">
        <f>(AS1782/(N_1*AS$27))*SQRT('Valve Sizing'!$G$6/AS1787)</f>
        <v>#NUM!</v>
      </c>
      <c r="AT1789" s="44"/>
      <c r="AU1789" s="72"/>
    </row>
    <row r="1790" spans="15:47" x14ac:dyDescent="0.25">
      <c r="O1790" s="1" t="s">
        <v>246</v>
      </c>
      <c r="P1790" s="18"/>
      <c r="Q1790" s="65"/>
      <c r="R1790" s="53">
        <f>IF(R1786&lt;R1787,R1788,R1789)</f>
        <v>3.283580803467034</v>
      </c>
      <c r="S1790" s="49"/>
      <c r="T1790" s="72"/>
      <c r="U1790" s="64">
        <f>IF(U1786&lt;U1787,U1788,U1789)</f>
        <v>24.517424743223369</v>
      </c>
      <c r="V1790" s="44"/>
      <c r="W1790" s="72"/>
      <c r="X1790" s="64">
        <f>IF(X1786&lt;X1787,X1788,X1789)</f>
        <v>62.727355612619881</v>
      </c>
      <c r="Y1790" s="44"/>
      <c r="Z1790" s="72"/>
      <c r="AA1790" s="64">
        <f>IF(AA1786&lt;AA1787,AA1788,AA1789)</f>
        <v>158.07296508439941</v>
      </c>
      <c r="AB1790" s="44"/>
      <c r="AC1790" s="72"/>
      <c r="AD1790" s="64" t="e">
        <f>IF(AD1786&lt;AD1787,AD1788,AD1789)</f>
        <v>#NUM!</v>
      </c>
      <c r="AE1790" s="44"/>
      <c r="AF1790" s="72"/>
      <c r="AG1790" s="64" t="e">
        <f>IF(AG1786&lt;AG1787,AG1788,AG1789)</f>
        <v>#NUM!</v>
      </c>
      <c r="AH1790" s="44"/>
      <c r="AI1790" s="72"/>
      <c r="AJ1790" s="64" t="e">
        <f>IF(AJ1786&lt;AJ1787,AJ1788,AJ1789)</f>
        <v>#NUM!</v>
      </c>
      <c r="AK1790" s="44"/>
      <c r="AL1790" s="72"/>
      <c r="AM1790" s="64" t="e">
        <f>IF(AM1786&lt;AM1787,AM1788,AM1789)</f>
        <v>#NUM!</v>
      </c>
      <c r="AN1790" s="44"/>
      <c r="AO1790" s="72"/>
      <c r="AP1790" s="64" t="e">
        <f>IF(AP1786&lt;AP1787,AP1788,AP1789)</f>
        <v>#NUM!</v>
      </c>
      <c r="AQ1790" s="44"/>
      <c r="AR1790" s="72"/>
      <c r="AS1790" s="64" t="e">
        <f>IF(AS1786&lt;AS1787,AS1788,AS1789)</f>
        <v>#NUM!</v>
      </c>
      <c r="AT1790" s="44"/>
      <c r="AU1790" s="72"/>
    </row>
    <row r="1791" spans="15:47" ht="13" x14ac:dyDescent="0.3">
      <c r="O1791" s="7" t="s">
        <v>264</v>
      </c>
      <c r="Q1791" s="61"/>
      <c r="R1791" s="53"/>
      <c r="S1791" s="69">
        <f>IFERROR(ABS(C_h-R1790),Q_max*10)</f>
        <v>1.716419196532966</v>
      </c>
      <c r="T1791" s="76">
        <f>R1782</f>
        <v>18.643064286116047</v>
      </c>
      <c r="U1791" s="61"/>
      <c r="V1791" s="69">
        <f>IFERROR(ABS(U$23-U1790),Q_max*10)</f>
        <v>12.517424743223369</v>
      </c>
      <c r="W1791" s="75">
        <f>U1782</f>
        <v>137.47360948287471</v>
      </c>
      <c r="X1791" s="61"/>
      <c r="Y1791" s="69">
        <f>IFERROR(ABS(X$23-X1790),Q_max*10)</f>
        <v>39.727355612619881</v>
      </c>
      <c r="Z1791" s="75">
        <f>X1782</f>
        <v>329.98958149361101</v>
      </c>
      <c r="AA1791" s="61"/>
      <c r="AB1791" s="69">
        <f>IFERROR(ABS(AA$23-AA1790),Q_max*10)</f>
        <v>119.07296508439941</v>
      </c>
      <c r="AC1791" s="75">
        <f>AA1782</f>
        <v>630.07104835057976</v>
      </c>
      <c r="AD1791" s="61"/>
      <c r="AE1791" s="69">
        <f>IFERROR(ABS(AD$23-AD1790),Q_max*10)</f>
        <v>5500</v>
      </c>
      <c r="AF1791" s="75">
        <f>AD1782</f>
        <v>1036.2348961398989</v>
      </c>
      <c r="AG1791" s="61"/>
      <c r="AH1791" s="69">
        <f>IFERROR(ABS(AG$23-AG1790),Q_max*10)</f>
        <v>5500</v>
      </c>
      <c r="AI1791" s="75">
        <f>AG1782</f>
        <v>1542.8125563412523</v>
      </c>
      <c r="AJ1791" s="61"/>
      <c r="AK1791" s="69">
        <f>IFERROR(ABS(AJ$23-AJ1790),Q_max*10)</f>
        <v>5500</v>
      </c>
      <c r="AL1791" s="75">
        <f>AJ1782</f>
        <v>2058.8893372540042</v>
      </c>
      <c r="AM1791" s="61"/>
      <c r="AN1791" s="69">
        <f>IFERROR(ABS(AM$23-AM1790),Q_max*10)</f>
        <v>5500</v>
      </c>
      <c r="AO1791" s="75">
        <f>AM1782</f>
        <v>2512.2362626724066</v>
      </c>
      <c r="AP1791" s="61"/>
      <c r="AQ1791" s="69">
        <f>IFERROR(ABS(AP$23-AP1790),Q_max*10)</f>
        <v>5500</v>
      </c>
      <c r="AR1791" s="75">
        <f>AP1782</f>
        <v>2916.6283095174135</v>
      </c>
      <c r="AS1791" s="61"/>
      <c r="AT1791" s="69">
        <f>IFERROR(ABS(AS$23-AS1790),Q_max*10)</f>
        <v>5500</v>
      </c>
      <c r="AU1791" s="75">
        <f>AS1782</f>
        <v>3319.3950805832733</v>
      </c>
    </row>
    <row r="1792" spans="15:47" ht="14.5" x14ac:dyDescent="0.35">
      <c r="O1792" s="6"/>
      <c r="P1792" s="6"/>
      <c r="Q1792" s="60"/>
      <c r="R1792" s="67"/>
      <c r="S1792" s="66"/>
      <c r="T1792" s="74"/>
      <c r="V1792" s="11"/>
      <c r="W1792" s="38"/>
      <c r="Y1792" s="11"/>
      <c r="Z1792" s="38"/>
      <c r="AB1792" s="11"/>
      <c r="AC1792" s="38"/>
      <c r="AE1792" s="11"/>
      <c r="AF1792" s="38"/>
      <c r="AH1792" s="11"/>
      <c r="AI1792" s="38"/>
      <c r="AK1792" s="11"/>
      <c r="AL1792" s="38"/>
      <c r="AN1792" s="11"/>
      <c r="AO1792" s="38"/>
      <c r="AQ1792" s="11"/>
      <c r="AR1792" s="38"/>
      <c r="AT1792" s="11"/>
      <c r="AU1792" s="38"/>
    </row>
    <row r="1793" spans="15:47" ht="14" x14ac:dyDescent="0.3">
      <c r="O1793" s="8" t="s">
        <v>235</v>
      </c>
      <c r="P1793" s="6"/>
      <c r="Q1793" s="60"/>
      <c r="R1793" s="53">
        <f>R1782*1.02</f>
        <v>19.01592557183837</v>
      </c>
      <c r="S1793" s="58" t="s">
        <v>238</v>
      </c>
      <c r="T1793" s="73" t="s">
        <v>241</v>
      </c>
      <c r="U1793" s="84">
        <f>U1782*1.01</f>
        <v>138.84834557770347</v>
      </c>
      <c r="V1793" s="58" t="s">
        <v>238</v>
      </c>
      <c r="W1793" s="73" t="s">
        <v>241</v>
      </c>
      <c r="X1793" s="84">
        <f>X1782*1.01</f>
        <v>333.28947730854713</v>
      </c>
      <c r="Y1793" s="58" t="s">
        <v>238</v>
      </c>
      <c r="Z1793" s="73" t="s">
        <v>241</v>
      </c>
      <c r="AA1793" s="84">
        <f>AA1782*1.01</f>
        <v>636.37175883408554</v>
      </c>
      <c r="AB1793" s="58" t="s">
        <v>238</v>
      </c>
      <c r="AC1793" s="73" t="s">
        <v>241</v>
      </c>
      <c r="AD1793" s="84">
        <f>AD1782*1.01</f>
        <v>1046.5972451012979</v>
      </c>
      <c r="AE1793" s="58" t="s">
        <v>238</v>
      </c>
      <c r="AF1793" s="73" t="s">
        <v>241</v>
      </c>
      <c r="AG1793" s="84">
        <f>AG1782*1.01</f>
        <v>1558.2406819046648</v>
      </c>
      <c r="AH1793" s="58" t="s">
        <v>238</v>
      </c>
      <c r="AI1793" s="73" t="s">
        <v>241</v>
      </c>
      <c r="AJ1793" s="84">
        <f>AJ1782*1.01</f>
        <v>2079.4782306265442</v>
      </c>
      <c r="AK1793" s="58" t="s">
        <v>238</v>
      </c>
      <c r="AL1793" s="73" t="s">
        <v>241</v>
      </c>
      <c r="AM1793" s="84">
        <f>AM1782*1.01</f>
        <v>2537.3586252991308</v>
      </c>
      <c r="AN1793" s="58" t="s">
        <v>238</v>
      </c>
      <c r="AO1793" s="73" t="s">
        <v>241</v>
      </c>
      <c r="AP1793" s="84">
        <f>AP1782*1.01</f>
        <v>2945.7945926125876</v>
      </c>
      <c r="AQ1793" s="58" t="s">
        <v>238</v>
      </c>
      <c r="AR1793" s="73" t="s">
        <v>241</v>
      </c>
      <c r="AS1793" s="84">
        <f>AS1782*1.01</f>
        <v>3352.5890313891059</v>
      </c>
      <c r="AT1793" s="58" t="s">
        <v>238</v>
      </c>
      <c r="AU1793" s="73" t="s">
        <v>241</v>
      </c>
    </row>
    <row r="1794" spans="15:47" ht="13" x14ac:dyDescent="0.25">
      <c r="O1794" s="6"/>
      <c r="P1794" s="6"/>
      <c r="Q1794" s="60"/>
      <c r="R1794" s="70"/>
      <c r="S1794" s="63" t="s">
        <v>250</v>
      </c>
      <c r="T1794" s="71" t="s">
        <v>242</v>
      </c>
      <c r="U1794" s="61"/>
      <c r="V1794" s="63" t="s">
        <v>250</v>
      </c>
      <c r="W1794" s="71" t="s">
        <v>242</v>
      </c>
      <c r="X1794" s="61"/>
      <c r="Y1794" s="63" t="s">
        <v>250</v>
      </c>
      <c r="Z1794" s="71" t="s">
        <v>242</v>
      </c>
      <c r="AA1794" s="61"/>
      <c r="AB1794" s="63" t="s">
        <v>250</v>
      </c>
      <c r="AC1794" s="71" t="s">
        <v>242</v>
      </c>
      <c r="AD1794" s="61"/>
      <c r="AE1794" s="63" t="s">
        <v>250</v>
      </c>
      <c r="AF1794" s="71" t="s">
        <v>242</v>
      </c>
      <c r="AG1794" s="61"/>
      <c r="AH1794" s="63" t="s">
        <v>250</v>
      </c>
      <c r="AI1794" s="71" t="s">
        <v>242</v>
      </c>
      <c r="AJ1794" s="61"/>
      <c r="AK1794" s="63" t="s">
        <v>250</v>
      </c>
      <c r="AL1794" s="71" t="s">
        <v>242</v>
      </c>
      <c r="AM1794" s="61"/>
      <c r="AN1794" s="63" t="s">
        <v>250</v>
      </c>
      <c r="AO1794" s="71" t="s">
        <v>242</v>
      </c>
      <c r="AP1794" s="61"/>
      <c r="AQ1794" s="63" t="s">
        <v>250</v>
      </c>
      <c r="AR1794" s="71" t="s">
        <v>242</v>
      </c>
      <c r="AS1794" s="61"/>
      <c r="AT1794" s="63" t="s">
        <v>250</v>
      </c>
      <c r="AU1794" s="71" t="s">
        <v>242</v>
      </c>
    </row>
    <row r="1795" spans="15:47" ht="13" x14ac:dyDescent="0.3">
      <c r="O1795" s="6" t="s">
        <v>231</v>
      </c>
      <c r="P1795" s="6"/>
      <c r="Q1795" s="60"/>
      <c r="R1795" s="85">
        <f>P_1_minQ-(R1793^2*R_up)+dpup_minQ</f>
        <v>56.903930921129565</v>
      </c>
      <c r="S1795" s="56"/>
      <c r="T1795" s="72"/>
      <c r="U1795" s="53">
        <f>P_1_minQ-(U1793^2*R_up)+dpup_minQ</f>
        <v>56.265050217167669</v>
      </c>
      <c r="V1795" s="44"/>
      <c r="W1795" s="72"/>
      <c r="X1795" s="53">
        <f>P_1_minQ-(X1793^2*R_up)+dpup_minQ</f>
        <v>53.164644522640849</v>
      </c>
      <c r="Y1795" s="44"/>
      <c r="Z1795" s="72"/>
      <c r="AA1795" s="53">
        <f>P_1_minQ-(AA1793^2*R_up)+dpup_minQ</f>
        <v>43.239378066815682</v>
      </c>
      <c r="AB1795" s="44"/>
      <c r="AC1795" s="72"/>
      <c r="AD1795" s="53">
        <f>P_1_minQ-(AD1793^2*R_up)+dpup_minQ</f>
        <v>19.923039734764405</v>
      </c>
      <c r="AE1795" s="44"/>
      <c r="AF1795" s="72"/>
      <c r="AG1795" s="53">
        <f>P_1_minQ-(AG1793^2*R_up)+dpup_minQ</f>
        <v>-25.087032176383477</v>
      </c>
      <c r="AH1795" s="44"/>
      <c r="AI1795" s="72"/>
      <c r="AJ1795" s="53">
        <f>P_1_minQ-(AJ1793^2*R_up)+dpup_minQ</f>
        <v>-89.123360744670805</v>
      </c>
      <c r="AK1795" s="44"/>
      <c r="AL1795" s="72"/>
      <c r="AM1795" s="53">
        <f>P_1_minQ-(AM1793^2*R_up)+dpup_minQ</f>
        <v>-160.51677789192487</v>
      </c>
      <c r="AN1795" s="44"/>
      <c r="AO1795" s="72"/>
      <c r="AP1795" s="53">
        <f>P_1_minQ-(AP1793^2*R_up)+dpup_minQ</f>
        <v>-236.15058364963059</v>
      </c>
      <c r="AQ1795" s="44"/>
      <c r="AR1795" s="72"/>
      <c r="AS1795" s="53">
        <f>P_1_minQ-(AS1793^2*R_up)+dpup_minQ</f>
        <v>-322.68038545729632</v>
      </c>
      <c r="AT1795" s="44"/>
      <c r="AU1795" s="72"/>
    </row>
    <row r="1796" spans="15:47" ht="13" x14ac:dyDescent="0.3">
      <c r="O1796" s="6" t="s">
        <v>233</v>
      </c>
      <c r="P1796" s="6"/>
      <c r="Q1796" s="60"/>
      <c r="R1796" s="85">
        <f>P_2_minQ+(R1793^2*R_dn)-dpdn_minQ</f>
        <v>24.659213815774088</v>
      </c>
      <c r="S1796" s="66"/>
      <c r="T1796" s="74"/>
      <c r="U1796" s="53">
        <f>P_2_minQ+(U1793^2*R_dn)-dpdn_minQ</f>
        <v>24.786989956566469</v>
      </c>
      <c r="V1796" s="45"/>
      <c r="W1796" s="74"/>
      <c r="X1796" s="53">
        <f>P_2_minQ+(X1793^2*R_dn)-dpdn_minQ</f>
        <v>25.407071095471832</v>
      </c>
      <c r="Y1796" s="45"/>
      <c r="Z1796" s="74"/>
      <c r="AA1796" s="53">
        <f>P_2_minQ+(AA1793^2*R_dn)-dpdn_minQ</f>
        <v>27.392124386636866</v>
      </c>
      <c r="AB1796" s="45"/>
      <c r="AC1796" s="74"/>
      <c r="AD1796" s="53">
        <f>P_2_minQ+(AD1793^2*R_dn)-dpdn_minQ</f>
        <v>32.055392053047122</v>
      </c>
      <c r="AE1796" s="45"/>
      <c r="AF1796" s="74"/>
      <c r="AG1796" s="53">
        <f>P_2_minQ+(AG1793^2*R_dn)-dpdn_minQ</f>
        <v>41.057406435276704</v>
      </c>
      <c r="AH1796" s="45"/>
      <c r="AI1796" s="74"/>
      <c r="AJ1796" s="53">
        <f>P_2_minQ+(AJ1793^2*R_dn)-dpdn_minQ</f>
        <v>53.864672148934169</v>
      </c>
      <c r="AK1796" s="45"/>
      <c r="AL1796" s="74"/>
      <c r="AM1796" s="53">
        <f>P_2_minQ+(AM1793^2*R_dn)-dpdn_minQ</f>
        <v>68.143355578384984</v>
      </c>
      <c r="AN1796" s="45"/>
      <c r="AO1796" s="74"/>
      <c r="AP1796" s="53">
        <f>P_2_minQ+(AP1793^2*R_dn)-dpdn_minQ</f>
        <v>83.270116729926116</v>
      </c>
      <c r="AQ1796" s="45"/>
      <c r="AR1796" s="74"/>
      <c r="AS1796" s="53">
        <f>P_2_minQ+(AS1793^2*R_dn)-dpdn_minQ</f>
        <v>100.57607709145927</v>
      </c>
      <c r="AT1796" s="45"/>
      <c r="AU1796" s="74"/>
    </row>
    <row r="1797" spans="15:47" x14ac:dyDescent="0.25">
      <c r="O1797" s="6" t="s">
        <v>243</v>
      </c>
      <c r="Q1797" s="60"/>
      <c r="R1797" s="53">
        <f>R1795-R1796</f>
        <v>32.244717105355477</v>
      </c>
      <c r="S1797" s="56"/>
      <c r="T1797" s="72"/>
      <c r="U1797" s="64">
        <f>U1795-U1796</f>
        <v>31.4780602606012</v>
      </c>
      <c r="V1797" s="44"/>
      <c r="W1797" s="72"/>
      <c r="X1797" s="64">
        <f>X1795-X1796</f>
        <v>27.757573427169017</v>
      </c>
      <c r="Y1797" s="44"/>
      <c r="Z1797" s="72"/>
      <c r="AA1797" s="64">
        <f>AA1795-AA1796</f>
        <v>15.847253680178817</v>
      </c>
      <c r="AB1797" s="44"/>
      <c r="AC1797" s="72"/>
      <c r="AD1797" s="64">
        <f>AD1795-AD1796</f>
        <v>-12.132352318282717</v>
      </c>
      <c r="AE1797" s="44"/>
      <c r="AF1797" s="72"/>
      <c r="AG1797" s="64">
        <f>AG1795-AG1796</f>
        <v>-66.144438611660178</v>
      </c>
      <c r="AH1797" s="44"/>
      <c r="AI1797" s="72"/>
      <c r="AJ1797" s="64">
        <f>AJ1795-AJ1796</f>
        <v>-142.98803289360498</v>
      </c>
      <c r="AK1797" s="44"/>
      <c r="AL1797" s="72"/>
      <c r="AM1797" s="64">
        <f>AM1795-AM1796</f>
        <v>-228.66013347030986</v>
      </c>
      <c r="AN1797" s="44"/>
      <c r="AO1797" s="72"/>
      <c r="AP1797" s="64">
        <f>AP1795-AP1796</f>
        <v>-319.42070037955671</v>
      </c>
      <c r="AQ1797" s="44"/>
      <c r="AR1797" s="72"/>
      <c r="AS1797" s="64">
        <f>AS1795-AS1796</f>
        <v>-423.25646254875562</v>
      </c>
      <c r="AT1797" s="44"/>
      <c r="AU1797" s="72"/>
    </row>
    <row r="1798" spans="15:47" ht="13" x14ac:dyDescent="0.3">
      <c r="O1798" s="6" t="s">
        <v>75</v>
      </c>
      <c r="P1798" s="6">
        <v>3</v>
      </c>
      <c r="Q1798" s="65"/>
      <c r="R1798" s="85">
        <f>(F_LP_h/F_P_h)^2*(R1795-('Valve Sizing'!$V$4*'Valve Sizing'!$G$7))</f>
        <v>46.755050838041491</v>
      </c>
      <c r="S1798" s="58"/>
      <c r="T1798" s="73"/>
      <c r="U1798" s="53">
        <f>(U$29/U$27)^2*(U1795-('Valve Sizing'!$V$4*'Valve Sizing'!$G$7))</f>
        <v>46.213424775841901</v>
      </c>
      <c r="V1798" s="41"/>
      <c r="W1798" s="73"/>
      <c r="X1798" s="53">
        <f>(X$29/X$27)^2*(X1795-('Valve Sizing'!$V$4*'Valve Sizing'!$G$7))</f>
        <v>42.662287409935523</v>
      </c>
      <c r="Y1798" s="41"/>
      <c r="Z1798" s="73"/>
      <c r="AA1798" s="53">
        <f>(AA$29/AA$27)^2*(AA1795-('Valve Sizing'!$V$4*'Valve Sizing'!$G$7))</f>
        <v>33.075195879274325</v>
      </c>
      <c r="AB1798" s="41"/>
      <c r="AC1798" s="73"/>
      <c r="AD1798" s="53">
        <f>(AD$29/AD$27)^2*(AD1795-('Valve Sizing'!$V$4*'Valve Sizing'!$G$7))</f>
        <v>14.05088132008806</v>
      </c>
      <c r="AE1798" s="41"/>
      <c r="AF1798" s="73"/>
      <c r="AG1798" s="53">
        <f>(AG$29/AG$27)^2*(AG1795-('Valve Sizing'!$V$4*'Valve Sizing'!$G$7))</f>
        <v>-16.440567806200917</v>
      </c>
      <c r="AH1798" s="41"/>
      <c r="AI1798" s="73"/>
      <c r="AJ1798" s="53">
        <f>(AJ$29/AJ$27)^2*(AJ1795-('Valve Sizing'!$V$4*'Valve Sizing'!$G$7))</f>
        <v>-51.800286960343556</v>
      </c>
      <c r="AK1798" s="41"/>
      <c r="AL1798" s="73"/>
      <c r="AM1798" s="53">
        <f>(AM$29/AM$27)^2*(AM1795-('Valve Sizing'!$V$4*'Valve Sizing'!$G$7))</f>
        <v>-77.013363056070531</v>
      </c>
      <c r="AN1798" s="41"/>
      <c r="AO1798" s="73"/>
      <c r="AP1798" s="53">
        <f>(AP$29/AP$27)^2*(AP1795-('Valve Sizing'!$V$4*'Valve Sizing'!$G$7))</f>
        <v>-93.365014166244421</v>
      </c>
      <c r="AQ1798" s="41"/>
      <c r="AR1798" s="73"/>
      <c r="AS1798" s="53">
        <f>(AS$29/AS$27)^2*(AS1795-('Valve Sizing'!$V$4*'Valve Sizing'!$G$7))</f>
        <v>-121.53878006868803</v>
      </c>
      <c r="AT1798" s="41"/>
      <c r="AU1798" s="73"/>
    </row>
    <row r="1799" spans="15:47" ht="13" x14ac:dyDescent="0.25">
      <c r="O1799" s="1" t="s">
        <v>69</v>
      </c>
      <c r="P1799" s="17">
        <v>7</v>
      </c>
      <c r="Q1799" s="65"/>
      <c r="R1799" s="53">
        <f>(R1793/(N_1*F_P_h))*SQRT('Valve Sizing'!$G$6/R1797)</f>
        <v>3.3492819735313391</v>
      </c>
      <c r="S1799" s="58"/>
      <c r="T1799" s="73"/>
      <c r="U1799" s="64">
        <f>(U1793/(N_1*U$27))*SQRT('Valve Sizing'!$G$6/U1797)</f>
        <v>24.768653552834017</v>
      </c>
      <c r="V1799" s="41"/>
      <c r="W1799" s="73"/>
      <c r="X1799" s="64">
        <f>(X1793/(N_1*X$27))*SQRT('Valve Sizing'!$G$6/X1797)</f>
        <v>63.45577771983141</v>
      </c>
      <c r="Y1799" s="41"/>
      <c r="Z1799" s="73"/>
      <c r="AA1799" s="64">
        <f>(AA1793/(N_1*AA$27))*SQRT('Valve Sizing'!$G$6/AA1797)</f>
        <v>161.27443750577831</v>
      </c>
      <c r="AB1799" s="41"/>
      <c r="AC1799" s="73"/>
      <c r="AD1799" s="64" t="e">
        <f>(AD1793/(N_1*AD$27))*SQRT('Valve Sizing'!$G$6/AD1797)</f>
        <v>#NUM!</v>
      </c>
      <c r="AE1799" s="41"/>
      <c r="AF1799" s="73"/>
      <c r="AG1799" s="64" t="e">
        <f>(AG1793/(N_1*AG$27))*SQRT('Valve Sizing'!$G$6/AG1797)</f>
        <v>#NUM!</v>
      </c>
      <c r="AH1799" s="41"/>
      <c r="AI1799" s="73"/>
      <c r="AJ1799" s="64" t="e">
        <f>(AJ1793/(N_1*AJ$27))*SQRT('Valve Sizing'!$G$6/AJ1797)</f>
        <v>#NUM!</v>
      </c>
      <c r="AK1799" s="41"/>
      <c r="AL1799" s="73"/>
      <c r="AM1799" s="64" t="e">
        <f>(AM1793/(N_1*AM$27))*SQRT('Valve Sizing'!$G$6/AM1797)</f>
        <v>#NUM!</v>
      </c>
      <c r="AN1799" s="41"/>
      <c r="AO1799" s="73"/>
      <c r="AP1799" s="64" t="e">
        <f>(AP1793/(N_1*AP$27))*SQRT('Valve Sizing'!$G$6/AP1797)</f>
        <v>#NUM!</v>
      </c>
      <c r="AQ1799" s="41"/>
      <c r="AR1799" s="73"/>
      <c r="AS1799" s="64" t="e">
        <f>(AS1793/(N_1*AS$27))*SQRT('Valve Sizing'!$G$6/AS1797)</f>
        <v>#NUM!</v>
      </c>
      <c r="AT1799" s="41"/>
      <c r="AU1799" s="73"/>
    </row>
    <row r="1800" spans="15:47" ht="13" x14ac:dyDescent="0.3">
      <c r="O1800" s="1" t="s">
        <v>72</v>
      </c>
      <c r="P1800" s="17">
        <v>7</v>
      </c>
      <c r="Q1800" s="65"/>
      <c r="R1800" s="53">
        <f>(R1793/(N_1*F_P_h))*SQRT('Valve Sizing'!$G$6/R1798)</f>
        <v>2.7814210093917997</v>
      </c>
      <c r="S1800" s="56"/>
      <c r="T1800" s="72"/>
      <c r="U1800" s="85">
        <f>(U1793/(N_1*U$27))*SQRT('Valve Sizing'!$G$6/U1798)</f>
        <v>20.441949102876837</v>
      </c>
      <c r="V1800" s="44"/>
      <c r="W1800" s="72"/>
      <c r="X1800" s="85">
        <f>(X1793/(N_1*X$27))*SQRT('Valve Sizing'!$G$6/X1798)</f>
        <v>51.184663362793351</v>
      </c>
      <c r="Y1800" s="44"/>
      <c r="Z1800" s="72"/>
      <c r="AA1800" s="85">
        <f>(AA1793/(N_1*AA$27))*SQRT('Valve Sizing'!$G$6/AA1798)</f>
        <v>111.6326741756682</v>
      </c>
      <c r="AB1800" s="44"/>
      <c r="AC1800" s="72"/>
      <c r="AD1800" s="85">
        <f>(AD1793/(N_1*AD$27))*SQRT('Valve Sizing'!$G$6/AD1798)</f>
        <v>285.2230699239384</v>
      </c>
      <c r="AE1800" s="44"/>
      <c r="AF1800" s="72"/>
      <c r="AG1800" s="85" t="e">
        <f>(AG1793/(N_1*AG$27))*SQRT('Valve Sizing'!$G$6/AG1798)</f>
        <v>#NUM!</v>
      </c>
      <c r="AH1800" s="44"/>
      <c r="AI1800" s="72"/>
      <c r="AJ1800" s="85" t="e">
        <f>(AJ1793/(N_1*AJ$27))*SQRT('Valve Sizing'!$G$6/AJ1798)</f>
        <v>#NUM!</v>
      </c>
      <c r="AK1800" s="44"/>
      <c r="AL1800" s="72"/>
      <c r="AM1800" s="85" t="e">
        <f>(AM1793/(N_1*AM$27))*SQRT('Valve Sizing'!$G$6/AM1798)</f>
        <v>#NUM!</v>
      </c>
      <c r="AN1800" s="44"/>
      <c r="AO1800" s="72"/>
      <c r="AP1800" s="85" t="e">
        <f>(AP1793/(N_1*AP$27))*SQRT('Valve Sizing'!$G$6/AP1798)</f>
        <v>#NUM!</v>
      </c>
      <c r="AQ1800" s="44"/>
      <c r="AR1800" s="72"/>
      <c r="AS1800" s="85" t="e">
        <f>(AS1793/(N_1*AS$27))*SQRT('Valve Sizing'!$G$6/AS1798)</f>
        <v>#NUM!</v>
      </c>
      <c r="AT1800" s="44"/>
      <c r="AU1800" s="72"/>
    </row>
    <row r="1801" spans="15:47" x14ac:dyDescent="0.25">
      <c r="O1801" s="1" t="s">
        <v>246</v>
      </c>
      <c r="P1801" s="18"/>
      <c r="Q1801" s="65"/>
      <c r="R1801" s="53">
        <f>IF(R1797&lt;R1798,R1799,R1800)</f>
        <v>3.3492819735313391</v>
      </c>
      <c r="S1801" s="49"/>
      <c r="T1801" s="72"/>
      <c r="U1801" s="64">
        <f>IF(U1797&lt;U1798,U1799,U1800)</f>
        <v>24.768653552834017</v>
      </c>
      <c r="V1801" s="44"/>
      <c r="W1801" s="72"/>
      <c r="X1801" s="64">
        <f>IF(X1797&lt;X1798,X1799,X1800)</f>
        <v>63.45577771983141</v>
      </c>
      <c r="Y1801" s="44"/>
      <c r="Z1801" s="72"/>
      <c r="AA1801" s="64">
        <f>IF(AA1797&lt;AA1798,AA1799,AA1800)</f>
        <v>161.27443750577831</v>
      </c>
      <c r="AB1801" s="44"/>
      <c r="AC1801" s="72"/>
      <c r="AD1801" s="64" t="e">
        <f>IF(AD1797&lt;AD1798,AD1799,AD1800)</f>
        <v>#NUM!</v>
      </c>
      <c r="AE1801" s="44"/>
      <c r="AF1801" s="72"/>
      <c r="AG1801" s="64" t="e">
        <f>IF(AG1797&lt;AG1798,AG1799,AG1800)</f>
        <v>#NUM!</v>
      </c>
      <c r="AH1801" s="44"/>
      <c r="AI1801" s="72"/>
      <c r="AJ1801" s="64" t="e">
        <f>IF(AJ1797&lt;AJ1798,AJ1799,AJ1800)</f>
        <v>#NUM!</v>
      </c>
      <c r="AK1801" s="44"/>
      <c r="AL1801" s="72"/>
      <c r="AM1801" s="64" t="e">
        <f>IF(AM1797&lt;AM1798,AM1799,AM1800)</f>
        <v>#NUM!</v>
      </c>
      <c r="AN1801" s="44"/>
      <c r="AO1801" s="72"/>
      <c r="AP1801" s="64" t="e">
        <f>IF(AP1797&lt;AP1798,AP1799,AP1800)</f>
        <v>#NUM!</v>
      </c>
      <c r="AQ1801" s="44"/>
      <c r="AR1801" s="72"/>
      <c r="AS1801" s="64" t="e">
        <f>IF(AS1797&lt;AS1798,AS1799,AS1800)</f>
        <v>#NUM!</v>
      </c>
      <c r="AT1801" s="44"/>
      <c r="AU1801" s="72"/>
    </row>
    <row r="1802" spans="15:47" ht="13" x14ac:dyDescent="0.3">
      <c r="O1802" s="7" t="s">
        <v>264</v>
      </c>
      <c r="Q1802" s="61"/>
      <c r="R1802" s="53"/>
      <c r="S1802" s="69">
        <f>IFERROR(ABS(C_h-R1801),Q_max*10)</f>
        <v>1.6507180264686609</v>
      </c>
      <c r="T1802" s="76">
        <f>R1793</f>
        <v>19.01592557183837</v>
      </c>
      <c r="U1802" s="61"/>
      <c r="V1802" s="69">
        <f>IFERROR(ABS(U$23-U1801),Q_max*10)</f>
        <v>12.768653552834017</v>
      </c>
      <c r="W1802" s="75">
        <f>U1793</f>
        <v>138.84834557770347</v>
      </c>
      <c r="X1802" s="61"/>
      <c r="Y1802" s="69">
        <f>IFERROR(ABS(X$23-X1801),Q_max*10)</f>
        <v>40.45577771983141</v>
      </c>
      <c r="Z1802" s="75">
        <f>X1793</f>
        <v>333.28947730854713</v>
      </c>
      <c r="AA1802" s="61"/>
      <c r="AB1802" s="69">
        <f>IFERROR(ABS(AA$23-AA1801),Q_max*10)</f>
        <v>122.27443750577831</v>
      </c>
      <c r="AC1802" s="75">
        <f>AA1793</f>
        <v>636.37175883408554</v>
      </c>
      <c r="AD1802" s="61"/>
      <c r="AE1802" s="69">
        <f>IFERROR(ABS(AD$23-AD1801),Q_max*10)</f>
        <v>5500</v>
      </c>
      <c r="AF1802" s="75">
        <f>AD1793</f>
        <v>1046.5972451012979</v>
      </c>
      <c r="AG1802" s="61"/>
      <c r="AH1802" s="69">
        <f>IFERROR(ABS(AG$23-AG1801),Q_max*10)</f>
        <v>5500</v>
      </c>
      <c r="AI1802" s="75">
        <f>AG1793</f>
        <v>1558.2406819046648</v>
      </c>
      <c r="AJ1802" s="61"/>
      <c r="AK1802" s="69">
        <f>IFERROR(ABS(AJ$23-AJ1801),Q_max*10)</f>
        <v>5500</v>
      </c>
      <c r="AL1802" s="75">
        <f>AJ1793</f>
        <v>2079.4782306265442</v>
      </c>
      <c r="AM1802" s="61"/>
      <c r="AN1802" s="69">
        <f>IFERROR(ABS(AM$23-AM1801),Q_max*10)</f>
        <v>5500</v>
      </c>
      <c r="AO1802" s="75">
        <f>AM1793</f>
        <v>2537.3586252991308</v>
      </c>
      <c r="AP1802" s="61"/>
      <c r="AQ1802" s="69">
        <f>IFERROR(ABS(AP$23-AP1801),Q_max*10)</f>
        <v>5500</v>
      </c>
      <c r="AR1802" s="75">
        <f>AP1793</f>
        <v>2945.7945926125876</v>
      </c>
      <c r="AS1802" s="61"/>
      <c r="AT1802" s="69">
        <f>IFERROR(ABS(AS$23-AS1801),Q_max*10)</f>
        <v>5500</v>
      </c>
      <c r="AU1802" s="75">
        <f>AS1793</f>
        <v>3352.5890313891059</v>
      </c>
    </row>
    <row r="1803" spans="15:47" ht="14.5" x14ac:dyDescent="0.35">
      <c r="O1803" s="8"/>
      <c r="P1803" s="6"/>
      <c r="Q1803" s="60"/>
      <c r="R1803" s="67"/>
      <c r="S1803" s="56"/>
      <c r="T1803" s="72"/>
      <c r="V1803" s="11"/>
      <c r="W1803" s="38"/>
      <c r="Y1803" s="11"/>
      <c r="Z1803" s="38"/>
      <c r="AB1803" s="11"/>
      <c r="AC1803" s="38"/>
      <c r="AE1803" s="11"/>
      <c r="AF1803" s="38"/>
      <c r="AH1803" s="11"/>
      <c r="AI1803" s="38"/>
      <c r="AK1803" s="11"/>
      <c r="AL1803" s="38"/>
      <c r="AN1803" s="11"/>
      <c r="AO1803" s="38"/>
      <c r="AQ1803" s="11"/>
      <c r="AR1803" s="38"/>
      <c r="AT1803" s="11"/>
      <c r="AU1803" s="38"/>
    </row>
    <row r="1804" spans="15:47" ht="14" x14ac:dyDescent="0.3">
      <c r="O1804" s="8" t="s">
        <v>235</v>
      </c>
      <c r="P1804" s="6"/>
      <c r="Q1804" s="60"/>
      <c r="R1804" s="53">
        <f>R1793*1.02</f>
        <v>19.396244083275139</v>
      </c>
      <c r="S1804" s="58" t="s">
        <v>238</v>
      </c>
      <c r="T1804" s="73" t="s">
        <v>241</v>
      </c>
      <c r="U1804" s="84">
        <f>U1793*1.01</f>
        <v>140.23682903348052</v>
      </c>
      <c r="V1804" s="58" t="s">
        <v>238</v>
      </c>
      <c r="W1804" s="73" t="s">
        <v>241</v>
      </c>
      <c r="X1804" s="84">
        <f>X1793*1.01</f>
        <v>336.62237208163259</v>
      </c>
      <c r="Y1804" s="58" t="s">
        <v>238</v>
      </c>
      <c r="Z1804" s="73" t="s">
        <v>241</v>
      </c>
      <c r="AA1804" s="84">
        <f>AA1793*1.01</f>
        <v>642.73547642242636</v>
      </c>
      <c r="AB1804" s="58" t="s">
        <v>238</v>
      </c>
      <c r="AC1804" s="73" t="s">
        <v>241</v>
      </c>
      <c r="AD1804" s="84">
        <f>AD1793*1.01</f>
        <v>1057.0632175523108</v>
      </c>
      <c r="AE1804" s="58" t="s">
        <v>238</v>
      </c>
      <c r="AF1804" s="73" t="s">
        <v>241</v>
      </c>
      <c r="AG1804" s="84">
        <f>AG1793*1.01</f>
        <v>1573.8230887237114</v>
      </c>
      <c r="AH1804" s="58" t="s">
        <v>238</v>
      </c>
      <c r="AI1804" s="73" t="s">
        <v>241</v>
      </c>
      <c r="AJ1804" s="84">
        <f>AJ1793*1.01</f>
        <v>2100.2730129328097</v>
      </c>
      <c r="AK1804" s="58" t="s">
        <v>238</v>
      </c>
      <c r="AL1804" s="73" t="s">
        <v>241</v>
      </c>
      <c r="AM1804" s="84">
        <f>AM1793*1.01</f>
        <v>2562.732211552122</v>
      </c>
      <c r="AN1804" s="58" t="s">
        <v>238</v>
      </c>
      <c r="AO1804" s="73" t="s">
        <v>241</v>
      </c>
      <c r="AP1804" s="84">
        <f>AP1793*1.01</f>
        <v>2975.2525385387135</v>
      </c>
      <c r="AQ1804" s="58" t="s">
        <v>238</v>
      </c>
      <c r="AR1804" s="73" t="s">
        <v>241</v>
      </c>
      <c r="AS1804" s="84">
        <f>AS1793*1.01</f>
        <v>3386.114921702997</v>
      </c>
      <c r="AT1804" s="58" t="s">
        <v>238</v>
      </c>
      <c r="AU1804" s="73" t="s">
        <v>241</v>
      </c>
    </row>
    <row r="1805" spans="15:47" ht="13" x14ac:dyDescent="0.25">
      <c r="O1805" s="6"/>
      <c r="P1805" s="6"/>
      <c r="Q1805" s="60"/>
      <c r="R1805" s="70"/>
      <c r="S1805" s="63" t="s">
        <v>250</v>
      </c>
      <c r="T1805" s="71" t="s">
        <v>242</v>
      </c>
      <c r="U1805" s="61"/>
      <c r="V1805" s="63" t="s">
        <v>250</v>
      </c>
      <c r="W1805" s="71" t="s">
        <v>242</v>
      </c>
      <c r="X1805" s="61"/>
      <c r="Y1805" s="63" t="s">
        <v>250</v>
      </c>
      <c r="Z1805" s="71" t="s">
        <v>242</v>
      </c>
      <c r="AA1805" s="61"/>
      <c r="AB1805" s="63" t="s">
        <v>250</v>
      </c>
      <c r="AC1805" s="71" t="s">
        <v>242</v>
      </c>
      <c r="AD1805" s="61"/>
      <c r="AE1805" s="63" t="s">
        <v>250</v>
      </c>
      <c r="AF1805" s="71" t="s">
        <v>242</v>
      </c>
      <c r="AG1805" s="61"/>
      <c r="AH1805" s="63" t="s">
        <v>250</v>
      </c>
      <c r="AI1805" s="71" t="s">
        <v>242</v>
      </c>
      <c r="AJ1805" s="61"/>
      <c r="AK1805" s="63" t="s">
        <v>250</v>
      </c>
      <c r="AL1805" s="71" t="s">
        <v>242</v>
      </c>
      <c r="AM1805" s="61"/>
      <c r="AN1805" s="63" t="s">
        <v>250</v>
      </c>
      <c r="AO1805" s="71" t="s">
        <v>242</v>
      </c>
      <c r="AP1805" s="61"/>
      <c r="AQ1805" s="63" t="s">
        <v>250</v>
      </c>
      <c r="AR1805" s="71" t="s">
        <v>242</v>
      </c>
      <c r="AS1805" s="61"/>
      <c r="AT1805" s="63" t="s">
        <v>250</v>
      </c>
      <c r="AU1805" s="71" t="s">
        <v>242</v>
      </c>
    </row>
    <row r="1806" spans="15:47" ht="13" x14ac:dyDescent="0.3">
      <c r="O1806" s="6" t="s">
        <v>231</v>
      </c>
      <c r="P1806" s="6"/>
      <c r="Q1806" s="60"/>
      <c r="R1806" s="85">
        <f>P_1_minQ-(R1804^2*R_up)+dpup_minQ</f>
        <v>56.903437545270585</v>
      </c>
      <c r="S1806" s="56"/>
      <c r="T1806" s="72"/>
      <c r="U1806" s="53">
        <f>P_1_minQ-(U1804^2*R_up)+dpup_minQ</f>
        <v>56.251963248315917</v>
      </c>
      <c r="V1806" s="44"/>
      <c r="W1806" s="72"/>
      <c r="X1806" s="53">
        <f>P_1_minQ-(X1804^2*R_up)+dpup_minQ</f>
        <v>53.089239399329109</v>
      </c>
      <c r="Y1806" s="44"/>
      <c r="Z1806" s="72"/>
      <c r="AA1806" s="53">
        <f>P_1_minQ-(AA1804^2*R_up)+dpup_minQ</f>
        <v>42.964475087741867</v>
      </c>
      <c r="AB1806" s="44"/>
      <c r="AC1806" s="72"/>
      <c r="AD1806" s="53">
        <f>P_1_minQ-(AD1804^2*R_up)+dpup_minQ</f>
        <v>19.17947835521635</v>
      </c>
      <c r="AE1806" s="44"/>
      <c r="AF1806" s="72"/>
      <c r="AG1806" s="53">
        <f>P_1_minQ-(AG1804^2*R_up)+dpup_minQ</f>
        <v>-26.735296001345592</v>
      </c>
      <c r="AH1806" s="44"/>
      <c r="AI1806" s="72"/>
      <c r="AJ1806" s="53">
        <f>P_1_minQ-(AJ1804^2*R_up)+dpup_minQ</f>
        <v>-92.058754773855526</v>
      </c>
      <c r="AK1806" s="44"/>
      <c r="AL1806" s="72"/>
      <c r="AM1806" s="53">
        <f>P_1_minQ-(AM1804^2*R_up)+dpup_minQ</f>
        <v>-164.88717960576932</v>
      </c>
      <c r="AN1806" s="44"/>
      <c r="AO1806" s="72"/>
      <c r="AP1806" s="53">
        <f>P_1_minQ-(AP1804^2*R_up)+dpup_minQ</f>
        <v>-242.04122485920496</v>
      </c>
      <c r="AQ1806" s="44"/>
      <c r="AR1806" s="72"/>
      <c r="AS1806" s="53">
        <f>P_1_minQ-(AS1804^2*R_up)+dpup_minQ</f>
        <v>-330.31027568320479</v>
      </c>
      <c r="AT1806" s="44"/>
      <c r="AU1806" s="72"/>
    </row>
    <row r="1807" spans="15:47" ht="13" x14ac:dyDescent="0.3">
      <c r="O1807" s="6" t="s">
        <v>233</v>
      </c>
      <c r="P1807" s="6"/>
      <c r="Q1807" s="60"/>
      <c r="R1807" s="85">
        <f>P_2_minQ+(R1804^2*R_dn)-dpdn_minQ</f>
        <v>24.659312490945883</v>
      </c>
      <c r="S1807" s="66"/>
      <c r="T1807" s="74"/>
      <c r="U1807" s="53">
        <f>P_2_minQ+(U1804^2*R_dn)-dpdn_minQ</f>
        <v>24.789607350336819</v>
      </c>
      <c r="V1807" s="45"/>
      <c r="W1807" s="74"/>
      <c r="X1807" s="53">
        <f>P_2_minQ+(X1804^2*R_dn)-dpdn_minQ</f>
        <v>25.422152120134179</v>
      </c>
      <c r="Y1807" s="45"/>
      <c r="Z1807" s="74"/>
      <c r="AA1807" s="53">
        <f>P_2_minQ+(AA1804^2*R_dn)-dpdn_minQ</f>
        <v>27.447104982451627</v>
      </c>
      <c r="AB1807" s="45"/>
      <c r="AC1807" s="74"/>
      <c r="AD1807" s="53">
        <f>P_2_minQ+(AD1804^2*R_dn)-dpdn_minQ</f>
        <v>32.204104328956731</v>
      </c>
      <c r="AE1807" s="45"/>
      <c r="AF1807" s="74"/>
      <c r="AG1807" s="53">
        <f>P_2_minQ+(AG1804^2*R_dn)-dpdn_minQ</f>
        <v>41.387059200269121</v>
      </c>
      <c r="AH1807" s="45"/>
      <c r="AI1807" s="74"/>
      <c r="AJ1807" s="53">
        <f>P_2_minQ+(AJ1804^2*R_dn)-dpdn_minQ</f>
        <v>54.451750954771107</v>
      </c>
      <c r="AK1807" s="45"/>
      <c r="AL1807" s="74"/>
      <c r="AM1807" s="53">
        <f>P_2_minQ+(AM1804^2*R_dn)-dpdn_minQ</f>
        <v>69.017435921153861</v>
      </c>
      <c r="AN1807" s="45"/>
      <c r="AO1807" s="74"/>
      <c r="AP1807" s="53">
        <f>P_2_minQ+(AP1804^2*R_dn)-dpdn_minQ</f>
        <v>84.448244971840992</v>
      </c>
      <c r="AQ1807" s="45"/>
      <c r="AR1807" s="74"/>
      <c r="AS1807" s="53">
        <f>P_2_minQ+(AS1804^2*R_dn)-dpdn_minQ</f>
        <v>102.10205513664096</v>
      </c>
      <c r="AT1807" s="45"/>
      <c r="AU1807" s="74"/>
    </row>
    <row r="1808" spans="15:47" x14ac:dyDescent="0.25">
      <c r="O1808" s="6" t="s">
        <v>243</v>
      </c>
      <c r="Q1808" s="60"/>
      <c r="R1808" s="53">
        <f>R1806-R1807</f>
        <v>32.244125054324698</v>
      </c>
      <c r="S1808" s="56"/>
      <c r="T1808" s="72"/>
      <c r="U1808" s="64">
        <f>U1806-U1807</f>
        <v>31.462355897979098</v>
      </c>
      <c r="V1808" s="44"/>
      <c r="W1808" s="72"/>
      <c r="X1808" s="64">
        <f>X1806-X1807</f>
        <v>27.667087279194931</v>
      </c>
      <c r="Y1808" s="44"/>
      <c r="Z1808" s="72"/>
      <c r="AA1808" s="64">
        <f>AA1806-AA1807</f>
        <v>15.51737010529024</v>
      </c>
      <c r="AB1808" s="44"/>
      <c r="AC1808" s="72"/>
      <c r="AD1808" s="64">
        <f>AD1806-AD1807</f>
        <v>-13.024625973740381</v>
      </c>
      <c r="AE1808" s="44"/>
      <c r="AF1808" s="72"/>
      <c r="AG1808" s="64">
        <f>AG1806-AG1807</f>
        <v>-68.12235520161471</v>
      </c>
      <c r="AH1808" s="44"/>
      <c r="AI1808" s="72"/>
      <c r="AJ1808" s="64">
        <f>AJ1806-AJ1807</f>
        <v>-146.51050572862664</v>
      </c>
      <c r="AK1808" s="44"/>
      <c r="AL1808" s="72"/>
      <c r="AM1808" s="64">
        <f>AM1806-AM1807</f>
        <v>-233.90461552692318</v>
      </c>
      <c r="AN1808" s="44"/>
      <c r="AO1808" s="72"/>
      <c r="AP1808" s="64">
        <f>AP1806-AP1807</f>
        <v>-326.48946983104594</v>
      </c>
      <c r="AQ1808" s="44"/>
      <c r="AR1808" s="72"/>
      <c r="AS1808" s="64">
        <f>AS1806-AS1807</f>
        <v>-432.41233081984575</v>
      </c>
      <c r="AT1808" s="44"/>
      <c r="AU1808" s="72"/>
    </row>
    <row r="1809" spans="15:47" ht="13" x14ac:dyDescent="0.3">
      <c r="O1809" s="6" t="s">
        <v>75</v>
      </c>
      <c r="P1809" s="6">
        <v>3</v>
      </c>
      <c r="Q1809" s="65"/>
      <c r="R1809" s="85">
        <f>(F_LP_h/F_P_h)^2*(R1806-('Valve Sizing'!$V$4*'Valve Sizing'!$G$7))</f>
        <v>46.754642296932985</v>
      </c>
      <c r="S1809" s="58"/>
      <c r="T1809" s="73"/>
      <c r="U1809" s="53">
        <f>(U$29/U$27)^2*(U1806-('Valve Sizing'!$V$4*'Valve Sizing'!$G$7))</f>
        <v>46.202591032334425</v>
      </c>
      <c r="V1809" s="41"/>
      <c r="W1809" s="73"/>
      <c r="X1809" s="53">
        <f>(X$29/X$27)^2*(X1806-('Valve Sizing'!$V$4*'Valve Sizing'!$G$7))</f>
        <v>42.601273085596965</v>
      </c>
      <c r="Y1809" s="41"/>
      <c r="Z1809" s="73"/>
      <c r="AA1809" s="53">
        <f>(AA$29/AA$27)^2*(AA1806-('Valve Sizing'!$V$4*'Valve Sizing'!$G$7))</f>
        <v>32.862751620904326</v>
      </c>
      <c r="AB1809" s="41"/>
      <c r="AC1809" s="73"/>
      <c r="AD1809" s="53">
        <f>(AD$29/AD$27)^2*(AD1806-('Valve Sizing'!$V$4*'Valve Sizing'!$G$7))</f>
        <v>13.514634216695818</v>
      </c>
      <c r="AE1809" s="41"/>
      <c r="AF1809" s="73"/>
      <c r="AG1809" s="53">
        <f>(AG$29/AG$27)^2*(AG1806-('Valve Sizing'!$V$4*'Valve Sizing'!$G$7))</f>
        <v>-17.502122152621688</v>
      </c>
      <c r="AH1809" s="41"/>
      <c r="AI1809" s="73"/>
      <c r="AJ1809" s="53">
        <f>(AJ$29/AJ$27)^2*(AJ1806-('Valve Sizing'!$V$4*'Valve Sizing'!$G$7))</f>
        <v>-53.498014176953532</v>
      </c>
      <c r="AK1809" s="41"/>
      <c r="AL1809" s="73"/>
      <c r="AM1809" s="53">
        <f>(AM$29/AM$27)^2*(AM1806-('Valve Sizing'!$V$4*'Valve Sizing'!$G$7))</f>
        <v>-79.104478557417835</v>
      </c>
      <c r="AN1809" s="41"/>
      <c r="AO1809" s="73"/>
      <c r="AP1809" s="53">
        <f>(AP$29/AP$27)^2*(AP1806-('Valve Sizing'!$V$4*'Valve Sizing'!$G$7))</f>
        <v>-95.689619217885394</v>
      </c>
      <c r="AQ1809" s="41"/>
      <c r="AR1809" s="73"/>
      <c r="AS1809" s="53">
        <f>(AS$29/AS$27)^2*(AS1806-('Valve Sizing'!$V$4*'Valve Sizing'!$G$7))</f>
        <v>-124.40869303718621</v>
      </c>
      <c r="AT1809" s="41"/>
      <c r="AU1809" s="73"/>
    </row>
    <row r="1810" spans="15:47" ht="13" x14ac:dyDescent="0.25">
      <c r="O1810" s="1" t="s">
        <v>69</v>
      </c>
      <c r="P1810" s="17">
        <v>7</v>
      </c>
      <c r="Q1810" s="65"/>
      <c r="R1810" s="53">
        <f>(R1804/(N_1*F_P_h))*SQRT('Valve Sizing'!$G$6/R1808)</f>
        <v>3.4162989767848857</v>
      </c>
      <c r="S1810" s="58"/>
      <c r="T1810" s="73"/>
      <c r="U1810" s="64">
        <f>(U1804/(N_1*U$27))*SQRT('Valve Sizing'!$G$6/U1808)</f>
        <v>25.022582733783306</v>
      </c>
      <c r="V1810" s="41"/>
      <c r="W1810" s="73"/>
      <c r="X1810" s="64">
        <f>(X1804/(N_1*X$27))*SQRT('Valve Sizing'!$G$6/X1808)</f>
        <v>64.195054753694166</v>
      </c>
      <c r="Y1810" s="41"/>
      <c r="Z1810" s="73"/>
      <c r="AA1810" s="64">
        <f>(AA1804/(N_1*AA$27))*SQRT('Valve Sizing'!$G$6/AA1808)</f>
        <v>164.60948468632816</v>
      </c>
      <c r="AB1810" s="41"/>
      <c r="AC1810" s="73"/>
      <c r="AD1810" s="64" t="e">
        <f>(AD1804/(N_1*AD$27))*SQRT('Valve Sizing'!$G$6/AD1808)</f>
        <v>#NUM!</v>
      </c>
      <c r="AE1810" s="41"/>
      <c r="AF1810" s="73"/>
      <c r="AG1810" s="64" t="e">
        <f>(AG1804/(N_1*AG$27))*SQRT('Valve Sizing'!$G$6/AG1808)</f>
        <v>#NUM!</v>
      </c>
      <c r="AH1810" s="41"/>
      <c r="AI1810" s="73"/>
      <c r="AJ1810" s="64" t="e">
        <f>(AJ1804/(N_1*AJ$27))*SQRT('Valve Sizing'!$G$6/AJ1808)</f>
        <v>#NUM!</v>
      </c>
      <c r="AK1810" s="41"/>
      <c r="AL1810" s="73"/>
      <c r="AM1810" s="64" t="e">
        <f>(AM1804/(N_1*AM$27))*SQRT('Valve Sizing'!$G$6/AM1808)</f>
        <v>#NUM!</v>
      </c>
      <c r="AN1810" s="41"/>
      <c r="AO1810" s="73"/>
      <c r="AP1810" s="64" t="e">
        <f>(AP1804/(N_1*AP$27))*SQRT('Valve Sizing'!$G$6/AP1808)</f>
        <v>#NUM!</v>
      </c>
      <c r="AQ1810" s="41"/>
      <c r="AR1810" s="73"/>
      <c r="AS1810" s="64" t="e">
        <f>(AS1804/(N_1*AS$27))*SQRT('Valve Sizing'!$G$6/AS1808)</f>
        <v>#NUM!</v>
      </c>
      <c r="AT1810" s="41"/>
      <c r="AU1810" s="73"/>
    </row>
    <row r="1811" spans="15:47" ht="13" x14ac:dyDescent="0.3">
      <c r="O1811" s="1" t="s">
        <v>72</v>
      </c>
      <c r="P1811" s="17">
        <v>7</v>
      </c>
      <c r="Q1811" s="65"/>
      <c r="R1811" s="53">
        <f>(R1804/(N_1*F_P_h))*SQRT('Valve Sizing'!$G$6/R1809)</f>
        <v>2.8370618245925159</v>
      </c>
      <c r="S1811" s="56"/>
      <c r="T1811" s="72"/>
      <c r="U1811" s="85">
        <f>(U1804/(N_1*U$27))*SQRT('Valve Sizing'!$G$6/U1809)</f>
        <v>20.648789068018427</v>
      </c>
      <c r="V1811" s="44"/>
      <c r="W1811" s="72"/>
      <c r="X1811" s="85">
        <f>(X1804/(N_1*X$27))*SQRT('Valve Sizing'!$G$6/X1809)</f>
        <v>51.733517095295291</v>
      </c>
      <c r="Y1811" s="44"/>
      <c r="Z1811" s="72"/>
      <c r="AA1811" s="85">
        <f>(AA1804/(N_1*AA$27))*SQRT('Valve Sizing'!$G$6/AA1809)</f>
        <v>113.11285193315224</v>
      </c>
      <c r="AB1811" s="44"/>
      <c r="AC1811" s="72"/>
      <c r="AD1811" s="85">
        <f>(AD1804/(N_1*AD$27))*SQRT('Valve Sizing'!$G$6/AD1809)</f>
        <v>293.73497343358468</v>
      </c>
      <c r="AE1811" s="44"/>
      <c r="AF1811" s="72"/>
      <c r="AG1811" s="85" t="e">
        <f>(AG1804/(N_1*AG$27))*SQRT('Valve Sizing'!$G$6/AG1809)</f>
        <v>#NUM!</v>
      </c>
      <c r="AH1811" s="44"/>
      <c r="AI1811" s="72"/>
      <c r="AJ1811" s="85" t="e">
        <f>(AJ1804/(N_1*AJ$27))*SQRT('Valve Sizing'!$G$6/AJ1809)</f>
        <v>#NUM!</v>
      </c>
      <c r="AK1811" s="44"/>
      <c r="AL1811" s="72"/>
      <c r="AM1811" s="85" t="e">
        <f>(AM1804/(N_1*AM$27))*SQRT('Valve Sizing'!$G$6/AM1809)</f>
        <v>#NUM!</v>
      </c>
      <c r="AN1811" s="44"/>
      <c r="AO1811" s="72"/>
      <c r="AP1811" s="85" t="e">
        <f>(AP1804/(N_1*AP$27))*SQRT('Valve Sizing'!$G$6/AP1809)</f>
        <v>#NUM!</v>
      </c>
      <c r="AQ1811" s="44"/>
      <c r="AR1811" s="72"/>
      <c r="AS1811" s="85" t="e">
        <f>(AS1804/(N_1*AS$27))*SQRT('Valve Sizing'!$G$6/AS1809)</f>
        <v>#NUM!</v>
      </c>
      <c r="AT1811" s="44"/>
      <c r="AU1811" s="72"/>
    </row>
    <row r="1812" spans="15:47" x14ac:dyDescent="0.25">
      <c r="O1812" s="1" t="s">
        <v>246</v>
      </c>
      <c r="P1812" s="18"/>
      <c r="Q1812" s="65"/>
      <c r="R1812" s="53">
        <f>IF(R1808&lt;R1809,R1810,R1811)</f>
        <v>3.4162989767848857</v>
      </c>
      <c r="S1812" s="49"/>
      <c r="T1812" s="72"/>
      <c r="U1812" s="64">
        <f>IF(U1808&lt;U1809,U1810,U1811)</f>
        <v>25.022582733783306</v>
      </c>
      <c r="V1812" s="44"/>
      <c r="W1812" s="72"/>
      <c r="X1812" s="64">
        <f>IF(X1808&lt;X1809,X1810,X1811)</f>
        <v>64.195054753694166</v>
      </c>
      <c r="Y1812" s="44"/>
      <c r="Z1812" s="72"/>
      <c r="AA1812" s="64">
        <f>IF(AA1808&lt;AA1809,AA1810,AA1811)</f>
        <v>164.60948468632816</v>
      </c>
      <c r="AB1812" s="44"/>
      <c r="AC1812" s="72"/>
      <c r="AD1812" s="64" t="e">
        <f>IF(AD1808&lt;AD1809,AD1810,AD1811)</f>
        <v>#NUM!</v>
      </c>
      <c r="AE1812" s="44"/>
      <c r="AF1812" s="72"/>
      <c r="AG1812" s="64" t="e">
        <f>IF(AG1808&lt;AG1809,AG1810,AG1811)</f>
        <v>#NUM!</v>
      </c>
      <c r="AH1812" s="44"/>
      <c r="AI1812" s="72"/>
      <c r="AJ1812" s="64" t="e">
        <f>IF(AJ1808&lt;AJ1809,AJ1810,AJ1811)</f>
        <v>#NUM!</v>
      </c>
      <c r="AK1812" s="44"/>
      <c r="AL1812" s="72"/>
      <c r="AM1812" s="64" t="e">
        <f>IF(AM1808&lt;AM1809,AM1810,AM1811)</f>
        <v>#NUM!</v>
      </c>
      <c r="AN1812" s="44"/>
      <c r="AO1812" s="72"/>
      <c r="AP1812" s="64" t="e">
        <f>IF(AP1808&lt;AP1809,AP1810,AP1811)</f>
        <v>#NUM!</v>
      </c>
      <c r="AQ1812" s="44"/>
      <c r="AR1812" s="72"/>
      <c r="AS1812" s="64" t="e">
        <f>IF(AS1808&lt;AS1809,AS1810,AS1811)</f>
        <v>#NUM!</v>
      </c>
      <c r="AT1812" s="44"/>
      <c r="AU1812" s="72"/>
    </row>
    <row r="1813" spans="15:47" ht="13" x14ac:dyDescent="0.3">
      <c r="O1813" s="7" t="s">
        <v>264</v>
      </c>
      <c r="Q1813" s="61"/>
      <c r="R1813" s="53"/>
      <c r="S1813" s="69">
        <f>IFERROR(ABS(C_h-R1812),Q_max*10)</f>
        <v>1.5837010232151143</v>
      </c>
      <c r="T1813" s="76">
        <f>R1804</f>
        <v>19.396244083275139</v>
      </c>
      <c r="U1813" s="61"/>
      <c r="V1813" s="69">
        <f>IFERROR(ABS(U$23-U1812),Q_max*10)</f>
        <v>13.022582733783306</v>
      </c>
      <c r="W1813" s="75">
        <f>U1804</f>
        <v>140.23682903348052</v>
      </c>
      <c r="X1813" s="61"/>
      <c r="Y1813" s="69">
        <f>IFERROR(ABS(X$23-X1812),Q_max*10)</f>
        <v>41.195054753694166</v>
      </c>
      <c r="Z1813" s="75">
        <f>X1804</f>
        <v>336.62237208163259</v>
      </c>
      <c r="AA1813" s="61"/>
      <c r="AB1813" s="69">
        <f>IFERROR(ABS(AA$23-AA1812),Q_max*10)</f>
        <v>125.60948468632816</v>
      </c>
      <c r="AC1813" s="75">
        <f>AA1804</f>
        <v>642.73547642242636</v>
      </c>
      <c r="AD1813" s="61"/>
      <c r="AE1813" s="69">
        <f>IFERROR(ABS(AD$23-AD1812),Q_max*10)</f>
        <v>5500</v>
      </c>
      <c r="AF1813" s="75">
        <f>AD1804</f>
        <v>1057.0632175523108</v>
      </c>
      <c r="AG1813" s="61"/>
      <c r="AH1813" s="69">
        <f>IFERROR(ABS(AG$23-AG1812),Q_max*10)</f>
        <v>5500</v>
      </c>
      <c r="AI1813" s="75">
        <f>AG1804</f>
        <v>1573.8230887237114</v>
      </c>
      <c r="AJ1813" s="61"/>
      <c r="AK1813" s="69">
        <f>IFERROR(ABS(AJ$23-AJ1812),Q_max*10)</f>
        <v>5500</v>
      </c>
      <c r="AL1813" s="75">
        <f>AJ1804</f>
        <v>2100.2730129328097</v>
      </c>
      <c r="AM1813" s="61"/>
      <c r="AN1813" s="69">
        <f>IFERROR(ABS(AM$23-AM1812),Q_max*10)</f>
        <v>5500</v>
      </c>
      <c r="AO1813" s="75">
        <f>AM1804</f>
        <v>2562.732211552122</v>
      </c>
      <c r="AP1813" s="61"/>
      <c r="AQ1813" s="69">
        <f>IFERROR(ABS(AP$23-AP1812),Q_max*10)</f>
        <v>5500</v>
      </c>
      <c r="AR1813" s="75">
        <f>AP1804</f>
        <v>2975.2525385387135</v>
      </c>
      <c r="AS1813" s="61"/>
      <c r="AT1813" s="69">
        <f>IFERROR(ABS(AS$23-AS1812),Q_max*10)</f>
        <v>5500</v>
      </c>
      <c r="AU1813" s="75">
        <f>AS1804</f>
        <v>3386.114921702997</v>
      </c>
    </row>
    <row r="1814" spans="15:47" ht="14.5" x14ac:dyDescent="0.35">
      <c r="O1814" s="6"/>
      <c r="P1814" s="6"/>
      <c r="Q1814" s="60"/>
      <c r="R1814" s="67"/>
      <c r="S1814" s="58"/>
      <c r="T1814" s="73"/>
      <c r="V1814" s="11"/>
      <c r="W1814" s="38"/>
      <c r="Y1814" s="11"/>
      <c r="Z1814" s="38"/>
      <c r="AB1814" s="11"/>
      <c r="AC1814" s="38"/>
      <c r="AE1814" s="11"/>
      <c r="AF1814" s="38"/>
      <c r="AH1814" s="11"/>
      <c r="AI1814" s="38"/>
      <c r="AK1814" s="11"/>
      <c r="AL1814" s="38"/>
      <c r="AN1814" s="11"/>
      <c r="AO1814" s="38"/>
      <c r="AQ1814" s="11"/>
      <c r="AR1814" s="38"/>
      <c r="AT1814" s="11"/>
      <c r="AU1814" s="38"/>
    </row>
    <row r="1815" spans="15:47" ht="14" x14ac:dyDescent="0.3">
      <c r="O1815" s="8" t="s">
        <v>235</v>
      </c>
      <c r="P1815" s="6"/>
      <c r="Q1815" s="60"/>
      <c r="R1815" s="53">
        <f>R1804*1.02</f>
        <v>19.78416896494064</v>
      </c>
      <c r="S1815" s="58" t="s">
        <v>238</v>
      </c>
      <c r="T1815" s="73" t="s">
        <v>241</v>
      </c>
      <c r="U1815" s="84">
        <f>U1804*1.01</f>
        <v>141.63919732381532</v>
      </c>
      <c r="V1815" s="58" t="s">
        <v>238</v>
      </c>
      <c r="W1815" s="73" t="s">
        <v>241</v>
      </c>
      <c r="X1815" s="84">
        <f>X1804*1.01</f>
        <v>339.98859580244891</v>
      </c>
      <c r="Y1815" s="58" t="s">
        <v>238</v>
      </c>
      <c r="Z1815" s="73" t="s">
        <v>241</v>
      </c>
      <c r="AA1815" s="84">
        <f>AA1804*1.01</f>
        <v>649.16283118665058</v>
      </c>
      <c r="AB1815" s="58" t="s">
        <v>238</v>
      </c>
      <c r="AC1815" s="73" t="s">
        <v>241</v>
      </c>
      <c r="AD1815" s="84">
        <f>AD1804*1.01</f>
        <v>1067.6338497278339</v>
      </c>
      <c r="AE1815" s="58" t="s">
        <v>238</v>
      </c>
      <c r="AF1815" s="73" t="s">
        <v>241</v>
      </c>
      <c r="AG1815" s="84">
        <f>AG1804*1.01</f>
        <v>1589.5613196109484</v>
      </c>
      <c r="AH1815" s="58" t="s">
        <v>238</v>
      </c>
      <c r="AI1815" s="73" t="s">
        <v>241</v>
      </c>
      <c r="AJ1815" s="84">
        <f>AJ1804*1.01</f>
        <v>2121.2757430621377</v>
      </c>
      <c r="AK1815" s="58" t="s">
        <v>238</v>
      </c>
      <c r="AL1815" s="73" t="s">
        <v>241</v>
      </c>
      <c r="AM1815" s="84">
        <f>AM1804*1.01</f>
        <v>2588.3595336676431</v>
      </c>
      <c r="AN1815" s="58" t="s">
        <v>238</v>
      </c>
      <c r="AO1815" s="73" t="s">
        <v>241</v>
      </c>
      <c r="AP1815" s="84">
        <f>AP1804*1.01</f>
        <v>3005.0050639241008</v>
      </c>
      <c r="AQ1815" s="58" t="s">
        <v>238</v>
      </c>
      <c r="AR1815" s="73" t="s">
        <v>241</v>
      </c>
      <c r="AS1815" s="84">
        <f>AS1804*1.01</f>
        <v>3419.9760709200268</v>
      </c>
      <c r="AT1815" s="58" t="s">
        <v>238</v>
      </c>
      <c r="AU1815" s="73" t="s">
        <v>241</v>
      </c>
    </row>
    <row r="1816" spans="15:47" ht="13" x14ac:dyDescent="0.25">
      <c r="O1816" s="6"/>
      <c r="P1816" s="6"/>
      <c r="Q1816" s="60"/>
      <c r="R1816" s="70"/>
      <c r="S1816" s="63" t="s">
        <v>250</v>
      </c>
      <c r="T1816" s="71" t="s">
        <v>242</v>
      </c>
      <c r="U1816" s="61"/>
      <c r="V1816" s="63" t="s">
        <v>250</v>
      </c>
      <c r="W1816" s="71" t="s">
        <v>242</v>
      </c>
      <c r="X1816" s="61"/>
      <c r="Y1816" s="63" t="s">
        <v>250</v>
      </c>
      <c r="Z1816" s="71" t="s">
        <v>242</v>
      </c>
      <c r="AA1816" s="61"/>
      <c r="AB1816" s="63" t="s">
        <v>250</v>
      </c>
      <c r="AC1816" s="71" t="s">
        <v>242</v>
      </c>
      <c r="AD1816" s="61"/>
      <c r="AE1816" s="63" t="s">
        <v>250</v>
      </c>
      <c r="AF1816" s="71" t="s">
        <v>242</v>
      </c>
      <c r="AG1816" s="61"/>
      <c r="AH1816" s="63" t="s">
        <v>250</v>
      </c>
      <c r="AI1816" s="71" t="s">
        <v>242</v>
      </c>
      <c r="AJ1816" s="61"/>
      <c r="AK1816" s="63" t="s">
        <v>250</v>
      </c>
      <c r="AL1816" s="71" t="s">
        <v>242</v>
      </c>
      <c r="AM1816" s="61"/>
      <c r="AN1816" s="63" t="s">
        <v>250</v>
      </c>
      <c r="AO1816" s="71" t="s">
        <v>242</v>
      </c>
      <c r="AP1816" s="61"/>
      <c r="AQ1816" s="63" t="s">
        <v>250</v>
      </c>
      <c r="AR1816" s="71" t="s">
        <v>242</v>
      </c>
      <c r="AS1816" s="61"/>
      <c r="AT1816" s="63" t="s">
        <v>250</v>
      </c>
      <c r="AU1816" s="71" t="s">
        <v>242</v>
      </c>
    </row>
    <row r="1817" spans="15:47" ht="13" x14ac:dyDescent="0.3">
      <c r="O1817" s="6" t="s">
        <v>231</v>
      </c>
      <c r="P1817" s="6"/>
      <c r="Q1817" s="60"/>
      <c r="R1817" s="85">
        <f>P_1_minQ-(R1815^2*R_up)+dpup_minQ</f>
        <v>56.902924237026909</v>
      </c>
      <c r="S1817" s="56"/>
      <c r="T1817" s="72"/>
      <c r="U1817" s="53">
        <f>P_1_minQ-(U1815^2*R_up)+dpup_minQ</f>
        <v>56.238613231390254</v>
      </c>
      <c r="V1817" s="44"/>
      <c r="W1817" s="72"/>
      <c r="X1817" s="53">
        <f>P_1_minQ-(X1815^2*R_up)+dpup_minQ</f>
        <v>53.012318633038802</v>
      </c>
      <c r="Y1817" s="44"/>
      <c r="Z1817" s="72"/>
      <c r="AA1817" s="53">
        <f>P_1_minQ-(AA1815^2*R_up)+dpup_minQ</f>
        <v>42.684046558788658</v>
      </c>
      <c r="AB1817" s="44"/>
      <c r="AC1817" s="72"/>
      <c r="AD1817" s="53">
        <f>P_1_minQ-(AD1815^2*R_up)+dpup_minQ</f>
        <v>18.420971391939386</v>
      </c>
      <c r="AE1817" s="44"/>
      <c r="AF1817" s="72"/>
      <c r="AG1817" s="53">
        <f>P_1_minQ-(AG1815^2*R_up)+dpup_minQ</f>
        <v>-28.416689929189463</v>
      </c>
      <c r="AH1817" s="44"/>
      <c r="AI1817" s="72"/>
      <c r="AJ1817" s="53">
        <f>P_1_minQ-(AJ1815^2*R_up)+dpup_minQ</f>
        <v>-95.053150223026847</v>
      </c>
      <c r="AK1817" s="44"/>
      <c r="AL1817" s="72"/>
      <c r="AM1817" s="53">
        <f>P_1_minQ-(AM1815^2*R_up)+dpup_minQ</f>
        <v>-169.34542639406212</v>
      </c>
      <c r="AN1817" s="44"/>
      <c r="AO1817" s="72"/>
      <c r="AP1817" s="53">
        <f>P_1_minQ-(AP1815^2*R_up)+dpup_minQ</f>
        <v>-248.05026795709185</v>
      </c>
      <c r="AQ1817" s="44"/>
      <c r="AR1817" s="72"/>
      <c r="AS1817" s="53">
        <f>P_1_minQ-(AS1815^2*R_up)+dpup_minQ</f>
        <v>-338.093526702654</v>
      </c>
      <c r="AT1817" s="44"/>
      <c r="AU1817" s="72"/>
    </row>
    <row r="1818" spans="15:47" ht="13" x14ac:dyDescent="0.3">
      <c r="O1818" s="6" t="s">
        <v>233</v>
      </c>
      <c r="P1818" s="6"/>
      <c r="Q1818" s="60"/>
      <c r="R1818" s="85">
        <f>P_2_minQ+(R1815^2*R_dn)-dpdn_minQ</f>
        <v>24.659415152594619</v>
      </c>
      <c r="S1818" s="66"/>
      <c r="T1818" s="74"/>
      <c r="U1818" s="53">
        <f>P_2_minQ+(U1815^2*R_dn)-dpdn_minQ</f>
        <v>24.79227735372195</v>
      </c>
      <c r="V1818" s="45"/>
      <c r="W1818" s="74"/>
      <c r="X1818" s="53">
        <f>P_2_minQ+(X1815^2*R_dn)-dpdn_minQ</f>
        <v>25.43753627339224</v>
      </c>
      <c r="Y1818" s="45"/>
      <c r="Z1818" s="74"/>
      <c r="AA1818" s="53">
        <f>P_2_minQ+(AA1815^2*R_dn)-dpdn_minQ</f>
        <v>27.50319068824227</v>
      </c>
      <c r="AB1818" s="45"/>
      <c r="AC1818" s="74"/>
      <c r="AD1818" s="53">
        <f>P_2_minQ+(AD1815^2*R_dn)-dpdn_minQ</f>
        <v>32.355805721612128</v>
      </c>
      <c r="AE1818" s="45"/>
      <c r="AF1818" s="74"/>
      <c r="AG1818" s="53">
        <f>P_2_minQ+(AG1815^2*R_dn)-dpdn_minQ</f>
        <v>41.723337985837894</v>
      </c>
      <c r="AH1818" s="45"/>
      <c r="AI1818" s="74"/>
      <c r="AJ1818" s="53">
        <f>P_2_minQ+(AJ1815^2*R_dn)-dpdn_minQ</f>
        <v>55.05063004460537</v>
      </c>
      <c r="AK1818" s="45"/>
      <c r="AL1818" s="74"/>
      <c r="AM1818" s="53">
        <f>P_2_minQ+(AM1815^2*R_dn)-dpdn_minQ</f>
        <v>69.909085278812427</v>
      </c>
      <c r="AN1818" s="45"/>
      <c r="AO1818" s="74"/>
      <c r="AP1818" s="53">
        <f>P_2_minQ+(AP1815^2*R_dn)-dpdn_minQ</f>
        <v>85.650053591418356</v>
      </c>
      <c r="AQ1818" s="45"/>
      <c r="AR1818" s="74"/>
      <c r="AS1818" s="53">
        <f>P_2_minQ+(AS1815^2*R_dn)-dpdn_minQ</f>
        <v>103.6587053405308</v>
      </c>
      <c r="AT1818" s="45"/>
      <c r="AU1818" s="74"/>
    </row>
    <row r="1819" spans="15:47" x14ac:dyDescent="0.25">
      <c r="O1819" s="6" t="s">
        <v>243</v>
      </c>
      <c r="Q1819" s="60"/>
      <c r="R1819" s="53">
        <f>R1817-R1818</f>
        <v>32.24350908443229</v>
      </c>
      <c r="S1819" s="56"/>
      <c r="T1819" s="72"/>
      <c r="U1819" s="64">
        <f>U1817-U1818</f>
        <v>31.446335877668304</v>
      </c>
      <c r="V1819" s="44"/>
      <c r="W1819" s="72"/>
      <c r="X1819" s="64">
        <f>X1817-X1818</f>
        <v>27.574782359646562</v>
      </c>
      <c r="Y1819" s="44"/>
      <c r="Z1819" s="72"/>
      <c r="AA1819" s="64">
        <f>AA1817-AA1818</f>
        <v>15.180855870546388</v>
      </c>
      <c r="AB1819" s="44"/>
      <c r="AC1819" s="72"/>
      <c r="AD1819" s="64">
        <f>AD1817-AD1818</f>
        <v>-13.934834329672743</v>
      </c>
      <c r="AE1819" s="44"/>
      <c r="AF1819" s="72"/>
      <c r="AG1819" s="64">
        <f>AG1817-AG1818</f>
        <v>-70.14002791502736</v>
      </c>
      <c r="AH1819" s="44"/>
      <c r="AI1819" s="72"/>
      <c r="AJ1819" s="64">
        <f>AJ1817-AJ1818</f>
        <v>-150.1037802676322</v>
      </c>
      <c r="AK1819" s="44"/>
      <c r="AL1819" s="72"/>
      <c r="AM1819" s="64">
        <f>AM1817-AM1818</f>
        <v>-239.25451167287454</v>
      </c>
      <c r="AN1819" s="44"/>
      <c r="AO1819" s="72"/>
      <c r="AP1819" s="64">
        <f>AP1817-AP1818</f>
        <v>-333.7003215485102</v>
      </c>
      <c r="AQ1819" s="44"/>
      <c r="AR1819" s="72"/>
      <c r="AS1819" s="64">
        <f>AS1817-AS1818</f>
        <v>-441.75223204318479</v>
      </c>
      <c r="AT1819" s="44"/>
      <c r="AU1819" s="72"/>
    </row>
    <row r="1820" spans="15:47" ht="13" x14ac:dyDescent="0.3">
      <c r="O1820" s="6" t="s">
        <v>75</v>
      </c>
      <c r="P1820" s="6">
        <v>3</v>
      </c>
      <c r="Q1820" s="65"/>
      <c r="R1820" s="85">
        <f>(F_LP_h/F_P_h)^2*(R1817-('Valve Sizing'!$V$4*'Valve Sizing'!$G$7))</f>
        <v>46.754217250763702</v>
      </c>
      <c r="S1820" s="58"/>
      <c r="T1820" s="73"/>
      <c r="U1820" s="53">
        <f>(U$29/U$27)^2*(U1817-('Valve Sizing'!$V$4*'Valve Sizing'!$G$7))</f>
        <v>46.191539530582446</v>
      </c>
      <c r="V1820" s="41"/>
      <c r="W1820" s="73"/>
      <c r="X1820" s="53">
        <f>(X$29/X$27)^2*(X1817-('Valve Sizing'!$V$4*'Valve Sizing'!$G$7))</f>
        <v>42.539032373339197</v>
      </c>
      <c r="Y1820" s="41"/>
      <c r="Z1820" s="73"/>
      <c r="AA1820" s="53">
        <f>(AA$29/AA$27)^2*(AA1817-('Valve Sizing'!$V$4*'Valve Sizing'!$G$7))</f>
        <v>32.646037232941076</v>
      </c>
      <c r="AB1820" s="41"/>
      <c r="AC1820" s="73"/>
      <c r="AD1820" s="53">
        <f>(AD$29/AD$27)^2*(AD1817-('Valve Sizing'!$V$4*'Valve Sizing'!$G$7))</f>
        <v>12.967608546525398</v>
      </c>
      <c r="AE1820" s="41"/>
      <c r="AF1820" s="73"/>
      <c r="AG1820" s="53">
        <f>(AG$29/AG$27)^2*(AG1817-('Valve Sizing'!$V$4*'Valve Sizing'!$G$7))</f>
        <v>-18.585013741405529</v>
      </c>
      <c r="AH1820" s="41"/>
      <c r="AI1820" s="73"/>
      <c r="AJ1820" s="53">
        <f>(AJ$29/AJ$27)^2*(AJ1817-('Valve Sizing'!$V$4*'Valve Sizing'!$G$7))</f>
        <v>-55.229865710617361</v>
      </c>
      <c r="AK1820" s="41"/>
      <c r="AL1820" s="73"/>
      <c r="AM1820" s="53">
        <f>(AM$29/AM$27)^2*(AM1817-('Valve Sizing'!$V$4*'Valve Sizing'!$G$7))</f>
        <v>-81.23762548034226</v>
      </c>
      <c r="AN1820" s="41"/>
      <c r="AO1820" s="73"/>
      <c r="AP1820" s="53">
        <f>(AP$29/AP$27)^2*(AP1817-('Valve Sizing'!$V$4*'Valve Sizing'!$G$7))</f>
        <v>-98.06094883106438</v>
      </c>
      <c r="AQ1820" s="41"/>
      <c r="AR1820" s="73"/>
      <c r="AS1820" s="53">
        <f>(AS$29/AS$27)^2*(AS1817-('Valve Sizing'!$V$4*'Valve Sizing'!$G$7))</f>
        <v>-127.3362912563512</v>
      </c>
      <c r="AT1820" s="41"/>
      <c r="AU1820" s="73"/>
    </row>
    <row r="1821" spans="15:47" ht="13" x14ac:dyDescent="0.25">
      <c r="O1821" s="1" t="s">
        <v>69</v>
      </c>
      <c r="P1821" s="17">
        <v>7</v>
      </c>
      <c r="Q1821" s="65"/>
      <c r="R1821" s="53">
        <f>(R1815/(N_1*F_P_h))*SQRT('Valve Sizing'!$G$6/R1819)</f>
        <v>3.4846582407531601</v>
      </c>
      <c r="S1821" s="58"/>
      <c r="T1821" s="73"/>
      <c r="U1821" s="64">
        <f>(U1815/(N_1*U$27))*SQRT('Valve Sizing'!$G$6/U1819)</f>
        <v>25.2792452308306</v>
      </c>
      <c r="V1821" s="41"/>
      <c r="W1821" s="73"/>
      <c r="X1821" s="64">
        <f>(X1815/(N_1*X$27))*SQRT('Valve Sizing'!$G$6/X1819)</f>
        <v>64.945433618586222</v>
      </c>
      <c r="Y1821" s="41"/>
      <c r="Z1821" s="73"/>
      <c r="AA1821" s="64">
        <f>(AA1815/(N_1*AA$27))*SQRT('Valve Sizing'!$G$6/AA1819)</f>
        <v>168.08817423646607</v>
      </c>
      <c r="AB1821" s="41"/>
      <c r="AC1821" s="73"/>
      <c r="AD1821" s="64" t="e">
        <f>(AD1815/(N_1*AD$27))*SQRT('Valve Sizing'!$G$6/AD1819)</f>
        <v>#NUM!</v>
      </c>
      <c r="AE1821" s="41"/>
      <c r="AF1821" s="73"/>
      <c r="AG1821" s="64" t="e">
        <f>(AG1815/(N_1*AG$27))*SQRT('Valve Sizing'!$G$6/AG1819)</f>
        <v>#NUM!</v>
      </c>
      <c r="AH1821" s="41"/>
      <c r="AI1821" s="73"/>
      <c r="AJ1821" s="64" t="e">
        <f>(AJ1815/(N_1*AJ$27))*SQRT('Valve Sizing'!$G$6/AJ1819)</f>
        <v>#NUM!</v>
      </c>
      <c r="AK1821" s="41"/>
      <c r="AL1821" s="73"/>
      <c r="AM1821" s="64" t="e">
        <f>(AM1815/(N_1*AM$27))*SQRT('Valve Sizing'!$G$6/AM1819)</f>
        <v>#NUM!</v>
      </c>
      <c r="AN1821" s="41"/>
      <c r="AO1821" s="73"/>
      <c r="AP1821" s="64" t="e">
        <f>(AP1815/(N_1*AP$27))*SQRT('Valve Sizing'!$G$6/AP1819)</f>
        <v>#NUM!</v>
      </c>
      <c r="AQ1821" s="41"/>
      <c r="AR1821" s="73"/>
      <c r="AS1821" s="64" t="e">
        <f>(AS1815/(N_1*AS$27))*SQRT('Valve Sizing'!$G$6/AS1819)</f>
        <v>#NUM!</v>
      </c>
      <c r="AT1821" s="41"/>
      <c r="AU1821" s="73"/>
    </row>
    <row r="1822" spans="15:47" ht="13" x14ac:dyDescent="0.3">
      <c r="O1822" s="1" t="s">
        <v>72</v>
      </c>
      <c r="P1822" s="17">
        <v>7</v>
      </c>
      <c r="Q1822" s="65"/>
      <c r="R1822" s="53">
        <f>(R1815/(N_1*F_P_h))*SQRT('Valve Sizing'!$G$6/R1820)</f>
        <v>2.8938162149470825</v>
      </c>
      <c r="S1822" s="56"/>
      <c r="T1822" s="72"/>
      <c r="U1822" s="85">
        <f>(U1815/(N_1*U$27))*SQRT('Valve Sizing'!$G$6/U1820)</f>
        <v>20.857771661710309</v>
      </c>
      <c r="V1822" s="44"/>
      <c r="W1822" s="72"/>
      <c r="X1822" s="85">
        <f>(X1815/(N_1*X$27))*SQRT('Valve Sizing'!$G$6/X1820)</f>
        <v>52.289063543818976</v>
      </c>
      <c r="Y1822" s="44"/>
      <c r="Z1822" s="72"/>
      <c r="AA1822" s="85">
        <f>(AA1815/(N_1*AA$27))*SQRT('Valve Sizing'!$G$6/AA1820)</f>
        <v>114.62254648829224</v>
      </c>
      <c r="AB1822" s="44"/>
      <c r="AC1822" s="72"/>
      <c r="AD1822" s="85">
        <f>(AD1815/(N_1*AD$27))*SQRT('Valve Sizing'!$G$6/AD1820)</f>
        <v>302.86510216169188</v>
      </c>
      <c r="AE1822" s="44"/>
      <c r="AF1822" s="72"/>
      <c r="AG1822" s="85" t="e">
        <f>(AG1815/(N_1*AG$27))*SQRT('Valve Sizing'!$G$6/AG1820)</f>
        <v>#NUM!</v>
      </c>
      <c r="AH1822" s="44"/>
      <c r="AI1822" s="72"/>
      <c r="AJ1822" s="85" t="e">
        <f>(AJ1815/(N_1*AJ$27))*SQRT('Valve Sizing'!$G$6/AJ1820)</f>
        <v>#NUM!</v>
      </c>
      <c r="AK1822" s="44"/>
      <c r="AL1822" s="72"/>
      <c r="AM1822" s="85" t="e">
        <f>(AM1815/(N_1*AM$27))*SQRT('Valve Sizing'!$G$6/AM1820)</f>
        <v>#NUM!</v>
      </c>
      <c r="AN1822" s="44"/>
      <c r="AO1822" s="72"/>
      <c r="AP1822" s="85" t="e">
        <f>(AP1815/(N_1*AP$27))*SQRT('Valve Sizing'!$G$6/AP1820)</f>
        <v>#NUM!</v>
      </c>
      <c r="AQ1822" s="44"/>
      <c r="AR1822" s="72"/>
      <c r="AS1822" s="85" t="e">
        <f>(AS1815/(N_1*AS$27))*SQRT('Valve Sizing'!$G$6/AS1820)</f>
        <v>#NUM!</v>
      </c>
      <c r="AT1822" s="44"/>
      <c r="AU1822" s="72"/>
    </row>
    <row r="1823" spans="15:47" x14ac:dyDescent="0.25">
      <c r="O1823" s="1" t="s">
        <v>246</v>
      </c>
      <c r="P1823" s="18"/>
      <c r="Q1823" s="65"/>
      <c r="R1823" s="53">
        <f>IF(R1819&lt;R1820,R1821,R1822)</f>
        <v>3.4846582407531601</v>
      </c>
      <c r="S1823" s="49"/>
      <c r="T1823" s="72"/>
      <c r="U1823" s="64">
        <f>IF(U1819&lt;U1820,U1821,U1822)</f>
        <v>25.2792452308306</v>
      </c>
      <c r="V1823" s="44"/>
      <c r="W1823" s="72"/>
      <c r="X1823" s="64">
        <f>IF(X1819&lt;X1820,X1821,X1822)</f>
        <v>64.945433618586222</v>
      </c>
      <c r="Y1823" s="44"/>
      <c r="Z1823" s="72"/>
      <c r="AA1823" s="64">
        <f>IF(AA1819&lt;AA1820,AA1821,AA1822)</f>
        <v>168.08817423646607</v>
      </c>
      <c r="AB1823" s="44"/>
      <c r="AC1823" s="72"/>
      <c r="AD1823" s="64" t="e">
        <f>IF(AD1819&lt;AD1820,AD1821,AD1822)</f>
        <v>#NUM!</v>
      </c>
      <c r="AE1823" s="44"/>
      <c r="AF1823" s="72"/>
      <c r="AG1823" s="64" t="e">
        <f>IF(AG1819&lt;AG1820,AG1821,AG1822)</f>
        <v>#NUM!</v>
      </c>
      <c r="AH1823" s="44"/>
      <c r="AI1823" s="72"/>
      <c r="AJ1823" s="64" t="e">
        <f>IF(AJ1819&lt;AJ1820,AJ1821,AJ1822)</f>
        <v>#NUM!</v>
      </c>
      <c r="AK1823" s="44"/>
      <c r="AL1823" s="72"/>
      <c r="AM1823" s="64" t="e">
        <f>IF(AM1819&lt;AM1820,AM1821,AM1822)</f>
        <v>#NUM!</v>
      </c>
      <c r="AN1823" s="44"/>
      <c r="AO1823" s="72"/>
      <c r="AP1823" s="64" t="e">
        <f>IF(AP1819&lt;AP1820,AP1821,AP1822)</f>
        <v>#NUM!</v>
      </c>
      <c r="AQ1823" s="44"/>
      <c r="AR1823" s="72"/>
      <c r="AS1823" s="64" t="e">
        <f>IF(AS1819&lt;AS1820,AS1821,AS1822)</f>
        <v>#NUM!</v>
      </c>
      <c r="AT1823" s="44"/>
      <c r="AU1823" s="72"/>
    </row>
    <row r="1824" spans="15:47" ht="13" x14ac:dyDescent="0.3">
      <c r="O1824" s="7" t="s">
        <v>264</v>
      </c>
      <c r="Q1824" s="61"/>
      <c r="R1824" s="53"/>
      <c r="S1824" s="69">
        <f>IFERROR(ABS(C_h-R1823),Q_max*10)</f>
        <v>1.5153417592468399</v>
      </c>
      <c r="T1824" s="76">
        <f>R1815</f>
        <v>19.78416896494064</v>
      </c>
      <c r="U1824" s="61"/>
      <c r="V1824" s="69">
        <f>IFERROR(ABS(U$23-U1823),Q_max*10)</f>
        <v>13.2792452308306</v>
      </c>
      <c r="W1824" s="75">
        <f>U1815</f>
        <v>141.63919732381532</v>
      </c>
      <c r="X1824" s="61"/>
      <c r="Y1824" s="69">
        <f>IFERROR(ABS(X$23-X1823),Q_max*10)</f>
        <v>41.945433618586222</v>
      </c>
      <c r="Z1824" s="75">
        <f>X1815</f>
        <v>339.98859580244891</v>
      </c>
      <c r="AA1824" s="61"/>
      <c r="AB1824" s="69">
        <f>IFERROR(ABS(AA$23-AA1823),Q_max*10)</f>
        <v>129.08817423646607</v>
      </c>
      <c r="AC1824" s="75">
        <f>AA1815</f>
        <v>649.16283118665058</v>
      </c>
      <c r="AD1824" s="61"/>
      <c r="AE1824" s="69">
        <f>IFERROR(ABS(AD$23-AD1823),Q_max*10)</f>
        <v>5500</v>
      </c>
      <c r="AF1824" s="75">
        <f>AD1815</f>
        <v>1067.6338497278339</v>
      </c>
      <c r="AG1824" s="61"/>
      <c r="AH1824" s="69">
        <f>IFERROR(ABS(AG$23-AG1823),Q_max*10)</f>
        <v>5500</v>
      </c>
      <c r="AI1824" s="75">
        <f>AG1815</f>
        <v>1589.5613196109484</v>
      </c>
      <c r="AJ1824" s="61"/>
      <c r="AK1824" s="69">
        <f>IFERROR(ABS(AJ$23-AJ1823),Q_max*10)</f>
        <v>5500</v>
      </c>
      <c r="AL1824" s="75">
        <f>AJ1815</f>
        <v>2121.2757430621377</v>
      </c>
      <c r="AM1824" s="61"/>
      <c r="AN1824" s="69">
        <f>IFERROR(ABS(AM$23-AM1823),Q_max*10)</f>
        <v>5500</v>
      </c>
      <c r="AO1824" s="75">
        <f>AM1815</f>
        <v>2588.3595336676431</v>
      </c>
      <c r="AP1824" s="61"/>
      <c r="AQ1824" s="69">
        <f>IFERROR(ABS(AP$23-AP1823),Q_max*10)</f>
        <v>5500</v>
      </c>
      <c r="AR1824" s="75">
        <f>AP1815</f>
        <v>3005.0050639241008</v>
      </c>
      <c r="AS1824" s="61"/>
      <c r="AT1824" s="69">
        <f>IFERROR(ABS(AS$23-AS1823),Q_max*10)</f>
        <v>5500</v>
      </c>
      <c r="AU1824" s="75">
        <f>AS1815</f>
        <v>3419.9760709200268</v>
      </c>
    </row>
    <row r="1825" spans="15:47" ht="14.5" x14ac:dyDescent="0.35">
      <c r="O1825" s="8"/>
      <c r="P1825" s="6"/>
      <c r="Q1825" s="60"/>
      <c r="R1825" s="67"/>
      <c r="S1825" s="56"/>
      <c r="T1825" s="72"/>
      <c r="V1825" s="11"/>
      <c r="W1825" s="38"/>
      <c r="Y1825" s="11"/>
      <c r="Z1825" s="38"/>
      <c r="AB1825" s="11"/>
      <c r="AC1825" s="38"/>
      <c r="AE1825" s="11"/>
      <c r="AF1825" s="38"/>
      <c r="AH1825" s="11"/>
      <c r="AI1825" s="38"/>
      <c r="AK1825" s="11"/>
      <c r="AL1825" s="38"/>
      <c r="AN1825" s="11"/>
      <c r="AO1825" s="38"/>
      <c r="AQ1825" s="11"/>
      <c r="AR1825" s="38"/>
      <c r="AT1825" s="11"/>
      <c r="AU1825" s="38"/>
    </row>
    <row r="1826" spans="15:47" ht="14" x14ac:dyDescent="0.3">
      <c r="O1826" s="8" t="s">
        <v>235</v>
      </c>
      <c r="P1826" s="6"/>
      <c r="Q1826" s="60"/>
      <c r="R1826" s="53">
        <f>R1815*1.02</f>
        <v>20.179852344239453</v>
      </c>
      <c r="S1826" s="58" t="s">
        <v>238</v>
      </c>
      <c r="T1826" s="73" t="s">
        <v>241</v>
      </c>
      <c r="U1826" s="84">
        <f>U1815*1.01</f>
        <v>143.05558929705347</v>
      </c>
      <c r="V1826" s="58" t="s">
        <v>238</v>
      </c>
      <c r="W1826" s="73" t="s">
        <v>241</v>
      </c>
      <c r="X1826" s="84">
        <f>X1815*1.01</f>
        <v>343.38848176047338</v>
      </c>
      <c r="Y1826" s="58" t="s">
        <v>238</v>
      </c>
      <c r="Z1826" s="73" t="s">
        <v>241</v>
      </c>
      <c r="AA1826" s="84">
        <f>AA1815*1.01</f>
        <v>655.6544594985171</v>
      </c>
      <c r="AB1826" s="58" t="s">
        <v>238</v>
      </c>
      <c r="AC1826" s="73" t="s">
        <v>241</v>
      </c>
      <c r="AD1826" s="84">
        <f>AD1815*1.01</f>
        <v>1078.3101882251121</v>
      </c>
      <c r="AE1826" s="58" t="s">
        <v>238</v>
      </c>
      <c r="AF1826" s="73" t="s">
        <v>241</v>
      </c>
      <c r="AG1826" s="84">
        <f>AG1815*1.01</f>
        <v>1605.4569328070579</v>
      </c>
      <c r="AH1826" s="58" t="s">
        <v>238</v>
      </c>
      <c r="AI1826" s="73" t="s">
        <v>241</v>
      </c>
      <c r="AJ1826" s="84">
        <f>AJ1815*1.01</f>
        <v>2142.4885004927592</v>
      </c>
      <c r="AK1826" s="58" t="s">
        <v>238</v>
      </c>
      <c r="AL1826" s="73" t="s">
        <v>241</v>
      </c>
      <c r="AM1826" s="84">
        <f>AM1815*1.01</f>
        <v>2614.2431290043196</v>
      </c>
      <c r="AN1826" s="58" t="s">
        <v>238</v>
      </c>
      <c r="AO1826" s="73" t="s">
        <v>241</v>
      </c>
      <c r="AP1826" s="84">
        <f>AP1815*1.01</f>
        <v>3035.0551145633417</v>
      </c>
      <c r="AQ1826" s="58" t="s">
        <v>238</v>
      </c>
      <c r="AR1826" s="73" t="s">
        <v>241</v>
      </c>
      <c r="AS1826" s="84">
        <f>AS1815*1.01</f>
        <v>3454.1758316292271</v>
      </c>
      <c r="AT1826" s="58" t="s">
        <v>238</v>
      </c>
      <c r="AU1826" s="73" t="s">
        <v>241</v>
      </c>
    </row>
    <row r="1827" spans="15:47" ht="13" x14ac:dyDescent="0.25">
      <c r="O1827" s="6"/>
      <c r="P1827" s="6"/>
      <c r="Q1827" s="60"/>
      <c r="R1827" s="70"/>
      <c r="S1827" s="63" t="s">
        <v>250</v>
      </c>
      <c r="T1827" s="71" t="s">
        <v>242</v>
      </c>
      <c r="U1827" s="61"/>
      <c r="V1827" s="63" t="s">
        <v>250</v>
      </c>
      <c r="W1827" s="71" t="s">
        <v>242</v>
      </c>
      <c r="X1827" s="61"/>
      <c r="Y1827" s="63" t="s">
        <v>250</v>
      </c>
      <c r="Z1827" s="71" t="s">
        <v>242</v>
      </c>
      <c r="AA1827" s="61"/>
      <c r="AB1827" s="63" t="s">
        <v>250</v>
      </c>
      <c r="AC1827" s="71" t="s">
        <v>242</v>
      </c>
      <c r="AD1827" s="61"/>
      <c r="AE1827" s="63" t="s">
        <v>250</v>
      </c>
      <c r="AF1827" s="71" t="s">
        <v>242</v>
      </c>
      <c r="AG1827" s="61"/>
      <c r="AH1827" s="63" t="s">
        <v>250</v>
      </c>
      <c r="AI1827" s="71" t="s">
        <v>242</v>
      </c>
      <c r="AJ1827" s="61"/>
      <c r="AK1827" s="63" t="s">
        <v>250</v>
      </c>
      <c r="AL1827" s="71" t="s">
        <v>242</v>
      </c>
      <c r="AM1827" s="61"/>
      <c r="AN1827" s="63" t="s">
        <v>250</v>
      </c>
      <c r="AO1827" s="71" t="s">
        <v>242</v>
      </c>
      <c r="AP1827" s="61"/>
      <c r="AQ1827" s="63" t="s">
        <v>250</v>
      </c>
      <c r="AR1827" s="71" t="s">
        <v>242</v>
      </c>
      <c r="AS1827" s="61"/>
      <c r="AT1827" s="63" t="s">
        <v>250</v>
      </c>
      <c r="AU1827" s="71" t="s">
        <v>242</v>
      </c>
    </row>
    <row r="1828" spans="15:47" ht="13" x14ac:dyDescent="0.3">
      <c r="O1828" s="6" t="s">
        <v>231</v>
      </c>
      <c r="P1828" s="6"/>
      <c r="Q1828" s="60"/>
      <c r="R1828" s="85">
        <f>P_1_minQ-(R1826^2*R_up)+dpup_minQ</f>
        <v>56.902390191130181</v>
      </c>
      <c r="S1828" s="56"/>
      <c r="T1828" s="72"/>
      <c r="U1828" s="53">
        <f>P_1_minQ-(U1826^2*R_up)+dpup_minQ</f>
        <v>56.224994879124374</v>
      </c>
      <c r="V1828" s="44"/>
      <c r="W1828" s="72"/>
      <c r="X1828" s="53">
        <f>P_1_minQ-(X1826^2*R_up)+dpup_minQ</f>
        <v>52.933851759346069</v>
      </c>
      <c r="Y1828" s="44"/>
      <c r="Z1828" s="72"/>
      <c r="AA1828" s="53">
        <f>P_1_minQ-(AA1826^2*R_up)+dpup_minQ</f>
        <v>42.397981416403489</v>
      </c>
      <c r="AB1828" s="44"/>
      <c r="AC1828" s="72"/>
      <c r="AD1828" s="53">
        <f>P_1_minQ-(AD1826^2*R_up)+dpup_minQ</f>
        <v>17.647218438700545</v>
      </c>
      <c r="AE1828" s="44"/>
      <c r="AF1828" s="72"/>
      <c r="AG1828" s="53">
        <f>P_1_minQ-(AG1826^2*R_up)+dpup_minQ</f>
        <v>-30.131879874982989</v>
      </c>
      <c r="AH1828" s="44"/>
      <c r="AI1828" s="72"/>
      <c r="AJ1828" s="53">
        <f>P_1_minQ-(AJ1826^2*R_up)+dpup_minQ</f>
        <v>-98.107733020726499</v>
      </c>
      <c r="AK1828" s="44"/>
      <c r="AL1828" s="72"/>
      <c r="AM1828" s="53">
        <f>P_1_minQ-(AM1826^2*R_up)+dpup_minQ</f>
        <v>-173.89328394279957</v>
      </c>
      <c r="AN1828" s="44"/>
      <c r="AO1828" s="72"/>
      <c r="AP1828" s="53">
        <f>P_1_minQ-(AP1826^2*R_up)+dpup_minQ</f>
        <v>-254.18009282124623</v>
      </c>
      <c r="AQ1828" s="44"/>
      <c r="AR1828" s="72"/>
      <c r="AS1828" s="53">
        <f>P_1_minQ-(AS1826^2*R_up)+dpup_minQ</f>
        <v>-346.03322106759413</v>
      </c>
      <c r="AT1828" s="44"/>
      <c r="AU1828" s="72"/>
    </row>
    <row r="1829" spans="15:47" ht="13" x14ac:dyDescent="0.3">
      <c r="O1829" s="6" t="s">
        <v>233</v>
      </c>
      <c r="P1829" s="6"/>
      <c r="Q1829" s="60"/>
      <c r="R1829" s="85">
        <f>P_2_minQ+(R1826^2*R_dn)-dpdn_minQ</f>
        <v>24.659521961773965</v>
      </c>
      <c r="S1829" s="66"/>
      <c r="T1829" s="74"/>
      <c r="U1829" s="53">
        <f>P_2_minQ+(U1826^2*R_dn)-dpdn_minQ</f>
        <v>24.795001024175125</v>
      </c>
      <c r="V1829" s="45"/>
      <c r="W1829" s="74"/>
      <c r="X1829" s="53">
        <f>P_2_minQ+(X1826^2*R_dn)-dpdn_minQ</f>
        <v>25.453229648130787</v>
      </c>
      <c r="Y1829" s="45"/>
      <c r="Z1829" s="74"/>
      <c r="AA1829" s="53">
        <f>P_2_minQ+(AA1826^2*R_dn)-dpdn_minQ</f>
        <v>27.560403716719303</v>
      </c>
      <c r="AB1829" s="45"/>
      <c r="AC1829" s="74"/>
      <c r="AD1829" s="53">
        <f>P_2_minQ+(AD1826^2*R_dn)-dpdn_minQ</f>
        <v>32.510556312259894</v>
      </c>
      <c r="AE1829" s="45"/>
      <c r="AF1829" s="74"/>
      <c r="AG1829" s="53">
        <f>P_2_minQ+(AG1826^2*R_dn)-dpdn_minQ</f>
        <v>42.066375974996603</v>
      </c>
      <c r="AH1829" s="45"/>
      <c r="AI1829" s="74"/>
      <c r="AJ1829" s="53">
        <f>P_2_minQ+(AJ1826^2*R_dn)-dpdn_minQ</f>
        <v>55.6615466041453</v>
      </c>
      <c r="AK1829" s="45"/>
      <c r="AL1829" s="74"/>
      <c r="AM1829" s="53">
        <f>P_2_minQ+(AM1826^2*R_dn)-dpdn_minQ</f>
        <v>70.81865678855992</v>
      </c>
      <c r="AN1829" s="45"/>
      <c r="AO1829" s="74"/>
      <c r="AP1829" s="53">
        <f>P_2_minQ+(AP1826^2*R_dn)-dpdn_minQ</f>
        <v>86.87601856424925</v>
      </c>
      <c r="AQ1829" s="45"/>
      <c r="AR1829" s="74"/>
      <c r="AS1829" s="53">
        <f>P_2_minQ+(AS1826^2*R_dn)-dpdn_minQ</f>
        <v>105.24664421351883</v>
      </c>
      <c r="AT1829" s="45"/>
      <c r="AU1829" s="74"/>
    </row>
    <row r="1830" spans="15:47" x14ac:dyDescent="0.25">
      <c r="O1830" s="6" t="s">
        <v>243</v>
      </c>
      <c r="Q1830" s="60"/>
      <c r="R1830" s="53">
        <f>R1828-R1829</f>
        <v>32.242868229356219</v>
      </c>
      <c r="S1830" s="56"/>
      <c r="T1830" s="72"/>
      <c r="U1830" s="64">
        <f>U1828-U1829</f>
        <v>31.429993854949249</v>
      </c>
      <c r="V1830" s="44"/>
      <c r="W1830" s="72"/>
      <c r="X1830" s="64">
        <f>X1828-X1829</f>
        <v>27.480622111215283</v>
      </c>
      <c r="Y1830" s="44"/>
      <c r="Z1830" s="72"/>
      <c r="AA1830" s="64">
        <f>AA1828-AA1829</f>
        <v>14.837577699684186</v>
      </c>
      <c r="AB1830" s="44"/>
      <c r="AC1830" s="72"/>
      <c r="AD1830" s="64">
        <f>AD1828-AD1829</f>
        <v>-14.863337873559349</v>
      </c>
      <c r="AE1830" s="44"/>
      <c r="AF1830" s="72"/>
      <c r="AG1830" s="64">
        <f>AG1828-AG1829</f>
        <v>-72.198255849979589</v>
      </c>
      <c r="AH1830" s="44"/>
      <c r="AI1830" s="72"/>
      <c r="AJ1830" s="64">
        <f>AJ1828-AJ1829</f>
        <v>-153.76927962487179</v>
      </c>
      <c r="AK1830" s="44"/>
      <c r="AL1830" s="72"/>
      <c r="AM1830" s="64">
        <f>AM1828-AM1829</f>
        <v>-244.7119407313595</v>
      </c>
      <c r="AN1830" s="44"/>
      <c r="AO1830" s="72"/>
      <c r="AP1830" s="64">
        <f>AP1828-AP1829</f>
        <v>-341.05611138549546</v>
      </c>
      <c r="AQ1830" s="44"/>
      <c r="AR1830" s="72"/>
      <c r="AS1830" s="64">
        <f>AS1828-AS1829</f>
        <v>-451.27986528111296</v>
      </c>
      <c r="AT1830" s="44"/>
      <c r="AU1830" s="72"/>
    </row>
    <row r="1831" spans="15:47" ht="13" x14ac:dyDescent="0.3">
      <c r="O1831" s="6" t="s">
        <v>75</v>
      </c>
      <c r="P1831" s="6">
        <v>3</v>
      </c>
      <c r="Q1831" s="65"/>
      <c r="R1831" s="85">
        <f>(F_LP_h/F_P_h)^2*(R1828-('Valve Sizing'!$V$4*'Valve Sizing'!$G$7))</f>
        <v>46.753775032729173</v>
      </c>
      <c r="S1831" s="58"/>
      <c r="T1831" s="73"/>
      <c r="U1831" s="53">
        <f>(U$29/U$27)^2*(U1828-('Valve Sizing'!$V$4*'Valve Sizing'!$G$7))</f>
        <v>46.180265893645256</v>
      </c>
      <c r="V1831" s="41"/>
      <c r="W1831" s="73"/>
      <c r="X1831" s="53">
        <f>(X$29/X$27)^2*(X1828-('Valve Sizing'!$V$4*'Valve Sizing'!$G$7))</f>
        <v>42.47554062276506</v>
      </c>
      <c r="Y1831" s="41"/>
      <c r="Z1831" s="73"/>
      <c r="AA1831" s="53">
        <f>(AA$29/AA$27)^2*(AA1828-('Valve Sizing'!$V$4*'Valve Sizing'!$G$7))</f>
        <v>32.424966885779774</v>
      </c>
      <c r="AB1831" s="41"/>
      <c r="AC1831" s="73"/>
      <c r="AD1831" s="53">
        <f>(AD$29/AD$27)^2*(AD1828-('Valve Sizing'!$V$4*'Valve Sizing'!$G$7))</f>
        <v>12.409587660384545</v>
      </c>
      <c r="AE1831" s="41"/>
      <c r="AF1831" s="73"/>
      <c r="AG1831" s="53">
        <f>(AG$29/AG$27)^2*(AG1828-('Valve Sizing'!$V$4*'Valve Sizing'!$G$7))</f>
        <v>-19.689671451123917</v>
      </c>
      <c r="AH1831" s="41"/>
      <c r="AI1831" s="73"/>
      <c r="AJ1831" s="53">
        <f>(AJ$29/AJ$27)^2*(AJ1828-('Valve Sizing'!$V$4*'Valve Sizing'!$G$7))</f>
        <v>-56.996527460107821</v>
      </c>
      <c r="AK1831" s="41"/>
      <c r="AL1831" s="73"/>
      <c r="AM1831" s="53">
        <f>(AM$29/AM$27)^2*(AM1828-('Valve Sizing'!$V$4*'Valve Sizing'!$G$7))</f>
        <v>-83.41364865641745</v>
      </c>
      <c r="AN1831" s="41"/>
      <c r="AO1831" s="73"/>
      <c r="AP1831" s="53">
        <f>(AP$29/AP$27)^2*(AP1828-('Valve Sizing'!$V$4*'Valve Sizing'!$G$7))</f>
        <v>-100.47994216946826</v>
      </c>
      <c r="AQ1831" s="41"/>
      <c r="AR1831" s="73"/>
      <c r="AS1831" s="53">
        <f>(AS$29/AS$27)^2*(AS1828-('Valve Sizing'!$V$4*'Valve Sizing'!$G$7))</f>
        <v>-130.3227341997214</v>
      </c>
      <c r="AT1831" s="41"/>
      <c r="AU1831" s="73"/>
    </row>
    <row r="1832" spans="15:47" ht="13" x14ac:dyDescent="0.25">
      <c r="O1832" s="1" t="s">
        <v>69</v>
      </c>
      <c r="P1832" s="17">
        <v>7</v>
      </c>
      <c r="Q1832" s="65"/>
      <c r="R1832" s="53">
        <f>(R1826/(N_1*F_P_h))*SQRT('Valve Sizing'!$G$6/R1830)</f>
        <v>3.5543867283069743</v>
      </c>
      <c r="S1832" s="58"/>
      <c r="T1832" s="73"/>
      <c r="U1832" s="64">
        <f>(U1826/(N_1*U$27))*SQRT('Valve Sizing'!$G$6/U1830)</f>
        <v>25.538674510992877</v>
      </c>
      <c r="V1832" s="41"/>
      <c r="W1832" s="73"/>
      <c r="X1832" s="64">
        <f>(X1826/(N_1*X$27))*SQRT('Valve Sizing'!$G$6/X1830)</f>
        <v>65.707169787376301</v>
      </c>
      <c r="Y1832" s="41"/>
      <c r="Z1832" s="73"/>
      <c r="AA1832" s="64">
        <f>(AA1826/(N_1*AA$27))*SQRT('Valve Sizing'!$G$6/AA1830)</f>
        <v>171.72169204523655</v>
      </c>
      <c r="AB1832" s="41"/>
      <c r="AC1832" s="73"/>
      <c r="AD1832" s="64" t="e">
        <f>(AD1826/(N_1*AD$27))*SQRT('Valve Sizing'!$G$6/AD1830)</f>
        <v>#NUM!</v>
      </c>
      <c r="AE1832" s="41"/>
      <c r="AF1832" s="73"/>
      <c r="AG1832" s="64" t="e">
        <f>(AG1826/(N_1*AG$27))*SQRT('Valve Sizing'!$G$6/AG1830)</f>
        <v>#NUM!</v>
      </c>
      <c r="AH1832" s="41"/>
      <c r="AI1832" s="73"/>
      <c r="AJ1832" s="64" t="e">
        <f>(AJ1826/(N_1*AJ$27))*SQRT('Valve Sizing'!$G$6/AJ1830)</f>
        <v>#NUM!</v>
      </c>
      <c r="AK1832" s="41"/>
      <c r="AL1832" s="73"/>
      <c r="AM1832" s="64" t="e">
        <f>(AM1826/(N_1*AM$27))*SQRT('Valve Sizing'!$G$6/AM1830)</f>
        <v>#NUM!</v>
      </c>
      <c r="AN1832" s="41"/>
      <c r="AO1832" s="73"/>
      <c r="AP1832" s="64" t="e">
        <f>(AP1826/(N_1*AP$27))*SQRT('Valve Sizing'!$G$6/AP1830)</f>
        <v>#NUM!</v>
      </c>
      <c r="AQ1832" s="41"/>
      <c r="AR1832" s="73"/>
      <c r="AS1832" s="64" t="e">
        <f>(AS1826/(N_1*AS$27))*SQRT('Valve Sizing'!$G$6/AS1830)</f>
        <v>#NUM!</v>
      </c>
      <c r="AT1832" s="41"/>
      <c r="AU1832" s="73"/>
    </row>
    <row r="1833" spans="15:47" ht="13" x14ac:dyDescent="0.3">
      <c r="O1833" s="1" t="s">
        <v>72</v>
      </c>
      <c r="P1833" s="17">
        <v>7</v>
      </c>
      <c r="Q1833" s="65"/>
      <c r="R1833" s="53">
        <f>(R1826/(N_1*F_P_h))*SQRT('Valve Sizing'!$G$6/R1831)</f>
        <v>2.9517064984245698</v>
      </c>
      <c r="S1833" s="56"/>
      <c r="T1833" s="72"/>
      <c r="U1833" s="85">
        <f>(U1826/(N_1*U$27))*SQRT('Valve Sizing'!$G$6/U1831)</f>
        <v>21.068920605205747</v>
      </c>
      <c r="V1833" s="44"/>
      <c r="W1833" s="72"/>
      <c r="X1833" s="85">
        <f>(X1826/(N_1*X$27))*SQRT('Valve Sizing'!$G$6/X1831)</f>
        <v>52.851410667155001</v>
      </c>
      <c r="Y1833" s="44"/>
      <c r="Z1833" s="72"/>
      <c r="AA1833" s="85">
        <f>(AA1826/(N_1*AA$27))*SQRT('Valve Sizing'!$G$6/AA1831)</f>
        <v>116.16275181504137</v>
      </c>
      <c r="AB1833" s="44"/>
      <c r="AC1833" s="72"/>
      <c r="AD1833" s="85">
        <f>(AD1826/(N_1*AD$27))*SQRT('Valve Sizing'!$G$6/AD1831)</f>
        <v>312.69567794632792</v>
      </c>
      <c r="AE1833" s="44"/>
      <c r="AF1833" s="72"/>
      <c r="AG1833" s="85" t="e">
        <f>(AG1826/(N_1*AG$27))*SQRT('Valve Sizing'!$G$6/AG1831)</f>
        <v>#NUM!</v>
      </c>
      <c r="AH1833" s="44"/>
      <c r="AI1833" s="72"/>
      <c r="AJ1833" s="85" t="e">
        <f>(AJ1826/(N_1*AJ$27))*SQRT('Valve Sizing'!$G$6/AJ1831)</f>
        <v>#NUM!</v>
      </c>
      <c r="AK1833" s="44"/>
      <c r="AL1833" s="72"/>
      <c r="AM1833" s="85" t="e">
        <f>(AM1826/(N_1*AM$27))*SQRT('Valve Sizing'!$G$6/AM1831)</f>
        <v>#NUM!</v>
      </c>
      <c r="AN1833" s="44"/>
      <c r="AO1833" s="72"/>
      <c r="AP1833" s="85" t="e">
        <f>(AP1826/(N_1*AP$27))*SQRT('Valve Sizing'!$G$6/AP1831)</f>
        <v>#NUM!</v>
      </c>
      <c r="AQ1833" s="44"/>
      <c r="AR1833" s="72"/>
      <c r="AS1833" s="85" t="e">
        <f>(AS1826/(N_1*AS$27))*SQRT('Valve Sizing'!$G$6/AS1831)</f>
        <v>#NUM!</v>
      </c>
      <c r="AT1833" s="44"/>
      <c r="AU1833" s="72"/>
    </row>
    <row r="1834" spans="15:47" x14ac:dyDescent="0.25">
      <c r="O1834" s="1" t="s">
        <v>246</v>
      </c>
      <c r="P1834" s="18"/>
      <c r="Q1834" s="65"/>
      <c r="R1834" s="53">
        <f>IF(R1830&lt;R1831,R1832,R1833)</f>
        <v>3.5543867283069743</v>
      </c>
      <c r="S1834" s="49"/>
      <c r="T1834" s="72"/>
      <c r="U1834" s="64">
        <f>IF(U1830&lt;U1831,U1832,U1833)</f>
        <v>25.538674510992877</v>
      </c>
      <c r="V1834" s="44"/>
      <c r="W1834" s="72"/>
      <c r="X1834" s="64">
        <f>IF(X1830&lt;X1831,X1832,X1833)</f>
        <v>65.707169787376301</v>
      </c>
      <c r="Y1834" s="44"/>
      <c r="Z1834" s="72"/>
      <c r="AA1834" s="64">
        <f>IF(AA1830&lt;AA1831,AA1832,AA1833)</f>
        <v>171.72169204523655</v>
      </c>
      <c r="AB1834" s="44"/>
      <c r="AC1834" s="72"/>
      <c r="AD1834" s="64" t="e">
        <f>IF(AD1830&lt;AD1831,AD1832,AD1833)</f>
        <v>#NUM!</v>
      </c>
      <c r="AE1834" s="44"/>
      <c r="AF1834" s="72"/>
      <c r="AG1834" s="64" t="e">
        <f>IF(AG1830&lt;AG1831,AG1832,AG1833)</f>
        <v>#NUM!</v>
      </c>
      <c r="AH1834" s="44"/>
      <c r="AI1834" s="72"/>
      <c r="AJ1834" s="64" t="e">
        <f>IF(AJ1830&lt;AJ1831,AJ1832,AJ1833)</f>
        <v>#NUM!</v>
      </c>
      <c r="AK1834" s="44"/>
      <c r="AL1834" s="72"/>
      <c r="AM1834" s="64" t="e">
        <f>IF(AM1830&lt;AM1831,AM1832,AM1833)</f>
        <v>#NUM!</v>
      </c>
      <c r="AN1834" s="44"/>
      <c r="AO1834" s="72"/>
      <c r="AP1834" s="64" t="e">
        <f>IF(AP1830&lt;AP1831,AP1832,AP1833)</f>
        <v>#NUM!</v>
      </c>
      <c r="AQ1834" s="44"/>
      <c r="AR1834" s="72"/>
      <c r="AS1834" s="64" t="e">
        <f>IF(AS1830&lt;AS1831,AS1832,AS1833)</f>
        <v>#NUM!</v>
      </c>
      <c r="AT1834" s="44"/>
      <c r="AU1834" s="72"/>
    </row>
    <row r="1835" spans="15:47" ht="13" x14ac:dyDescent="0.3">
      <c r="O1835" s="7" t="s">
        <v>264</v>
      </c>
      <c r="Q1835" s="61"/>
      <c r="R1835" s="53"/>
      <c r="S1835" s="69">
        <f>IFERROR(ABS(C_h-R1834),Q_max*10)</f>
        <v>1.4456132716930257</v>
      </c>
      <c r="T1835" s="76">
        <f>R1826</f>
        <v>20.179852344239453</v>
      </c>
      <c r="U1835" s="61"/>
      <c r="V1835" s="69">
        <f>IFERROR(ABS(U$23-U1834),Q_max*10)</f>
        <v>13.538674510992877</v>
      </c>
      <c r="W1835" s="75">
        <f>U1826</f>
        <v>143.05558929705347</v>
      </c>
      <c r="X1835" s="61"/>
      <c r="Y1835" s="69">
        <f>IFERROR(ABS(X$23-X1834),Q_max*10)</f>
        <v>42.707169787376301</v>
      </c>
      <c r="Z1835" s="75">
        <f>X1826</f>
        <v>343.38848176047338</v>
      </c>
      <c r="AA1835" s="61"/>
      <c r="AB1835" s="69">
        <f>IFERROR(ABS(AA$23-AA1834),Q_max*10)</f>
        <v>132.72169204523655</v>
      </c>
      <c r="AC1835" s="75">
        <f>AA1826</f>
        <v>655.6544594985171</v>
      </c>
      <c r="AD1835" s="61"/>
      <c r="AE1835" s="69">
        <f>IFERROR(ABS(AD$23-AD1834),Q_max*10)</f>
        <v>5500</v>
      </c>
      <c r="AF1835" s="75">
        <f>AD1826</f>
        <v>1078.3101882251121</v>
      </c>
      <c r="AG1835" s="61"/>
      <c r="AH1835" s="69">
        <f>IFERROR(ABS(AG$23-AG1834),Q_max*10)</f>
        <v>5500</v>
      </c>
      <c r="AI1835" s="75">
        <f>AG1826</f>
        <v>1605.4569328070579</v>
      </c>
      <c r="AJ1835" s="61"/>
      <c r="AK1835" s="69">
        <f>IFERROR(ABS(AJ$23-AJ1834),Q_max*10)</f>
        <v>5500</v>
      </c>
      <c r="AL1835" s="75">
        <f>AJ1826</f>
        <v>2142.4885004927592</v>
      </c>
      <c r="AM1835" s="61"/>
      <c r="AN1835" s="69">
        <f>IFERROR(ABS(AM$23-AM1834),Q_max*10)</f>
        <v>5500</v>
      </c>
      <c r="AO1835" s="75">
        <f>AM1826</f>
        <v>2614.2431290043196</v>
      </c>
      <c r="AP1835" s="61"/>
      <c r="AQ1835" s="69">
        <f>IFERROR(ABS(AP$23-AP1834),Q_max*10)</f>
        <v>5500</v>
      </c>
      <c r="AR1835" s="75">
        <f>AP1826</f>
        <v>3035.0551145633417</v>
      </c>
      <c r="AS1835" s="61"/>
      <c r="AT1835" s="69">
        <f>IFERROR(ABS(AS$23-AS1834),Q_max*10)</f>
        <v>5500</v>
      </c>
      <c r="AU1835" s="75">
        <f>AS1826</f>
        <v>3454.1758316292271</v>
      </c>
    </row>
    <row r="1836" spans="15:47" ht="14.5" x14ac:dyDescent="0.35">
      <c r="O1836" s="6"/>
      <c r="P1836" s="6"/>
      <c r="Q1836" s="60"/>
      <c r="R1836" s="67"/>
      <c r="S1836" s="56"/>
      <c r="T1836" s="72"/>
      <c r="V1836" s="11"/>
      <c r="W1836" s="38"/>
      <c r="Y1836" s="11"/>
      <c r="Z1836" s="38"/>
      <c r="AB1836" s="11"/>
      <c r="AC1836" s="38"/>
      <c r="AE1836" s="11"/>
      <c r="AF1836" s="38"/>
      <c r="AH1836" s="11"/>
      <c r="AI1836" s="38"/>
      <c r="AK1836" s="11"/>
      <c r="AL1836" s="38"/>
      <c r="AN1836" s="11"/>
      <c r="AO1836" s="38"/>
      <c r="AQ1836" s="11"/>
      <c r="AR1836" s="38"/>
      <c r="AT1836" s="11"/>
      <c r="AU1836" s="38"/>
    </row>
    <row r="1837" spans="15:47" ht="14" x14ac:dyDescent="0.3">
      <c r="O1837" s="8" t="s">
        <v>235</v>
      </c>
      <c r="P1837" s="6"/>
      <c r="Q1837" s="60"/>
      <c r="R1837" s="53">
        <f>R1826*1.02</f>
        <v>20.583449391124244</v>
      </c>
      <c r="S1837" s="58" t="s">
        <v>238</v>
      </c>
      <c r="T1837" s="73" t="s">
        <v>241</v>
      </c>
      <c r="U1837" s="84">
        <f>U1826*1.01</f>
        <v>144.48614519002402</v>
      </c>
      <c r="V1837" s="58" t="s">
        <v>238</v>
      </c>
      <c r="W1837" s="73" t="s">
        <v>241</v>
      </c>
      <c r="X1837" s="84">
        <f>X1826*1.01</f>
        <v>346.82236657807812</v>
      </c>
      <c r="Y1837" s="58" t="s">
        <v>238</v>
      </c>
      <c r="Z1837" s="73" t="s">
        <v>241</v>
      </c>
      <c r="AA1837" s="84">
        <f>AA1826*1.01</f>
        <v>662.21100409350231</v>
      </c>
      <c r="AB1837" s="58" t="s">
        <v>238</v>
      </c>
      <c r="AC1837" s="73" t="s">
        <v>241</v>
      </c>
      <c r="AD1837" s="84">
        <f>AD1826*1.01</f>
        <v>1089.0932901073634</v>
      </c>
      <c r="AE1837" s="58" t="s">
        <v>238</v>
      </c>
      <c r="AF1837" s="73" t="s">
        <v>241</v>
      </c>
      <c r="AG1837" s="84">
        <f>AG1826*1.01</f>
        <v>1621.5115021351285</v>
      </c>
      <c r="AH1837" s="58" t="s">
        <v>238</v>
      </c>
      <c r="AI1837" s="73" t="s">
        <v>241</v>
      </c>
      <c r="AJ1837" s="84">
        <f>AJ1826*1.01</f>
        <v>2163.9133854976867</v>
      </c>
      <c r="AK1837" s="58" t="s">
        <v>238</v>
      </c>
      <c r="AL1837" s="73" t="s">
        <v>241</v>
      </c>
      <c r="AM1837" s="84">
        <f>AM1826*1.01</f>
        <v>2640.3855602943627</v>
      </c>
      <c r="AN1837" s="58" t="s">
        <v>238</v>
      </c>
      <c r="AO1837" s="73" t="s">
        <v>241</v>
      </c>
      <c r="AP1837" s="84">
        <f>AP1826*1.01</f>
        <v>3065.405665708975</v>
      </c>
      <c r="AQ1837" s="58" t="s">
        <v>238</v>
      </c>
      <c r="AR1837" s="73" t="s">
        <v>241</v>
      </c>
      <c r="AS1837" s="84">
        <f>AS1826*1.01</f>
        <v>3488.7175899455192</v>
      </c>
      <c r="AT1837" s="58" t="s">
        <v>238</v>
      </c>
      <c r="AU1837" s="73" t="s">
        <v>241</v>
      </c>
    </row>
    <row r="1838" spans="15:47" ht="13" x14ac:dyDescent="0.25">
      <c r="O1838" s="6"/>
      <c r="P1838" s="6"/>
      <c r="Q1838" s="60"/>
      <c r="R1838" s="70"/>
      <c r="S1838" s="63" t="s">
        <v>250</v>
      </c>
      <c r="T1838" s="71" t="s">
        <v>242</v>
      </c>
      <c r="U1838" s="61"/>
      <c r="V1838" s="63" t="s">
        <v>250</v>
      </c>
      <c r="W1838" s="71" t="s">
        <v>242</v>
      </c>
      <c r="X1838" s="61"/>
      <c r="Y1838" s="63" t="s">
        <v>250</v>
      </c>
      <c r="Z1838" s="71" t="s">
        <v>242</v>
      </c>
      <c r="AA1838" s="61"/>
      <c r="AB1838" s="63" t="s">
        <v>250</v>
      </c>
      <c r="AC1838" s="71" t="s">
        <v>242</v>
      </c>
      <c r="AD1838" s="61"/>
      <c r="AE1838" s="63" t="s">
        <v>250</v>
      </c>
      <c r="AF1838" s="71" t="s">
        <v>242</v>
      </c>
      <c r="AG1838" s="61"/>
      <c r="AH1838" s="63" t="s">
        <v>250</v>
      </c>
      <c r="AI1838" s="71" t="s">
        <v>242</v>
      </c>
      <c r="AJ1838" s="61"/>
      <c r="AK1838" s="63" t="s">
        <v>250</v>
      </c>
      <c r="AL1838" s="71" t="s">
        <v>242</v>
      </c>
      <c r="AM1838" s="61"/>
      <c r="AN1838" s="63" t="s">
        <v>250</v>
      </c>
      <c r="AO1838" s="71" t="s">
        <v>242</v>
      </c>
      <c r="AP1838" s="61"/>
      <c r="AQ1838" s="63" t="s">
        <v>250</v>
      </c>
      <c r="AR1838" s="71" t="s">
        <v>242</v>
      </c>
      <c r="AS1838" s="61"/>
      <c r="AT1838" s="63" t="s">
        <v>250</v>
      </c>
      <c r="AU1838" s="71" t="s">
        <v>242</v>
      </c>
    </row>
    <row r="1839" spans="15:47" ht="13" x14ac:dyDescent="0.3">
      <c r="O1839" s="6" t="s">
        <v>231</v>
      </c>
      <c r="P1839" s="6"/>
      <c r="Q1839" s="60"/>
      <c r="R1839" s="85">
        <f>P_1_minQ-(R1837^2*R_up)+dpup_minQ</f>
        <v>56.901834569779233</v>
      </c>
      <c r="S1839" s="56"/>
      <c r="T1839" s="72"/>
      <c r="U1839" s="53">
        <f>P_1_minQ-(U1837^2*R_up)+dpup_minQ</f>
        <v>56.211102797977958</v>
      </c>
      <c r="V1839" s="44"/>
      <c r="W1839" s="72"/>
      <c r="X1839" s="53">
        <f>P_1_minQ-(X1837^2*R_up)+dpup_minQ</f>
        <v>52.853807701492102</v>
      </c>
      <c r="Y1839" s="44"/>
      <c r="Z1839" s="72"/>
      <c r="AA1839" s="53">
        <f>P_1_minQ-(AA1837^2*R_up)+dpup_minQ</f>
        <v>42.106166364656382</v>
      </c>
      <c r="AB1839" s="44"/>
      <c r="AC1839" s="72"/>
      <c r="AD1839" s="53">
        <f>P_1_minQ-(AD1837^2*R_up)+dpup_minQ</f>
        <v>16.857913051101601</v>
      </c>
      <c r="AE1839" s="44"/>
      <c r="AF1839" s="72"/>
      <c r="AG1839" s="53">
        <f>P_1_minQ-(AG1837^2*R_up)+dpup_minQ</f>
        <v>-31.881545138686949</v>
      </c>
      <c r="AH1839" s="44"/>
      <c r="AI1839" s="72"/>
      <c r="AJ1839" s="53">
        <f>P_1_minQ-(AJ1837^2*R_up)+dpup_minQ</f>
        <v>-101.22371293265991</v>
      </c>
      <c r="AK1839" s="44"/>
      <c r="AL1839" s="72"/>
      <c r="AM1839" s="53">
        <f>P_1_minQ-(AM1837^2*R_up)+dpup_minQ</f>
        <v>-178.53255342826665</v>
      </c>
      <c r="AN1839" s="44"/>
      <c r="AO1839" s="72"/>
      <c r="AP1839" s="53">
        <f>P_1_minQ-(AP1837^2*R_up)+dpup_minQ</f>
        <v>-260.43312716517005</v>
      </c>
      <c r="AQ1839" s="44"/>
      <c r="AR1839" s="72"/>
      <c r="AS1839" s="53">
        <f>P_1_minQ-(AS1837^2*R_up)+dpup_minQ</f>
        <v>-354.13250328926961</v>
      </c>
      <c r="AT1839" s="44"/>
      <c r="AU1839" s="72"/>
    </row>
    <row r="1840" spans="15:47" ht="13" x14ac:dyDescent="0.3">
      <c r="O1840" s="6" t="s">
        <v>233</v>
      </c>
      <c r="P1840" s="6"/>
      <c r="Q1840" s="60"/>
      <c r="R1840" s="85">
        <f>P_2_minQ+(R1837^2*R_dn)-dpdn_minQ</f>
        <v>24.659633086044156</v>
      </c>
      <c r="S1840" s="66"/>
      <c r="T1840" s="74"/>
      <c r="U1840" s="53">
        <f>P_2_minQ+(U1837^2*R_dn)-dpdn_minQ</f>
        <v>24.797779440404408</v>
      </c>
      <c r="V1840" s="45"/>
      <c r="W1840" s="74"/>
      <c r="X1840" s="53">
        <f>P_2_minQ+(X1837^2*R_dn)-dpdn_minQ</f>
        <v>25.469238459701579</v>
      </c>
      <c r="Y1840" s="45"/>
      <c r="Z1840" s="74"/>
      <c r="AA1840" s="53">
        <f>P_2_minQ+(AA1837^2*R_dn)-dpdn_minQ</f>
        <v>27.618766727068724</v>
      </c>
      <c r="AB1840" s="45"/>
      <c r="AC1840" s="74"/>
      <c r="AD1840" s="53">
        <f>P_2_minQ+(AD1837^2*R_dn)-dpdn_minQ</f>
        <v>32.668417389779684</v>
      </c>
      <c r="AE1840" s="45"/>
      <c r="AF1840" s="74"/>
      <c r="AG1840" s="53">
        <f>P_2_minQ+(AG1837^2*R_dn)-dpdn_minQ</f>
        <v>42.416309027737398</v>
      </c>
      <c r="AH1840" s="45"/>
      <c r="AI1840" s="74"/>
      <c r="AJ1840" s="53">
        <f>P_2_minQ+(AJ1837^2*R_dn)-dpdn_minQ</f>
        <v>56.284742586531983</v>
      </c>
      <c r="AK1840" s="45"/>
      <c r="AL1840" s="74"/>
      <c r="AM1840" s="53">
        <f>P_2_minQ+(AM1837^2*R_dn)-dpdn_minQ</f>
        <v>71.746510685653334</v>
      </c>
      <c r="AN1840" s="45"/>
      <c r="AO1840" s="74"/>
      <c r="AP1840" s="53">
        <f>P_2_minQ+(AP1837^2*R_dn)-dpdn_minQ</f>
        <v>88.126625433034008</v>
      </c>
      <c r="AQ1840" s="45"/>
      <c r="AR1840" s="74"/>
      <c r="AS1840" s="53">
        <f>P_2_minQ+(AS1837^2*R_dn)-dpdn_minQ</f>
        <v>106.86650065785392</v>
      </c>
      <c r="AT1840" s="45"/>
      <c r="AU1840" s="74"/>
    </row>
    <row r="1841" spans="15:47" x14ac:dyDescent="0.25">
      <c r="O1841" s="6" t="s">
        <v>243</v>
      </c>
      <c r="Q1841" s="60"/>
      <c r="R1841" s="53">
        <f>R1839-R1840</f>
        <v>32.242201483735073</v>
      </c>
      <c r="S1841" s="56"/>
      <c r="T1841" s="72"/>
      <c r="U1841" s="64">
        <f>U1839-U1840</f>
        <v>31.41332335757355</v>
      </c>
      <c r="V1841" s="44"/>
      <c r="W1841" s="72"/>
      <c r="X1841" s="64">
        <f>X1839-X1840</f>
        <v>27.384569241790523</v>
      </c>
      <c r="Y1841" s="44"/>
      <c r="Z1841" s="72"/>
      <c r="AA1841" s="64">
        <f>AA1839-AA1840</f>
        <v>14.487399637587657</v>
      </c>
      <c r="AB1841" s="44"/>
      <c r="AC1841" s="72"/>
      <c r="AD1841" s="64">
        <f>AD1839-AD1840</f>
        <v>-15.810504338678083</v>
      </c>
      <c r="AE1841" s="44"/>
      <c r="AF1841" s="72"/>
      <c r="AG1841" s="64">
        <f>AG1839-AG1840</f>
        <v>-74.297854166424344</v>
      </c>
      <c r="AH1841" s="44"/>
      <c r="AI1841" s="72"/>
      <c r="AJ1841" s="64">
        <f>AJ1839-AJ1840</f>
        <v>-157.5084555191919</v>
      </c>
      <c r="AK1841" s="44"/>
      <c r="AL1841" s="72"/>
      <c r="AM1841" s="64">
        <f>AM1839-AM1840</f>
        <v>-250.27906411391999</v>
      </c>
      <c r="AN1841" s="44"/>
      <c r="AO1841" s="72"/>
      <c r="AP1841" s="64">
        <f>AP1839-AP1840</f>
        <v>-348.55975259820406</v>
      </c>
      <c r="AQ1841" s="44"/>
      <c r="AR1841" s="72"/>
      <c r="AS1841" s="64">
        <f>AS1839-AS1840</f>
        <v>-460.99900394712353</v>
      </c>
      <c r="AT1841" s="44"/>
      <c r="AU1841" s="72"/>
    </row>
    <row r="1842" spans="15:47" ht="13" x14ac:dyDescent="0.3">
      <c r="O1842" s="6" t="s">
        <v>75</v>
      </c>
      <c r="P1842" s="6">
        <v>3</v>
      </c>
      <c r="Q1842" s="65"/>
      <c r="R1842" s="85">
        <f>(F_LP_h/F_P_h)^2*(R1839-('Valve Sizing'!$V$4*'Valve Sizing'!$G$7))</f>
        <v>46.753314949086061</v>
      </c>
      <c r="S1842" s="58"/>
      <c r="T1842" s="73"/>
      <c r="U1842" s="53">
        <f>(U$29/U$27)^2*(U1839-('Valve Sizing'!$V$4*'Valve Sizing'!$G$7))</f>
        <v>46.168765656605629</v>
      </c>
      <c r="V1842" s="41"/>
      <c r="W1842" s="73"/>
      <c r="X1842" s="53">
        <f>(X$29/X$27)^2*(X1839-('Valve Sizing'!$V$4*'Valve Sizing'!$G$7))</f>
        <v>42.410772688004371</v>
      </c>
      <c r="Y1842" s="41"/>
      <c r="Z1842" s="73"/>
      <c r="AA1842" s="53">
        <f>(AA$29/AA$27)^2*(AA1839-('Valve Sizing'!$V$4*'Valve Sizing'!$G$7))</f>
        <v>32.199453024640526</v>
      </c>
      <c r="AB1842" s="41"/>
      <c r="AC1842" s="73"/>
      <c r="AD1842" s="53">
        <f>(AD$29/AD$27)^2*(AD1839-('Valve Sizing'!$V$4*'Valve Sizing'!$G$7))</f>
        <v>11.840350554432259</v>
      </c>
      <c r="AE1842" s="41"/>
      <c r="AF1842" s="73"/>
      <c r="AG1842" s="53">
        <f>(AG$29/AG$27)^2*(AG1839-('Valve Sizing'!$V$4*'Valve Sizing'!$G$7))</f>
        <v>-20.816532780807638</v>
      </c>
      <c r="AH1842" s="41"/>
      <c r="AI1842" s="73"/>
      <c r="AJ1842" s="53">
        <f>(AJ$29/AJ$27)^2*(AJ1839-('Valve Sizing'!$V$4*'Valve Sizing'!$G$7))</f>
        <v>-58.798699110763039</v>
      </c>
      <c r="AK1842" s="41"/>
      <c r="AL1842" s="73"/>
      <c r="AM1842" s="53">
        <f>(AM$29/AM$27)^2*(AM1839-('Valve Sizing'!$V$4*'Valve Sizing'!$G$7))</f>
        <v>-85.633409898331749</v>
      </c>
      <c r="AN1842" s="41"/>
      <c r="AO1842" s="73"/>
      <c r="AP1842" s="53">
        <f>(AP$29/AP$27)^2*(AP1839-('Valve Sizing'!$V$4*'Valve Sizing'!$G$7))</f>
        <v>-102.94755727397404</v>
      </c>
      <c r="AQ1842" s="41"/>
      <c r="AR1842" s="73"/>
      <c r="AS1842" s="53">
        <f>(AS$29/AS$27)^2*(AS1839-('Valve Sizing'!$V$4*'Valve Sizing'!$G$7))</f>
        <v>-133.36920464625337</v>
      </c>
      <c r="AT1842" s="41"/>
      <c r="AU1842" s="73"/>
    </row>
    <row r="1843" spans="15:47" ht="13" x14ac:dyDescent="0.25">
      <c r="O1843" s="1" t="s">
        <v>69</v>
      </c>
      <c r="P1843" s="17">
        <v>7</v>
      </c>
      <c r="Q1843" s="65"/>
      <c r="R1843" s="53">
        <f>(R1837/(N_1*F_P_h))*SQRT('Valve Sizing'!$G$6/R1841)</f>
        <v>3.6255119487862149</v>
      </c>
      <c r="S1843" s="58"/>
      <c r="T1843" s="73"/>
      <c r="U1843" s="64">
        <f>(U1837/(N_1*U$27))*SQRT('Valve Sizing'!$G$6/U1841)</f>
        <v>25.800904575295476</v>
      </c>
      <c r="V1843" s="41"/>
      <c r="W1843" s="73"/>
      <c r="X1843" s="64">
        <f>(X1837/(N_1*X$27))*SQRT('Valve Sizing'!$G$6/X1841)</f>
        <v>66.48052770180368</v>
      </c>
      <c r="Y1843" s="41"/>
      <c r="Z1843" s="73"/>
      <c r="AA1843" s="64">
        <f>(AA1837/(N_1*AA$27))*SQRT('Valve Sizing'!$G$6/AA1841)</f>
        <v>175.52250800580322</v>
      </c>
      <c r="AB1843" s="41"/>
      <c r="AC1843" s="73"/>
      <c r="AD1843" s="64" t="e">
        <f>(AD1837/(N_1*AD$27))*SQRT('Valve Sizing'!$G$6/AD1841)</f>
        <v>#NUM!</v>
      </c>
      <c r="AE1843" s="41"/>
      <c r="AF1843" s="73"/>
      <c r="AG1843" s="64" t="e">
        <f>(AG1837/(N_1*AG$27))*SQRT('Valve Sizing'!$G$6/AG1841)</f>
        <v>#NUM!</v>
      </c>
      <c r="AH1843" s="41"/>
      <c r="AI1843" s="73"/>
      <c r="AJ1843" s="64" t="e">
        <f>(AJ1837/(N_1*AJ$27))*SQRT('Valve Sizing'!$G$6/AJ1841)</f>
        <v>#NUM!</v>
      </c>
      <c r="AK1843" s="41"/>
      <c r="AL1843" s="73"/>
      <c r="AM1843" s="64" t="e">
        <f>(AM1837/(N_1*AM$27))*SQRT('Valve Sizing'!$G$6/AM1841)</f>
        <v>#NUM!</v>
      </c>
      <c r="AN1843" s="41"/>
      <c r="AO1843" s="73"/>
      <c r="AP1843" s="64" t="e">
        <f>(AP1837/(N_1*AP$27))*SQRT('Valve Sizing'!$G$6/AP1841)</f>
        <v>#NUM!</v>
      </c>
      <c r="AQ1843" s="41"/>
      <c r="AR1843" s="73"/>
      <c r="AS1843" s="64" t="e">
        <f>(AS1837/(N_1*AS$27))*SQRT('Valve Sizing'!$G$6/AS1841)</f>
        <v>#NUM!</v>
      </c>
      <c r="AT1843" s="41"/>
      <c r="AU1843" s="73"/>
    </row>
    <row r="1844" spans="15:47" ht="13" x14ac:dyDescent="0.3">
      <c r="O1844" s="1" t="s">
        <v>72</v>
      </c>
      <c r="P1844" s="17">
        <v>7</v>
      </c>
      <c r="Q1844" s="65"/>
      <c r="R1844" s="53">
        <f>(R1837/(N_1*F_P_h))*SQRT('Valve Sizing'!$G$6/R1842)</f>
        <v>3.0107554421994256</v>
      </c>
      <c r="S1844" s="56"/>
      <c r="T1844" s="72"/>
      <c r="U1844" s="85">
        <f>(U1837/(N_1*U$27))*SQRT('Valve Sizing'!$G$6/U1842)</f>
        <v>21.28225992888515</v>
      </c>
      <c r="V1844" s="44"/>
      <c r="W1844" s="72"/>
      <c r="X1844" s="85">
        <f>(X1837/(N_1*X$27))*SQRT('Valve Sizing'!$G$6/X1842)</f>
        <v>53.4206690035329</v>
      </c>
      <c r="Y1844" s="44"/>
      <c r="Z1844" s="72"/>
      <c r="AA1844" s="85">
        <f>(AA1837/(N_1*AA$27))*SQRT('Valve Sizing'!$G$6/AA1842)</f>
        <v>117.73451221856978</v>
      </c>
      <c r="AB1844" s="44"/>
      <c r="AC1844" s="72"/>
      <c r="AD1844" s="85">
        <f>(AD1837/(N_1*AD$27))*SQRT('Valve Sizing'!$G$6/AD1842)</f>
        <v>323.32526900624532</v>
      </c>
      <c r="AE1844" s="44"/>
      <c r="AF1844" s="72"/>
      <c r="AG1844" s="85" t="e">
        <f>(AG1837/(N_1*AG$27))*SQRT('Valve Sizing'!$G$6/AG1842)</f>
        <v>#NUM!</v>
      </c>
      <c r="AH1844" s="44"/>
      <c r="AI1844" s="72"/>
      <c r="AJ1844" s="85" t="e">
        <f>(AJ1837/(N_1*AJ$27))*SQRT('Valve Sizing'!$G$6/AJ1842)</f>
        <v>#NUM!</v>
      </c>
      <c r="AK1844" s="44"/>
      <c r="AL1844" s="72"/>
      <c r="AM1844" s="85" t="e">
        <f>(AM1837/(N_1*AM$27))*SQRT('Valve Sizing'!$G$6/AM1842)</f>
        <v>#NUM!</v>
      </c>
      <c r="AN1844" s="44"/>
      <c r="AO1844" s="72"/>
      <c r="AP1844" s="85" t="e">
        <f>(AP1837/(N_1*AP$27))*SQRT('Valve Sizing'!$G$6/AP1842)</f>
        <v>#NUM!</v>
      </c>
      <c r="AQ1844" s="44"/>
      <c r="AR1844" s="72"/>
      <c r="AS1844" s="85" t="e">
        <f>(AS1837/(N_1*AS$27))*SQRT('Valve Sizing'!$G$6/AS1842)</f>
        <v>#NUM!</v>
      </c>
      <c r="AT1844" s="44"/>
      <c r="AU1844" s="72"/>
    </row>
    <row r="1845" spans="15:47" x14ac:dyDescent="0.25">
      <c r="O1845" s="1" t="s">
        <v>246</v>
      </c>
      <c r="P1845" s="18"/>
      <c r="Q1845" s="65"/>
      <c r="R1845" s="53">
        <f>IF(R1841&lt;R1842,R1843,R1844)</f>
        <v>3.6255119487862149</v>
      </c>
      <c r="S1845" s="49"/>
      <c r="T1845" s="72"/>
      <c r="U1845" s="64">
        <f>IF(U1841&lt;U1842,U1843,U1844)</f>
        <v>25.800904575295476</v>
      </c>
      <c r="V1845" s="44"/>
      <c r="W1845" s="72"/>
      <c r="X1845" s="64">
        <f>IF(X1841&lt;X1842,X1843,X1844)</f>
        <v>66.48052770180368</v>
      </c>
      <c r="Y1845" s="44"/>
      <c r="Z1845" s="72"/>
      <c r="AA1845" s="64">
        <f>IF(AA1841&lt;AA1842,AA1843,AA1844)</f>
        <v>175.52250800580322</v>
      </c>
      <c r="AB1845" s="44"/>
      <c r="AC1845" s="72"/>
      <c r="AD1845" s="64" t="e">
        <f>IF(AD1841&lt;AD1842,AD1843,AD1844)</f>
        <v>#NUM!</v>
      </c>
      <c r="AE1845" s="44"/>
      <c r="AF1845" s="72"/>
      <c r="AG1845" s="64" t="e">
        <f>IF(AG1841&lt;AG1842,AG1843,AG1844)</f>
        <v>#NUM!</v>
      </c>
      <c r="AH1845" s="44"/>
      <c r="AI1845" s="72"/>
      <c r="AJ1845" s="64" t="e">
        <f>IF(AJ1841&lt;AJ1842,AJ1843,AJ1844)</f>
        <v>#NUM!</v>
      </c>
      <c r="AK1845" s="44"/>
      <c r="AL1845" s="72"/>
      <c r="AM1845" s="64" t="e">
        <f>IF(AM1841&lt;AM1842,AM1843,AM1844)</f>
        <v>#NUM!</v>
      </c>
      <c r="AN1845" s="44"/>
      <c r="AO1845" s="72"/>
      <c r="AP1845" s="64" t="e">
        <f>IF(AP1841&lt;AP1842,AP1843,AP1844)</f>
        <v>#NUM!</v>
      </c>
      <c r="AQ1845" s="44"/>
      <c r="AR1845" s="72"/>
      <c r="AS1845" s="64" t="e">
        <f>IF(AS1841&lt;AS1842,AS1843,AS1844)</f>
        <v>#NUM!</v>
      </c>
      <c r="AT1845" s="44"/>
      <c r="AU1845" s="72"/>
    </row>
    <row r="1846" spans="15:47" ht="13" x14ac:dyDescent="0.3">
      <c r="O1846" s="7" t="s">
        <v>264</v>
      </c>
      <c r="Q1846" s="61"/>
      <c r="R1846" s="53"/>
      <c r="S1846" s="69">
        <f>IFERROR(ABS(C_h-R1845),Q_max*10)</f>
        <v>1.3744880512137851</v>
      </c>
      <c r="T1846" s="76">
        <f>R1837</f>
        <v>20.583449391124244</v>
      </c>
      <c r="U1846" s="61"/>
      <c r="V1846" s="69">
        <f>IFERROR(ABS(U$23-U1845),Q_max*10)</f>
        <v>13.800904575295476</v>
      </c>
      <c r="W1846" s="75">
        <f>U1837</f>
        <v>144.48614519002402</v>
      </c>
      <c r="X1846" s="61"/>
      <c r="Y1846" s="69">
        <f>IFERROR(ABS(X$23-X1845),Q_max*10)</f>
        <v>43.48052770180368</v>
      </c>
      <c r="Z1846" s="75">
        <f>X1837</f>
        <v>346.82236657807812</v>
      </c>
      <c r="AA1846" s="61"/>
      <c r="AB1846" s="69">
        <f>IFERROR(ABS(AA$23-AA1845),Q_max*10)</f>
        <v>136.52250800580322</v>
      </c>
      <c r="AC1846" s="75">
        <f>AA1837</f>
        <v>662.21100409350231</v>
      </c>
      <c r="AD1846" s="61"/>
      <c r="AE1846" s="69">
        <f>IFERROR(ABS(AD$23-AD1845),Q_max*10)</f>
        <v>5500</v>
      </c>
      <c r="AF1846" s="75">
        <f>AD1837</f>
        <v>1089.0932901073634</v>
      </c>
      <c r="AG1846" s="61"/>
      <c r="AH1846" s="69">
        <f>IFERROR(ABS(AG$23-AG1845),Q_max*10)</f>
        <v>5500</v>
      </c>
      <c r="AI1846" s="75">
        <f>AG1837</f>
        <v>1621.5115021351285</v>
      </c>
      <c r="AJ1846" s="61"/>
      <c r="AK1846" s="69">
        <f>IFERROR(ABS(AJ$23-AJ1845),Q_max*10)</f>
        <v>5500</v>
      </c>
      <c r="AL1846" s="75">
        <f>AJ1837</f>
        <v>2163.9133854976867</v>
      </c>
      <c r="AM1846" s="61"/>
      <c r="AN1846" s="69">
        <f>IFERROR(ABS(AM$23-AM1845),Q_max*10)</f>
        <v>5500</v>
      </c>
      <c r="AO1846" s="75">
        <f>AM1837</f>
        <v>2640.3855602943627</v>
      </c>
      <c r="AP1846" s="61"/>
      <c r="AQ1846" s="69">
        <f>IFERROR(ABS(AP$23-AP1845),Q_max*10)</f>
        <v>5500</v>
      </c>
      <c r="AR1846" s="75">
        <f>AP1837</f>
        <v>3065.405665708975</v>
      </c>
      <c r="AS1846" s="61"/>
      <c r="AT1846" s="69">
        <f>IFERROR(ABS(AS$23-AS1845),Q_max*10)</f>
        <v>5500</v>
      </c>
      <c r="AU1846" s="75">
        <f>AS1837</f>
        <v>3488.7175899455192</v>
      </c>
    </row>
    <row r="1847" spans="15:47" ht="14.5" x14ac:dyDescent="0.35">
      <c r="O1847" s="6"/>
      <c r="P1847" s="6"/>
      <c r="Q1847" s="60"/>
      <c r="R1847" s="67"/>
      <c r="S1847" s="56"/>
      <c r="T1847" s="72"/>
      <c r="V1847" s="11"/>
      <c r="W1847" s="38"/>
      <c r="Y1847" s="11"/>
      <c r="Z1847" s="38"/>
      <c r="AB1847" s="11"/>
      <c r="AC1847" s="38"/>
      <c r="AE1847" s="11"/>
      <c r="AF1847" s="38"/>
      <c r="AH1847" s="11"/>
      <c r="AI1847" s="38"/>
      <c r="AK1847" s="11"/>
      <c r="AL1847" s="38"/>
      <c r="AN1847" s="11"/>
      <c r="AO1847" s="38"/>
      <c r="AQ1847" s="11"/>
      <c r="AR1847" s="38"/>
      <c r="AT1847" s="11"/>
      <c r="AU1847" s="38"/>
    </row>
    <row r="1848" spans="15:47" ht="14" x14ac:dyDescent="0.3">
      <c r="O1848" s="8" t="s">
        <v>235</v>
      </c>
      <c r="P1848" s="6"/>
      <c r="Q1848" s="60"/>
      <c r="R1848" s="53">
        <f>R1837*1.02</f>
        <v>20.995118378946728</v>
      </c>
      <c r="S1848" s="58" t="s">
        <v>238</v>
      </c>
      <c r="T1848" s="73" t="s">
        <v>241</v>
      </c>
      <c r="U1848" s="84">
        <f>U1837*1.01</f>
        <v>145.93100664192426</v>
      </c>
      <c r="V1848" s="58" t="s">
        <v>238</v>
      </c>
      <c r="W1848" s="73" t="s">
        <v>241</v>
      </c>
      <c r="X1848" s="84">
        <f>X1837*1.01</f>
        <v>350.2905902438589</v>
      </c>
      <c r="Y1848" s="58" t="s">
        <v>238</v>
      </c>
      <c r="Z1848" s="73" t="s">
        <v>241</v>
      </c>
      <c r="AA1848" s="84">
        <f>AA1837*1.01</f>
        <v>668.83311413443732</v>
      </c>
      <c r="AB1848" s="58" t="s">
        <v>238</v>
      </c>
      <c r="AC1848" s="73" t="s">
        <v>241</v>
      </c>
      <c r="AD1848" s="84">
        <f>AD1837*1.01</f>
        <v>1099.9842230084371</v>
      </c>
      <c r="AE1848" s="58" t="s">
        <v>238</v>
      </c>
      <c r="AF1848" s="73" t="s">
        <v>241</v>
      </c>
      <c r="AG1848" s="84">
        <f>AG1837*1.01</f>
        <v>1637.7266171564797</v>
      </c>
      <c r="AH1848" s="58" t="s">
        <v>238</v>
      </c>
      <c r="AI1848" s="73" t="s">
        <v>241</v>
      </c>
      <c r="AJ1848" s="84">
        <f>AJ1837*1.01</f>
        <v>2185.5525193526637</v>
      </c>
      <c r="AK1848" s="58" t="s">
        <v>238</v>
      </c>
      <c r="AL1848" s="73" t="s">
        <v>241</v>
      </c>
      <c r="AM1848" s="84">
        <f>AM1837*1.01</f>
        <v>2666.7894158973063</v>
      </c>
      <c r="AN1848" s="58" t="s">
        <v>238</v>
      </c>
      <c r="AO1848" s="73" t="s">
        <v>241</v>
      </c>
      <c r="AP1848" s="84">
        <f>AP1837*1.01</f>
        <v>3096.0597223660648</v>
      </c>
      <c r="AQ1848" s="58" t="s">
        <v>238</v>
      </c>
      <c r="AR1848" s="73" t="s">
        <v>241</v>
      </c>
      <c r="AS1848" s="84">
        <f>AS1837*1.01</f>
        <v>3523.6047658449743</v>
      </c>
      <c r="AT1848" s="58" t="s">
        <v>238</v>
      </c>
      <c r="AU1848" s="73" t="s">
        <v>241</v>
      </c>
    </row>
    <row r="1849" spans="15:47" ht="13" x14ac:dyDescent="0.25">
      <c r="O1849" s="6"/>
      <c r="P1849" s="6"/>
      <c r="Q1849" s="60"/>
      <c r="R1849" s="70"/>
      <c r="S1849" s="63" t="s">
        <v>250</v>
      </c>
      <c r="T1849" s="71" t="s">
        <v>242</v>
      </c>
      <c r="U1849" s="61"/>
      <c r="V1849" s="63" t="s">
        <v>250</v>
      </c>
      <c r="W1849" s="71" t="s">
        <v>242</v>
      </c>
      <c r="X1849" s="61"/>
      <c r="Y1849" s="63" t="s">
        <v>250</v>
      </c>
      <c r="Z1849" s="71" t="s">
        <v>242</v>
      </c>
      <c r="AA1849" s="61"/>
      <c r="AB1849" s="63" t="s">
        <v>250</v>
      </c>
      <c r="AC1849" s="71" t="s">
        <v>242</v>
      </c>
      <c r="AD1849" s="61"/>
      <c r="AE1849" s="63" t="s">
        <v>250</v>
      </c>
      <c r="AF1849" s="71" t="s">
        <v>242</v>
      </c>
      <c r="AG1849" s="61"/>
      <c r="AH1849" s="63" t="s">
        <v>250</v>
      </c>
      <c r="AI1849" s="71" t="s">
        <v>242</v>
      </c>
      <c r="AJ1849" s="61"/>
      <c r="AK1849" s="63" t="s">
        <v>250</v>
      </c>
      <c r="AL1849" s="71" t="s">
        <v>242</v>
      </c>
      <c r="AM1849" s="61"/>
      <c r="AN1849" s="63" t="s">
        <v>250</v>
      </c>
      <c r="AO1849" s="71" t="s">
        <v>242</v>
      </c>
      <c r="AP1849" s="61"/>
      <c r="AQ1849" s="63" t="s">
        <v>250</v>
      </c>
      <c r="AR1849" s="71" t="s">
        <v>242</v>
      </c>
      <c r="AS1849" s="61"/>
      <c r="AT1849" s="63" t="s">
        <v>250</v>
      </c>
      <c r="AU1849" s="71" t="s">
        <v>242</v>
      </c>
    </row>
    <row r="1850" spans="15:47" ht="13" x14ac:dyDescent="0.3">
      <c r="O1850" s="6" t="s">
        <v>231</v>
      </c>
      <c r="P1850" s="6"/>
      <c r="Q1850" s="60"/>
      <c r="R1850" s="85">
        <f>P_1_minQ-(R1848^2*R_up)+dpup_minQ</f>
        <v>56.901256501325705</v>
      </c>
      <c r="S1850" s="56"/>
      <c r="T1850" s="72"/>
      <c r="U1850" s="53">
        <f>P_1_minQ-(U1848^2*R_up)+dpup_minQ</f>
        <v>56.196931486000494</v>
      </c>
      <c r="V1850" s="44"/>
      <c r="W1850" s="72"/>
      <c r="X1850" s="53">
        <f>P_1_minQ-(X1848^2*R_up)+dpup_minQ</f>
        <v>52.772154758075274</v>
      </c>
      <c r="Y1850" s="44"/>
      <c r="Z1850" s="72"/>
      <c r="AA1850" s="53">
        <f>P_1_minQ-(AA1848^2*R_up)+dpup_minQ</f>
        <v>41.808485830369158</v>
      </c>
      <c r="AB1850" s="44"/>
      <c r="AC1850" s="72"/>
      <c r="AD1850" s="53">
        <f>P_1_minQ-(AD1848^2*R_up)+dpup_minQ</f>
        <v>16.052742625211916</v>
      </c>
      <c r="AE1850" s="44"/>
      <c r="AF1850" s="72"/>
      <c r="AG1850" s="53">
        <f>P_1_minQ-(AG1848^2*R_up)+dpup_minQ</f>
        <v>-33.666378674191371</v>
      </c>
      <c r="AH1850" s="44"/>
      <c r="AI1850" s="72"/>
      <c r="AJ1850" s="53">
        <f>P_1_minQ-(AJ1848^2*R_up)+dpup_minQ</f>
        <v>-104.4023240408232</v>
      </c>
      <c r="AK1850" s="44"/>
      <c r="AL1850" s="72"/>
      <c r="AM1850" s="53">
        <f>P_1_minQ-(AM1848^2*R_up)+dpup_minQ</f>
        <v>-183.26507223039167</v>
      </c>
      <c r="AN1850" s="44"/>
      <c r="AO1850" s="72"/>
      <c r="AP1850" s="53">
        <f>P_1_minQ-(AP1848^2*R_up)+dpup_minQ</f>
        <v>-266.81184749940678</v>
      </c>
      <c r="AQ1850" s="44"/>
      <c r="AR1850" s="72"/>
      <c r="AS1850" s="53">
        <f>P_1_minQ-(AS1848^2*R_up)+dpup_minQ</f>
        <v>-362.39458108360071</v>
      </c>
      <c r="AT1850" s="44"/>
      <c r="AU1850" s="72"/>
    </row>
    <row r="1851" spans="15:47" ht="13" x14ac:dyDescent="0.3">
      <c r="O1851" s="6" t="s">
        <v>233</v>
      </c>
      <c r="P1851" s="6"/>
      <c r="Q1851" s="60"/>
      <c r="R1851" s="85">
        <f>P_2_minQ+(R1848^2*R_dn)-dpdn_minQ</f>
        <v>24.659748699734862</v>
      </c>
      <c r="S1851" s="66"/>
      <c r="T1851" s="74"/>
      <c r="U1851" s="53">
        <f>P_2_minQ+(U1848^2*R_dn)-dpdn_minQ</f>
        <v>24.800613702799904</v>
      </c>
      <c r="V1851" s="45"/>
      <c r="W1851" s="74"/>
      <c r="X1851" s="53">
        <f>P_2_minQ+(X1848^2*R_dn)-dpdn_minQ</f>
        <v>25.485569048384946</v>
      </c>
      <c r="Y1851" s="45"/>
      <c r="Z1851" s="74"/>
      <c r="AA1851" s="53">
        <f>P_2_minQ+(AA1848^2*R_dn)-dpdn_minQ</f>
        <v>27.678302833926171</v>
      </c>
      <c r="AB1851" s="45"/>
      <c r="AC1851" s="74"/>
      <c r="AD1851" s="53">
        <f>P_2_minQ+(AD1848^2*R_dn)-dpdn_minQ</f>
        <v>32.829451474957622</v>
      </c>
      <c r="AE1851" s="45"/>
      <c r="AF1851" s="74"/>
      <c r="AG1851" s="53">
        <f>P_2_minQ+(AG1848^2*R_dn)-dpdn_minQ</f>
        <v>42.773275734838279</v>
      </c>
      <c r="AH1851" s="45"/>
      <c r="AI1851" s="74"/>
      <c r="AJ1851" s="53">
        <f>P_2_minQ+(AJ1848^2*R_dn)-dpdn_minQ</f>
        <v>56.920464808164645</v>
      </c>
      <c r="AK1851" s="45"/>
      <c r="AL1851" s="74"/>
      <c r="AM1851" s="53">
        <f>P_2_minQ+(AM1848^2*R_dn)-dpdn_minQ</f>
        <v>72.693014446078337</v>
      </c>
      <c r="AN1851" s="45"/>
      <c r="AO1851" s="74"/>
      <c r="AP1851" s="53">
        <f>P_2_minQ+(AP1848^2*R_dn)-dpdn_minQ</f>
        <v>89.402369499881345</v>
      </c>
      <c r="AQ1851" s="45"/>
      <c r="AR1851" s="74"/>
      <c r="AS1851" s="53">
        <f>P_2_minQ+(AS1848^2*R_dn)-dpdn_minQ</f>
        <v>108.51891621672013</v>
      </c>
      <c r="AT1851" s="45"/>
      <c r="AU1851" s="74"/>
    </row>
    <row r="1852" spans="15:47" x14ac:dyDescent="0.25">
      <c r="O1852" s="6" t="s">
        <v>243</v>
      </c>
      <c r="Q1852" s="60"/>
      <c r="R1852" s="53">
        <f>R1850-R1851</f>
        <v>32.241507801590842</v>
      </c>
      <c r="S1852" s="56"/>
      <c r="T1852" s="72"/>
      <c r="U1852" s="64">
        <f>U1850-U1851</f>
        <v>31.39631778320059</v>
      </c>
      <c r="V1852" s="44"/>
      <c r="W1852" s="72"/>
      <c r="X1852" s="64">
        <f>X1850-X1851</f>
        <v>27.286585709690328</v>
      </c>
      <c r="Y1852" s="44"/>
      <c r="Z1852" s="72"/>
      <c r="AA1852" s="64">
        <f>AA1850-AA1851</f>
        <v>14.130182996442986</v>
      </c>
      <c r="AB1852" s="44"/>
      <c r="AC1852" s="72"/>
      <c r="AD1852" s="64">
        <f>AD1850-AD1851</f>
        <v>-16.776708849745706</v>
      </c>
      <c r="AE1852" s="44"/>
      <c r="AF1852" s="72"/>
      <c r="AG1852" s="64">
        <f>AG1850-AG1851</f>
        <v>-76.439654409029657</v>
      </c>
      <c r="AH1852" s="44"/>
      <c r="AI1852" s="72"/>
      <c r="AJ1852" s="64">
        <f>AJ1850-AJ1851</f>
        <v>-161.32278884898784</v>
      </c>
      <c r="AK1852" s="44"/>
      <c r="AL1852" s="72"/>
      <c r="AM1852" s="64">
        <f>AM1850-AM1851</f>
        <v>-255.95808667647</v>
      </c>
      <c r="AN1852" s="44"/>
      <c r="AO1852" s="72"/>
      <c r="AP1852" s="64">
        <f>AP1850-AP1851</f>
        <v>-356.21421699928811</v>
      </c>
      <c r="AQ1852" s="44"/>
      <c r="AR1852" s="72"/>
      <c r="AS1852" s="64">
        <f>AS1850-AS1851</f>
        <v>-470.91349730032084</v>
      </c>
      <c r="AT1852" s="44"/>
      <c r="AU1852" s="72"/>
    </row>
    <row r="1853" spans="15:47" ht="13" x14ac:dyDescent="0.3">
      <c r="O1853" s="6" t="s">
        <v>75</v>
      </c>
      <c r="P1853" s="6">
        <v>3</v>
      </c>
      <c r="Q1853" s="65"/>
      <c r="R1853" s="85">
        <f>(F_LP_h/F_P_h)^2*(R1850-('Valve Sizing'!$V$4*'Valve Sizing'!$G$7))</f>
        <v>46.752836278063761</v>
      </c>
      <c r="S1853" s="58"/>
      <c r="T1853" s="73"/>
      <c r="U1853" s="53">
        <f>(U$29/U$27)^2*(U1850-('Valve Sizing'!$V$4*'Valve Sizing'!$G$7))</f>
        <v>46.157034264801503</v>
      </c>
      <c r="V1853" s="41"/>
      <c r="W1853" s="73"/>
      <c r="X1853" s="53">
        <f>(X$29/X$27)^2*(X1850-('Valve Sizing'!$V$4*'Valve Sizing'!$G$7))</f>
        <v>42.344702917754994</v>
      </c>
      <c r="Y1853" s="41"/>
      <c r="Z1853" s="73"/>
      <c r="AA1853" s="53">
        <f>(AA$29/AA$27)^2*(AA1850-('Valve Sizing'!$V$4*'Valve Sizing'!$G$7))</f>
        <v>31.969406334892383</v>
      </c>
      <c r="AB1853" s="41"/>
      <c r="AC1853" s="73"/>
      <c r="AD1853" s="53">
        <f>(AD$29/AD$27)^2*(AD1850-('Valve Sizing'!$V$4*'Valve Sizing'!$G$7))</f>
        <v>11.259671782650333</v>
      </c>
      <c r="AE1853" s="41"/>
      <c r="AF1853" s="73"/>
      <c r="AG1853" s="53">
        <f>(AG$29/AG$27)^2*(AG1850-('Valve Sizing'!$V$4*'Valve Sizing'!$G$7))</f>
        <v>-21.966044023218007</v>
      </c>
      <c r="AH1853" s="41"/>
      <c r="AI1853" s="73"/>
      <c r="AJ1853" s="53">
        <f>(AJ$29/AJ$27)^2*(AJ1850-('Valve Sizing'!$V$4*'Valve Sizing'!$G$7))</f>
        <v>-60.637094411596443</v>
      </c>
      <c r="AK1853" s="41"/>
      <c r="AL1853" s="73"/>
      <c r="AM1853" s="53">
        <f>(AM$29/AM$27)^2*(AM1850-('Valve Sizing'!$V$4*'Valve Sizing'!$G$7))</f>
        <v>-87.897788341208553</v>
      </c>
      <c r="AN1853" s="41"/>
      <c r="AO1853" s="73"/>
      <c r="AP1853" s="53">
        <f>(AP$29/AP$27)^2*(AP1850-('Valve Sizing'!$V$4*'Valve Sizing'!$G$7))</f>
        <v>-105.46477144208039</v>
      </c>
      <c r="AQ1853" s="41"/>
      <c r="AR1853" s="73"/>
      <c r="AS1853" s="53">
        <f>(AS$29/AS$27)^2*(AS1850-('Valve Sizing'!$V$4*'Valve Sizing'!$G$7))</f>
        <v>-136.4769091487606</v>
      </c>
      <c r="AT1853" s="41"/>
      <c r="AU1853" s="73"/>
    </row>
    <row r="1854" spans="15:47" ht="13" x14ac:dyDescent="0.25">
      <c r="O1854" s="1" t="s">
        <v>69</v>
      </c>
      <c r="P1854" s="17">
        <v>7</v>
      </c>
      <c r="Q1854" s="65"/>
      <c r="R1854" s="53">
        <f>(R1848/(N_1*F_P_h))*SQRT('Valve Sizing'!$G$6/R1852)</f>
        <v>3.6980619693716976</v>
      </c>
      <c r="S1854" s="58"/>
      <c r="T1854" s="73"/>
      <c r="U1854" s="64">
        <f>(U1848/(N_1*U$27))*SQRT('Valve Sizing'!$G$6/U1852)</f>
        <v>26.065969970875852</v>
      </c>
      <c r="V1854" s="41"/>
      <c r="W1854" s="73"/>
      <c r="X1854" s="64">
        <f>(X1848/(N_1*X$27))*SQRT('Valve Sizing'!$G$6/X1852)</f>
        <v>67.265781196058015</v>
      </c>
      <c r="Y1854" s="41"/>
      <c r="Z1854" s="73"/>
      <c r="AA1854" s="64">
        <f>(AA1848/(N_1*AA$27))*SQRT('Valve Sizing'!$G$6/AA1852)</f>
        <v>179.50457284775507</v>
      </c>
      <c r="AB1854" s="41"/>
      <c r="AC1854" s="73"/>
      <c r="AD1854" s="64" t="e">
        <f>(AD1848/(N_1*AD$27))*SQRT('Valve Sizing'!$G$6/AD1852)</f>
        <v>#NUM!</v>
      </c>
      <c r="AE1854" s="41"/>
      <c r="AF1854" s="73"/>
      <c r="AG1854" s="64" t="e">
        <f>(AG1848/(N_1*AG$27))*SQRT('Valve Sizing'!$G$6/AG1852)</f>
        <v>#NUM!</v>
      </c>
      <c r="AH1854" s="41"/>
      <c r="AI1854" s="73"/>
      <c r="AJ1854" s="64" t="e">
        <f>(AJ1848/(N_1*AJ$27))*SQRT('Valve Sizing'!$G$6/AJ1852)</f>
        <v>#NUM!</v>
      </c>
      <c r="AK1854" s="41"/>
      <c r="AL1854" s="73"/>
      <c r="AM1854" s="64" t="e">
        <f>(AM1848/(N_1*AM$27))*SQRT('Valve Sizing'!$G$6/AM1852)</f>
        <v>#NUM!</v>
      </c>
      <c r="AN1854" s="41"/>
      <c r="AO1854" s="73"/>
      <c r="AP1854" s="64" t="e">
        <f>(AP1848/(N_1*AP$27))*SQRT('Valve Sizing'!$G$6/AP1852)</f>
        <v>#NUM!</v>
      </c>
      <c r="AQ1854" s="41"/>
      <c r="AR1854" s="73"/>
      <c r="AS1854" s="64" t="e">
        <f>(AS1848/(N_1*AS$27))*SQRT('Valve Sizing'!$G$6/AS1852)</f>
        <v>#NUM!</v>
      </c>
      <c r="AT1854" s="41"/>
      <c r="AU1854" s="73"/>
    </row>
    <row r="1855" spans="15:47" ht="13" x14ac:dyDescent="0.3">
      <c r="O1855" s="1" t="s">
        <v>72</v>
      </c>
      <c r="P1855" s="17">
        <v>7</v>
      </c>
      <c r="Q1855" s="65"/>
      <c r="R1855" s="53">
        <f>(R1848/(N_1*F_P_h))*SQRT('Valve Sizing'!$G$6/R1853)</f>
        <v>3.0709862718099767</v>
      </c>
      <c r="S1855" s="56"/>
      <c r="T1855" s="72"/>
      <c r="U1855" s="85">
        <f>(U1848/(N_1*U$27))*SQRT('Valve Sizing'!$G$6/U1853)</f>
        <v>21.49781397765058</v>
      </c>
      <c r="V1855" s="44"/>
      <c r="W1855" s="72"/>
      <c r="X1855" s="85">
        <f>(X1848/(N_1*X$27))*SQRT('Valve Sizing'!$G$6/X1853)</f>
        <v>53.996951756915244</v>
      </c>
      <c r="Y1855" s="44"/>
      <c r="Z1855" s="72"/>
      <c r="AA1855" s="85">
        <f>(AA1848/(N_1*AA$27))*SQRT('Valve Sizing'!$G$6/AA1853)</f>
        <v>119.33892570868666</v>
      </c>
      <c r="AB1855" s="44"/>
      <c r="AC1855" s="72"/>
      <c r="AD1855" s="85">
        <f>(AD1848/(N_1*AD$27))*SQRT('Valve Sizing'!$G$6/AD1853)</f>
        <v>334.87323385914084</v>
      </c>
      <c r="AE1855" s="44"/>
      <c r="AF1855" s="72"/>
      <c r="AG1855" s="85" t="e">
        <f>(AG1848/(N_1*AG$27))*SQRT('Valve Sizing'!$G$6/AG1853)</f>
        <v>#NUM!</v>
      </c>
      <c r="AH1855" s="44"/>
      <c r="AI1855" s="72"/>
      <c r="AJ1855" s="85" t="e">
        <f>(AJ1848/(N_1*AJ$27))*SQRT('Valve Sizing'!$G$6/AJ1853)</f>
        <v>#NUM!</v>
      </c>
      <c r="AK1855" s="44"/>
      <c r="AL1855" s="72"/>
      <c r="AM1855" s="85" t="e">
        <f>(AM1848/(N_1*AM$27))*SQRT('Valve Sizing'!$G$6/AM1853)</f>
        <v>#NUM!</v>
      </c>
      <c r="AN1855" s="44"/>
      <c r="AO1855" s="72"/>
      <c r="AP1855" s="85" t="e">
        <f>(AP1848/(N_1*AP$27))*SQRT('Valve Sizing'!$G$6/AP1853)</f>
        <v>#NUM!</v>
      </c>
      <c r="AQ1855" s="44"/>
      <c r="AR1855" s="72"/>
      <c r="AS1855" s="85" t="e">
        <f>(AS1848/(N_1*AS$27))*SQRT('Valve Sizing'!$G$6/AS1853)</f>
        <v>#NUM!</v>
      </c>
      <c r="AT1855" s="44"/>
      <c r="AU1855" s="72"/>
    </row>
    <row r="1856" spans="15:47" x14ac:dyDescent="0.25">
      <c r="O1856" s="1" t="s">
        <v>246</v>
      </c>
      <c r="P1856" s="18"/>
      <c r="Q1856" s="65"/>
      <c r="R1856" s="53">
        <f>IF(R1852&lt;R1853,R1854,R1855)</f>
        <v>3.6980619693716976</v>
      </c>
      <c r="S1856" s="49"/>
      <c r="T1856" s="72"/>
      <c r="U1856" s="64">
        <f>IF(U1852&lt;U1853,U1854,U1855)</f>
        <v>26.065969970875852</v>
      </c>
      <c r="V1856" s="44"/>
      <c r="W1856" s="72"/>
      <c r="X1856" s="64">
        <f>IF(X1852&lt;X1853,X1854,X1855)</f>
        <v>67.265781196058015</v>
      </c>
      <c r="Y1856" s="44"/>
      <c r="Z1856" s="72"/>
      <c r="AA1856" s="64">
        <f>IF(AA1852&lt;AA1853,AA1854,AA1855)</f>
        <v>179.50457284775507</v>
      </c>
      <c r="AB1856" s="44"/>
      <c r="AC1856" s="72"/>
      <c r="AD1856" s="64" t="e">
        <f>IF(AD1852&lt;AD1853,AD1854,AD1855)</f>
        <v>#NUM!</v>
      </c>
      <c r="AE1856" s="44"/>
      <c r="AF1856" s="72"/>
      <c r="AG1856" s="64" t="e">
        <f>IF(AG1852&lt;AG1853,AG1854,AG1855)</f>
        <v>#NUM!</v>
      </c>
      <c r="AH1856" s="44"/>
      <c r="AI1856" s="72"/>
      <c r="AJ1856" s="64" t="e">
        <f>IF(AJ1852&lt;AJ1853,AJ1854,AJ1855)</f>
        <v>#NUM!</v>
      </c>
      <c r="AK1856" s="44"/>
      <c r="AL1856" s="72"/>
      <c r="AM1856" s="64" t="e">
        <f>IF(AM1852&lt;AM1853,AM1854,AM1855)</f>
        <v>#NUM!</v>
      </c>
      <c r="AN1856" s="44"/>
      <c r="AO1856" s="72"/>
      <c r="AP1856" s="64" t="e">
        <f>IF(AP1852&lt;AP1853,AP1854,AP1855)</f>
        <v>#NUM!</v>
      </c>
      <c r="AQ1856" s="44"/>
      <c r="AR1856" s="72"/>
      <c r="AS1856" s="64" t="e">
        <f>IF(AS1852&lt;AS1853,AS1854,AS1855)</f>
        <v>#NUM!</v>
      </c>
      <c r="AT1856" s="44"/>
      <c r="AU1856" s="72"/>
    </row>
    <row r="1857" spans="15:47" ht="13" x14ac:dyDescent="0.3">
      <c r="O1857" s="7" t="s">
        <v>264</v>
      </c>
      <c r="Q1857" s="61"/>
      <c r="R1857" s="53"/>
      <c r="S1857" s="69">
        <f>IFERROR(ABS(C_h-R1856),Q_max*10)</f>
        <v>1.3019380306283024</v>
      </c>
      <c r="T1857" s="76">
        <f>R1848</f>
        <v>20.995118378946728</v>
      </c>
      <c r="U1857" s="61"/>
      <c r="V1857" s="69">
        <f>IFERROR(ABS(U$23-U1856),Q_max*10)</f>
        <v>14.065969970875852</v>
      </c>
      <c r="W1857" s="75">
        <f>U1848</f>
        <v>145.93100664192426</v>
      </c>
      <c r="X1857" s="61"/>
      <c r="Y1857" s="69">
        <f>IFERROR(ABS(X$23-X1856),Q_max*10)</f>
        <v>44.265781196058015</v>
      </c>
      <c r="Z1857" s="75">
        <f>X1848</f>
        <v>350.2905902438589</v>
      </c>
      <c r="AA1857" s="61"/>
      <c r="AB1857" s="69">
        <f>IFERROR(ABS(AA$23-AA1856),Q_max*10)</f>
        <v>140.50457284775507</v>
      </c>
      <c r="AC1857" s="75">
        <f>AA1848</f>
        <v>668.83311413443732</v>
      </c>
      <c r="AD1857" s="61"/>
      <c r="AE1857" s="69">
        <f>IFERROR(ABS(AD$23-AD1856),Q_max*10)</f>
        <v>5500</v>
      </c>
      <c r="AF1857" s="75">
        <f>AD1848</f>
        <v>1099.9842230084371</v>
      </c>
      <c r="AG1857" s="61"/>
      <c r="AH1857" s="69">
        <f>IFERROR(ABS(AG$23-AG1856),Q_max*10)</f>
        <v>5500</v>
      </c>
      <c r="AI1857" s="75">
        <f>AG1848</f>
        <v>1637.7266171564797</v>
      </c>
      <c r="AJ1857" s="61"/>
      <c r="AK1857" s="69">
        <f>IFERROR(ABS(AJ$23-AJ1856),Q_max*10)</f>
        <v>5500</v>
      </c>
      <c r="AL1857" s="75">
        <f>AJ1848</f>
        <v>2185.5525193526637</v>
      </c>
      <c r="AM1857" s="61"/>
      <c r="AN1857" s="69">
        <f>IFERROR(ABS(AM$23-AM1856),Q_max*10)</f>
        <v>5500</v>
      </c>
      <c r="AO1857" s="75">
        <f>AM1848</f>
        <v>2666.7894158973063</v>
      </c>
      <c r="AP1857" s="61"/>
      <c r="AQ1857" s="69">
        <f>IFERROR(ABS(AP$23-AP1856),Q_max*10)</f>
        <v>5500</v>
      </c>
      <c r="AR1857" s="75">
        <f>AP1848</f>
        <v>3096.0597223660648</v>
      </c>
      <c r="AS1857" s="61"/>
      <c r="AT1857" s="69">
        <f>IFERROR(ABS(AS$23-AS1856),Q_max*10)</f>
        <v>5500</v>
      </c>
      <c r="AU1857" s="75">
        <f>AS1848</f>
        <v>3523.6047658449743</v>
      </c>
    </row>
    <row r="1858" spans="15:47" ht="14.5" x14ac:dyDescent="0.35">
      <c r="O1858" s="6"/>
      <c r="P1858" s="6"/>
      <c r="Q1858" s="60"/>
      <c r="R1858" s="67"/>
      <c r="S1858" s="58"/>
      <c r="T1858" s="73"/>
      <c r="V1858" s="11"/>
      <c r="W1858" s="38"/>
      <c r="Y1858" s="11"/>
      <c r="Z1858" s="38"/>
      <c r="AB1858" s="11"/>
      <c r="AC1858" s="38"/>
      <c r="AE1858" s="11"/>
      <c r="AF1858" s="38"/>
      <c r="AH1858" s="11"/>
      <c r="AI1858" s="38"/>
      <c r="AK1858" s="11"/>
      <c r="AL1858" s="38"/>
      <c r="AN1858" s="11"/>
      <c r="AO1858" s="38"/>
      <c r="AQ1858" s="11"/>
      <c r="AR1858" s="38"/>
      <c r="AT1858" s="11"/>
      <c r="AU1858" s="38"/>
    </row>
    <row r="1859" spans="15:47" ht="14" x14ac:dyDescent="0.3">
      <c r="O1859" s="8" t="s">
        <v>235</v>
      </c>
      <c r="P1859" s="6"/>
      <c r="Q1859" s="60"/>
      <c r="R1859" s="53">
        <f>R1848*1.02</f>
        <v>21.415020746525663</v>
      </c>
      <c r="S1859" s="58" t="s">
        <v>238</v>
      </c>
      <c r="T1859" s="73" t="s">
        <v>241</v>
      </c>
      <c r="U1859" s="84">
        <f>U1848*1.01</f>
        <v>147.39031670834351</v>
      </c>
      <c r="V1859" s="58" t="s">
        <v>238</v>
      </c>
      <c r="W1859" s="73" t="s">
        <v>241</v>
      </c>
      <c r="X1859" s="84">
        <f>X1848*1.01</f>
        <v>353.79349614629751</v>
      </c>
      <c r="Y1859" s="58" t="s">
        <v>238</v>
      </c>
      <c r="Z1859" s="73" t="s">
        <v>241</v>
      </c>
      <c r="AA1859" s="84">
        <f>AA1848*1.01</f>
        <v>675.52144527578173</v>
      </c>
      <c r="AB1859" s="58" t="s">
        <v>238</v>
      </c>
      <c r="AC1859" s="73" t="s">
        <v>241</v>
      </c>
      <c r="AD1859" s="84">
        <f>AD1848*1.01</f>
        <v>1110.9840652385215</v>
      </c>
      <c r="AE1859" s="58" t="s">
        <v>238</v>
      </c>
      <c r="AF1859" s="73" t="s">
        <v>241</v>
      </c>
      <c r="AG1859" s="84">
        <f>AG1848*1.01</f>
        <v>1654.1038833280445</v>
      </c>
      <c r="AH1859" s="58" t="s">
        <v>238</v>
      </c>
      <c r="AI1859" s="73" t="s">
        <v>241</v>
      </c>
      <c r="AJ1859" s="84">
        <f>AJ1848*1.01</f>
        <v>2207.4080445461905</v>
      </c>
      <c r="AK1859" s="58" t="s">
        <v>238</v>
      </c>
      <c r="AL1859" s="73" t="s">
        <v>241</v>
      </c>
      <c r="AM1859" s="84">
        <f>AM1848*1.01</f>
        <v>2693.4573100562793</v>
      </c>
      <c r="AN1859" s="58" t="s">
        <v>238</v>
      </c>
      <c r="AO1859" s="73" t="s">
        <v>241</v>
      </c>
      <c r="AP1859" s="84">
        <f>AP1848*1.01</f>
        <v>3127.0203195897257</v>
      </c>
      <c r="AQ1859" s="58" t="s">
        <v>238</v>
      </c>
      <c r="AR1859" s="73" t="s">
        <v>241</v>
      </c>
      <c r="AS1859" s="84">
        <f>AS1848*1.01</f>
        <v>3558.8408135034242</v>
      </c>
      <c r="AT1859" s="58" t="s">
        <v>238</v>
      </c>
      <c r="AU1859" s="73" t="s">
        <v>241</v>
      </c>
    </row>
    <row r="1860" spans="15:47" ht="13" x14ac:dyDescent="0.25">
      <c r="O1860" s="6"/>
      <c r="P1860" s="6"/>
      <c r="Q1860" s="60"/>
      <c r="R1860" s="70"/>
      <c r="S1860" s="63" t="s">
        <v>250</v>
      </c>
      <c r="T1860" s="71" t="s">
        <v>242</v>
      </c>
      <c r="U1860" s="61"/>
      <c r="V1860" s="63" t="s">
        <v>250</v>
      </c>
      <c r="W1860" s="71" t="s">
        <v>242</v>
      </c>
      <c r="X1860" s="61"/>
      <c r="Y1860" s="63" t="s">
        <v>250</v>
      </c>
      <c r="Z1860" s="71" t="s">
        <v>242</v>
      </c>
      <c r="AA1860" s="61"/>
      <c r="AB1860" s="63" t="s">
        <v>250</v>
      </c>
      <c r="AC1860" s="71" t="s">
        <v>242</v>
      </c>
      <c r="AD1860" s="61"/>
      <c r="AE1860" s="63" t="s">
        <v>250</v>
      </c>
      <c r="AF1860" s="71" t="s">
        <v>242</v>
      </c>
      <c r="AG1860" s="61"/>
      <c r="AH1860" s="63" t="s">
        <v>250</v>
      </c>
      <c r="AI1860" s="71" t="s">
        <v>242</v>
      </c>
      <c r="AJ1860" s="61"/>
      <c r="AK1860" s="63" t="s">
        <v>250</v>
      </c>
      <c r="AL1860" s="71" t="s">
        <v>242</v>
      </c>
      <c r="AM1860" s="61"/>
      <c r="AN1860" s="63" t="s">
        <v>250</v>
      </c>
      <c r="AO1860" s="71" t="s">
        <v>242</v>
      </c>
      <c r="AP1860" s="61"/>
      <c r="AQ1860" s="63" t="s">
        <v>250</v>
      </c>
      <c r="AR1860" s="71" t="s">
        <v>242</v>
      </c>
      <c r="AS1860" s="61"/>
      <c r="AT1860" s="63" t="s">
        <v>250</v>
      </c>
      <c r="AU1860" s="71" t="s">
        <v>242</v>
      </c>
    </row>
    <row r="1861" spans="15:47" ht="13" x14ac:dyDescent="0.3">
      <c r="O1861" s="6" t="s">
        <v>231</v>
      </c>
      <c r="P1861" s="6"/>
      <c r="Q1861" s="60"/>
      <c r="R1861" s="85">
        <f>P_1_minQ-(R1859^2*R_up)+dpup_minQ</f>
        <v>56.900655078906652</v>
      </c>
      <c r="S1861" s="56"/>
      <c r="T1861" s="72"/>
      <c r="U1861" s="53">
        <f>P_1_minQ-(U1859^2*R_up)+dpup_minQ</f>
        <v>56.182475330652288</v>
      </c>
      <c r="V1861" s="44"/>
      <c r="W1861" s="72"/>
      <c r="X1861" s="53">
        <f>P_1_minQ-(X1859^2*R_up)+dpup_minQ</f>
        <v>52.688860590495771</v>
      </c>
      <c r="Y1861" s="44"/>
      <c r="Z1861" s="72"/>
      <c r="AA1861" s="53">
        <f>P_1_minQ-(AA1859^2*R_up)+dpup_minQ</f>
        <v>41.504821917342753</v>
      </c>
      <c r="AB1861" s="44"/>
      <c r="AC1861" s="72"/>
      <c r="AD1861" s="53">
        <f>P_1_minQ-(AD1859^2*R_up)+dpup_minQ</f>
        <v>15.231388273761855</v>
      </c>
      <c r="AE1861" s="44"/>
      <c r="AF1861" s="72"/>
      <c r="AG1861" s="53">
        <f>P_1_minQ-(AG1859^2*R_up)+dpup_minQ</f>
        <v>-35.48708736375945</v>
      </c>
      <c r="AH1861" s="44"/>
      <c r="AI1861" s="72"/>
      <c r="AJ1861" s="53">
        <f>P_1_minQ-(AJ1859^2*R_up)+dpup_minQ</f>
        <v>-107.64482523226062</v>
      </c>
      <c r="AK1861" s="44"/>
      <c r="AL1861" s="72"/>
      <c r="AM1861" s="53">
        <f>P_1_minQ-(AM1859^2*R_up)+dpup_minQ</f>
        <v>-188.09271466043933</v>
      </c>
      <c r="AN1861" s="44"/>
      <c r="AO1861" s="72"/>
      <c r="AP1861" s="53">
        <f>P_1_minQ-(AP1859^2*R_up)+dpup_minQ</f>
        <v>-273.31878011236171</v>
      </c>
      <c r="AQ1861" s="44"/>
      <c r="AR1861" s="72"/>
      <c r="AS1861" s="53">
        <f>P_1_minQ-(AS1859^2*R_up)+dpup_minQ</f>
        <v>-370.82272664159797</v>
      </c>
      <c r="AT1861" s="44"/>
      <c r="AU1861" s="72"/>
    </row>
    <row r="1862" spans="15:47" ht="13" x14ac:dyDescent="0.3">
      <c r="O1862" s="6" t="s">
        <v>233</v>
      </c>
      <c r="P1862" s="6"/>
      <c r="Q1862" s="60"/>
      <c r="R1862" s="85">
        <f>P_2_minQ+(R1859^2*R_dn)-dpdn_minQ</f>
        <v>24.659868984218672</v>
      </c>
      <c r="S1862" s="66"/>
      <c r="T1862" s="74"/>
      <c r="U1862" s="53">
        <f>P_2_minQ+(U1859^2*R_dn)-dpdn_minQ</f>
        <v>24.803504933869544</v>
      </c>
      <c r="V1862" s="45"/>
      <c r="W1862" s="74"/>
      <c r="X1862" s="53">
        <f>P_2_minQ+(X1859^2*R_dn)-dpdn_minQ</f>
        <v>25.502227881900847</v>
      </c>
      <c r="Y1862" s="45"/>
      <c r="Z1862" s="74"/>
      <c r="AA1862" s="53">
        <f>P_2_minQ+(AA1859^2*R_dn)-dpdn_minQ</f>
        <v>27.739035616531449</v>
      </c>
      <c r="AB1862" s="45"/>
      <c r="AC1862" s="74"/>
      <c r="AD1862" s="53">
        <f>P_2_minQ+(AD1859^2*R_dn)-dpdn_minQ</f>
        <v>32.993722345247633</v>
      </c>
      <c r="AE1862" s="45"/>
      <c r="AF1862" s="74"/>
      <c r="AG1862" s="53">
        <f>P_2_minQ+(AG1859^2*R_dn)-dpdn_minQ</f>
        <v>43.137417472751892</v>
      </c>
      <c r="AH1862" s="45"/>
      <c r="AI1862" s="74"/>
      <c r="AJ1862" s="53">
        <f>P_2_minQ+(AJ1859^2*R_dn)-dpdn_minQ</f>
        <v>57.568965046452128</v>
      </c>
      <c r="AK1862" s="45"/>
      <c r="AL1862" s="74"/>
      <c r="AM1862" s="53">
        <f>P_2_minQ+(AM1859^2*R_dn)-dpdn_minQ</f>
        <v>73.658542932087869</v>
      </c>
      <c r="AN1862" s="45"/>
      <c r="AO1862" s="74"/>
      <c r="AP1862" s="53">
        <f>P_2_minQ+(AP1859^2*R_dn)-dpdn_minQ</f>
        <v>90.703756022472348</v>
      </c>
      <c r="AQ1862" s="45"/>
      <c r="AR1862" s="74"/>
      <c r="AS1862" s="53">
        <f>P_2_minQ+(AS1859^2*R_dn)-dpdn_minQ</f>
        <v>110.2045453283196</v>
      </c>
      <c r="AT1862" s="45"/>
      <c r="AU1862" s="74"/>
    </row>
    <row r="1863" spans="15:47" x14ac:dyDescent="0.25">
      <c r="O1863" s="6" t="s">
        <v>243</v>
      </c>
      <c r="Q1863" s="60"/>
      <c r="R1863" s="53">
        <f>R1861-R1862</f>
        <v>32.240786094687977</v>
      </c>
      <c r="S1863" s="56"/>
      <c r="T1863" s="72"/>
      <c r="U1863" s="64">
        <f>U1861-U1862</f>
        <v>31.378970396782744</v>
      </c>
      <c r="V1863" s="44"/>
      <c r="W1863" s="72"/>
      <c r="X1863" s="64">
        <f>X1861-X1862</f>
        <v>27.186632708594924</v>
      </c>
      <c r="Y1863" s="44"/>
      <c r="Z1863" s="72"/>
      <c r="AA1863" s="64">
        <f>AA1861-AA1862</f>
        <v>13.765786300811303</v>
      </c>
      <c r="AB1863" s="44"/>
      <c r="AC1863" s="72"/>
      <c r="AD1863" s="64">
        <f>AD1861-AD1862</f>
        <v>-17.762334071485778</v>
      </c>
      <c r="AE1863" s="44"/>
      <c r="AF1863" s="72"/>
      <c r="AG1863" s="64">
        <f>AG1861-AG1862</f>
        <v>-78.624504836511335</v>
      </c>
      <c r="AH1863" s="44"/>
      <c r="AI1863" s="72"/>
      <c r="AJ1863" s="64">
        <f>AJ1861-AJ1862</f>
        <v>-165.21379027871274</v>
      </c>
      <c r="AK1863" s="44"/>
      <c r="AL1863" s="72"/>
      <c r="AM1863" s="64">
        <f>AM1861-AM1862</f>
        <v>-261.75125759252717</v>
      </c>
      <c r="AN1863" s="44"/>
      <c r="AO1863" s="72"/>
      <c r="AP1863" s="64">
        <f>AP1861-AP1862</f>
        <v>-364.02253613483407</v>
      </c>
      <c r="AQ1863" s="44"/>
      <c r="AR1863" s="72"/>
      <c r="AS1863" s="64">
        <f>AS1861-AS1862</f>
        <v>-481.02727196991759</v>
      </c>
      <c r="AT1863" s="44"/>
      <c r="AU1863" s="72"/>
    </row>
    <row r="1864" spans="15:47" ht="13" x14ac:dyDescent="0.3">
      <c r="O1864" s="6" t="s">
        <v>75</v>
      </c>
      <c r="P1864" s="6">
        <v>3</v>
      </c>
      <c r="Q1864" s="65"/>
      <c r="R1864" s="85">
        <f>(F_LP_h/F_P_h)^2*(R1861-('Valve Sizing'!$V$4*'Valve Sizing'!$G$7))</f>
        <v>46.75233826873216</v>
      </c>
      <c r="S1864" s="58"/>
      <c r="T1864" s="73"/>
      <c r="U1864" s="53">
        <f>(U$29/U$27)^2*(U1861-('Valve Sizing'!$V$4*'Valve Sizing'!$G$7))</f>
        <v>46.145067072022115</v>
      </c>
      <c r="V1864" s="41"/>
      <c r="W1864" s="73"/>
      <c r="X1864" s="53">
        <f>(X$29/X$27)^2*(X1861-('Valve Sizing'!$V$4*'Valve Sizing'!$G$7))</f>
        <v>42.277305145123613</v>
      </c>
      <c r="Y1864" s="41"/>
      <c r="Z1864" s="73"/>
      <c r="AA1864" s="53">
        <f>(AA$29/AA$27)^2*(AA1861-('Valve Sizing'!$V$4*'Valve Sizing'!$G$7))</f>
        <v>31.734735706680294</v>
      </c>
      <c r="AB1864" s="41"/>
      <c r="AC1864" s="73"/>
      <c r="AD1864" s="53">
        <f>(AD$29/AD$27)^2*(AD1861-('Valve Sizing'!$V$4*'Valve Sizing'!$G$7))</f>
        <v>10.667321367555592</v>
      </c>
      <c r="AE1864" s="41"/>
      <c r="AF1864" s="73"/>
      <c r="AG1864" s="53">
        <f>(AG$29/AG$27)^2*(AG1861-('Valve Sizing'!$V$4*'Valve Sizing'!$G$7))</f>
        <v>-23.138660441600841</v>
      </c>
      <c r="AH1864" s="41"/>
      <c r="AI1864" s="73"/>
      <c r="AJ1864" s="53">
        <f>(AJ$29/AJ$27)^2*(AJ1861-('Valve Sizing'!$V$4*'Valve Sizing'!$G$7))</f>
        <v>-62.512441457976614</v>
      </c>
      <c r="AK1864" s="41"/>
      <c r="AL1864" s="73"/>
      <c r="AM1864" s="53">
        <f>(AM$29/AM$27)^2*(AM1861-('Valve Sizing'!$V$4*'Valve Sizing'!$G$7))</f>
        <v>-90.207680790787151</v>
      </c>
      <c r="AN1864" s="41"/>
      <c r="AO1864" s="73"/>
      <c r="AP1864" s="53">
        <f>(AP$29/AP$27)^2*(AP1861-('Valve Sizing'!$V$4*'Valve Sizing'!$G$7))</f>
        <v>-108.03258161496569</v>
      </c>
      <c r="AQ1864" s="41"/>
      <c r="AR1864" s="73"/>
      <c r="AS1864" s="53">
        <f>(AS$29/AS$27)^2*(AS1861-('Valve Sizing'!$V$4*'Valve Sizing'!$G$7))</f>
        <v>-139.64707851176826</v>
      </c>
      <c r="AT1864" s="41"/>
      <c r="AU1864" s="73"/>
    </row>
    <row r="1865" spans="15:47" ht="13" x14ac:dyDescent="0.25">
      <c r="O1865" s="1" t="s">
        <v>69</v>
      </c>
      <c r="P1865" s="17">
        <v>7</v>
      </c>
      <c r="Q1865" s="65"/>
      <c r="R1865" s="53">
        <f>(R1859/(N_1*F_P_h))*SQRT('Valve Sizing'!$G$6/R1863)</f>
        <v>3.7720654267116518</v>
      </c>
      <c r="S1865" s="58"/>
      <c r="T1865" s="73"/>
      <c r="U1865" s="64">
        <f>(U1859/(N_1*U$27))*SQRT('Valve Sizing'!$G$6/U1863)</f>
        <v>26.333905803452854</v>
      </c>
      <c r="V1865" s="41"/>
      <c r="W1865" s="73"/>
      <c r="X1865" s="64">
        <f>(X1859/(N_1*X$27))*SQRT('Valve Sizing'!$G$6/X1863)</f>
        <v>68.063213945166055</v>
      </c>
      <c r="Y1865" s="41"/>
      <c r="Z1865" s="73"/>
      <c r="AA1865" s="64">
        <f>(AA1859/(N_1*AA$27))*SQRT('Valve Sizing'!$G$6/AA1863)</f>
        <v>183.68355322934102</v>
      </c>
      <c r="AB1865" s="41"/>
      <c r="AC1865" s="73"/>
      <c r="AD1865" s="64" t="e">
        <f>(AD1859/(N_1*AD$27))*SQRT('Valve Sizing'!$G$6/AD1863)</f>
        <v>#NUM!</v>
      </c>
      <c r="AE1865" s="41"/>
      <c r="AF1865" s="73"/>
      <c r="AG1865" s="64" t="e">
        <f>(AG1859/(N_1*AG$27))*SQRT('Valve Sizing'!$G$6/AG1863)</f>
        <v>#NUM!</v>
      </c>
      <c r="AH1865" s="41"/>
      <c r="AI1865" s="73"/>
      <c r="AJ1865" s="64" t="e">
        <f>(AJ1859/(N_1*AJ$27))*SQRT('Valve Sizing'!$G$6/AJ1863)</f>
        <v>#NUM!</v>
      </c>
      <c r="AK1865" s="41"/>
      <c r="AL1865" s="73"/>
      <c r="AM1865" s="64" t="e">
        <f>(AM1859/(N_1*AM$27))*SQRT('Valve Sizing'!$G$6/AM1863)</f>
        <v>#NUM!</v>
      </c>
      <c r="AN1865" s="41"/>
      <c r="AO1865" s="73"/>
      <c r="AP1865" s="64" t="e">
        <f>(AP1859/(N_1*AP$27))*SQRT('Valve Sizing'!$G$6/AP1863)</f>
        <v>#NUM!</v>
      </c>
      <c r="AQ1865" s="41"/>
      <c r="AR1865" s="73"/>
      <c r="AS1865" s="64" t="e">
        <f>(AS1859/(N_1*AS$27))*SQRT('Valve Sizing'!$G$6/AS1863)</f>
        <v>#NUM!</v>
      </c>
      <c r="AT1865" s="41"/>
      <c r="AU1865" s="73"/>
    </row>
    <row r="1866" spans="15:47" ht="13" x14ac:dyDescent="0.3">
      <c r="O1866" s="1" t="s">
        <v>72</v>
      </c>
      <c r="P1866" s="17">
        <v>7</v>
      </c>
      <c r="Q1866" s="65"/>
      <c r="R1866" s="53">
        <f>(R1859/(N_1*F_P_h))*SQRT('Valve Sizing'!$G$6/R1864)</f>
        <v>3.132422680510806</v>
      </c>
      <c r="S1866" s="56"/>
      <c r="T1866" s="72"/>
      <c r="U1866" s="85">
        <f>(U1859/(N_1*U$27))*SQRT('Valve Sizing'!$G$6/U1864)</f>
        <v>21.715607416450506</v>
      </c>
      <c r="V1866" s="44"/>
      <c r="W1866" s="72"/>
      <c r="X1866" s="85">
        <f>(X1859/(N_1*X$27))*SQRT('Valve Sizing'!$G$6/X1864)</f>
        <v>54.580374886916132</v>
      </c>
      <c r="Y1866" s="44"/>
      <c r="Z1866" s="72"/>
      <c r="AA1866" s="85">
        <f>(AA1859/(N_1*AA$27))*SQRT('Valve Sizing'!$G$6/AA1864)</f>
        <v>120.97714765458167</v>
      </c>
      <c r="AB1866" s="44"/>
      <c r="AC1866" s="72"/>
      <c r="AD1866" s="85">
        <f>(AD1859/(N_1*AD$27))*SQRT('Valve Sizing'!$G$6/AD1864)</f>
        <v>347.48573927539172</v>
      </c>
      <c r="AE1866" s="44"/>
      <c r="AF1866" s="72"/>
      <c r="AG1866" s="85" t="e">
        <f>(AG1859/(N_1*AG$27))*SQRT('Valve Sizing'!$G$6/AG1864)</f>
        <v>#NUM!</v>
      </c>
      <c r="AH1866" s="44"/>
      <c r="AI1866" s="72"/>
      <c r="AJ1866" s="85" t="e">
        <f>(AJ1859/(N_1*AJ$27))*SQRT('Valve Sizing'!$G$6/AJ1864)</f>
        <v>#NUM!</v>
      </c>
      <c r="AK1866" s="44"/>
      <c r="AL1866" s="72"/>
      <c r="AM1866" s="85" t="e">
        <f>(AM1859/(N_1*AM$27))*SQRT('Valve Sizing'!$G$6/AM1864)</f>
        <v>#NUM!</v>
      </c>
      <c r="AN1866" s="44"/>
      <c r="AO1866" s="72"/>
      <c r="AP1866" s="85" t="e">
        <f>(AP1859/(N_1*AP$27))*SQRT('Valve Sizing'!$G$6/AP1864)</f>
        <v>#NUM!</v>
      </c>
      <c r="AQ1866" s="44"/>
      <c r="AR1866" s="72"/>
      <c r="AS1866" s="85" t="e">
        <f>(AS1859/(N_1*AS$27))*SQRT('Valve Sizing'!$G$6/AS1864)</f>
        <v>#NUM!</v>
      </c>
      <c r="AT1866" s="44"/>
      <c r="AU1866" s="72"/>
    </row>
    <row r="1867" spans="15:47" x14ac:dyDescent="0.25">
      <c r="O1867" s="1" t="s">
        <v>246</v>
      </c>
      <c r="P1867" s="18"/>
      <c r="Q1867" s="65"/>
      <c r="R1867" s="53">
        <f>IF(R1863&lt;R1864,R1865,R1866)</f>
        <v>3.7720654267116518</v>
      </c>
      <c r="S1867" s="49"/>
      <c r="T1867" s="72"/>
      <c r="U1867" s="64">
        <f>IF(U1863&lt;U1864,U1865,U1866)</f>
        <v>26.333905803452854</v>
      </c>
      <c r="V1867" s="44"/>
      <c r="W1867" s="72"/>
      <c r="X1867" s="64">
        <f>IF(X1863&lt;X1864,X1865,X1866)</f>
        <v>68.063213945166055</v>
      </c>
      <c r="Y1867" s="44"/>
      <c r="Z1867" s="72"/>
      <c r="AA1867" s="64">
        <f>IF(AA1863&lt;AA1864,AA1865,AA1866)</f>
        <v>183.68355322934102</v>
      </c>
      <c r="AB1867" s="44"/>
      <c r="AC1867" s="72"/>
      <c r="AD1867" s="64" t="e">
        <f>IF(AD1863&lt;AD1864,AD1865,AD1866)</f>
        <v>#NUM!</v>
      </c>
      <c r="AE1867" s="44"/>
      <c r="AF1867" s="72"/>
      <c r="AG1867" s="64" t="e">
        <f>IF(AG1863&lt;AG1864,AG1865,AG1866)</f>
        <v>#NUM!</v>
      </c>
      <c r="AH1867" s="44"/>
      <c r="AI1867" s="72"/>
      <c r="AJ1867" s="64" t="e">
        <f>IF(AJ1863&lt;AJ1864,AJ1865,AJ1866)</f>
        <v>#NUM!</v>
      </c>
      <c r="AK1867" s="44"/>
      <c r="AL1867" s="72"/>
      <c r="AM1867" s="64" t="e">
        <f>IF(AM1863&lt;AM1864,AM1865,AM1866)</f>
        <v>#NUM!</v>
      </c>
      <c r="AN1867" s="44"/>
      <c r="AO1867" s="72"/>
      <c r="AP1867" s="64" t="e">
        <f>IF(AP1863&lt;AP1864,AP1865,AP1866)</f>
        <v>#NUM!</v>
      </c>
      <c r="AQ1867" s="44"/>
      <c r="AR1867" s="72"/>
      <c r="AS1867" s="64" t="e">
        <f>IF(AS1863&lt;AS1864,AS1865,AS1866)</f>
        <v>#NUM!</v>
      </c>
      <c r="AT1867" s="44"/>
      <c r="AU1867" s="72"/>
    </row>
    <row r="1868" spans="15:47" ht="13" x14ac:dyDescent="0.3">
      <c r="O1868" s="7" t="s">
        <v>264</v>
      </c>
      <c r="Q1868" s="61"/>
      <c r="R1868" s="53"/>
      <c r="S1868" s="69">
        <f>IFERROR(ABS(C_h-R1867),Q_max*10)</f>
        <v>1.2279345732883482</v>
      </c>
      <c r="T1868" s="76">
        <f>R1859</f>
        <v>21.415020746525663</v>
      </c>
      <c r="U1868" s="61"/>
      <c r="V1868" s="69">
        <f>IFERROR(ABS(U$23-U1867),Q_max*10)</f>
        <v>14.333905803452854</v>
      </c>
      <c r="W1868" s="75">
        <f>U1859</f>
        <v>147.39031670834351</v>
      </c>
      <c r="X1868" s="61"/>
      <c r="Y1868" s="69">
        <f>IFERROR(ABS(X$23-X1867),Q_max*10)</f>
        <v>45.063213945166055</v>
      </c>
      <c r="Z1868" s="75">
        <f>X1859</f>
        <v>353.79349614629751</v>
      </c>
      <c r="AA1868" s="61"/>
      <c r="AB1868" s="69">
        <f>IFERROR(ABS(AA$23-AA1867),Q_max*10)</f>
        <v>144.68355322934102</v>
      </c>
      <c r="AC1868" s="75">
        <f>AA1859</f>
        <v>675.52144527578173</v>
      </c>
      <c r="AD1868" s="61"/>
      <c r="AE1868" s="69">
        <f>IFERROR(ABS(AD$23-AD1867),Q_max*10)</f>
        <v>5500</v>
      </c>
      <c r="AF1868" s="75">
        <f>AD1859</f>
        <v>1110.9840652385215</v>
      </c>
      <c r="AG1868" s="61"/>
      <c r="AH1868" s="69">
        <f>IFERROR(ABS(AG$23-AG1867),Q_max*10)</f>
        <v>5500</v>
      </c>
      <c r="AI1868" s="75">
        <f>AG1859</f>
        <v>1654.1038833280445</v>
      </c>
      <c r="AJ1868" s="61"/>
      <c r="AK1868" s="69">
        <f>IFERROR(ABS(AJ$23-AJ1867),Q_max*10)</f>
        <v>5500</v>
      </c>
      <c r="AL1868" s="75">
        <f>AJ1859</f>
        <v>2207.4080445461905</v>
      </c>
      <c r="AM1868" s="61"/>
      <c r="AN1868" s="69">
        <f>IFERROR(ABS(AM$23-AM1867),Q_max*10)</f>
        <v>5500</v>
      </c>
      <c r="AO1868" s="75">
        <f>AM1859</f>
        <v>2693.4573100562793</v>
      </c>
      <c r="AP1868" s="61"/>
      <c r="AQ1868" s="69">
        <f>IFERROR(ABS(AP$23-AP1867),Q_max*10)</f>
        <v>5500</v>
      </c>
      <c r="AR1868" s="75">
        <f>AP1859</f>
        <v>3127.0203195897257</v>
      </c>
      <c r="AS1868" s="61"/>
      <c r="AT1868" s="69">
        <f>IFERROR(ABS(AS$23-AS1867),Q_max*10)</f>
        <v>5500</v>
      </c>
      <c r="AU1868" s="75">
        <f>AS1859</f>
        <v>3558.8408135034242</v>
      </c>
    </row>
    <row r="1869" spans="15:47" ht="14.5" x14ac:dyDescent="0.35">
      <c r="O1869" s="8"/>
      <c r="P1869" s="6"/>
      <c r="Q1869" s="60"/>
      <c r="R1869" s="67"/>
      <c r="S1869" s="56"/>
      <c r="T1869" s="72"/>
      <c r="V1869" s="11"/>
      <c r="W1869" s="38"/>
      <c r="Y1869" s="11"/>
      <c r="Z1869" s="38"/>
      <c r="AB1869" s="11"/>
      <c r="AC1869" s="38"/>
      <c r="AE1869" s="11"/>
      <c r="AF1869" s="38"/>
      <c r="AH1869" s="11"/>
      <c r="AI1869" s="38"/>
      <c r="AK1869" s="11"/>
      <c r="AL1869" s="38"/>
      <c r="AN1869" s="11"/>
      <c r="AO1869" s="38"/>
      <c r="AQ1869" s="11"/>
      <c r="AR1869" s="38"/>
      <c r="AT1869" s="11"/>
      <c r="AU1869" s="38"/>
    </row>
    <row r="1870" spans="15:47" ht="14" x14ac:dyDescent="0.3">
      <c r="O1870" s="8" t="s">
        <v>235</v>
      </c>
      <c r="P1870" s="6"/>
      <c r="Q1870" s="60"/>
      <c r="R1870" s="53">
        <f>R1859*1.02</f>
        <v>21.843321161456178</v>
      </c>
      <c r="S1870" s="58" t="s">
        <v>238</v>
      </c>
      <c r="T1870" s="73" t="s">
        <v>241</v>
      </c>
      <c r="U1870" s="84">
        <f>U1859*1.01</f>
        <v>148.86421987542695</v>
      </c>
      <c r="V1870" s="58" t="s">
        <v>238</v>
      </c>
      <c r="W1870" s="73" t="s">
        <v>241</v>
      </c>
      <c r="X1870" s="84">
        <f>X1859*1.01</f>
        <v>357.33143110776047</v>
      </c>
      <c r="Y1870" s="58" t="s">
        <v>238</v>
      </c>
      <c r="Z1870" s="73" t="s">
        <v>241</v>
      </c>
      <c r="AA1870" s="84">
        <f>AA1859*1.01</f>
        <v>682.27665972853958</v>
      </c>
      <c r="AB1870" s="58" t="s">
        <v>238</v>
      </c>
      <c r="AC1870" s="73" t="s">
        <v>241</v>
      </c>
      <c r="AD1870" s="84">
        <f>AD1859*1.01</f>
        <v>1122.0939058909066</v>
      </c>
      <c r="AE1870" s="58" t="s">
        <v>238</v>
      </c>
      <c r="AF1870" s="73" t="s">
        <v>241</v>
      </c>
      <c r="AG1870" s="84">
        <f>AG1859*1.01</f>
        <v>1670.644922161325</v>
      </c>
      <c r="AH1870" s="58" t="s">
        <v>238</v>
      </c>
      <c r="AI1870" s="73" t="s">
        <v>241</v>
      </c>
      <c r="AJ1870" s="84">
        <f>AJ1859*1.01</f>
        <v>2229.4821249916522</v>
      </c>
      <c r="AK1870" s="58" t="s">
        <v>238</v>
      </c>
      <c r="AL1870" s="73" t="s">
        <v>241</v>
      </c>
      <c r="AM1870" s="84">
        <f>AM1859*1.01</f>
        <v>2720.3918831568421</v>
      </c>
      <c r="AN1870" s="58" t="s">
        <v>238</v>
      </c>
      <c r="AO1870" s="73" t="s">
        <v>241</v>
      </c>
      <c r="AP1870" s="84">
        <f>AP1859*1.01</f>
        <v>3158.2905227856231</v>
      </c>
      <c r="AQ1870" s="58" t="s">
        <v>238</v>
      </c>
      <c r="AR1870" s="73" t="s">
        <v>241</v>
      </c>
      <c r="AS1870" s="84">
        <f>AS1859*1.01</f>
        <v>3594.4292216384583</v>
      </c>
      <c r="AT1870" s="58" t="s">
        <v>238</v>
      </c>
      <c r="AU1870" s="73" t="s">
        <v>241</v>
      </c>
    </row>
    <row r="1871" spans="15:47" ht="13" x14ac:dyDescent="0.25">
      <c r="O1871" s="6"/>
      <c r="P1871" s="6"/>
      <c r="Q1871" s="60"/>
      <c r="R1871" s="70"/>
      <c r="S1871" s="63" t="s">
        <v>250</v>
      </c>
      <c r="T1871" s="71" t="s">
        <v>242</v>
      </c>
      <c r="U1871" s="61"/>
      <c r="V1871" s="63" t="s">
        <v>250</v>
      </c>
      <c r="W1871" s="71" t="s">
        <v>242</v>
      </c>
      <c r="X1871" s="61"/>
      <c r="Y1871" s="63" t="s">
        <v>250</v>
      </c>
      <c r="Z1871" s="71" t="s">
        <v>242</v>
      </c>
      <c r="AA1871" s="61"/>
      <c r="AB1871" s="63" t="s">
        <v>250</v>
      </c>
      <c r="AC1871" s="71" t="s">
        <v>242</v>
      </c>
      <c r="AD1871" s="61"/>
      <c r="AE1871" s="63" t="s">
        <v>250</v>
      </c>
      <c r="AF1871" s="71" t="s">
        <v>242</v>
      </c>
      <c r="AG1871" s="61"/>
      <c r="AH1871" s="63" t="s">
        <v>250</v>
      </c>
      <c r="AI1871" s="71" t="s">
        <v>242</v>
      </c>
      <c r="AJ1871" s="61"/>
      <c r="AK1871" s="63" t="s">
        <v>250</v>
      </c>
      <c r="AL1871" s="71" t="s">
        <v>242</v>
      </c>
      <c r="AM1871" s="61"/>
      <c r="AN1871" s="63" t="s">
        <v>250</v>
      </c>
      <c r="AO1871" s="71" t="s">
        <v>242</v>
      </c>
      <c r="AP1871" s="61"/>
      <c r="AQ1871" s="63" t="s">
        <v>250</v>
      </c>
      <c r="AR1871" s="71" t="s">
        <v>242</v>
      </c>
      <c r="AS1871" s="61"/>
      <c r="AT1871" s="63" t="s">
        <v>250</v>
      </c>
      <c r="AU1871" s="71" t="s">
        <v>242</v>
      </c>
    </row>
    <row r="1872" spans="15:47" ht="13" x14ac:dyDescent="0.3">
      <c r="O1872" s="6" t="s">
        <v>231</v>
      </c>
      <c r="P1872" s="6"/>
      <c r="Q1872" s="60"/>
      <c r="R1872" s="85">
        <f>P_1_minQ-(R1870^2*R_up)+dpup_minQ</f>
        <v>56.900029359021865</v>
      </c>
      <c r="S1872" s="56"/>
      <c r="T1872" s="72"/>
      <c r="U1872" s="53">
        <f>P_1_minQ-(U1870^2*R_up)+dpup_minQ</f>
        <v>56.167728606581576</v>
      </c>
      <c r="V1872" s="44"/>
      <c r="W1872" s="72"/>
      <c r="X1872" s="53">
        <f>P_1_minQ-(X1870^2*R_up)+dpup_minQ</f>
        <v>52.603892210147919</v>
      </c>
      <c r="Y1872" s="44"/>
      <c r="Z1872" s="72"/>
      <c r="AA1872" s="53">
        <f>P_1_minQ-(AA1870^2*R_up)+dpup_minQ</f>
        <v>41.195054359664525</v>
      </c>
      <c r="AB1872" s="44"/>
      <c r="AC1872" s="72"/>
      <c r="AD1872" s="53">
        <f>P_1_minQ-(AD1870^2*R_up)+dpup_minQ</f>
        <v>14.393524699847664</v>
      </c>
      <c r="AE1872" s="44"/>
      <c r="AF1872" s="72"/>
      <c r="AG1872" s="53">
        <f>P_1_minQ-(AG1870^2*R_up)+dpup_minQ</f>
        <v>-37.344392297987831</v>
      </c>
      <c r="AH1872" s="44"/>
      <c r="AI1872" s="72"/>
      <c r="AJ1872" s="53">
        <f>P_1_minQ-(AJ1870^2*R_up)+dpup_minQ</f>
        <v>-110.95250069764583</v>
      </c>
      <c r="AK1872" s="44"/>
      <c r="AL1872" s="72"/>
      <c r="AM1872" s="53">
        <f>P_1_minQ-(AM1870^2*R_up)+dpup_minQ</f>
        <v>-193.01739270333101</v>
      </c>
      <c r="AN1872" s="44"/>
      <c r="AO1872" s="72"/>
      <c r="AP1872" s="53">
        <f>P_1_minQ-(AP1870^2*R_up)+dpup_minQ</f>
        <v>-279.95650207083708</v>
      </c>
      <c r="AQ1872" s="44"/>
      <c r="AR1872" s="72"/>
      <c r="AS1872" s="53">
        <f>P_1_minQ-(AS1870^2*R_up)+dpup_minQ</f>
        <v>-379.42027792531081</v>
      </c>
      <c r="AT1872" s="44"/>
      <c r="AU1872" s="72"/>
    </row>
    <row r="1873" spans="15:47" ht="13" x14ac:dyDescent="0.3">
      <c r="O1873" s="6" t="s">
        <v>233</v>
      </c>
      <c r="P1873" s="6"/>
      <c r="Q1873" s="60"/>
      <c r="R1873" s="85">
        <f>P_2_minQ+(R1870^2*R_dn)-dpdn_minQ</f>
        <v>24.659994128195628</v>
      </c>
      <c r="S1873" s="66"/>
      <c r="T1873" s="74"/>
      <c r="U1873" s="53">
        <f>P_2_minQ+(U1870^2*R_dn)-dpdn_minQ</f>
        <v>24.806454278683685</v>
      </c>
      <c r="V1873" s="45"/>
      <c r="W1873" s="74"/>
      <c r="X1873" s="53">
        <f>P_2_minQ+(X1870^2*R_dn)-dpdn_minQ</f>
        <v>25.519221557970418</v>
      </c>
      <c r="Y1873" s="45"/>
      <c r="Z1873" s="74"/>
      <c r="AA1873" s="53">
        <f>P_2_minQ+(AA1870^2*R_dn)-dpdn_minQ</f>
        <v>27.800989128067098</v>
      </c>
      <c r="AB1873" s="45"/>
      <c r="AC1873" s="74"/>
      <c r="AD1873" s="53">
        <f>P_2_minQ+(AD1870^2*R_dn)-dpdn_minQ</f>
        <v>33.161295060030469</v>
      </c>
      <c r="AE1873" s="45"/>
      <c r="AF1873" s="74"/>
      <c r="AG1873" s="53">
        <f>P_2_minQ+(AG1870^2*R_dn)-dpdn_minQ</f>
        <v>43.508878459597568</v>
      </c>
      <c r="AH1873" s="45"/>
      <c r="AI1873" s="74"/>
      <c r="AJ1873" s="53">
        <f>P_2_minQ+(AJ1870^2*R_dn)-dpdn_minQ</f>
        <v>58.23050013952917</v>
      </c>
      <c r="AK1873" s="45"/>
      <c r="AL1873" s="74"/>
      <c r="AM1873" s="53">
        <f>P_2_minQ+(AM1870^2*R_dn)-dpdn_minQ</f>
        <v>74.643478540666194</v>
      </c>
      <c r="AN1873" s="45"/>
      <c r="AO1873" s="74"/>
      <c r="AP1873" s="53">
        <f>P_2_minQ+(AP1870^2*R_dn)-dpdn_minQ</f>
        <v>92.031300414167404</v>
      </c>
      <c r="AQ1873" s="45"/>
      <c r="AR1873" s="74"/>
      <c r="AS1873" s="53">
        <f>P_2_minQ+(AS1870^2*R_dn)-dpdn_minQ</f>
        <v>111.92405558506216</v>
      </c>
      <c r="AT1873" s="45"/>
      <c r="AU1873" s="74"/>
    </row>
    <row r="1874" spans="15:47" x14ac:dyDescent="0.25">
      <c r="O1874" s="6" t="s">
        <v>243</v>
      </c>
      <c r="Q1874" s="60"/>
      <c r="R1874" s="53">
        <f>R1872-R1873</f>
        <v>32.240035230826237</v>
      </c>
      <c r="S1874" s="56"/>
      <c r="T1874" s="72"/>
      <c r="U1874" s="64">
        <f>U1872-U1873</f>
        <v>31.361274327897892</v>
      </c>
      <c r="V1874" s="44"/>
      <c r="W1874" s="72"/>
      <c r="X1874" s="64">
        <f>X1872-X1873</f>
        <v>27.0846706521775</v>
      </c>
      <c r="Y1874" s="44"/>
      <c r="Z1874" s="72"/>
      <c r="AA1874" s="64">
        <f>AA1872-AA1873</f>
        <v>13.394065231597427</v>
      </c>
      <c r="AB1874" s="44"/>
      <c r="AC1874" s="72"/>
      <c r="AD1874" s="64">
        <f>AD1872-AD1873</f>
        <v>-18.767770360182805</v>
      </c>
      <c r="AE1874" s="44"/>
      <c r="AF1874" s="72"/>
      <c r="AG1874" s="64">
        <f>AG1872-AG1873</f>
        <v>-80.853270757585392</v>
      </c>
      <c r="AH1874" s="44"/>
      <c r="AI1874" s="72"/>
      <c r="AJ1874" s="64">
        <f>AJ1872-AJ1873</f>
        <v>-169.183000837175</v>
      </c>
      <c r="AK1874" s="44"/>
      <c r="AL1874" s="72"/>
      <c r="AM1874" s="64">
        <f>AM1872-AM1873</f>
        <v>-267.66087124399724</v>
      </c>
      <c r="AN1874" s="44"/>
      <c r="AO1874" s="72"/>
      <c r="AP1874" s="64">
        <f>AP1872-AP1873</f>
        <v>-371.98780248500447</v>
      </c>
      <c r="AQ1874" s="44"/>
      <c r="AR1874" s="72"/>
      <c r="AS1874" s="64">
        <f>AS1872-AS1873</f>
        <v>-491.34433351037296</v>
      </c>
      <c r="AT1874" s="44"/>
      <c r="AU1874" s="72"/>
    </row>
    <row r="1875" spans="15:47" ht="13" x14ac:dyDescent="0.3">
      <c r="O1875" s="6" t="s">
        <v>75</v>
      </c>
      <c r="P1875" s="6">
        <v>3</v>
      </c>
      <c r="Q1875" s="65"/>
      <c r="R1875" s="85">
        <f>(F_LP_h/F_P_h)^2*(R1872-('Valve Sizing'!$V$4*'Valve Sizing'!$G$7))</f>
        <v>46.751820139823558</v>
      </c>
      <c r="S1875" s="58"/>
      <c r="T1875" s="73"/>
      <c r="U1875" s="53">
        <f>(U$29/U$27)^2*(U1872-('Valve Sizing'!$V$4*'Valve Sizing'!$G$7))</f>
        <v>46.132859338667856</v>
      </c>
      <c r="V1875" s="41"/>
      <c r="W1875" s="73"/>
      <c r="X1875" s="53">
        <f>(X$29/X$27)^2*(X1872-('Valve Sizing'!$V$4*'Valve Sizing'!$G$7))</f>
        <v>42.208552677262333</v>
      </c>
      <c r="Y1875" s="41"/>
      <c r="Z1875" s="73"/>
      <c r="AA1875" s="53">
        <f>(AA$29/AA$27)^2*(AA1872-('Valve Sizing'!$V$4*'Valve Sizing'!$G$7))</f>
        <v>31.49534819884115</v>
      </c>
      <c r="AB1875" s="41"/>
      <c r="AC1875" s="73"/>
      <c r="AD1875" s="53">
        <f>(AD$29/AD$27)^2*(AD1872-('Valve Sizing'!$V$4*'Valve Sizing'!$G$7))</f>
        <v>10.063064709117459</v>
      </c>
      <c r="AE1875" s="41"/>
      <c r="AF1875" s="73"/>
      <c r="AG1875" s="53">
        <f>(AG$29/AG$27)^2*(AG1872-('Valve Sizing'!$V$4*'Valve Sizing'!$G$7))</f>
        <v>-24.334846449993154</v>
      </c>
      <c r="AH1875" s="41"/>
      <c r="AI1875" s="73"/>
      <c r="AJ1875" s="53">
        <f>(AJ$29/AJ$27)^2*(AJ1872-('Valve Sizing'!$V$4*'Valve Sizing'!$G$7))</f>
        <v>-64.425482979988971</v>
      </c>
      <c r="AK1875" s="41"/>
      <c r="AL1875" s="73"/>
      <c r="AM1875" s="53">
        <f>(AM$29/AM$27)^2*(AM1872-('Valve Sizing'!$V$4*'Valve Sizing'!$G$7))</f>
        <v>-92.564002078602314</v>
      </c>
      <c r="AN1875" s="41"/>
      <c r="AO1875" s="73"/>
      <c r="AP1875" s="53">
        <f>(AP$29/AP$27)^2*(AP1872-('Valve Sizing'!$V$4*'Valve Sizing'!$G$7))</f>
        <v>-110.65200477232601</v>
      </c>
      <c r="AQ1875" s="41"/>
      <c r="AR1875" s="73"/>
      <c r="AS1875" s="53">
        <f>(AS$29/AS$27)^2*(AS1872-('Valve Sizing'!$V$4*'Valve Sizing'!$G$7))</f>
        <v>-142.88096827897232</v>
      </c>
      <c r="AT1875" s="41"/>
      <c r="AU1875" s="73"/>
    </row>
    <row r="1876" spans="15:47" ht="13" x14ac:dyDescent="0.25">
      <c r="O1876" s="1" t="s">
        <v>69</v>
      </c>
      <c r="P1876" s="17">
        <v>7</v>
      </c>
      <c r="Q1876" s="65"/>
      <c r="R1876" s="53">
        <f>(R1870/(N_1*F_P_h))*SQRT('Valve Sizing'!$G$6/R1874)</f>
        <v>3.8475515388095918</v>
      </c>
      <c r="S1876" s="58"/>
      <c r="T1876" s="73"/>
      <c r="U1876" s="64">
        <f>(U1870/(N_1*U$27))*SQRT('Valve Sizing'!$G$6/U1874)</f>
        <v>26.604747750174887</v>
      </c>
      <c r="V1876" s="41"/>
      <c r="W1876" s="73"/>
      <c r="X1876" s="64">
        <f>(X1870/(N_1*X$27))*SQRT('Valve Sizing'!$G$6/X1874)</f>
        <v>68.873119939922361</v>
      </c>
      <c r="Y1876" s="41"/>
      <c r="Z1876" s="73"/>
      <c r="AA1876" s="64">
        <f>(AA1870/(N_1*AA$27))*SQRT('Valve Sizing'!$G$6/AA1874)</f>
        <v>188.07711421184976</v>
      </c>
      <c r="AB1876" s="41"/>
      <c r="AC1876" s="73"/>
      <c r="AD1876" s="64" t="e">
        <f>(AD1870/(N_1*AD$27))*SQRT('Valve Sizing'!$G$6/AD1874)</f>
        <v>#NUM!</v>
      </c>
      <c r="AE1876" s="41"/>
      <c r="AF1876" s="73"/>
      <c r="AG1876" s="64" t="e">
        <f>(AG1870/(N_1*AG$27))*SQRT('Valve Sizing'!$G$6/AG1874)</f>
        <v>#NUM!</v>
      </c>
      <c r="AH1876" s="41"/>
      <c r="AI1876" s="73"/>
      <c r="AJ1876" s="64" t="e">
        <f>(AJ1870/(N_1*AJ$27))*SQRT('Valve Sizing'!$G$6/AJ1874)</f>
        <v>#NUM!</v>
      </c>
      <c r="AK1876" s="41"/>
      <c r="AL1876" s="73"/>
      <c r="AM1876" s="64" t="e">
        <f>(AM1870/(N_1*AM$27))*SQRT('Valve Sizing'!$G$6/AM1874)</f>
        <v>#NUM!</v>
      </c>
      <c r="AN1876" s="41"/>
      <c r="AO1876" s="73"/>
      <c r="AP1876" s="64" t="e">
        <f>(AP1870/(N_1*AP$27))*SQRT('Valve Sizing'!$G$6/AP1874)</f>
        <v>#NUM!</v>
      </c>
      <c r="AQ1876" s="41"/>
      <c r="AR1876" s="73"/>
      <c r="AS1876" s="64" t="e">
        <f>(AS1870/(N_1*AS$27))*SQRT('Valve Sizing'!$G$6/AS1874)</f>
        <v>#NUM!</v>
      </c>
      <c r="AT1876" s="41"/>
      <c r="AU1876" s="73"/>
    </row>
    <row r="1877" spans="15:47" ht="13" x14ac:dyDescent="0.3">
      <c r="O1877" s="1" t="s">
        <v>72</v>
      </c>
      <c r="P1877" s="17">
        <v>7</v>
      </c>
      <c r="Q1877" s="65"/>
      <c r="R1877" s="53">
        <f>(R1870/(N_1*F_P_h))*SQRT('Valve Sizing'!$G$6/R1875)</f>
        <v>3.195088838823513</v>
      </c>
      <c r="S1877" s="56"/>
      <c r="T1877" s="72"/>
      <c r="U1877" s="85">
        <f>(U1870/(N_1*U$27))*SQRT('Valve Sizing'!$G$6/U1875)</f>
        <v>21.935665235938828</v>
      </c>
      <c r="V1877" s="44"/>
      <c r="W1877" s="72"/>
      <c r="X1877" s="85">
        <f>(X1870/(N_1*X$27))*SQRT('Valve Sizing'!$G$6/X1875)</f>
        <v>55.171057202524601</v>
      </c>
      <c r="Y1877" s="44"/>
      <c r="Z1877" s="72"/>
      <c r="AA1877" s="85">
        <f>(AA1870/(N_1*AA$27))*SQRT('Valve Sizing'!$G$6/AA1875)</f>
        <v>122.65039474909139</v>
      </c>
      <c r="AB1877" s="44"/>
      <c r="AC1877" s="72"/>
      <c r="AD1877" s="85">
        <f>(AD1870/(N_1*AD$27))*SQRT('Valve Sizing'!$G$6/AD1875)</f>
        <v>361.34405721209021</v>
      </c>
      <c r="AE1877" s="44"/>
      <c r="AF1877" s="72"/>
      <c r="AG1877" s="85" t="e">
        <f>(AG1870/(N_1*AG$27))*SQRT('Valve Sizing'!$G$6/AG1875)</f>
        <v>#NUM!</v>
      </c>
      <c r="AH1877" s="44"/>
      <c r="AI1877" s="72"/>
      <c r="AJ1877" s="85" t="e">
        <f>(AJ1870/(N_1*AJ$27))*SQRT('Valve Sizing'!$G$6/AJ1875)</f>
        <v>#NUM!</v>
      </c>
      <c r="AK1877" s="44"/>
      <c r="AL1877" s="72"/>
      <c r="AM1877" s="85" t="e">
        <f>(AM1870/(N_1*AM$27))*SQRT('Valve Sizing'!$G$6/AM1875)</f>
        <v>#NUM!</v>
      </c>
      <c r="AN1877" s="44"/>
      <c r="AO1877" s="72"/>
      <c r="AP1877" s="85" t="e">
        <f>(AP1870/(N_1*AP$27))*SQRT('Valve Sizing'!$G$6/AP1875)</f>
        <v>#NUM!</v>
      </c>
      <c r="AQ1877" s="44"/>
      <c r="AR1877" s="72"/>
      <c r="AS1877" s="85" t="e">
        <f>(AS1870/(N_1*AS$27))*SQRT('Valve Sizing'!$G$6/AS1875)</f>
        <v>#NUM!</v>
      </c>
      <c r="AT1877" s="44"/>
      <c r="AU1877" s="72"/>
    </row>
    <row r="1878" spans="15:47" x14ac:dyDescent="0.25">
      <c r="O1878" s="1" t="s">
        <v>246</v>
      </c>
      <c r="P1878" s="18"/>
      <c r="Q1878" s="65"/>
      <c r="R1878" s="53">
        <f>IF(R1874&lt;R1875,R1876,R1877)</f>
        <v>3.8475515388095918</v>
      </c>
      <c r="S1878" s="49"/>
      <c r="T1878" s="72"/>
      <c r="U1878" s="64">
        <f>IF(U1874&lt;U1875,U1876,U1877)</f>
        <v>26.604747750174887</v>
      </c>
      <c r="V1878" s="44"/>
      <c r="W1878" s="72"/>
      <c r="X1878" s="64">
        <f>IF(X1874&lt;X1875,X1876,X1877)</f>
        <v>68.873119939922361</v>
      </c>
      <c r="Y1878" s="44"/>
      <c r="Z1878" s="72"/>
      <c r="AA1878" s="64">
        <f>IF(AA1874&lt;AA1875,AA1876,AA1877)</f>
        <v>188.07711421184976</v>
      </c>
      <c r="AB1878" s="44"/>
      <c r="AC1878" s="72"/>
      <c r="AD1878" s="64" t="e">
        <f>IF(AD1874&lt;AD1875,AD1876,AD1877)</f>
        <v>#NUM!</v>
      </c>
      <c r="AE1878" s="44"/>
      <c r="AF1878" s="72"/>
      <c r="AG1878" s="64" t="e">
        <f>IF(AG1874&lt;AG1875,AG1876,AG1877)</f>
        <v>#NUM!</v>
      </c>
      <c r="AH1878" s="44"/>
      <c r="AI1878" s="72"/>
      <c r="AJ1878" s="64" t="e">
        <f>IF(AJ1874&lt;AJ1875,AJ1876,AJ1877)</f>
        <v>#NUM!</v>
      </c>
      <c r="AK1878" s="44"/>
      <c r="AL1878" s="72"/>
      <c r="AM1878" s="64" t="e">
        <f>IF(AM1874&lt;AM1875,AM1876,AM1877)</f>
        <v>#NUM!</v>
      </c>
      <c r="AN1878" s="44"/>
      <c r="AO1878" s="72"/>
      <c r="AP1878" s="64" t="e">
        <f>IF(AP1874&lt;AP1875,AP1876,AP1877)</f>
        <v>#NUM!</v>
      </c>
      <c r="AQ1878" s="44"/>
      <c r="AR1878" s="72"/>
      <c r="AS1878" s="64" t="e">
        <f>IF(AS1874&lt;AS1875,AS1876,AS1877)</f>
        <v>#NUM!</v>
      </c>
      <c r="AT1878" s="44"/>
      <c r="AU1878" s="72"/>
    </row>
    <row r="1879" spans="15:47" ht="13" x14ac:dyDescent="0.3">
      <c r="O1879" s="7" t="s">
        <v>264</v>
      </c>
      <c r="Q1879" s="61"/>
      <c r="R1879" s="53"/>
      <c r="S1879" s="69">
        <f>IFERROR(ABS(C_h-R1878),Q_max*10)</f>
        <v>1.1524484611904082</v>
      </c>
      <c r="T1879" s="76">
        <f>R1870</f>
        <v>21.843321161456178</v>
      </c>
      <c r="U1879" s="61"/>
      <c r="V1879" s="69">
        <f>IFERROR(ABS(U$23-U1878),Q_max*10)</f>
        <v>14.604747750174887</v>
      </c>
      <c r="W1879" s="75">
        <f>U1870</f>
        <v>148.86421987542695</v>
      </c>
      <c r="X1879" s="61"/>
      <c r="Y1879" s="69">
        <f>IFERROR(ABS(X$23-X1878),Q_max*10)</f>
        <v>45.873119939922361</v>
      </c>
      <c r="Z1879" s="75">
        <f>X1870</f>
        <v>357.33143110776047</v>
      </c>
      <c r="AA1879" s="61"/>
      <c r="AB1879" s="69">
        <f>IFERROR(ABS(AA$23-AA1878),Q_max*10)</f>
        <v>149.07711421184976</v>
      </c>
      <c r="AC1879" s="75">
        <f>AA1870</f>
        <v>682.27665972853958</v>
      </c>
      <c r="AD1879" s="61"/>
      <c r="AE1879" s="69">
        <f>IFERROR(ABS(AD$23-AD1878),Q_max*10)</f>
        <v>5500</v>
      </c>
      <c r="AF1879" s="75">
        <f>AD1870</f>
        <v>1122.0939058909066</v>
      </c>
      <c r="AG1879" s="61"/>
      <c r="AH1879" s="69">
        <f>IFERROR(ABS(AG$23-AG1878),Q_max*10)</f>
        <v>5500</v>
      </c>
      <c r="AI1879" s="75">
        <f>AG1870</f>
        <v>1670.644922161325</v>
      </c>
      <c r="AJ1879" s="61"/>
      <c r="AK1879" s="69">
        <f>IFERROR(ABS(AJ$23-AJ1878),Q_max*10)</f>
        <v>5500</v>
      </c>
      <c r="AL1879" s="75">
        <f>AJ1870</f>
        <v>2229.4821249916522</v>
      </c>
      <c r="AM1879" s="61"/>
      <c r="AN1879" s="69">
        <f>IFERROR(ABS(AM$23-AM1878),Q_max*10)</f>
        <v>5500</v>
      </c>
      <c r="AO1879" s="75">
        <f>AM1870</f>
        <v>2720.3918831568421</v>
      </c>
      <c r="AP1879" s="61"/>
      <c r="AQ1879" s="69">
        <f>IFERROR(ABS(AP$23-AP1878),Q_max*10)</f>
        <v>5500</v>
      </c>
      <c r="AR1879" s="75">
        <f>AP1870</f>
        <v>3158.2905227856231</v>
      </c>
      <c r="AS1879" s="61"/>
      <c r="AT1879" s="69">
        <f>IFERROR(ABS(AS$23-AS1878),Q_max*10)</f>
        <v>5500</v>
      </c>
      <c r="AU1879" s="75">
        <f>AS1870</f>
        <v>3594.4292216384583</v>
      </c>
    </row>
    <row r="1880" spans="15:47" ht="14.5" x14ac:dyDescent="0.35">
      <c r="O1880" s="6"/>
      <c r="P1880" s="6"/>
      <c r="Q1880" s="60"/>
      <c r="R1880" s="67"/>
      <c r="S1880" s="66"/>
      <c r="T1880" s="74"/>
      <c r="V1880" s="11"/>
      <c r="W1880" s="38"/>
      <c r="Y1880" s="11"/>
      <c r="Z1880" s="38"/>
      <c r="AB1880" s="11"/>
      <c r="AC1880" s="38"/>
      <c r="AE1880" s="11"/>
      <c r="AF1880" s="38"/>
      <c r="AH1880" s="11"/>
      <c r="AI1880" s="38"/>
      <c r="AK1880" s="11"/>
      <c r="AL1880" s="38"/>
      <c r="AN1880" s="11"/>
      <c r="AO1880" s="38"/>
      <c r="AQ1880" s="11"/>
      <c r="AR1880" s="38"/>
      <c r="AT1880" s="11"/>
      <c r="AU1880" s="38"/>
    </row>
    <row r="1881" spans="15:47" ht="14" x14ac:dyDescent="0.3">
      <c r="O1881" s="8" t="s">
        <v>235</v>
      </c>
      <c r="P1881" s="6"/>
      <c r="Q1881" s="60"/>
      <c r="R1881" s="53">
        <f>R1870*1.02</f>
        <v>22.280187584685301</v>
      </c>
      <c r="S1881" s="58" t="s">
        <v>238</v>
      </c>
      <c r="T1881" s="73" t="s">
        <v>241</v>
      </c>
      <c r="U1881" s="84">
        <f>U1870*1.01</f>
        <v>150.35286207418122</v>
      </c>
      <c r="V1881" s="58" t="s">
        <v>238</v>
      </c>
      <c r="W1881" s="73" t="s">
        <v>241</v>
      </c>
      <c r="X1881" s="84">
        <f>X1870*1.01</f>
        <v>360.90474541883805</v>
      </c>
      <c r="Y1881" s="58" t="s">
        <v>238</v>
      </c>
      <c r="Z1881" s="73" t="s">
        <v>241</v>
      </c>
      <c r="AA1881" s="84">
        <f>AA1870*1.01</f>
        <v>689.09942632582499</v>
      </c>
      <c r="AB1881" s="58" t="s">
        <v>238</v>
      </c>
      <c r="AC1881" s="73" t="s">
        <v>241</v>
      </c>
      <c r="AD1881" s="84">
        <f>AD1870*1.01</f>
        <v>1133.3148449498158</v>
      </c>
      <c r="AE1881" s="58" t="s">
        <v>238</v>
      </c>
      <c r="AF1881" s="73" t="s">
        <v>241</v>
      </c>
      <c r="AG1881" s="84">
        <f>AG1870*1.01</f>
        <v>1687.3513713829382</v>
      </c>
      <c r="AH1881" s="58" t="s">
        <v>238</v>
      </c>
      <c r="AI1881" s="73" t="s">
        <v>241</v>
      </c>
      <c r="AJ1881" s="84">
        <f>AJ1870*1.01</f>
        <v>2251.7769462415686</v>
      </c>
      <c r="AK1881" s="58" t="s">
        <v>238</v>
      </c>
      <c r="AL1881" s="73" t="s">
        <v>241</v>
      </c>
      <c r="AM1881" s="84">
        <f>AM1870*1.01</f>
        <v>2747.5958019884106</v>
      </c>
      <c r="AN1881" s="58" t="s">
        <v>238</v>
      </c>
      <c r="AO1881" s="73" t="s">
        <v>241</v>
      </c>
      <c r="AP1881" s="84">
        <f>AP1870*1.01</f>
        <v>3189.8734280134795</v>
      </c>
      <c r="AQ1881" s="58" t="s">
        <v>238</v>
      </c>
      <c r="AR1881" s="73" t="s">
        <v>241</v>
      </c>
      <c r="AS1881" s="84">
        <f>AS1870*1.01</f>
        <v>3630.3735138548432</v>
      </c>
      <c r="AT1881" s="58" t="s">
        <v>238</v>
      </c>
      <c r="AU1881" s="73" t="s">
        <v>241</v>
      </c>
    </row>
    <row r="1882" spans="15:47" ht="13" x14ac:dyDescent="0.25">
      <c r="O1882" s="6"/>
      <c r="P1882" s="6"/>
      <c r="Q1882" s="60"/>
      <c r="R1882" s="70"/>
      <c r="S1882" s="63" t="s">
        <v>250</v>
      </c>
      <c r="T1882" s="71" t="s">
        <v>242</v>
      </c>
      <c r="U1882" s="61"/>
      <c r="V1882" s="63" t="s">
        <v>250</v>
      </c>
      <c r="W1882" s="71" t="s">
        <v>242</v>
      </c>
      <c r="X1882" s="61"/>
      <c r="Y1882" s="63" t="s">
        <v>250</v>
      </c>
      <c r="Z1882" s="71" t="s">
        <v>242</v>
      </c>
      <c r="AA1882" s="61"/>
      <c r="AB1882" s="63" t="s">
        <v>250</v>
      </c>
      <c r="AC1882" s="71" t="s">
        <v>242</v>
      </c>
      <c r="AD1882" s="61"/>
      <c r="AE1882" s="63" t="s">
        <v>250</v>
      </c>
      <c r="AF1882" s="71" t="s">
        <v>242</v>
      </c>
      <c r="AG1882" s="61"/>
      <c r="AH1882" s="63" t="s">
        <v>250</v>
      </c>
      <c r="AI1882" s="71" t="s">
        <v>242</v>
      </c>
      <c r="AJ1882" s="61"/>
      <c r="AK1882" s="63" t="s">
        <v>250</v>
      </c>
      <c r="AL1882" s="71" t="s">
        <v>242</v>
      </c>
      <c r="AM1882" s="61"/>
      <c r="AN1882" s="63" t="s">
        <v>250</v>
      </c>
      <c r="AO1882" s="71" t="s">
        <v>242</v>
      </c>
      <c r="AP1882" s="61"/>
      <c r="AQ1882" s="63" t="s">
        <v>250</v>
      </c>
      <c r="AR1882" s="71" t="s">
        <v>242</v>
      </c>
      <c r="AS1882" s="61"/>
      <c r="AT1882" s="63" t="s">
        <v>250</v>
      </c>
      <c r="AU1882" s="71" t="s">
        <v>242</v>
      </c>
    </row>
    <row r="1883" spans="15:47" ht="13" x14ac:dyDescent="0.3">
      <c r="O1883" s="6" t="s">
        <v>231</v>
      </c>
      <c r="P1883" s="6"/>
      <c r="Q1883" s="60"/>
      <c r="R1883" s="85">
        <f>P_1_minQ-(R1881^2*R_up)+dpup_minQ</f>
        <v>56.899378360053738</v>
      </c>
      <c r="S1883" s="56"/>
      <c r="T1883" s="72"/>
      <c r="U1883" s="53">
        <f>P_1_minQ-(U1881^2*R_up)+dpup_minQ</f>
        <v>56.152685473357053</v>
      </c>
      <c r="V1883" s="44"/>
      <c r="W1883" s="72"/>
      <c r="X1883" s="53">
        <f>P_1_minQ-(X1881^2*R_up)+dpup_minQ</f>
        <v>52.517215965355071</v>
      </c>
      <c r="Y1883" s="44"/>
      <c r="Z1883" s="72"/>
      <c r="AA1883" s="53">
        <f>P_1_minQ-(AA1881^2*R_up)+dpup_minQ</f>
        <v>40.879060474076965</v>
      </c>
      <c r="AB1883" s="44"/>
      <c r="AC1883" s="72"/>
      <c r="AD1883" s="53">
        <f>P_1_minQ-(AD1881^2*R_up)+dpup_minQ</f>
        <v>13.538820068097767</v>
      </c>
      <c r="AE1883" s="44"/>
      <c r="AF1883" s="72"/>
      <c r="AG1883" s="53">
        <f>P_1_minQ-(AG1881^2*R_up)+dpup_minQ</f>
        <v>-39.239029061394199</v>
      </c>
      <c r="AH1883" s="44"/>
      <c r="AI1883" s="72"/>
      <c r="AJ1883" s="53">
        <f>P_1_minQ-(AJ1881^2*R_up)+dpup_minQ</f>
        <v>-114.32666043988533</v>
      </c>
      <c r="AK1883" s="44"/>
      <c r="AL1883" s="72"/>
      <c r="AM1883" s="53">
        <f>P_1_minQ-(AM1881^2*R_up)+dpup_minQ</f>
        <v>-198.04105677488477</v>
      </c>
      <c r="AN1883" s="44"/>
      <c r="AO1883" s="72"/>
      <c r="AP1883" s="53">
        <f>P_1_minQ-(AP1881^2*R_up)+dpup_minQ</f>
        <v>-286.72764224067777</v>
      </c>
      <c r="AQ1883" s="44"/>
      <c r="AR1883" s="72"/>
      <c r="AS1883" s="53">
        <f>P_1_minQ-(AS1881^2*R_up)+dpup_minQ</f>
        <v>-388.19063998982648</v>
      </c>
      <c r="AT1883" s="44"/>
      <c r="AU1883" s="72"/>
    </row>
    <row r="1884" spans="15:47" ht="13" x14ac:dyDescent="0.3">
      <c r="O1884" s="6" t="s">
        <v>233</v>
      </c>
      <c r="P1884" s="6"/>
      <c r="Q1884" s="60"/>
      <c r="R1884" s="85">
        <f>P_2_minQ+(R1881^2*R_dn)-dpdn_minQ</f>
        <v>24.660124327989255</v>
      </c>
      <c r="S1884" s="66"/>
      <c r="T1884" s="74"/>
      <c r="U1884" s="53">
        <f>P_2_minQ+(U1881^2*R_dn)-dpdn_minQ</f>
        <v>24.809462905328591</v>
      </c>
      <c r="V1884" s="45"/>
      <c r="W1884" s="74"/>
      <c r="X1884" s="53">
        <f>P_2_minQ+(X1881^2*R_dn)-dpdn_minQ</f>
        <v>25.536556806928989</v>
      </c>
      <c r="Y1884" s="45"/>
      <c r="Z1884" s="74"/>
      <c r="AA1884" s="53">
        <f>P_2_minQ+(AA1881^2*R_dn)-dpdn_minQ</f>
        <v>27.864187905184608</v>
      </c>
      <c r="AB1884" s="45"/>
      <c r="AC1884" s="74"/>
      <c r="AD1884" s="53">
        <f>P_2_minQ+(AD1881^2*R_dn)-dpdn_minQ</f>
        <v>33.332235986380454</v>
      </c>
      <c r="AE1884" s="45"/>
      <c r="AF1884" s="74"/>
      <c r="AG1884" s="53">
        <f>P_2_minQ+(AG1881^2*R_dn)-dpdn_minQ</f>
        <v>43.887805812278842</v>
      </c>
      <c r="AH1884" s="45"/>
      <c r="AI1884" s="74"/>
      <c r="AJ1884" s="53">
        <f>P_2_minQ+(AJ1881^2*R_dn)-dpdn_minQ</f>
        <v>58.905332087977065</v>
      </c>
      <c r="AK1884" s="45"/>
      <c r="AL1884" s="74"/>
      <c r="AM1884" s="53">
        <f>P_2_minQ+(AM1881^2*R_dn)-dpdn_minQ</f>
        <v>75.648211354976951</v>
      </c>
      <c r="AN1884" s="45"/>
      <c r="AO1884" s="74"/>
      <c r="AP1884" s="53">
        <f>P_2_minQ+(AP1881^2*R_dn)-dpdn_minQ</f>
        <v>93.385528448135545</v>
      </c>
      <c r="AQ1884" s="45"/>
      <c r="AR1884" s="74"/>
      <c r="AS1884" s="53">
        <f>P_2_minQ+(AS1881^2*R_dn)-dpdn_minQ</f>
        <v>113.67812799796529</v>
      </c>
      <c r="AT1884" s="45"/>
      <c r="AU1884" s="74"/>
    </row>
    <row r="1885" spans="15:47" x14ac:dyDescent="0.25">
      <c r="O1885" s="6" t="s">
        <v>243</v>
      </c>
      <c r="Q1885" s="60"/>
      <c r="R1885" s="53">
        <f>R1883-R1884</f>
        <v>32.23925403206448</v>
      </c>
      <c r="S1885" s="56"/>
      <c r="T1885" s="72"/>
      <c r="U1885" s="64">
        <f>U1883-U1884</f>
        <v>31.343222568028462</v>
      </c>
      <c r="V1885" s="44"/>
      <c r="W1885" s="72"/>
      <c r="X1885" s="64">
        <f>X1883-X1884</f>
        <v>26.980659158426082</v>
      </c>
      <c r="Y1885" s="44"/>
      <c r="Z1885" s="72"/>
      <c r="AA1885" s="64">
        <f>AA1883-AA1884</f>
        <v>13.014872568892358</v>
      </c>
      <c r="AB1885" s="44"/>
      <c r="AC1885" s="72"/>
      <c r="AD1885" s="64">
        <f>AD1883-AD1884</f>
        <v>-19.793415918282687</v>
      </c>
      <c r="AE1885" s="44"/>
      <c r="AF1885" s="72"/>
      <c r="AG1885" s="64">
        <f>AG1883-AG1884</f>
        <v>-83.126834873673033</v>
      </c>
      <c r="AH1885" s="44"/>
      <c r="AI1885" s="72"/>
      <c r="AJ1885" s="64">
        <f>AJ1883-AJ1884</f>
        <v>-173.23199252786239</v>
      </c>
      <c r="AK1885" s="44"/>
      <c r="AL1885" s="72"/>
      <c r="AM1885" s="64">
        <f>AM1883-AM1884</f>
        <v>-273.68926812986172</v>
      </c>
      <c r="AN1885" s="44"/>
      <c r="AO1885" s="72"/>
      <c r="AP1885" s="64">
        <f>AP1883-AP1884</f>
        <v>-380.11317068881328</v>
      </c>
      <c r="AQ1885" s="44"/>
      <c r="AR1885" s="72"/>
      <c r="AS1885" s="64">
        <f>AS1883-AS1884</f>
        <v>-501.86876798779178</v>
      </c>
      <c r="AT1885" s="44"/>
      <c r="AU1885" s="72"/>
    </row>
    <row r="1886" spans="15:47" ht="13" x14ac:dyDescent="0.3">
      <c r="O1886" s="6" t="s">
        <v>75</v>
      </c>
      <c r="P1886" s="6">
        <v>3</v>
      </c>
      <c r="Q1886" s="65"/>
      <c r="R1886" s="85">
        <f>(F_LP_h/F_P_h)^2*(R1883-('Valve Sizing'!$V$4*'Valve Sizing'!$G$7))</f>
        <v>46.751281078507049</v>
      </c>
      <c r="S1886" s="58"/>
      <c r="T1886" s="73"/>
      <c r="U1886" s="53">
        <f>(U$29/U$27)^2*(U1883-('Valve Sizing'!$V$4*'Valve Sizing'!$G$7))</f>
        <v>46.120406229873183</v>
      </c>
      <c r="V1886" s="41"/>
      <c r="W1886" s="73"/>
      <c r="X1886" s="53">
        <f>(X$29/X$27)^2*(X1883-('Valve Sizing'!$V$4*'Valve Sizing'!$G$7))</f>
        <v>42.138418284797041</v>
      </c>
      <c r="Y1886" s="41"/>
      <c r="Z1886" s="73"/>
      <c r="AA1886" s="53">
        <f>(AA$29/AA$27)^2*(AA1883-('Valve Sizing'!$V$4*'Valve Sizing'!$G$7))</f>
        <v>31.251149002094436</v>
      </c>
      <c r="AB1886" s="41"/>
      <c r="AC1886" s="73"/>
      <c r="AD1886" s="53">
        <f>(AD$29/AD$27)^2*(AD1883-('Valve Sizing'!$V$4*'Valve Sizing'!$G$7))</f>
        <v>9.4466624918446982</v>
      </c>
      <c r="AE1886" s="41"/>
      <c r="AF1886" s="73"/>
      <c r="AG1886" s="53">
        <f>(AG$29/AG$27)^2*(AG1883-('Valve Sizing'!$V$4*'Valve Sizing'!$G$7))</f>
        <v>-25.555075797154153</v>
      </c>
      <c r="AH1886" s="41"/>
      <c r="AI1886" s="73"/>
      <c r="AJ1886" s="53">
        <f>(AJ$29/AJ$27)^2*(AJ1883-('Valve Sizing'!$V$4*'Valve Sizing'!$G$7))</f>
        <v>-66.37697663659381</v>
      </c>
      <c r="AK1886" s="41"/>
      <c r="AL1886" s="73"/>
      <c r="AM1886" s="53">
        <f>(AM$29/AM$27)^2*(AM1883-('Valve Sizing'!$V$4*'Valve Sizing'!$G$7))</f>
        <v>-94.967685424302516</v>
      </c>
      <c r="AN1886" s="41"/>
      <c r="AO1886" s="73"/>
      <c r="AP1886" s="53">
        <f>(AP$29/AP$27)^2*(AP1883-('Valve Sizing'!$V$4*'Valve Sizing'!$G$7))</f>
        <v>-113.32407833514925</v>
      </c>
      <c r="AQ1886" s="41"/>
      <c r="AR1886" s="73"/>
      <c r="AS1886" s="53">
        <f>(AS$29/AS$27)^2*(AS1883-('Valve Sizing'!$V$4*'Valve Sizing'!$G$7))</f>
        <v>-146.17985923049727</v>
      </c>
      <c r="AT1886" s="41"/>
      <c r="AU1886" s="73"/>
    </row>
    <row r="1887" spans="15:47" ht="13" x14ac:dyDescent="0.25">
      <c r="O1887" s="1" t="s">
        <v>69</v>
      </c>
      <c r="P1887" s="17">
        <v>7</v>
      </c>
      <c r="Q1887" s="65"/>
      <c r="R1887" s="53">
        <f>(R1881/(N_1*F_P_h))*SQRT('Valve Sizing'!$G$6/R1885)</f>
        <v>3.9245501171806016</v>
      </c>
      <c r="S1887" s="58"/>
      <c r="T1887" s="73"/>
      <c r="U1887" s="64">
        <f>(U1881/(N_1*U$27))*SQRT('Valve Sizing'!$G$6/U1885)</f>
        <v>26.878532072860857</v>
      </c>
      <c r="V1887" s="41"/>
      <c r="W1887" s="73"/>
      <c r="X1887" s="64">
        <f>(X1881/(N_1*X$27))*SQRT('Valve Sizing'!$G$6/X1885)</f>
        <v>69.69580399024268</v>
      </c>
      <c r="Y1887" s="41"/>
      <c r="Z1887" s="73"/>
      <c r="AA1887" s="64">
        <f>(AA1881/(N_1*AA$27))*SQRT('Valve Sizing'!$G$6/AA1885)</f>
        <v>192.70526084553811</v>
      </c>
      <c r="AB1887" s="41"/>
      <c r="AC1887" s="73"/>
      <c r="AD1887" s="64" t="e">
        <f>(AD1881/(N_1*AD$27))*SQRT('Valve Sizing'!$G$6/AD1885)</f>
        <v>#NUM!</v>
      </c>
      <c r="AE1887" s="41"/>
      <c r="AF1887" s="73"/>
      <c r="AG1887" s="64" t="e">
        <f>(AG1881/(N_1*AG$27))*SQRT('Valve Sizing'!$G$6/AG1885)</f>
        <v>#NUM!</v>
      </c>
      <c r="AH1887" s="41"/>
      <c r="AI1887" s="73"/>
      <c r="AJ1887" s="64" t="e">
        <f>(AJ1881/(N_1*AJ$27))*SQRT('Valve Sizing'!$G$6/AJ1885)</f>
        <v>#NUM!</v>
      </c>
      <c r="AK1887" s="41"/>
      <c r="AL1887" s="73"/>
      <c r="AM1887" s="64" t="e">
        <f>(AM1881/(N_1*AM$27))*SQRT('Valve Sizing'!$G$6/AM1885)</f>
        <v>#NUM!</v>
      </c>
      <c r="AN1887" s="41"/>
      <c r="AO1887" s="73"/>
      <c r="AP1887" s="64" t="e">
        <f>(AP1881/(N_1*AP$27))*SQRT('Valve Sizing'!$G$6/AP1885)</f>
        <v>#NUM!</v>
      </c>
      <c r="AQ1887" s="41"/>
      <c r="AR1887" s="73"/>
      <c r="AS1887" s="64" t="e">
        <f>(AS1881/(N_1*AS$27))*SQRT('Valve Sizing'!$G$6/AS1885)</f>
        <v>#NUM!</v>
      </c>
      <c r="AT1887" s="41"/>
      <c r="AU1887" s="73"/>
    </row>
    <row r="1888" spans="15:47" ht="13" x14ac:dyDescent="0.3">
      <c r="O1888" s="1" t="s">
        <v>72</v>
      </c>
      <c r="P1888" s="17">
        <v>7</v>
      </c>
      <c r="Q1888" s="65"/>
      <c r="R1888" s="53">
        <f>(R1881/(N_1*F_P_h))*SQRT('Valve Sizing'!$G$6/R1886)</f>
        <v>3.2590094042905511</v>
      </c>
      <c r="S1888" s="56"/>
      <c r="T1888" s="72"/>
      <c r="U1888" s="85">
        <f>(U1881/(N_1*U$27))*SQRT('Valve Sizing'!$G$6/U1886)</f>
        <v>22.158012758272246</v>
      </c>
      <c r="V1888" s="44"/>
      <c r="W1888" s="72"/>
      <c r="X1888" s="85">
        <f>(X1881/(N_1*X$27))*SQRT('Valve Sizing'!$G$6/X1886)</f>
        <v>55.769120459824158</v>
      </c>
      <c r="Y1888" s="44"/>
      <c r="Z1888" s="72"/>
      <c r="AA1888" s="85">
        <f>(AA1881/(N_1*AA$27))*SQRT('Valve Sizing'!$G$6/AA1886)</f>
        <v>124.35994931401825</v>
      </c>
      <c r="AB1888" s="44"/>
      <c r="AC1888" s="72"/>
      <c r="AD1888" s="85">
        <f>(AD1881/(N_1*AD$27))*SQRT('Valve Sizing'!$G$6/AD1886)</f>
        <v>376.67623720023954</v>
      </c>
      <c r="AE1888" s="44"/>
      <c r="AF1888" s="72"/>
      <c r="AG1888" s="85" t="e">
        <f>(AG1881/(N_1*AG$27))*SQRT('Valve Sizing'!$G$6/AG1886)</f>
        <v>#NUM!</v>
      </c>
      <c r="AH1888" s="44"/>
      <c r="AI1888" s="72"/>
      <c r="AJ1888" s="85" t="e">
        <f>(AJ1881/(N_1*AJ$27))*SQRT('Valve Sizing'!$G$6/AJ1886)</f>
        <v>#NUM!</v>
      </c>
      <c r="AK1888" s="44"/>
      <c r="AL1888" s="72"/>
      <c r="AM1888" s="85" t="e">
        <f>(AM1881/(N_1*AM$27))*SQRT('Valve Sizing'!$G$6/AM1886)</f>
        <v>#NUM!</v>
      </c>
      <c r="AN1888" s="44"/>
      <c r="AO1888" s="72"/>
      <c r="AP1888" s="85" t="e">
        <f>(AP1881/(N_1*AP$27))*SQRT('Valve Sizing'!$G$6/AP1886)</f>
        <v>#NUM!</v>
      </c>
      <c r="AQ1888" s="44"/>
      <c r="AR1888" s="72"/>
      <c r="AS1888" s="85" t="e">
        <f>(AS1881/(N_1*AS$27))*SQRT('Valve Sizing'!$G$6/AS1886)</f>
        <v>#NUM!</v>
      </c>
      <c r="AT1888" s="44"/>
      <c r="AU1888" s="72"/>
    </row>
    <row r="1889" spans="15:47" x14ac:dyDescent="0.25">
      <c r="O1889" s="1" t="s">
        <v>246</v>
      </c>
      <c r="P1889" s="18"/>
      <c r="Q1889" s="65"/>
      <c r="R1889" s="53">
        <f>IF(R1885&lt;R1886,R1887,R1888)</f>
        <v>3.9245501171806016</v>
      </c>
      <c r="S1889" s="49"/>
      <c r="T1889" s="72"/>
      <c r="U1889" s="64">
        <f>IF(U1885&lt;U1886,U1887,U1888)</f>
        <v>26.878532072860857</v>
      </c>
      <c r="V1889" s="44"/>
      <c r="W1889" s="72"/>
      <c r="X1889" s="64">
        <f>IF(X1885&lt;X1886,X1887,X1888)</f>
        <v>69.69580399024268</v>
      </c>
      <c r="Y1889" s="44"/>
      <c r="Z1889" s="72"/>
      <c r="AA1889" s="64">
        <f>IF(AA1885&lt;AA1886,AA1887,AA1888)</f>
        <v>192.70526084553811</v>
      </c>
      <c r="AB1889" s="44"/>
      <c r="AC1889" s="72"/>
      <c r="AD1889" s="64" t="e">
        <f>IF(AD1885&lt;AD1886,AD1887,AD1888)</f>
        <v>#NUM!</v>
      </c>
      <c r="AE1889" s="44"/>
      <c r="AF1889" s="72"/>
      <c r="AG1889" s="64" t="e">
        <f>IF(AG1885&lt;AG1886,AG1887,AG1888)</f>
        <v>#NUM!</v>
      </c>
      <c r="AH1889" s="44"/>
      <c r="AI1889" s="72"/>
      <c r="AJ1889" s="64" t="e">
        <f>IF(AJ1885&lt;AJ1886,AJ1887,AJ1888)</f>
        <v>#NUM!</v>
      </c>
      <c r="AK1889" s="44"/>
      <c r="AL1889" s="72"/>
      <c r="AM1889" s="64" t="e">
        <f>IF(AM1885&lt;AM1886,AM1887,AM1888)</f>
        <v>#NUM!</v>
      </c>
      <c r="AN1889" s="44"/>
      <c r="AO1889" s="72"/>
      <c r="AP1889" s="64" t="e">
        <f>IF(AP1885&lt;AP1886,AP1887,AP1888)</f>
        <v>#NUM!</v>
      </c>
      <c r="AQ1889" s="44"/>
      <c r="AR1889" s="72"/>
      <c r="AS1889" s="64" t="e">
        <f>IF(AS1885&lt;AS1886,AS1887,AS1888)</f>
        <v>#NUM!</v>
      </c>
      <c r="AT1889" s="44"/>
      <c r="AU1889" s="72"/>
    </row>
    <row r="1890" spans="15:47" ht="13" x14ac:dyDescent="0.3">
      <c r="O1890" s="7" t="s">
        <v>264</v>
      </c>
      <c r="Q1890" s="61"/>
      <c r="R1890" s="53"/>
      <c r="S1890" s="69">
        <f>IFERROR(ABS(C_h-R1889),Q_max*10)</f>
        <v>1.0754498828193984</v>
      </c>
      <c r="T1890" s="76">
        <f>R1881</f>
        <v>22.280187584685301</v>
      </c>
      <c r="U1890" s="61"/>
      <c r="V1890" s="69">
        <f>IFERROR(ABS(U$23-U1889),Q_max*10)</f>
        <v>14.878532072860857</v>
      </c>
      <c r="W1890" s="75">
        <f>U1881</f>
        <v>150.35286207418122</v>
      </c>
      <c r="X1890" s="61"/>
      <c r="Y1890" s="69">
        <f>IFERROR(ABS(X$23-X1889),Q_max*10)</f>
        <v>46.69580399024268</v>
      </c>
      <c r="Z1890" s="75">
        <f>X1881</f>
        <v>360.90474541883805</v>
      </c>
      <c r="AA1890" s="61"/>
      <c r="AB1890" s="69">
        <f>IFERROR(ABS(AA$23-AA1889),Q_max*10)</f>
        <v>153.70526084553811</v>
      </c>
      <c r="AC1890" s="75">
        <f>AA1881</f>
        <v>689.09942632582499</v>
      </c>
      <c r="AD1890" s="61"/>
      <c r="AE1890" s="69">
        <f>IFERROR(ABS(AD$23-AD1889),Q_max*10)</f>
        <v>5500</v>
      </c>
      <c r="AF1890" s="75">
        <f>AD1881</f>
        <v>1133.3148449498158</v>
      </c>
      <c r="AG1890" s="61"/>
      <c r="AH1890" s="69">
        <f>IFERROR(ABS(AG$23-AG1889),Q_max*10)</f>
        <v>5500</v>
      </c>
      <c r="AI1890" s="75">
        <f>AG1881</f>
        <v>1687.3513713829382</v>
      </c>
      <c r="AJ1890" s="61"/>
      <c r="AK1890" s="69">
        <f>IFERROR(ABS(AJ$23-AJ1889),Q_max*10)</f>
        <v>5500</v>
      </c>
      <c r="AL1890" s="75">
        <f>AJ1881</f>
        <v>2251.7769462415686</v>
      </c>
      <c r="AM1890" s="61"/>
      <c r="AN1890" s="69">
        <f>IFERROR(ABS(AM$23-AM1889),Q_max*10)</f>
        <v>5500</v>
      </c>
      <c r="AO1890" s="75">
        <f>AM1881</f>
        <v>2747.5958019884106</v>
      </c>
      <c r="AP1890" s="61"/>
      <c r="AQ1890" s="69">
        <f>IFERROR(ABS(AP$23-AP1889),Q_max*10)</f>
        <v>5500</v>
      </c>
      <c r="AR1890" s="75">
        <f>AP1881</f>
        <v>3189.8734280134795</v>
      </c>
      <c r="AS1890" s="61"/>
      <c r="AT1890" s="69">
        <f>IFERROR(ABS(AS$23-AS1889),Q_max*10)</f>
        <v>5500</v>
      </c>
      <c r="AU1890" s="75">
        <f>AS1881</f>
        <v>3630.3735138548432</v>
      </c>
    </row>
    <row r="1891" spans="15:47" ht="14.5" x14ac:dyDescent="0.35">
      <c r="O1891" s="8"/>
      <c r="P1891" s="6"/>
      <c r="Q1891" s="60"/>
      <c r="R1891" s="67"/>
      <c r="S1891" s="56"/>
      <c r="T1891" s="72"/>
      <c r="V1891" s="11"/>
      <c r="W1891" s="38"/>
      <c r="Y1891" s="11"/>
      <c r="Z1891" s="38"/>
      <c r="AB1891" s="11"/>
      <c r="AC1891" s="38"/>
      <c r="AE1891" s="11"/>
      <c r="AF1891" s="38"/>
      <c r="AH1891" s="11"/>
      <c r="AI1891" s="38"/>
      <c r="AK1891" s="11"/>
      <c r="AL1891" s="38"/>
      <c r="AN1891" s="11"/>
      <c r="AO1891" s="38"/>
      <c r="AQ1891" s="11"/>
      <c r="AR1891" s="38"/>
      <c r="AT1891" s="11"/>
      <c r="AU1891" s="38"/>
    </row>
    <row r="1892" spans="15:47" ht="14" x14ac:dyDescent="0.3">
      <c r="O1892" s="8" t="s">
        <v>235</v>
      </c>
      <c r="P1892" s="6"/>
      <c r="Q1892" s="60"/>
      <c r="R1892" s="53">
        <f>R1881*1.02</f>
        <v>22.725791336379007</v>
      </c>
      <c r="S1892" s="58" t="s">
        <v>238</v>
      </c>
      <c r="T1892" s="73" t="s">
        <v>241</v>
      </c>
      <c r="U1892" s="84">
        <f>U1881*1.01</f>
        <v>151.85639069492302</v>
      </c>
      <c r="V1892" s="58" t="s">
        <v>238</v>
      </c>
      <c r="W1892" s="73" t="s">
        <v>241</v>
      </c>
      <c r="X1892" s="84">
        <f>X1881*1.01</f>
        <v>364.51379287302643</v>
      </c>
      <c r="Y1892" s="58" t="s">
        <v>238</v>
      </c>
      <c r="Z1892" s="73" t="s">
        <v>241</v>
      </c>
      <c r="AA1892" s="84">
        <f>AA1881*1.01</f>
        <v>695.99042058908321</v>
      </c>
      <c r="AB1892" s="58" t="s">
        <v>238</v>
      </c>
      <c r="AC1892" s="73" t="s">
        <v>241</v>
      </c>
      <c r="AD1892" s="84">
        <f>AD1881*1.01</f>
        <v>1144.6479933993139</v>
      </c>
      <c r="AE1892" s="58" t="s">
        <v>238</v>
      </c>
      <c r="AF1892" s="73" t="s">
        <v>241</v>
      </c>
      <c r="AG1892" s="84">
        <f>AG1881*1.01</f>
        <v>1704.2248850967676</v>
      </c>
      <c r="AH1892" s="58" t="s">
        <v>238</v>
      </c>
      <c r="AI1892" s="73" t="s">
        <v>241</v>
      </c>
      <c r="AJ1892" s="84">
        <f>AJ1881*1.01</f>
        <v>2274.2947157039844</v>
      </c>
      <c r="AK1892" s="58" t="s">
        <v>238</v>
      </c>
      <c r="AL1892" s="73" t="s">
        <v>241</v>
      </c>
      <c r="AM1892" s="84">
        <f>AM1881*1.01</f>
        <v>2775.0717600082949</v>
      </c>
      <c r="AN1892" s="58" t="s">
        <v>238</v>
      </c>
      <c r="AO1892" s="73" t="s">
        <v>241</v>
      </c>
      <c r="AP1892" s="84">
        <f>AP1881*1.01</f>
        <v>3221.7721622936142</v>
      </c>
      <c r="AQ1892" s="58" t="s">
        <v>238</v>
      </c>
      <c r="AR1892" s="73" t="s">
        <v>241</v>
      </c>
      <c r="AS1892" s="84">
        <f>AS1881*1.01</f>
        <v>3666.6772489933915</v>
      </c>
      <c r="AT1892" s="58" t="s">
        <v>238</v>
      </c>
      <c r="AU1892" s="73" t="s">
        <v>241</v>
      </c>
    </row>
    <row r="1893" spans="15:47" ht="13" x14ac:dyDescent="0.25">
      <c r="O1893" s="6"/>
      <c r="P1893" s="6"/>
      <c r="Q1893" s="60"/>
      <c r="R1893" s="70"/>
      <c r="S1893" s="63" t="s">
        <v>250</v>
      </c>
      <c r="T1893" s="71" t="s">
        <v>242</v>
      </c>
      <c r="U1893" s="61"/>
      <c r="V1893" s="63" t="s">
        <v>250</v>
      </c>
      <c r="W1893" s="71" t="s">
        <v>242</v>
      </c>
      <c r="X1893" s="61"/>
      <c r="Y1893" s="63" t="s">
        <v>250</v>
      </c>
      <c r="Z1893" s="71" t="s">
        <v>242</v>
      </c>
      <c r="AA1893" s="61"/>
      <c r="AB1893" s="63" t="s">
        <v>250</v>
      </c>
      <c r="AC1893" s="71" t="s">
        <v>242</v>
      </c>
      <c r="AD1893" s="61"/>
      <c r="AE1893" s="63" t="s">
        <v>250</v>
      </c>
      <c r="AF1893" s="71" t="s">
        <v>242</v>
      </c>
      <c r="AG1893" s="61"/>
      <c r="AH1893" s="63" t="s">
        <v>250</v>
      </c>
      <c r="AI1893" s="71" t="s">
        <v>242</v>
      </c>
      <c r="AJ1893" s="61"/>
      <c r="AK1893" s="63" t="s">
        <v>250</v>
      </c>
      <c r="AL1893" s="71" t="s">
        <v>242</v>
      </c>
      <c r="AM1893" s="61"/>
      <c r="AN1893" s="63" t="s">
        <v>250</v>
      </c>
      <c r="AO1893" s="71" t="s">
        <v>242</v>
      </c>
      <c r="AP1893" s="61"/>
      <c r="AQ1893" s="63" t="s">
        <v>250</v>
      </c>
      <c r="AR1893" s="71" t="s">
        <v>242</v>
      </c>
      <c r="AS1893" s="61"/>
      <c r="AT1893" s="63" t="s">
        <v>250</v>
      </c>
      <c r="AU1893" s="71" t="s">
        <v>242</v>
      </c>
    </row>
    <row r="1894" spans="15:47" ht="13" x14ac:dyDescent="0.3">
      <c r="O1894" s="6" t="s">
        <v>231</v>
      </c>
      <c r="P1894" s="6"/>
      <c r="Q1894" s="60"/>
      <c r="R1894" s="85">
        <f>P_1_minQ-(R1892^2*R_up)+dpup_minQ</f>
        <v>56.898701060727298</v>
      </c>
      <c r="S1894" s="56"/>
      <c r="T1894" s="72"/>
      <c r="U1894" s="53">
        <f>P_1_minQ-(U1892^2*R_up)+dpup_minQ</f>
        <v>56.13733997315471</v>
      </c>
      <c r="V1894" s="44"/>
      <c r="W1894" s="72"/>
      <c r="X1894" s="53">
        <f>P_1_minQ-(X1892^2*R_up)+dpup_minQ</f>
        <v>52.428797528041891</v>
      </c>
      <c r="Y1894" s="44"/>
      <c r="Z1894" s="72"/>
      <c r="AA1894" s="53">
        <f>P_1_minQ-(AA1892^2*R_up)+dpup_minQ</f>
        <v>40.556715111389089</v>
      </c>
      <c r="AB1894" s="44"/>
      <c r="AC1894" s="72"/>
      <c r="AD1894" s="53">
        <f>P_1_minQ-(AD1892^2*R_up)+dpup_minQ</f>
        <v>12.666935873249717</v>
      </c>
      <c r="AE1894" s="44"/>
      <c r="AF1894" s="72"/>
      <c r="AG1894" s="53">
        <f>P_1_minQ-(AG1892^2*R_up)+dpup_minQ</f>
        <v>-41.171748023745046</v>
      </c>
      <c r="AH1894" s="44"/>
      <c r="AI1894" s="72"/>
      <c r="AJ1894" s="53">
        <f>P_1_minQ-(AJ1892^2*R_up)+dpup_minQ</f>
        <v>-117.76864079294384</v>
      </c>
      <c r="AK1894" s="44"/>
      <c r="AL1894" s="72"/>
      <c r="AM1894" s="53">
        <f>P_1_minQ-(AM1892^2*R_up)+dpup_minQ</f>
        <v>-203.16569649427683</v>
      </c>
      <c r="AN1894" s="44"/>
      <c r="AO1894" s="72"/>
      <c r="AP1894" s="53">
        <f>P_1_minQ-(AP1892^2*R_up)+dpup_minQ</f>
        <v>-293.63488232793213</v>
      </c>
      <c r="AQ1894" s="44"/>
      <c r="AR1894" s="72"/>
      <c r="AS1894" s="53">
        <f>P_1_minQ-(AS1892^2*R_up)+dpup_minQ</f>
        <v>-397.13728633183877</v>
      </c>
      <c r="AT1894" s="44"/>
      <c r="AU1894" s="72"/>
    </row>
    <row r="1895" spans="15:47" ht="13" x14ac:dyDescent="0.3">
      <c r="O1895" s="6" t="s">
        <v>233</v>
      </c>
      <c r="P1895" s="6"/>
      <c r="Q1895" s="60"/>
      <c r="R1895" s="85">
        <f>P_2_minQ+(R1892^2*R_dn)-dpdn_minQ</f>
        <v>24.660259787854542</v>
      </c>
      <c r="S1895" s="66"/>
      <c r="T1895" s="74"/>
      <c r="U1895" s="53">
        <f>P_2_minQ+(U1892^2*R_dn)-dpdn_minQ</f>
        <v>24.812532005369061</v>
      </c>
      <c r="V1895" s="45"/>
      <c r="W1895" s="74"/>
      <c r="X1895" s="53">
        <f>P_2_minQ+(X1892^2*R_dn)-dpdn_minQ</f>
        <v>25.554240494391625</v>
      </c>
      <c r="Y1895" s="45"/>
      <c r="Z1895" s="74"/>
      <c r="AA1895" s="53">
        <f>P_2_minQ+(AA1892^2*R_dn)-dpdn_minQ</f>
        <v>27.928656977722181</v>
      </c>
      <c r="AB1895" s="45"/>
      <c r="AC1895" s="74"/>
      <c r="AD1895" s="53">
        <f>P_2_minQ+(AD1892^2*R_dn)-dpdn_minQ</f>
        <v>33.506612825350061</v>
      </c>
      <c r="AE1895" s="45"/>
      <c r="AF1895" s="74"/>
      <c r="AG1895" s="53">
        <f>P_2_minQ+(AG1892^2*R_dn)-dpdn_minQ</f>
        <v>44.274349604749013</v>
      </c>
      <c r="AH1895" s="45"/>
      <c r="AI1895" s="74"/>
      <c r="AJ1895" s="53">
        <f>P_2_minQ+(AJ1892^2*R_dn)-dpdn_minQ</f>
        <v>59.593728158588767</v>
      </c>
      <c r="AK1895" s="45"/>
      <c r="AL1895" s="74"/>
      <c r="AM1895" s="53">
        <f>P_2_minQ+(AM1892^2*R_dn)-dpdn_minQ</f>
        <v>76.673139298855347</v>
      </c>
      <c r="AN1895" s="45"/>
      <c r="AO1895" s="74"/>
      <c r="AP1895" s="53">
        <f>P_2_minQ+(AP1892^2*R_dn)-dpdn_minQ</f>
        <v>94.766976465586424</v>
      </c>
      <c r="AQ1895" s="45"/>
      <c r="AR1895" s="74"/>
      <c r="AS1895" s="53">
        <f>P_2_minQ+(AS1892^2*R_dn)-dpdn_minQ</f>
        <v>115.46745726636775</v>
      </c>
      <c r="AT1895" s="45"/>
      <c r="AU1895" s="74"/>
    </row>
    <row r="1896" spans="15:47" x14ac:dyDescent="0.25">
      <c r="O1896" s="6" t="s">
        <v>243</v>
      </c>
      <c r="Q1896" s="60"/>
      <c r="R1896" s="53">
        <f>R1894-R1895</f>
        <v>32.238441272872755</v>
      </c>
      <c r="S1896" s="56"/>
      <c r="T1896" s="72"/>
      <c r="U1896" s="64">
        <f>U1894-U1895</f>
        <v>31.324807967785649</v>
      </c>
      <c r="V1896" s="44"/>
      <c r="W1896" s="72"/>
      <c r="X1896" s="64">
        <f>X1894-X1895</f>
        <v>26.874557033650266</v>
      </c>
      <c r="Y1896" s="44"/>
      <c r="Z1896" s="72"/>
      <c r="AA1896" s="64">
        <f>AA1894-AA1895</f>
        <v>12.628058133666908</v>
      </c>
      <c r="AB1896" s="44"/>
      <c r="AC1896" s="72"/>
      <c r="AD1896" s="64">
        <f>AD1894-AD1895</f>
        <v>-20.839676952100344</v>
      </c>
      <c r="AE1896" s="44"/>
      <c r="AF1896" s="72"/>
      <c r="AG1896" s="64">
        <f>AG1894-AG1895</f>
        <v>-85.446097628494059</v>
      </c>
      <c r="AH1896" s="44"/>
      <c r="AI1896" s="72"/>
      <c r="AJ1896" s="64">
        <f>AJ1894-AJ1895</f>
        <v>-177.3623689515326</v>
      </c>
      <c r="AK1896" s="44"/>
      <c r="AL1896" s="72"/>
      <c r="AM1896" s="64">
        <f>AM1894-AM1895</f>
        <v>-279.83883579313215</v>
      </c>
      <c r="AN1896" s="44"/>
      <c r="AO1896" s="72"/>
      <c r="AP1896" s="64">
        <f>AP1894-AP1895</f>
        <v>-388.40185879351856</v>
      </c>
      <c r="AQ1896" s="44"/>
      <c r="AR1896" s="72"/>
      <c r="AS1896" s="64">
        <f>AS1894-AS1895</f>
        <v>-512.60474359820648</v>
      </c>
      <c r="AT1896" s="44"/>
      <c r="AU1896" s="72"/>
    </row>
    <row r="1897" spans="15:47" ht="13" x14ac:dyDescent="0.3">
      <c r="O1897" s="6" t="s">
        <v>75</v>
      </c>
      <c r="P1897" s="6">
        <v>3</v>
      </c>
      <c r="Q1897" s="65"/>
      <c r="R1897" s="85">
        <f>(F_LP_h/F_P_h)^2*(R1894-('Valve Sizing'!$V$4*'Valve Sizing'!$G$7))</f>
        <v>46.750720239113356</v>
      </c>
      <c r="S1897" s="58"/>
      <c r="T1897" s="73"/>
      <c r="U1897" s="53">
        <f>(U$29/U$27)^2*(U1894-('Valve Sizing'!$V$4*'Valve Sizing'!$G$7))</f>
        <v>46.107702813591736</v>
      </c>
      <c r="V1897" s="41"/>
      <c r="W1897" s="73"/>
      <c r="X1897" s="53">
        <f>(X$29/X$27)^2*(X1894-('Valve Sizing'!$V$4*'Valve Sizing'!$G$7))</f>
        <v>42.066874191043205</v>
      </c>
      <c r="Y1897" s="41"/>
      <c r="Z1897" s="73"/>
      <c r="AA1897" s="53">
        <f>(AA$29/AA$27)^2*(AA1894-('Valve Sizing'!$V$4*'Valve Sizing'!$G$7))</f>
        <v>31.002041401493113</v>
      </c>
      <c r="AB1897" s="41"/>
      <c r="AC1897" s="73"/>
      <c r="AD1897" s="53">
        <f>(AD$29/AD$27)^2*(AD1894-('Valve Sizing'!$V$4*'Valve Sizing'!$G$7))</f>
        <v>8.8178705900047678</v>
      </c>
      <c r="AE1897" s="41"/>
      <c r="AF1897" s="73"/>
      <c r="AG1897" s="53">
        <f>(AG$29/AG$27)^2*(AG1894-('Valve Sizing'!$V$4*'Valve Sizing'!$G$7))</f>
        <v>-26.799831754193093</v>
      </c>
      <c r="AH1897" s="41"/>
      <c r="AI1897" s="73"/>
      <c r="AJ1897" s="53">
        <f>(AJ$29/AJ$27)^2*(AJ1894-('Valve Sizing'!$V$4*'Valve Sizing'!$G$7))</f>
        <v>-68.367695315696409</v>
      </c>
      <c r="AK1897" s="41"/>
      <c r="AL1897" s="73"/>
      <c r="AM1897" s="53">
        <f>(AM$29/AM$27)^2*(AM1894-('Valve Sizing'!$V$4*'Valve Sizing'!$G$7))</f>
        <v>-97.419682805251355</v>
      </c>
      <c r="AN1897" s="41"/>
      <c r="AO1897" s="73"/>
      <c r="AP1897" s="53">
        <f>(AP$29/AP$27)^2*(AP1894-('Valve Sizing'!$V$4*'Valve Sizing'!$G$7))</f>
        <v>-116.0498605765852</v>
      </c>
      <c r="AQ1897" s="41"/>
      <c r="AR1897" s="73"/>
      <c r="AS1897" s="53">
        <f>(AS$29/AS$27)^2*(AS1894-('Valve Sizing'!$V$4*'Valve Sizing'!$G$7))</f>
        <v>-149.5450578901478</v>
      </c>
      <c r="AT1897" s="41"/>
      <c r="AU1897" s="73"/>
    </row>
    <row r="1898" spans="15:47" ht="13" x14ac:dyDescent="0.25">
      <c r="O1898" s="1" t="s">
        <v>69</v>
      </c>
      <c r="P1898" s="17">
        <v>7</v>
      </c>
      <c r="Q1898" s="65"/>
      <c r="R1898" s="53">
        <f>(R1892/(N_1*F_P_h))*SQRT('Valve Sizing'!$G$6/R1896)</f>
        <v>4.0030915792832866</v>
      </c>
      <c r="S1898" s="58"/>
      <c r="T1898" s="73"/>
      <c r="U1898" s="64">
        <f>(U1892/(N_1*U$27))*SQRT('Valve Sizing'!$G$6/U1896)</f>
        <v>27.155295631648286</v>
      </c>
      <c r="V1898" s="41"/>
      <c r="W1898" s="73"/>
      <c r="X1898" s="64">
        <f>(X1892/(N_1*X$27))*SQRT('Valve Sizing'!$G$6/X1896)</f>
        <v>70.531582258974822</v>
      </c>
      <c r="Y1898" s="41"/>
      <c r="Z1898" s="73"/>
      <c r="AA1898" s="64">
        <f>(AA1892/(N_1*AA$27))*SQRT('Valve Sizing'!$G$6/AA1896)</f>
        <v>197.59075408213033</v>
      </c>
      <c r="AB1898" s="41"/>
      <c r="AC1898" s="73"/>
      <c r="AD1898" s="64" t="e">
        <f>(AD1892/(N_1*AD$27))*SQRT('Valve Sizing'!$G$6/AD1896)</f>
        <v>#NUM!</v>
      </c>
      <c r="AE1898" s="41"/>
      <c r="AF1898" s="73"/>
      <c r="AG1898" s="64" t="e">
        <f>(AG1892/(N_1*AG$27))*SQRT('Valve Sizing'!$G$6/AG1896)</f>
        <v>#NUM!</v>
      </c>
      <c r="AH1898" s="41"/>
      <c r="AI1898" s="73"/>
      <c r="AJ1898" s="64" t="e">
        <f>(AJ1892/(N_1*AJ$27))*SQRT('Valve Sizing'!$G$6/AJ1896)</f>
        <v>#NUM!</v>
      </c>
      <c r="AK1898" s="41"/>
      <c r="AL1898" s="73"/>
      <c r="AM1898" s="64" t="e">
        <f>(AM1892/(N_1*AM$27))*SQRT('Valve Sizing'!$G$6/AM1896)</f>
        <v>#NUM!</v>
      </c>
      <c r="AN1898" s="41"/>
      <c r="AO1898" s="73"/>
      <c r="AP1898" s="64" t="e">
        <f>(AP1892/(N_1*AP$27))*SQRT('Valve Sizing'!$G$6/AP1896)</f>
        <v>#NUM!</v>
      </c>
      <c r="AQ1898" s="41"/>
      <c r="AR1898" s="73"/>
      <c r="AS1898" s="64" t="e">
        <f>(AS1892/(N_1*AS$27))*SQRT('Valve Sizing'!$G$6/AS1896)</f>
        <v>#NUM!</v>
      </c>
      <c r="AT1898" s="41"/>
      <c r="AU1898" s="73"/>
    </row>
    <row r="1899" spans="15:47" ht="13" x14ac:dyDescent="0.3">
      <c r="O1899" s="1" t="s">
        <v>72</v>
      </c>
      <c r="P1899" s="17">
        <v>7</v>
      </c>
      <c r="Q1899" s="65"/>
      <c r="R1899" s="53">
        <f>(R1892/(N_1*F_P_h))*SQRT('Valve Sizing'!$G$6/R1897)</f>
        <v>3.3242095314369227</v>
      </c>
      <c r="S1899" s="56"/>
      <c r="T1899" s="72"/>
      <c r="U1899" s="85">
        <f>(U1892/(N_1*U$27))*SQRT('Valve Sizing'!$G$6/U1897)</f>
        <v>22.382675643050245</v>
      </c>
      <c r="V1899" s="44"/>
      <c r="W1899" s="72"/>
      <c r="X1899" s="85">
        <f>(X1892/(N_1*X$27))*SQRT('Valve Sizing'!$G$6/X1897)</f>
        <v>56.374689463911089</v>
      </c>
      <c r="Y1899" s="44"/>
      <c r="Z1899" s="72"/>
      <c r="AA1899" s="85">
        <f>(AA1892/(N_1*AA$27))*SQRT('Valve Sizing'!$G$6/AA1897)</f>
        <v>126.10716398179686</v>
      </c>
      <c r="AB1899" s="44"/>
      <c r="AC1899" s="72"/>
      <c r="AD1899" s="85">
        <f>(AD1892/(N_1*AD$27))*SQRT('Valve Sizing'!$G$6/AD1897)</f>
        <v>393.77390850590086</v>
      </c>
      <c r="AE1899" s="44"/>
      <c r="AF1899" s="72"/>
      <c r="AG1899" s="85" t="e">
        <f>(AG1892/(N_1*AG$27))*SQRT('Valve Sizing'!$G$6/AG1897)</f>
        <v>#NUM!</v>
      </c>
      <c r="AH1899" s="44"/>
      <c r="AI1899" s="72"/>
      <c r="AJ1899" s="85" t="e">
        <f>(AJ1892/(N_1*AJ$27))*SQRT('Valve Sizing'!$G$6/AJ1897)</f>
        <v>#NUM!</v>
      </c>
      <c r="AK1899" s="44"/>
      <c r="AL1899" s="72"/>
      <c r="AM1899" s="85" t="e">
        <f>(AM1892/(N_1*AM$27))*SQRT('Valve Sizing'!$G$6/AM1897)</f>
        <v>#NUM!</v>
      </c>
      <c r="AN1899" s="44"/>
      <c r="AO1899" s="72"/>
      <c r="AP1899" s="85" t="e">
        <f>(AP1892/(N_1*AP$27))*SQRT('Valve Sizing'!$G$6/AP1897)</f>
        <v>#NUM!</v>
      </c>
      <c r="AQ1899" s="44"/>
      <c r="AR1899" s="72"/>
      <c r="AS1899" s="85" t="e">
        <f>(AS1892/(N_1*AS$27))*SQRT('Valve Sizing'!$G$6/AS1897)</f>
        <v>#NUM!</v>
      </c>
      <c r="AT1899" s="44"/>
      <c r="AU1899" s="72"/>
    </row>
    <row r="1900" spans="15:47" x14ac:dyDescent="0.25">
      <c r="O1900" s="1" t="s">
        <v>246</v>
      </c>
      <c r="P1900" s="18"/>
      <c r="Q1900" s="65"/>
      <c r="R1900" s="53">
        <f>IF(R1896&lt;R1897,R1898,R1899)</f>
        <v>4.0030915792832866</v>
      </c>
      <c r="S1900" s="49"/>
      <c r="T1900" s="72"/>
      <c r="U1900" s="64">
        <f>IF(U1896&lt;U1897,U1898,U1899)</f>
        <v>27.155295631648286</v>
      </c>
      <c r="V1900" s="44"/>
      <c r="W1900" s="72"/>
      <c r="X1900" s="64">
        <f>IF(X1896&lt;X1897,X1898,X1899)</f>
        <v>70.531582258974822</v>
      </c>
      <c r="Y1900" s="44"/>
      <c r="Z1900" s="72"/>
      <c r="AA1900" s="64">
        <f>IF(AA1896&lt;AA1897,AA1898,AA1899)</f>
        <v>197.59075408213033</v>
      </c>
      <c r="AB1900" s="44"/>
      <c r="AC1900" s="72"/>
      <c r="AD1900" s="64" t="e">
        <f>IF(AD1896&lt;AD1897,AD1898,AD1899)</f>
        <v>#NUM!</v>
      </c>
      <c r="AE1900" s="44"/>
      <c r="AF1900" s="72"/>
      <c r="AG1900" s="64" t="e">
        <f>IF(AG1896&lt;AG1897,AG1898,AG1899)</f>
        <v>#NUM!</v>
      </c>
      <c r="AH1900" s="44"/>
      <c r="AI1900" s="72"/>
      <c r="AJ1900" s="64" t="e">
        <f>IF(AJ1896&lt;AJ1897,AJ1898,AJ1899)</f>
        <v>#NUM!</v>
      </c>
      <c r="AK1900" s="44"/>
      <c r="AL1900" s="72"/>
      <c r="AM1900" s="64" t="e">
        <f>IF(AM1896&lt;AM1897,AM1898,AM1899)</f>
        <v>#NUM!</v>
      </c>
      <c r="AN1900" s="44"/>
      <c r="AO1900" s="72"/>
      <c r="AP1900" s="64" t="e">
        <f>IF(AP1896&lt;AP1897,AP1898,AP1899)</f>
        <v>#NUM!</v>
      </c>
      <c r="AQ1900" s="44"/>
      <c r="AR1900" s="72"/>
      <c r="AS1900" s="64" t="e">
        <f>IF(AS1896&lt;AS1897,AS1898,AS1899)</f>
        <v>#NUM!</v>
      </c>
      <c r="AT1900" s="44"/>
      <c r="AU1900" s="72"/>
    </row>
    <row r="1901" spans="15:47" ht="13" x14ac:dyDescent="0.3">
      <c r="O1901" s="7" t="s">
        <v>264</v>
      </c>
      <c r="Q1901" s="61"/>
      <c r="R1901" s="53"/>
      <c r="S1901" s="69">
        <f>IFERROR(ABS(C_h-R1900),Q_max*10)</f>
        <v>0.99690842071671337</v>
      </c>
      <c r="T1901" s="76">
        <f>R1892</f>
        <v>22.725791336379007</v>
      </c>
      <c r="U1901" s="61"/>
      <c r="V1901" s="69">
        <f>IFERROR(ABS(U$23-U1900),Q_max*10)</f>
        <v>15.155295631648286</v>
      </c>
      <c r="W1901" s="75">
        <f>U1892</f>
        <v>151.85639069492302</v>
      </c>
      <c r="X1901" s="61"/>
      <c r="Y1901" s="69">
        <f>IFERROR(ABS(X$23-X1900),Q_max*10)</f>
        <v>47.531582258974822</v>
      </c>
      <c r="Z1901" s="75">
        <f>X1892</f>
        <v>364.51379287302643</v>
      </c>
      <c r="AA1901" s="61"/>
      <c r="AB1901" s="69">
        <f>IFERROR(ABS(AA$23-AA1900),Q_max*10)</f>
        <v>158.59075408213033</v>
      </c>
      <c r="AC1901" s="75">
        <f>AA1892</f>
        <v>695.99042058908321</v>
      </c>
      <c r="AD1901" s="61"/>
      <c r="AE1901" s="69">
        <f>IFERROR(ABS(AD$23-AD1900),Q_max*10)</f>
        <v>5500</v>
      </c>
      <c r="AF1901" s="75">
        <f>AD1892</f>
        <v>1144.6479933993139</v>
      </c>
      <c r="AG1901" s="61"/>
      <c r="AH1901" s="69">
        <f>IFERROR(ABS(AG$23-AG1900),Q_max*10)</f>
        <v>5500</v>
      </c>
      <c r="AI1901" s="75">
        <f>AG1892</f>
        <v>1704.2248850967676</v>
      </c>
      <c r="AJ1901" s="61"/>
      <c r="AK1901" s="69">
        <f>IFERROR(ABS(AJ$23-AJ1900),Q_max*10)</f>
        <v>5500</v>
      </c>
      <c r="AL1901" s="75">
        <f>AJ1892</f>
        <v>2274.2947157039844</v>
      </c>
      <c r="AM1901" s="61"/>
      <c r="AN1901" s="69">
        <f>IFERROR(ABS(AM$23-AM1900),Q_max*10)</f>
        <v>5500</v>
      </c>
      <c r="AO1901" s="75">
        <f>AM1892</f>
        <v>2775.0717600082949</v>
      </c>
      <c r="AP1901" s="61"/>
      <c r="AQ1901" s="69">
        <f>IFERROR(ABS(AP$23-AP1900),Q_max*10)</f>
        <v>5500</v>
      </c>
      <c r="AR1901" s="75">
        <f>AP1892</f>
        <v>3221.7721622936142</v>
      </c>
      <c r="AS1901" s="61"/>
      <c r="AT1901" s="69">
        <f>IFERROR(ABS(AS$23-AS1900),Q_max*10)</f>
        <v>5500</v>
      </c>
      <c r="AU1901" s="75">
        <f>AS1892</f>
        <v>3666.6772489933915</v>
      </c>
    </row>
    <row r="1902" spans="15:47" ht="14.5" x14ac:dyDescent="0.35">
      <c r="O1902" s="6"/>
      <c r="P1902" s="6"/>
      <c r="Q1902" s="60"/>
      <c r="R1902" s="67"/>
      <c r="S1902" s="58"/>
      <c r="T1902" s="73"/>
      <c r="V1902" s="11"/>
      <c r="W1902" s="38"/>
      <c r="Y1902" s="11"/>
      <c r="Z1902" s="38"/>
      <c r="AB1902" s="11"/>
      <c r="AC1902" s="38"/>
      <c r="AE1902" s="11"/>
      <c r="AF1902" s="38"/>
      <c r="AH1902" s="11"/>
      <c r="AI1902" s="38"/>
      <c r="AK1902" s="11"/>
      <c r="AL1902" s="38"/>
      <c r="AN1902" s="11"/>
      <c r="AO1902" s="38"/>
      <c r="AQ1902" s="11"/>
      <c r="AR1902" s="38"/>
      <c r="AT1902" s="11"/>
      <c r="AU1902" s="38"/>
    </row>
    <row r="1903" spans="15:47" ht="14" x14ac:dyDescent="0.3">
      <c r="O1903" s="8" t="s">
        <v>235</v>
      </c>
      <c r="P1903" s="6"/>
      <c r="Q1903" s="60"/>
      <c r="R1903" s="53">
        <f>R1892*1.02</f>
        <v>23.180307163106587</v>
      </c>
      <c r="S1903" s="58" t="s">
        <v>238</v>
      </c>
      <c r="T1903" s="73" t="s">
        <v>241</v>
      </c>
      <c r="U1903" s="84">
        <f>U1892*1.01</f>
        <v>153.37495460187225</v>
      </c>
      <c r="V1903" s="58" t="s">
        <v>238</v>
      </c>
      <c r="W1903" s="73" t="s">
        <v>241</v>
      </c>
      <c r="X1903" s="84">
        <f>X1892*1.01</f>
        <v>368.1589308017567</v>
      </c>
      <c r="Y1903" s="58" t="s">
        <v>238</v>
      </c>
      <c r="Z1903" s="73" t="s">
        <v>241</v>
      </c>
      <c r="AA1903" s="84">
        <f>AA1892*1.01</f>
        <v>702.95032479497411</v>
      </c>
      <c r="AB1903" s="58" t="s">
        <v>238</v>
      </c>
      <c r="AC1903" s="73" t="s">
        <v>241</v>
      </c>
      <c r="AD1903" s="84">
        <f>AD1892*1.01</f>
        <v>1156.0944733333072</v>
      </c>
      <c r="AE1903" s="58" t="s">
        <v>238</v>
      </c>
      <c r="AF1903" s="73" t="s">
        <v>241</v>
      </c>
      <c r="AG1903" s="84">
        <f>AG1892*1.01</f>
        <v>1721.2671339477354</v>
      </c>
      <c r="AH1903" s="58" t="s">
        <v>238</v>
      </c>
      <c r="AI1903" s="73" t="s">
        <v>241</v>
      </c>
      <c r="AJ1903" s="84">
        <f>AJ1892*1.01</f>
        <v>2297.0376628610243</v>
      </c>
      <c r="AK1903" s="58" t="s">
        <v>238</v>
      </c>
      <c r="AL1903" s="73" t="s">
        <v>241</v>
      </c>
      <c r="AM1903" s="84">
        <f>AM1892*1.01</f>
        <v>2802.822477608378</v>
      </c>
      <c r="AN1903" s="58" t="s">
        <v>238</v>
      </c>
      <c r="AO1903" s="73" t="s">
        <v>241</v>
      </c>
      <c r="AP1903" s="84">
        <f>AP1892*1.01</f>
        <v>3253.9898839165503</v>
      </c>
      <c r="AQ1903" s="58" t="s">
        <v>238</v>
      </c>
      <c r="AR1903" s="73" t="s">
        <v>241</v>
      </c>
      <c r="AS1903" s="84">
        <f>AS1892*1.01</f>
        <v>3703.3440214833254</v>
      </c>
      <c r="AT1903" s="58" t="s">
        <v>238</v>
      </c>
      <c r="AU1903" s="73" t="s">
        <v>241</v>
      </c>
    </row>
    <row r="1904" spans="15:47" ht="13" x14ac:dyDescent="0.25">
      <c r="O1904" s="6"/>
      <c r="P1904" s="6"/>
      <c r="Q1904" s="60"/>
      <c r="R1904" s="70"/>
      <c r="S1904" s="63" t="s">
        <v>250</v>
      </c>
      <c r="T1904" s="71" t="s">
        <v>242</v>
      </c>
      <c r="U1904" s="61"/>
      <c r="V1904" s="63" t="s">
        <v>250</v>
      </c>
      <c r="W1904" s="71" t="s">
        <v>242</v>
      </c>
      <c r="X1904" s="61"/>
      <c r="Y1904" s="63" t="s">
        <v>250</v>
      </c>
      <c r="Z1904" s="71" t="s">
        <v>242</v>
      </c>
      <c r="AA1904" s="61"/>
      <c r="AB1904" s="63" t="s">
        <v>250</v>
      </c>
      <c r="AC1904" s="71" t="s">
        <v>242</v>
      </c>
      <c r="AD1904" s="61"/>
      <c r="AE1904" s="63" t="s">
        <v>250</v>
      </c>
      <c r="AF1904" s="71" t="s">
        <v>242</v>
      </c>
      <c r="AG1904" s="61"/>
      <c r="AH1904" s="63" t="s">
        <v>250</v>
      </c>
      <c r="AI1904" s="71" t="s">
        <v>242</v>
      </c>
      <c r="AJ1904" s="61"/>
      <c r="AK1904" s="63" t="s">
        <v>250</v>
      </c>
      <c r="AL1904" s="71" t="s">
        <v>242</v>
      </c>
      <c r="AM1904" s="61"/>
      <c r="AN1904" s="63" t="s">
        <v>250</v>
      </c>
      <c r="AO1904" s="71" t="s">
        <v>242</v>
      </c>
      <c r="AP1904" s="61"/>
      <c r="AQ1904" s="63" t="s">
        <v>250</v>
      </c>
      <c r="AR1904" s="71" t="s">
        <v>242</v>
      </c>
      <c r="AS1904" s="61"/>
      <c r="AT1904" s="63" t="s">
        <v>250</v>
      </c>
      <c r="AU1904" s="71" t="s">
        <v>242</v>
      </c>
    </row>
    <row r="1905" spans="15:47" ht="13" x14ac:dyDescent="0.3">
      <c r="O1905" s="6" t="s">
        <v>231</v>
      </c>
      <c r="P1905" s="6"/>
      <c r="Q1905" s="60"/>
      <c r="R1905" s="85">
        <f>P_1_minQ-(R1903^2*R_up)+dpup_minQ</f>
        <v>56.89799639850807</v>
      </c>
      <c r="S1905" s="56"/>
      <c r="T1905" s="72"/>
      <c r="U1905" s="53">
        <f>P_1_minQ-(U1903^2*R_up)+dpup_minQ</f>
        <v>56.121686028398301</v>
      </c>
      <c r="V1905" s="44"/>
      <c r="W1905" s="72"/>
      <c r="X1905" s="53">
        <f>P_1_minQ-(X1903^2*R_up)+dpup_minQ</f>
        <v>52.338601880138718</v>
      </c>
      <c r="Y1905" s="44"/>
      <c r="Z1905" s="72"/>
      <c r="AA1905" s="53">
        <f>P_1_minQ-(AA1903^2*R_up)+dpup_minQ</f>
        <v>40.227890606911195</v>
      </c>
      <c r="AB1905" s="44"/>
      <c r="AC1905" s="72"/>
      <c r="AD1905" s="53">
        <f>P_1_minQ-(AD1903^2*R_up)+dpup_minQ</f>
        <v>11.777526806085216</v>
      </c>
      <c r="AE1905" s="44"/>
      <c r="AF1905" s="72"/>
      <c r="AG1905" s="53">
        <f>P_1_minQ-(AG1903^2*R_up)+dpup_minQ</f>
        <v>-43.143314637239165</v>
      </c>
      <c r="AH1905" s="44"/>
      <c r="AI1905" s="72"/>
      <c r="AJ1905" s="53">
        <f>P_1_minQ-(AJ1903^2*R_up)+dpup_minQ</f>
        <v>-121.27980495109887</v>
      </c>
      <c r="AK1905" s="44"/>
      <c r="AL1905" s="72"/>
      <c r="AM1905" s="53">
        <f>P_1_minQ-(AM1903^2*R_up)+dpup_minQ</f>
        <v>-208.39334147202865</v>
      </c>
      <c r="AN1905" s="44"/>
      <c r="AO1905" s="72"/>
      <c r="AP1905" s="53">
        <f>P_1_minQ-(AP1903^2*R_up)+dpup_minQ</f>
        <v>-300.68095794094035</v>
      </c>
      <c r="AQ1905" s="44"/>
      <c r="AR1905" s="72"/>
      <c r="AS1905" s="53">
        <f>P_1_minQ-(AS1903^2*R_up)+dpup_minQ</f>
        <v>-406.26376026532552</v>
      </c>
      <c r="AT1905" s="44"/>
      <c r="AU1905" s="72"/>
    </row>
    <row r="1906" spans="15:47" ht="13" x14ac:dyDescent="0.3">
      <c r="O1906" s="6" t="s">
        <v>233</v>
      </c>
      <c r="P1906" s="6"/>
      <c r="Q1906" s="60"/>
      <c r="R1906" s="85">
        <f>P_2_minQ+(R1903^2*R_dn)-dpdn_minQ</f>
        <v>24.660400720298387</v>
      </c>
      <c r="S1906" s="66"/>
      <c r="T1906" s="74"/>
      <c r="U1906" s="53">
        <f>P_2_minQ+(U1903^2*R_dn)-dpdn_minQ</f>
        <v>24.815662794320342</v>
      </c>
      <c r="V1906" s="45"/>
      <c r="W1906" s="74"/>
      <c r="X1906" s="53">
        <f>P_2_minQ+(X1903^2*R_dn)-dpdn_minQ</f>
        <v>25.572279623972257</v>
      </c>
      <c r="Y1906" s="45"/>
      <c r="Z1906" s="74"/>
      <c r="AA1906" s="53">
        <f>P_2_minQ+(AA1903^2*R_dn)-dpdn_minQ</f>
        <v>27.994421878617761</v>
      </c>
      <c r="AB1906" s="45"/>
      <c r="AC1906" s="74"/>
      <c r="AD1906" s="53">
        <f>P_2_minQ+(AD1903^2*R_dn)-dpdn_minQ</f>
        <v>33.684494638782965</v>
      </c>
      <c r="AE1906" s="45"/>
      <c r="AF1906" s="74"/>
      <c r="AG1906" s="53">
        <f>P_2_minQ+(AG1903^2*R_dn)-dpdn_minQ</f>
        <v>44.668662927447834</v>
      </c>
      <c r="AH1906" s="45"/>
      <c r="AI1906" s="74"/>
      <c r="AJ1906" s="53">
        <f>P_2_minQ+(AJ1903^2*R_dn)-dpdn_minQ</f>
        <v>60.295960990219776</v>
      </c>
      <c r="AK1906" s="45"/>
      <c r="AL1906" s="74"/>
      <c r="AM1906" s="53">
        <f>P_2_minQ+(AM1903^2*R_dn)-dpdn_minQ</f>
        <v>77.718668294405717</v>
      </c>
      <c r="AN1906" s="45"/>
      <c r="AO1906" s="74"/>
      <c r="AP1906" s="53">
        <f>P_2_minQ+(AP1903^2*R_dn)-dpdn_minQ</f>
        <v>96.176191588188075</v>
      </c>
      <c r="AQ1906" s="45"/>
      <c r="AR1906" s="74"/>
      <c r="AS1906" s="53">
        <f>P_2_minQ+(AS1903^2*R_dn)-dpdn_minQ</f>
        <v>117.2927520530651</v>
      </c>
      <c r="AT1906" s="45"/>
      <c r="AU1906" s="74"/>
    </row>
    <row r="1907" spans="15:47" x14ac:dyDescent="0.25">
      <c r="O1907" s="6" t="s">
        <v>243</v>
      </c>
      <c r="Q1907" s="60"/>
      <c r="R1907" s="53">
        <f>R1905-R1906</f>
        <v>32.237595678209686</v>
      </c>
      <c r="S1907" s="56"/>
      <c r="T1907" s="72"/>
      <c r="U1907" s="64">
        <f>U1905-U1906</f>
        <v>31.306023234077959</v>
      </c>
      <c r="V1907" s="44"/>
      <c r="W1907" s="72"/>
      <c r="X1907" s="64">
        <f>X1905-X1906</f>
        <v>26.766322256166461</v>
      </c>
      <c r="Y1907" s="44"/>
      <c r="Z1907" s="72"/>
      <c r="AA1907" s="64">
        <f>AA1905-AA1906</f>
        <v>12.233468728293435</v>
      </c>
      <c r="AB1907" s="44"/>
      <c r="AC1907" s="72"/>
      <c r="AD1907" s="64">
        <f>AD1905-AD1906</f>
        <v>-21.906967832697749</v>
      </c>
      <c r="AE1907" s="44"/>
      <c r="AF1907" s="72"/>
      <c r="AG1907" s="64">
        <f>AG1905-AG1906</f>
        <v>-87.811977564686998</v>
      </c>
      <c r="AH1907" s="44"/>
      <c r="AI1907" s="72"/>
      <c r="AJ1907" s="64">
        <f>AJ1905-AJ1906</f>
        <v>-181.57576594131865</v>
      </c>
      <c r="AK1907" s="44"/>
      <c r="AL1907" s="72"/>
      <c r="AM1907" s="64">
        <f>AM1905-AM1906</f>
        <v>-286.11200976643437</v>
      </c>
      <c r="AN1907" s="44"/>
      <c r="AO1907" s="72"/>
      <c r="AP1907" s="64">
        <f>AP1905-AP1906</f>
        <v>-396.85714952912844</v>
      </c>
      <c r="AQ1907" s="44"/>
      <c r="AR1907" s="72"/>
      <c r="AS1907" s="64">
        <f>AS1905-AS1906</f>
        <v>-523.55651231839056</v>
      </c>
      <c r="AT1907" s="44"/>
      <c r="AU1907" s="72"/>
    </row>
    <row r="1908" spans="15:47" ht="13" x14ac:dyDescent="0.3">
      <c r="O1908" s="6" t="s">
        <v>75</v>
      </c>
      <c r="P1908" s="6">
        <v>3</v>
      </c>
      <c r="Q1908" s="65"/>
      <c r="R1908" s="85">
        <f>(F_LP_h/F_P_h)^2*(R1905-('Valve Sizing'!$V$4*'Valve Sizing'!$G$7))</f>
        <v>46.750136741808163</v>
      </c>
      <c r="S1908" s="58"/>
      <c r="T1908" s="73"/>
      <c r="U1908" s="53">
        <f>(U$29/U$27)^2*(U1905-('Valve Sizing'!$V$4*'Valve Sizing'!$G$7))</f>
        <v>46.09474405864303</v>
      </c>
      <c r="V1908" s="41"/>
      <c r="W1908" s="73"/>
      <c r="X1908" s="53">
        <f>(X$29/X$27)^2*(X1905-('Valve Sizing'!$V$4*'Valve Sizing'!$G$7))</f>
        <v>41.993892061004914</v>
      </c>
      <c r="Y1908" s="41"/>
      <c r="Z1908" s="73"/>
      <c r="AA1908" s="53">
        <f>(AA$29/AA$27)^2*(AA1905-('Valve Sizing'!$V$4*'Valve Sizing'!$G$7))</f>
        <v>30.747926738119709</v>
      </c>
      <c r="AB1908" s="41"/>
      <c r="AC1908" s="73"/>
      <c r="AD1908" s="53">
        <f>(AD$29/AD$27)^2*(AD1905-('Valve Sizing'!$V$4*'Valve Sizing'!$G$7))</f>
        <v>8.176439970937853</v>
      </c>
      <c r="AE1908" s="41"/>
      <c r="AF1908" s="73"/>
      <c r="AG1908" s="53">
        <f>(AG$29/AG$27)^2*(AG1905-('Valve Sizing'!$V$4*'Valve Sizing'!$G$7))</f>
        <v>-28.069607305968532</v>
      </c>
      <c r="AH1908" s="41"/>
      <c r="AI1908" s="73"/>
      <c r="AJ1908" s="53">
        <f>(AJ$29/AJ$27)^2*(AJ1905-('Valve Sizing'!$V$4*'Valve Sizing'!$G$7))</f>
        <v>-70.39842744024898</v>
      </c>
      <c r="AK1908" s="41"/>
      <c r="AL1908" s="73"/>
      <c r="AM1908" s="53">
        <f>(AM$29/AM$27)^2*(AM1905-('Valve Sizing'!$V$4*'Valve Sizing'!$G$7))</f>
        <v>-99.920965333557234</v>
      </c>
      <c r="AN1908" s="41"/>
      <c r="AO1908" s="73"/>
      <c r="AP1908" s="53">
        <f>(AP$29/AP$27)^2*(AP1905-('Valve Sizing'!$V$4*'Valve Sizing'!$G$7))</f>
        <v>-118.83043104107402</v>
      </c>
      <c r="AQ1908" s="41"/>
      <c r="AR1908" s="73"/>
      <c r="AS1908" s="53">
        <f>(AS$29/AS$27)^2*(AS1905-('Valve Sizing'!$V$4*'Valve Sizing'!$G$7))</f>
        <v>-152.97789704285731</v>
      </c>
      <c r="AT1908" s="41"/>
      <c r="AU1908" s="73"/>
    </row>
    <row r="1909" spans="15:47" ht="13" x14ac:dyDescent="0.25">
      <c r="O1909" s="1" t="s">
        <v>69</v>
      </c>
      <c r="P1909" s="17">
        <v>7</v>
      </c>
      <c r="Q1909" s="65"/>
      <c r="R1909" s="53">
        <f>(R1903/(N_1*F_P_h))*SQRT('Valve Sizing'!$G$6/R1907)</f>
        <v>4.0832069612349038</v>
      </c>
      <c r="S1909" s="58"/>
      <c r="T1909" s="73"/>
      <c r="U1909" s="64">
        <f>(U1903/(N_1*U$27))*SQRT('Valve Sizing'!$G$6/U1907)</f>
        <v>27.435075899063634</v>
      </c>
      <c r="V1909" s="41"/>
      <c r="W1909" s="73"/>
      <c r="X1909" s="64">
        <f>(X1903/(N_1*X$27))*SQRT('Valve Sizing'!$G$6/X1907)</f>
        <v>71.380782828371537</v>
      </c>
      <c r="Y1909" s="41"/>
      <c r="Z1909" s="73"/>
      <c r="AA1909" s="64">
        <f>(AA1903/(N_1*AA$27))*SQRT('Valve Sizing'!$G$6/AA1907)</f>
        <v>202.75962093754038</v>
      </c>
      <c r="AB1909" s="41"/>
      <c r="AC1909" s="73"/>
      <c r="AD1909" s="64" t="e">
        <f>(AD1903/(N_1*AD$27))*SQRT('Valve Sizing'!$G$6/AD1907)</f>
        <v>#NUM!</v>
      </c>
      <c r="AE1909" s="41"/>
      <c r="AF1909" s="73"/>
      <c r="AG1909" s="64" t="e">
        <f>(AG1903/(N_1*AG$27))*SQRT('Valve Sizing'!$G$6/AG1907)</f>
        <v>#NUM!</v>
      </c>
      <c r="AH1909" s="41"/>
      <c r="AI1909" s="73"/>
      <c r="AJ1909" s="64" t="e">
        <f>(AJ1903/(N_1*AJ$27))*SQRT('Valve Sizing'!$G$6/AJ1907)</f>
        <v>#NUM!</v>
      </c>
      <c r="AK1909" s="41"/>
      <c r="AL1909" s="73"/>
      <c r="AM1909" s="64" t="e">
        <f>(AM1903/(N_1*AM$27))*SQRT('Valve Sizing'!$G$6/AM1907)</f>
        <v>#NUM!</v>
      </c>
      <c r="AN1909" s="41"/>
      <c r="AO1909" s="73"/>
      <c r="AP1909" s="64" t="e">
        <f>(AP1903/(N_1*AP$27))*SQRT('Valve Sizing'!$G$6/AP1907)</f>
        <v>#NUM!</v>
      </c>
      <c r="AQ1909" s="41"/>
      <c r="AR1909" s="73"/>
      <c r="AS1909" s="64" t="e">
        <f>(AS1903/(N_1*AS$27))*SQRT('Valve Sizing'!$G$6/AS1907)</f>
        <v>#NUM!</v>
      </c>
      <c r="AT1909" s="41"/>
      <c r="AU1909" s="73"/>
    </row>
    <row r="1910" spans="15:47" ht="13" x14ac:dyDescent="0.3">
      <c r="O1910" s="1" t="s">
        <v>72</v>
      </c>
      <c r="P1910" s="17">
        <v>7</v>
      </c>
      <c r="Q1910" s="65"/>
      <c r="R1910" s="53">
        <f>(R1903/(N_1*F_P_h))*SQRT('Valve Sizing'!$G$6/R1908)</f>
        <v>3.3907148819446915</v>
      </c>
      <c r="S1910" s="56"/>
      <c r="T1910" s="72"/>
      <c r="U1910" s="85">
        <f>(U1903/(N_1*U$27))*SQRT('Valve Sizing'!$G$6/U1908)</f>
        <v>22.609679893402109</v>
      </c>
      <c r="V1910" s="44"/>
      <c r="W1910" s="72"/>
      <c r="X1910" s="85">
        <f>(X1903/(N_1*X$27))*SQRT('Valve Sizing'!$G$6/X1908)</f>
        <v>56.987892175225461</v>
      </c>
      <c r="Y1910" s="44"/>
      <c r="Z1910" s="72"/>
      <c r="AA1910" s="85">
        <f>(AA1903/(N_1*AA$27))*SQRT('Valve Sizing'!$G$6/AA1908)</f>
        <v>127.89346679309278</v>
      </c>
      <c r="AB1910" s="44"/>
      <c r="AC1910" s="72"/>
      <c r="AD1910" s="85">
        <f>(AD1903/(N_1*AD$27))*SQRT('Valve Sizing'!$G$6/AD1908)</f>
        <v>413.01711075166122</v>
      </c>
      <c r="AE1910" s="44"/>
      <c r="AF1910" s="72"/>
      <c r="AG1910" s="85" t="e">
        <f>(AG1903/(N_1*AG$27))*SQRT('Valve Sizing'!$G$6/AG1908)</f>
        <v>#NUM!</v>
      </c>
      <c r="AH1910" s="44"/>
      <c r="AI1910" s="72"/>
      <c r="AJ1910" s="85" t="e">
        <f>(AJ1903/(N_1*AJ$27))*SQRT('Valve Sizing'!$G$6/AJ1908)</f>
        <v>#NUM!</v>
      </c>
      <c r="AK1910" s="44"/>
      <c r="AL1910" s="72"/>
      <c r="AM1910" s="85" t="e">
        <f>(AM1903/(N_1*AM$27))*SQRT('Valve Sizing'!$G$6/AM1908)</f>
        <v>#NUM!</v>
      </c>
      <c r="AN1910" s="44"/>
      <c r="AO1910" s="72"/>
      <c r="AP1910" s="85" t="e">
        <f>(AP1903/(N_1*AP$27))*SQRT('Valve Sizing'!$G$6/AP1908)</f>
        <v>#NUM!</v>
      </c>
      <c r="AQ1910" s="44"/>
      <c r="AR1910" s="72"/>
      <c r="AS1910" s="85" t="e">
        <f>(AS1903/(N_1*AS$27))*SQRT('Valve Sizing'!$G$6/AS1908)</f>
        <v>#NUM!</v>
      </c>
      <c r="AT1910" s="44"/>
      <c r="AU1910" s="72"/>
    </row>
    <row r="1911" spans="15:47" x14ac:dyDescent="0.25">
      <c r="O1911" s="1" t="s">
        <v>246</v>
      </c>
      <c r="P1911" s="18"/>
      <c r="Q1911" s="65"/>
      <c r="R1911" s="53">
        <f>IF(R1907&lt;R1908,R1909,R1910)</f>
        <v>4.0832069612349038</v>
      </c>
      <c r="S1911" s="49"/>
      <c r="T1911" s="72"/>
      <c r="U1911" s="64">
        <f>IF(U1907&lt;U1908,U1909,U1910)</f>
        <v>27.435075899063634</v>
      </c>
      <c r="V1911" s="44"/>
      <c r="W1911" s="72"/>
      <c r="X1911" s="64">
        <f>IF(X1907&lt;X1908,X1909,X1910)</f>
        <v>71.380782828371537</v>
      </c>
      <c r="Y1911" s="44"/>
      <c r="Z1911" s="72"/>
      <c r="AA1911" s="64">
        <f>IF(AA1907&lt;AA1908,AA1909,AA1910)</f>
        <v>202.75962093754038</v>
      </c>
      <c r="AB1911" s="44"/>
      <c r="AC1911" s="72"/>
      <c r="AD1911" s="64" t="e">
        <f>IF(AD1907&lt;AD1908,AD1909,AD1910)</f>
        <v>#NUM!</v>
      </c>
      <c r="AE1911" s="44"/>
      <c r="AF1911" s="72"/>
      <c r="AG1911" s="64" t="e">
        <f>IF(AG1907&lt;AG1908,AG1909,AG1910)</f>
        <v>#NUM!</v>
      </c>
      <c r="AH1911" s="44"/>
      <c r="AI1911" s="72"/>
      <c r="AJ1911" s="64" t="e">
        <f>IF(AJ1907&lt;AJ1908,AJ1909,AJ1910)</f>
        <v>#NUM!</v>
      </c>
      <c r="AK1911" s="44"/>
      <c r="AL1911" s="72"/>
      <c r="AM1911" s="64" t="e">
        <f>IF(AM1907&lt;AM1908,AM1909,AM1910)</f>
        <v>#NUM!</v>
      </c>
      <c r="AN1911" s="44"/>
      <c r="AO1911" s="72"/>
      <c r="AP1911" s="64" t="e">
        <f>IF(AP1907&lt;AP1908,AP1909,AP1910)</f>
        <v>#NUM!</v>
      </c>
      <c r="AQ1911" s="44"/>
      <c r="AR1911" s="72"/>
      <c r="AS1911" s="64" t="e">
        <f>IF(AS1907&lt;AS1908,AS1909,AS1910)</f>
        <v>#NUM!</v>
      </c>
      <c r="AT1911" s="44"/>
      <c r="AU1911" s="72"/>
    </row>
    <row r="1912" spans="15:47" ht="13" x14ac:dyDescent="0.3">
      <c r="O1912" s="7" t="s">
        <v>264</v>
      </c>
      <c r="Q1912" s="61"/>
      <c r="R1912" s="53"/>
      <c r="S1912" s="69">
        <f>IFERROR(ABS(C_h-R1911),Q_max*10)</f>
        <v>0.91679303876509621</v>
      </c>
      <c r="T1912" s="76">
        <f>R1903</f>
        <v>23.180307163106587</v>
      </c>
      <c r="U1912" s="61"/>
      <c r="V1912" s="69">
        <f>IFERROR(ABS(U$23-U1911),Q_max*10)</f>
        <v>15.435075899063634</v>
      </c>
      <c r="W1912" s="75">
        <f>U1903</f>
        <v>153.37495460187225</v>
      </c>
      <c r="X1912" s="61"/>
      <c r="Y1912" s="69">
        <f>IFERROR(ABS(X$23-X1911),Q_max*10)</f>
        <v>48.380782828371537</v>
      </c>
      <c r="Z1912" s="75">
        <f>X1903</f>
        <v>368.1589308017567</v>
      </c>
      <c r="AA1912" s="61"/>
      <c r="AB1912" s="69">
        <f>IFERROR(ABS(AA$23-AA1911),Q_max*10)</f>
        <v>163.75962093754038</v>
      </c>
      <c r="AC1912" s="75">
        <f>AA1903</f>
        <v>702.95032479497411</v>
      </c>
      <c r="AD1912" s="61"/>
      <c r="AE1912" s="69">
        <f>IFERROR(ABS(AD$23-AD1911),Q_max*10)</f>
        <v>5500</v>
      </c>
      <c r="AF1912" s="75">
        <f>AD1903</f>
        <v>1156.0944733333072</v>
      </c>
      <c r="AG1912" s="61"/>
      <c r="AH1912" s="69">
        <f>IFERROR(ABS(AG$23-AG1911),Q_max*10)</f>
        <v>5500</v>
      </c>
      <c r="AI1912" s="75">
        <f>AG1903</f>
        <v>1721.2671339477354</v>
      </c>
      <c r="AJ1912" s="61"/>
      <c r="AK1912" s="69">
        <f>IFERROR(ABS(AJ$23-AJ1911),Q_max*10)</f>
        <v>5500</v>
      </c>
      <c r="AL1912" s="75">
        <f>AJ1903</f>
        <v>2297.0376628610243</v>
      </c>
      <c r="AM1912" s="61"/>
      <c r="AN1912" s="69">
        <f>IFERROR(ABS(AM$23-AM1911),Q_max*10)</f>
        <v>5500</v>
      </c>
      <c r="AO1912" s="75">
        <f>AM1903</f>
        <v>2802.822477608378</v>
      </c>
      <c r="AP1912" s="61"/>
      <c r="AQ1912" s="69">
        <f>IFERROR(ABS(AP$23-AP1911),Q_max*10)</f>
        <v>5500</v>
      </c>
      <c r="AR1912" s="75">
        <f>AP1903</f>
        <v>3253.9898839165503</v>
      </c>
      <c r="AS1912" s="61"/>
      <c r="AT1912" s="69">
        <f>IFERROR(ABS(AS$23-AS1911),Q_max*10)</f>
        <v>5500</v>
      </c>
      <c r="AU1912" s="75">
        <f>AS1903</f>
        <v>3703.3440214833254</v>
      </c>
    </row>
    <row r="1913" spans="15:47" ht="14.5" x14ac:dyDescent="0.35">
      <c r="O1913" s="8"/>
      <c r="P1913" s="6"/>
      <c r="Q1913" s="60"/>
      <c r="R1913" s="67"/>
      <c r="S1913" s="56"/>
      <c r="T1913" s="72"/>
      <c r="V1913" s="11"/>
      <c r="W1913" s="38"/>
      <c r="Y1913" s="11"/>
      <c r="Z1913" s="38"/>
      <c r="AB1913" s="11"/>
      <c r="AC1913" s="38"/>
      <c r="AE1913" s="11"/>
      <c r="AF1913" s="38"/>
      <c r="AH1913" s="11"/>
      <c r="AI1913" s="38"/>
      <c r="AK1913" s="11"/>
      <c r="AL1913" s="38"/>
      <c r="AN1913" s="11"/>
      <c r="AO1913" s="38"/>
      <c r="AQ1913" s="11"/>
      <c r="AR1913" s="38"/>
      <c r="AT1913" s="11"/>
      <c r="AU1913" s="38"/>
    </row>
    <row r="1914" spans="15:47" ht="14" x14ac:dyDescent="0.3">
      <c r="O1914" s="8" t="s">
        <v>235</v>
      </c>
      <c r="P1914" s="6"/>
      <c r="Q1914" s="60"/>
      <c r="R1914" s="53">
        <f>R1903*1.02</f>
        <v>23.64391330636872</v>
      </c>
      <c r="S1914" s="58" t="s">
        <v>238</v>
      </c>
      <c r="T1914" s="73" t="s">
        <v>241</v>
      </c>
      <c r="U1914" s="84">
        <f>U1903*1.01</f>
        <v>154.90870414789097</v>
      </c>
      <c r="V1914" s="58" t="s">
        <v>238</v>
      </c>
      <c r="W1914" s="73" t="s">
        <v>241</v>
      </c>
      <c r="X1914" s="84">
        <f>X1903*1.01</f>
        <v>371.84052010977427</v>
      </c>
      <c r="Y1914" s="58" t="s">
        <v>238</v>
      </c>
      <c r="Z1914" s="73" t="s">
        <v>241</v>
      </c>
      <c r="AA1914" s="84">
        <f>AA1903*1.01</f>
        <v>709.97982804292383</v>
      </c>
      <c r="AB1914" s="58" t="s">
        <v>238</v>
      </c>
      <c r="AC1914" s="73" t="s">
        <v>241</v>
      </c>
      <c r="AD1914" s="84">
        <f>AD1903*1.01</f>
        <v>1167.6554180666403</v>
      </c>
      <c r="AE1914" s="58" t="s">
        <v>238</v>
      </c>
      <c r="AF1914" s="73" t="s">
        <v>241</v>
      </c>
      <c r="AG1914" s="84">
        <f>AG1903*1.01</f>
        <v>1738.4798052872127</v>
      </c>
      <c r="AH1914" s="58" t="s">
        <v>238</v>
      </c>
      <c r="AI1914" s="73" t="s">
        <v>241</v>
      </c>
      <c r="AJ1914" s="84">
        <f>AJ1903*1.01</f>
        <v>2320.0080394896345</v>
      </c>
      <c r="AK1914" s="58" t="s">
        <v>238</v>
      </c>
      <c r="AL1914" s="73" t="s">
        <v>241</v>
      </c>
      <c r="AM1914" s="84">
        <f>AM1903*1.01</f>
        <v>2830.8507023844618</v>
      </c>
      <c r="AN1914" s="58" t="s">
        <v>238</v>
      </c>
      <c r="AO1914" s="73" t="s">
        <v>241</v>
      </c>
      <c r="AP1914" s="84">
        <f>AP1903*1.01</f>
        <v>3286.529782755716</v>
      </c>
      <c r="AQ1914" s="58" t="s">
        <v>238</v>
      </c>
      <c r="AR1914" s="73" t="s">
        <v>241</v>
      </c>
      <c r="AS1914" s="84">
        <f>AS1903*1.01</f>
        <v>3740.3774616981586</v>
      </c>
      <c r="AT1914" s="58" t="s">
        <v>238</v>
      </c>
      <c r="AU1914" s="73" t="s">
        <v>241</v>
      </c>
    </row>
    <row r="1915" spans="15:47" ht="13" x14ac:dyDescent="0.25">
      <c r="O1915" s="6"/>
      <c r="P1915" s="6"/>
      <c r="Q1915" s="60"/>
      <c r="R1915" s="70"/>
      <c r="S1915" s="63" t="s">
        <v>250</v>
      </c>
      <c r="T1915" s="71" t="s">
        <v>242</v>
      </c>
      <c r="U1915" s="61"/>
      <c r="V1915" s="63" t="s">
        <v>250</v>
      </c>
      <c r="W1915" s="71" t="s">
        <v>242</v>
      </c>
      <c r="X1915" s="61"/>
      <c r="Y1915" s="63" t="s">
        <v>250</v>
      </c>
      <c r="Z1915" s="71" t="s">
        <v>242</v>
      </c>
      <c r="AA1915" s="61"/>
      <c r="AB1915" s="63" t="s">
        <v>250</v>
      </c>
      <c r="AC1915" s="71" t="s">
        <v>242</v>
      </c>
      <c r="AD1915" s="61"/>
      <c r="AE1915" s="63" t="s">
        <v>250</v>
      </c>
      <c r="AF1915" s="71" t="s">
        <v>242</v>
      </c>
      <c r="AG1915" s="61"/>
      <c r="AH1915" s="63" t="s">
        <v>250</v>
      </c>
      <c r="AI1915" s="71" t="s">
        <v>242</v>
      </c>
      <c r="AJ1915" s="61"/>
      <c r="AK1915" s="63" t="s">
        <v>250</v>
      </c>
      <c r="AL1915" s="71" t="s">
        <v>242</v>
      </c>
      <c r="AM1915" s="61"/>
      <c r="AN1915" s="63" t="s">
        <v>250</v>
      </c>
      <c r="AO1915" s="71" t="s">
        <v>242</v>
      </c>
      <c r="AP1915" s="61"/>
      <c r="AQ1915" s="63" t="s">
        <v>250</v>
      </c>
      <c r="AR1915" s="71" t="s">
        <v>242</v>
      </c>
      <c r="AS1915" s="61"/>
      <c r="AT1915" s="63" t="s">
        <v>250</v>
      </c>
      <c r="AU1915" s="71" t="s">
        <v>242</v>
      </c>
    </row>
    <row r="1916" spans="15:47" ht="13" x14ac:dyDescent="0.3">
      <c r="O1916" s="6" t="s">
        <v>231</v>
      </c>
      <c r="P1916" s="6"/>
      <c r="Q1916" s="60"/>
      <c r="R1916" s="85">
        <f>P_1_minQ-(R1914^2*R_up)+dpup_minQ</f>
        <v>56.897263267935188</v>
      </c>
      <c r="S1916" s="56"/>
      <c r="T1916" s="72"/>
      <c r="U1916" s="53">
        <f>P_1_minQ-(U1914^2*R_up)+dpup_minQ</f>
        <v>56.105717439352283</v>
      </c>
      <c r="V1916" s="44"/>
      <c r="W1916" s="72"/>
      <c r="X1916" s="53">
        <f>P_1_minQ-(X1914^2*R_up)+dpup_minQ</f>
        <v>52.246593299712686</v>
      </c>
      <c r="Y1916" s="44"/>
      <c r="Z1916" s="72"/>
      <c r="AA1916" s="53">
        <f>P_1_minQ-(AA1914^2*R_up)+dpup_minQ</f>
        <v>39.89245672989329</v>
      </c>
      <c r="AB1916" s="44"/>
      <c r="AC1916" s="72"/>
      <c r="AD1916" s="53">
        <f>P_1_minQ-(AD1914^2*R_up)+dpup_minQ</f>
        <v>10.870240616670703</v>
      </c>
      <c r="AE1916" s="44"/>
      <c r="AF1916" s="72"/>
      <c r="AG1916" s="53">
        <f>P_1_minQ-(AG1914^2*R_up)+dpup_minQ</f>
        <v>-45.154509739664483</v>
      </c>
      <c r="AH1916" s="44"/>
      <c r="AI1916" s="72"/>
      <c r="AJ1916" s="53">
        <f>P_1_minQ-(AJ1914^2*R_up)+dpup_minQ</f>
        <v>-124.86154350883274</v>
      </c>
      <c r="AK1916" s="44"/>
      <c r="AL1916" s="72"/>
      <c r="AM1916" s="53">
        <f>P_1_minQ-(AM1914^2*R_up)+dpup_minQ</f>
        <v>-213.72606211383325</v>
      </c>
      <c r="AN1916" s="44"/>
      <c r="AO1916" s="72"/>
      <c r="AP1916" s="53">
        <f>P_1_minQ-(AP1914^2*R_up)+dpup_minQ</f>
        <v>-307.8686596737702</v>
      </c>
      <c r="AQ1916" s="44"/>
      <c r="AR1916" s="72"/>
      <c r="AS1916" s="53">
        <f>P_1_minQ-(AS1914^2*R_up)+dpup_minQ</f>
        <v>-415.57367632487546</v>
      </c>
      <c r="AT1916" s="44"/>
      <c r="AU1916" s="72"/>
    </row>
    <row r="1917" spans="15:47" ht="13" x14ac:dyDescent="0.3">
      <c r="O1917" s="6" t="s">
        <v>233</v>
      </c>
      <c r="P1917" s="6"/>
      <c r="Q1917" s="60"/>
      <c r="R1917" s="85">
        <f>P_2_minQ+(R1914^2*R_dn)-dpdn_minQ</f>
        <v>24.660547346412965</v>
      </c>
      <c r="S1917" s="66"/>
      <c r="T1917" s="74"/>
      <c r="U1917" s="53">
        <f>P_2_minQ+(U1914^2*R_dn)-dpdn_minQ</f>
        <v>24.818856512129543</v>
      </c>
      <c r="V1917" s="45"/>
      <c r="W1917" s="74"/>
      <c r="X1917" s="53">
        <f>P_2_minQ+(X1914^2*R_dn)-dpdn_minQ</f>
        <v>25.590681340057465</v>
      </c>
      <c r="Y1917" s="45"/>
      <c r="Z1917" s="74"/>
      <c r="AA1917" s="53">
        <f>P_2_minQ+(AA1914^2*R_dn)-dpdn_minQ</f>
        <v>28.061508654021342</v>
      </c>
      <c r="AB1917" s="45"/>
      <c r="AC1917" s="74"/>
      <c r="AD1917" s="53">
        <f>P_2_minQ+(AD1914^2*R_dn)-dpdn_minQ</f>
        <v>33.865951876665861</v>
      </c>
      <c r="AE1917" s="45"/>
      <c r="AF1917" s="74"/>
      <c r="AG1917" s="53">
        <f>P_2_minQ+(AG1914^2*R_dn)-dpdn_minQ</f>
        <v>45.070901947932896</v>
      </c>
      <c r="AH1917" s="45"/>
      <c r="AI1917" s="74"/>
      <c r="AJ1917" s="53">
        <f>P_2_minQ+(AJ1914^2*R_dn)-dpdn_minQ</f>
        <v>61.01230870176655</v>
      </c>
      <c r="AK1917" s="45"/>
      <c r="AL1917" s="74"/>
      <c r="AM1917" s="53">
        <f>P_2_minQ+(AM1914^2*R_dn)-dpdn_minQ</f>
        <v>78.785212422766648</v>
      </c>
      <c r="AN1917" s="45"/>
      <c r="AO1917" s="74"/>
      <c r="AP1917" s="53">
        <f>P_2_minQ+(AP1914^2*R_dn)-dpdn_minQ</f>
        <v>97.613731934754028</v>
      </c>
      <c r="AQ1917" s="45"/>
      <c r="AR1917" s="74"/>
      <c r="AS1917" s="53">
        <f>P_2_minQ+(AS1914^2*R_dn)-dpdn_minQ</f>
        <v>119.15473526497509</v>
      </c>
      <c r="AT1917" s="45"/>
      <c r="AU1917" s="74"/>
    </row>
    <row r="1918" spans="15:47" x14ac:dyDescent="0.25">
      <c r="O1918" s="6" t="s">
        <v>243</v>
      </c>
      <c r="Q1918" s="60"/>
      <c r="R1918" s="53">
        <f>R1916-R1917</f>
        <v>32.236715921522219</v>
      </c>
      <c r="S1918" s="56"/>
      <c r="T1918" s="72"/>
      <c r="U1918" s="64">
        <f>U1916-U1917</f>
        <v>31.28686092722274</v>
      </c>
      <c r="V1918" s="44"/>
      <c r="W1918" s="72"/>
      <c r="X1918" s="64">
        <f>X1916-X1917</f>
        <v>26.655911959655221</v>
      </c>
      <c r="Y1918" s="44"/>
      <c r="Z1918" s="72"/>
      <c r="AA1918" s="64">
        <f>AA1916-AA1917</f>
        <v>11.830948075871948</v>
      </c>
      <c r="AB1918" s="44"/>
      <c r="AC1918" s="72"/>
      <c r="AD1918" s="64">
        <f>AD1916-AD1917</f>
        <v>-22.995711259995158</v>
      </c>
      <c r="AE1918" s="44"/>
      <c r="AF1918" s="72"/>
      <c r="AG1918" s="64">
        <f>AG1916-AG1917</f>
        <v>-90.225411687597386</v>
      </c>
      <c r="AH1918" s="44"/>
      <c r="AI1918" s="72"/>
      <c r="AJ1918" s="64">
        <f>AJ1916-AJ1917</f>
        <v>-185.8738522105993</v>
      </c>
      <c r="AK1918" s="44"/>
      <c r="AL1918" s="72"/>
      <c r="AM1918" s="64">
        <f>AM1916-AM1917</f>
        <v>-292.5112745365999</v>
      </c>
      <c r="AN1918" s="44"/>
      <c r="AO1918" s="72"/>
      <c r="AP1918" s="64">
        <f>AP1916-AP1917</f>
        <v>-405.48239160852421</v>
      </c>
      <c r="AQ1918" s="44"/>
      <c r="AR1918" s="72"/>
      <c r="AS1918" s="64">
        <f>AS1916-AS1917</f>
        <v>-534.72841158985057</v>
      </c>
      <c r="AT1918" s="44"/>
      <c r="AU1918" s="72"/>
    </row>
    <row r="1919" spans="15:47" ht="13" x14ac:dyDescent="0.3">
      <c r="O1919" s="6" t="s">
        <v>75</v>
      </c>
      <c r="P1919" s="6">
        <v>3</v>
      </c>
      <c r="Q1919" s="65"/>
      <c r="R1919" s="85">
        <f>(F_LP_h/F_P_h)^2*(R1916-('Valve Sizing'!$V$4*'Valve Sizing'!$G$7))</f>
        <v>46.749529671211839</v>
      </c>
      <c r="S1919" s="58"/>
      <c r="T1919" s="73"/>
      <c r="U1919" s="53">
        <f>(U$29/U$27)^2*(U1916-('Valve Sizing'!$V$4*'Valve Sizing'!$G$7))</f>
        <v>46.081524832719857</v>
      </c>
      <c r="V1919" s="41"/>
      <c r="W1919" s="73"/>
      <c r="X1919" s="53">
        <f>(X$29/X$27)^2*(X1916-('Valve Sizing'!$V$4*'Valve Sizing'!$G$7))</f>
        <v>41.919442990152845</v>
      </c>
      <c r="Y1919" s="41"/>
      <c r="Z1919" s="73"/>
      <c r="AA1919" s="53">
        <f>(AA$29/AA$27)^2*(AA1916-('Valve Sizing'!$V$4*'Valve Sizing'!$G$7))</f>
        <v>30.488704370012492</v>
      </c>
      <c r="AB1919" s="41"/>
      <c r="AC1919" s="73"/>
      <c r="AD1919" s="53">
        <f>(AD$29/AD$27)^2*(AD1916-('Valve Sizing'!$V$4*'Valve Sizing'!$G$7))</f>
        <v>7.5221165964276882</v>
      </c>
      <c r="AE1919" s="41"/>
      <c r="AF1919" s="73"/>
      <c r="AG1919" s="53">
        <f>(AG$29/AG$27)^2*(AG1916-('Valve Sizing'!$V$4*'Valve Sizing'!$G$7))</f>
        <v>-29.364905346334634</v>
      </c>
      <c r="AH1919" s="41"/>
      <c r="AI1919" s="73"/>
      <c r="AJ1919" s="53">
        <f>(AJ$29/AJ$27)^2*(AJ1916-('Valve Sizing'!$V$4*'Valve Sizing'!$G$7))</f>
        <v>-72.46997728050502</v>
      </c>
      <c r="AK1919" s="41"/>
      <c r="AL1919" s="73"/>
      <c r="AM1919" s="53">
        <f>(AM$29/AM$27)^2*(AM1916-('Valve Sizing'!$V$4*'Valve Sizing'!$G$7))</f>
        <v>-102.47252364068206</v>
      </c>
      <c r="AN1919" s="41"/>
      <c r="AO1919" s="73"/>
      <c r="AP1919" s="53">
        <f>(AP$29/AP$27)^2*(AP1916-('Valve Sizing'!$V$4*'Valve Sizing'!$G$7))</f>
        <v>-121.66689097189914</v>
      </c>
      <c r="AQ1919" s="41"/>
      <c r="AR1919" s="73"/>
      <c r="AS1919" s="53">
        <f>(AS$29/AS$27)^2*(AS1916-('Valve Sizing'!$V$4*'Valve Sizing'!$G$7))</f>
        <v>-156.47973626253633</v>
      </c>
      <c r="AT1919" s="41"/>
      <c r="AU1919" s="73"/>
    </row>
    <row r="1920" spans="15:47" ht="13" x14ac:dyDescent="0.25">
      <c r="O1920" s="1" t="s">
        <v>69</v>
      </c>
      <c r="P1920" s="17">
        <v>7</v>
      </c>
      <c r="Q1920" s="65"/>
      <c r="R1920" s="53">
        <f>(R1914/(N_1*F_P_h))*SQRT('Valve Sizing'!$G$6/R1918)</f>
        <v>4.1649279308174725</v>
      </c>
      <c r="S1920" s="58"/>
      <c r="T1920" s="73"/>
      <c r="U1920" s="64">
        <f>(U1914/(N_1*U$27))*SQRT('Valve Sizing'!$G$6/U1918)</f>
        <v>27.717910974530508</v>
      </c>
      <c r="V1920" s="41"/>
      <c r="W1920" s="73"/>
      <c r="X1920" s="64">
        <f>(X1914/(N_1*X$27))*SQRT('Valve Sizing'!$G$6/X1918)</f>
        <v>72.243746301616412</v>
      </c>
      <c r="Y1920" s="41"/>
      <c r="Z1920" s="73"/>
      <c r="AA1920" s="64">
        <f>(AA1914/(N_1*AA$27))*SQRT('Valve Sizing'!$G$6/AA1918)</f>
        <v>208.24178526057887</v>
      </c>
      <c r="AB1920" s="41"/>
      <c r="AC1920" s="73"/>
      <c r="AD1920" s="64" t="e">
        <f>(AD1914/(N_1*AD$27))*SQRT('Valve Sizing'!$G$6/AD1918)</f>
        <v>#NUM!</v>
      </c>
      <c r="AE1920" s="41"/>
      <c r="AF1920" s="73"/>
      <c r="AG1920" s="64" t="e">
        <f>(AG1914/(N_1*AG$27))*SQRT('Valve Sizing'!$G$6/AG1918)</f>
        <v>#NUM!</v>
      </c>
      <c r="AH1920" s="41"/>
      <c r="AI1920" s="73"/>
      <c r="AJ1920" s="64" t="e">
        <f>(AJ1914/(N_1*AJ$27))*SQRT('Valve Sizing'!$G$6/AJ1918)</f>
        <v>#NUM!</v>
      </c>
      <c r="AK1920" s="41"/>
      <c r="AL1920" s="73"/>
      <c r="AM1920" s="64" t="e">
        <f>(AM1914/(N_1*AM$27))*SQRT('Valve Sizing'!$G$6/AM1918)</f>
        <v>#NUM!</v>
      </c>
      <c r="AN1920" s="41"/>
      <c r="AO1920" s="73"/>
      <c r="AP1920" s="64" t="e">
        <f>(AP1914/(N_1*AP$27))*SQRT('Valve Sizing'!$G$6/AP1918)</f>
        <v>#NUM!</v>
      </c>
      <c r="AQ1920" s="41"/>
      <c r="AR1920" s="73"/>
      <c r="AS1920" s="64" t="e">
        <f>(AS1914/(N_1*AS$27))*SQRT('Valve Sizing'!$G$6/AS1918)</f>
        <v>#NUM!</v>
      </c>
      <c r="AT1920" s="41"/>
      <c r="AU1920" s="73"/>
    </row>
    <row r="1921" spans="15:47" ht="13" x14ac:dyDescent="0.3">
      <c r="O1921" s="1" t="s">
        <v>72</v>
      </c>
      <c r="P1921" s="17">
        <v>7</v>
      </c>
      <c r="Q1921" s="65"/>
      <c r="R1921" s="53">
        <f>(R1914/(N_1*F_P_h))*SQRT('Valve Sizing'!$G$6/R1919)</f>
        <v>3.458551635045386</v>
      </c>
      <c r="S1921" s="56"/>
      <c r="T1921" s="72"/>
      <c r="U1921" s="85">
        <f>(U1914/(N_1*U$27))*SQRT('Valve Sizing'!$G$6/U1919)</f>
        <v>22.839051862225475</v>
      </c>
      <c r="V1921" s="44"/>
      <c r="W1921" s="72"/>
      <c r="X1921" s="85">
        <f>(X1914/(N_1*X$27))*SQRT('Valve Sizing'!$G$6/X1919)</f>
        <v>57.608859820522113</v>
      </c>
      <c r="Y1921" s="44"/>
      <c r="Z1921" s="72"/>
      <c r="AA1921" s="85">
        <f>(AA1914/(N_1*AA$27))*SQRT('Valve Sizing'!$G$6/AA1919)</f>
        <v>129.72036675480732</v>
      </c>
      <c r="AB1921" s="44"/>
      <c r="AC1921" s="72"/>
      <c r="AD1921" s="85">
        <f>(AD1914/(N_1*AD$27))*SQRT('Valve Sizing'!$G$6/AD1919)</f>
        <v>434.91212329871843</v>
      </c>
      <c r="AE1921" s="44"/>
      <c r="AF1921" s="72"/>
      <c r="AG1921" s="85" t="e">
        <f>(AG1914/(N_1*AG$27))*SQRT('Valve Sizing'!$G$6/AG1919)</f>
        <v>#NUM!</v>
      </c>
      <c r="AH1921" s="44"/>
      <c r="AI1921" s="72"/>
      <c r="AJ1921" s="85" t="e">
        <f>(AJ1914/(N_1*AJ$27))*SQRT('Valve Sizing'!$G$6/AJ1919)</f>
        <v>#NUM!</v>
      </c>
      <c r="AK1921" s="44"/>
      <c r="AL1921" s="72"/>
      <c r="AM1921" s="85" t="e">
        <f>(AM1914/(N_1*AM$27))*SQRT('Valve Sizing'!$G$6/AM1919)</f>
        <v>#NUM!</v>
      </c>
      <c r="AN1921" s="44"/>
      <c r="AO1921" s="72"/>
      <c r="AP1921" s="85" t="e">
        <f>(AP1914/(N_1*AP$27))*SQRT('Valve Sizing'!$G$6/AP1919)</f>
        <v>#NUM!</v>
      </c>
      <c r="AQ1921" s="44"/>
      <c r="AR1921" s="72"/>
      <c r="AS1921" s="85" t="e">
        <f>(AS1914/(N_1*AS$27))*SQRT('Valve Sizing'!$G$6/AS1919)</f>
        <v>#NUM!</v>
      </c>
      <c r="AT1921" s="44"/>
      <c r="AU1921" s="72"/>
    </row>
    <row r="1922" spans="15:47" x14ac:dyDescent="0.25">
      <c r="O1922" s="1" t="s">
        <v>246</v>
      </c>
      <c r="P1922" s="18"/>
      <c r="Q1922" s="65"/>
      <c r="R1922" s="53">
        <f>IF(R1918&lt;R1919,R1920,R1921)</f>
        <v>4.1649279308174725</v>
      </c>
      <c r="S1922" s="49"/>
      <c r="T1922" s="72"/>
      <c r="U1922" s="64">
        <f>IF(U1918&lt;U1919,U1920,U1921)</f>
        <v>27.717910974530508</v>
      </c>
      <c r="V1922" s="44"/>
      <c r="W1922" s="72"/>
      <c r="X1922" s="64">
        <f>IF(X1918&lt;X1919,X1920,X1921)</f>
        <v>72.243746301616412</v>
      </c>
      <c r="Y1922" s="44"/>
      <c r="Z1922" s="72"/>
      <c r="AA1922" s="64">
        <f>IF(AA1918&lt;AA1919,AA1920,AA1921)</f>
        <v>208.24178526057887</v>
      </c>
      <c r="AB1922" s="44"/>
      <c r="AC1922" s="72"/>
      <c r="AD1922" s="64" t="e">
        <f>IF(AD1918&lt;AD1919,AD1920,AD1921)</f>
        <v>#NUM!</v>
      </c>
      <c r="AE1922" s="44"/>
      <c r="AF1922" s="72"/>
      <c r="AG1922" s="64" t="e">
        <f>IF(AG1918&lt;AG1919,AG1920,AG1921)</f>
        <v>#NUM!</v>
      </c>
      <c r="AH1922" s="44"/>
      <c r="AI1922" s="72"/>
      <c r="AJ1922" s="64" t="e">
        <f>IF(AJ1918&lt;AJ1919,AJ1920,AJ1921)</f>
        <v>#NUM!</v>
      </c>
      <c r="AK1922" s="44"/>
      <c r="AL1922" s="72"/>
      <c r="AM1922" s="64" t="e">
        <f>IF(AM1918&lt;AM1919,AM1920,AM1921)</f>
        <v>#NUM!</v>
      </c>
      <c r="AN1922" s="44"/>
      <c r="AO1922" s="72"/>
      <c r="AP1922" s="64" t="e">
        <f>IF(AP1918&lt;AP1919,AP1920,AP1921)</f>
        <v>#NUM!</v>
      </c>
      <c r="AQ1922" s="44"/>
      <c r="AR1922" s="72"/>
      <c r="AS1922" s="64" t="e">
        <f>IF(AS1918&lt;AS1919,AS1920,AS1921)</f>
        <v>#NUM!</v>
      </c>
      <c r="AT1922" s="44"/>
      <c r="AU1922" s="72"/>
    </row>
    <row r="1923" spans="15:47" ht="13" x14ac:dyDescent="0.3">
      <c r="O1923" s="7" t="s">
        <v>264</v>
      </c>
      <c r="Q1923" s="61"/>
      <c r="R1923" s="53"/>
      <c r="S1923" s="69">
        <f>IFERROR(ABS(C_h-R1922),Q_max*10)</f>
        <v>0.83507206918252752</v>
      </c>
      <c r="T1923" s="76">
        <f>R1914</f>
        <v>23.64391330636872</v>
      </c>
      <c r="U1923" s="61"/>
      <c r="V1923" s="69">
        <f>IFERROR(ABS(U$23-U1922),Q_max*10)</f>
        <v>15.717910974530508</v>
      </c>
      <c r="W1923" s="75">
        <f>U1914</f>
        <v>154.90870414789097</v>
      </c>
      <c r="X1923" s="61"/>
      <c r="Y1923" s="69">
        <f>IFERROR(ABS(X$23-X1922),Q_max*10)</f>
        <v>49.243746301616412</v>
      </c>
      <c r="Z1923" s="75">
        <f>X1914</f>
        <v>371.84052010977427</v>
      </c>
      <c r="AA1923" s="61"/>
      <c r="AB1923" s="69">
        <f>IFERROR(ABS(AA$23-AA1922),Q_max*10)</f>
        <v>169.24178526057887</v>
      </c>
      <c r="AC1923" s="75">
        <f>AA1914</f>
        <v>709.97982804292383</v>
      </c>
      <c r="AD1923" s="61"/>
      <c r="AE1923" s="69">
        <f>IFERROR(ABS(AD$23-AD1922),Q_max*10)</f>
        <v>5500</v>
      </c>
      <c r="AF1923" s="75">
        <f>AD1914</f>
        <v>1167.6554180666403</v>
      </c>
      <c r="AG1923" s="61"/>
      <c r="AH1923" s="69">
        <f>IFERROR(ABS(AG$23-AG1922),Q_max*10)</f>
        <v>5500</v>
      </c>
      <c r="AI1923" s="75">
        <f>AG1914</f>
        <v>1738.4798052872127</v>
      </c>
      <c r="AJ1923" s="61"/>
      <c r="AK1923" s="69">
        <f>IFERROR(ABS(AJ$23-AJ1922),Q_max*10)</f>
        <v>5500</v>
      </c>
      <c r="AL1923" s="75">
        <f>AJ1914</f>
        <v>2320.0080394896345</v>
      </c>
      <c r="AM1923" s="61"/>
      <c r="AN1923" s="69">
        <f>IFERROR(ABS(AM$23-AM1922),Q_max*10)</f>
        <v>5500</v>
      </c>
      <c r="AO1923" s="75">
        <f>AM1914</f>
        <v>2830.8507023844618</v>
      </c>
      <c r="AP1923" s="61"/>
      <c r="AQ1923" s="69">
        <f>IFERROR(ABS(AP$23-AP1922),Q_max*10)</f>
        <v>5500</v>
      </c>
      <c r="AR1923" s="75">
        <f>AP1914</f>
        <v>3286.529782755716</v>
      </c>
      <c r="AS1923" s="61"/>
      <c r="AT1923" s="69">
        <f>IFERROR(ABS(AS$23-AS1922),Q_max*10)</f>
        <v>5500</v>
      </c>
      <c r="AU1923" s="75">
        <f>AS1914</f>
        <v>3740.3774616981586</v>
      </c>
    </row>
    <row r="1924" spans="15:47" ht="14.5" x14ac:dyDescent="0.35">
      <c r="O1924" s="6"/>
      <c r="P1924" s="6"/>
      <c r="Q1924" s="60"/>
      <c r="R1924" s="67"/>
      <c r="S1924" s="56"/>
      <c r="T1924" s="72"/>
      <c r="V1924" s="11"/>
      <c r="W1924" s="38"/>
      <c r="Y1924" s="11"/>
      <c r="Z1924" s="38"/>
      <c r="AB1924" s="11"/>
      <c r="AC1924" s="38"/>
      <c r="AE1924" s="11"/>
      <c r="AF1924" s="38"/>
      <c r="AH1924" s="11"/>
      <c r="AI1924" s="38"/>
      <c r="AK1924" s="11"/>
      <c r="AL1924" s="38"/>
      <c r="AN1924" s="11"/>
      <c r="AO1924" s="38"/>
      <c r="AQ1924" s="11"/>
      <c r="AR1924" s="38"/>
      <c r="AT1924" s="11"/>
      <c r="AU1924" s="38"/>
    </row>
    <row r="1925" spans="15:47" ht="14" x14ac:dyDescent="0.3">
      <c r="O1925" s="8" t="s">
        <v>235</v>
      </c>
      <c r="P1925" s="6"/>
      <c r="Q1925" s="60"/>
      <c r="R1925" s="53">
        <f>R1914*1.02</f>
        <v>24.116791572496094</v>
      </c>
      <c r="S1925" s="58" t="s">
        <v>238</v>
      </c>
      <c r="T1925" s="73" t="s">
        <v>241</v>
      </c>
      <c r="U1925" s="84">
        <f>U1914*1.01</f>
        <v>156.45779118936989</v>
      </c>
      <c r="V1925" s="58" t="s">
        <v>238</v>
      </c>
      <c r="W1925" s="73" t="s">
        <v>241</v>
      </c>
      <c r="X1925" s="84">
        <f>X1914*1.01</f>
        <v>375.55892531087204</v>
      </c>
      <c r="Y1925" s="58" t="s">
        <v>238</v>
      </c>
      <c r="Z1925" s="73" t="s">
        <v>241</v>
      </c>
      <c r="AA1925" s="84">
        <f>AA1914*1.01</f>
        <v>717.07962632335307</v>
      </c>
      <c r="AB1925" s="58" t="s">
        <v>238</v>
      </c>
      <c r="AC1925" s="73" t="s">
        <v>241</v>
      </c>
      <c r="AD1925" s="84">
        <f>AD1914*1.01</f>
        <v>1179.3319722473068</v>
      </c>
      <c r="AE1925" s="58" t="s">
        <v>238</v>
      </c>
      <c r="AF1925" s="73" t="s">
        <v>241</v>
      </c>
      <c r="AG1925" s="84">
        <f>AG1914*1.01</f>
        <v>1755.8646033400848</v>
      </c>
      <c r="AH1925" s="58" t="s">
        <v>238</v>
      </c>
      <c r="AI1925" s="73" t="s">
        <v>241</v>
      </c>
      <c r="AJ1925" s="84">
        <f>AJ1914*1.01</f>
        <v>2343.2081198845308</v>
      </c>
      <c r="AK1925" s="58" t="s">
        <v>238</v>
      </c>
      <c r="AL1925" s="73" t="s">
        <v>241</v>
      </c>
      <c r="AM1925" s="84">
        <f>AM1914*1.01</f>
        <v>2859.1592094083067</v>
      </c>
      <c r="AN1925" s="58" t="s">
        <v>238</v>
      </c>
      <c r="AO1925" s="73" t="s">
        <v>241</v>
      </c>
      <c r="AP1925" s="84">
        <f>AP1914*1.01</f>
        <v>3319.3950805832733</v>
      </c>
      <c r="AQ1925" s="58" t="s">
        <v>238</v>
      </c>
      <c r="AR1925" s="73" t="s">
        <v>241</v>
      </c>
      <c r="AS1925" s="84">
        <f>AS1914*1.01</f>
        <v>3777.7812363151402</v>
      </c>
      <c r="AT1925" s="58" t="s">
        <v>238</v>
      </c>
      <c r="AU1925" s="73" t="s">
        <v>241</v>
      </c>
    </row>
    <row r="1926" spans="15:47" ht="13" x14ac:dyDescent="0.25">
      <c r="O1926" s="6"/>
      <c r="P1926" s="6"/>
      <c r="Q1926" s="60"/>
      <c r="R1926" s="70"/>
      <c r="S1926" s="63" t="s">
        <v>250</v>
      </c>
      <c r="T1926" s="71" t="s">
        <v>242</v>
      </c>
      <c r="U1926" s="61"/>
      <c r="V1926" s="63" t="s">
        <v>250</v>
      </c>
      <c r="W1926" s="71" t="s">
        <v>242</v>
      </c>
      <c r="X1926" s="61"/>
      <c r="Y1926" s="63" t="s">
        <v>250</v>
      </c>
      <c r="Z1926" s="71" t="s">
        <v>242</v>
      </c>
      <c r="AA1926" s="61"/>
      <c r="AB1926" s="63" t="s">
        <v>250</v>
      </c>
      <c r="AC1926" s="71" t="s">
        <v>242</v>
      </c>
      <c r="AD1926" s="61"/>
      <c r="AE1926" s="63" t="s">
        <v>250</v>
      </c>
      <c r="AF1926" s="71" t="s">
        <v>242</v>
      </c>
      <c r="AG1926" s="61"/>
      <c r="AH1926" s="63" t="s">
        <v>250</v>
      </c>
      <c r="AI1926" s="71" t="s">
        <v>242</v>
      </c>
      <c r="AJ1926" s="61"/>
      <c r="AK1926" s="63" t="s">
        <v>250</v>
      </c>
      <c r="AL1926" s="71" t="s">
        <v>242</v>
      </c>
      <c r="AM1926" s="61"/>
      <c r="AN1926" s="63" t="s">
        <v>250</v>
      </c>
      <c r="AO1926" s="71" t="s">
        <v>242</v>
      </c>
      <c r="AP1926" s="61"/>
      <c r="AQ1926" s="63" t="s">
        <v>250</v>
      </c>
      <c r="AR1926" s="71" t="s">
        <v>242</v>
      </c>
      <c r="AS1926" s="61"/>
      <c r="AT1926" s="63" t="s">
        <v>250</v>
      </c>
      <c r="AU1926" s="71" t="s">
        <v>242</v>
      </c>
    </row>
    <row r="1927" spans="15:47" ht="13" x14ac:dyDescent="0.3">
      <c r="O1927" s="6" t="s">
        <v>231</v>
      </c>
      <c r="P1927" s="6"/>
      <c r="Q1927" s="60"/>
      <c r="R1927" s="85">
        <f>P_1_minQ-(R1925^2*R_up)+dpup_minQ</f>
        <v>56.896500518887159</v>
      </c>
      <c r="S1927" s="56"/>
      <c r="T1927" s="72"/>
      <c r="U1927" s="53">
        <f>P_1_minQ-(U1925^2*R_up)+dpup_minQ</f>
        <v>56.089427881666445</v>
      </c>
      <c r="V1927" s="44"/>
      <c r="W1927" s="72"/>
      <c r="X1927" s="53">
        <f>P_1_minQ-(X1925^2*R_up)+dpup_minQ</f>
        <v>52.152735346820087</v>
      </c>
      <c r="Y1927" s="44"/>
      <c r="Z1927" s="72"/>
      <c r="AA1927" s="53">
        <f>P_1_minQ-(AA1925^2*R_up)+dpup_minQ</f>
        <v>39.550280631947324</v>
      </c>
      <c r="AB1927" s="44"/>
      <c r="AC1927" s="72"/>
      <c r="AD1927" s="53">
        <f>P_1_minQ-(AD1925^2*R_up)+dpup_minQ</f>
        <v>9.9447179748489596</v>
      </c>
      <c r="AE1927" s="44"/>
      <c r="AF1927" s="72"/>
      <c r="AG1927" s="53">
        <f>P_1_minQ-(AG1925^2*R_up)+dpup_minQ</f>
        <v>-47.206129863648549</v>
      </c>
      <c r="AH1927" s="44"/>
      <c r="AI1927" s="72"/>
      <c r="AJ1927" s="53">
        <f>P_1_minQ-(AJ1925^2*R_up)+dpup_minQ</f>
        <v>-128.51527501157713</v>
      </c>
      <c r="AK1927" s="44"/>
      <c r="AL1927" s="72"/>
      <c r="AM1927" s="53">
        <f>P_1_minQ-(AM1925^2*R_up)+dpup_minQ</f>
        <v>-219.16597044053813</v>
      </c>
      <c r="AN1927" s="44"/>
      <c r="AO1927" s="72"/>
      <c r="AP1927" s="53">
        <f>P_1_minQ-(AP1925^2*R_up)+dpup_minQ</f>
        <v>-315.20083421142976</v>
      </c>
      <c r="AQ1927" s="44"/>
      <c r="AR1927" s="72"/>
      <c r="AS1927" s="53">
        <f>P_1_minQ-(AS1925^2*R_up)+dpup_minQ</f>
        <v>-425.07072169722221</v>
      </c>
      <c r="AT1927" s="44"/>
      <c r="AU1927" s="72"/>
    </row>
    <row r="1928" spans="15:47" ht="13" x14ac:dyDescent="0.3">
      <c r="O1928" s="6" t="s">
        <v>233</v>
      </c>
      <c r="P1928" s="6"/>
      <c r="Q1928" s="60"/>
      <c r="R1928" s="85">
        <f>P_2_minQ+(R1925^2*R_dn)-dpdn_minQ</f>
        <v>24.660699896222571</v>
      </c>
      <c r="S1928" s="66"/>
      <c r="T1928" s="74"/>
      <c r="U1928" s="53">
        <f>P_2_minQ+(U1925^2*R_dn)-dpdn_minQ</f>
        <v>24.822114423666712</v>
      </c>
      <c r="V1928" s="45"/>
      <c r="W1928" s="74"/>
      <c r="X1928" s="53">
        <f>P_2_minQ+(X1925^2*R_dn)-dpdn_minQ</f>
        <v>25.609452930635985</v>
      </c>
      <c r="Y1928" s="45"/>
      <c r="Z1928" s="74"/>
      <c r="AA1928" s="53">
        <f>P_2_minQ+(AA1925^2*R_dn)-dpdn_minQ</f>
        <v>28.129943873610536</v>
      </c>
      <c r="AB1928" s="45"/>
      <c r="AC1928" s="74"/>
      <c r="AD1928" s="53">
        <f>P_2_minQ+(AD1925^2*R_dn)-dpdn_minQ</f>
        <v>34.051056405030209</v>
      </c>
      <c r="AE1928" s="45"/>
      <c r="AF1928" s="74"/>
      <c r="AG1928" s="53">
        <f>P_2_minQ+(AG1925^2*R_dn)-dpdn_minQ</f>
        <v>45.481225972729717</v>
      </c>
      <c r="AH1928" s="45"/>
      <c r="AI1928" s="74"/>
      <c r="AJ1928" s="53">
        <f>P_2_minQ+(AJ1925^2*R_dn)-dpdn_minQ</f>
        <v>61.743055002315423</v>
      </c>
      <c r="AK1928" s="45"/>
      <c r="AL1928" s="74"/>
      <c r="AM1928" s="53">
        <f>P_2_minQ+(AM1925^2*R_dn)-dpdn_minQ</f>
        <v>79.873194088107624</v>
      </c>
      <c r="AN1928" s="45"/>
      <c r="AO1928" s="74"/>
      <c r="AP1928" s="53">
        <f>P_2_minQ+(AP1925^2*R_dn)-dpdn_minQ</f>
        <v>99.080166842285948</v>
      </c>
      <c r="AQ1928" s="45"/>
      <c r="AR1928" s="74"/>
      <c r="AS1928" s="53">
        <f>P_2_minQ+(AS1925^2*R_dn)-dpdn_minQ</f>
        <v>121.05414433944443</v>
      </c>
      <c r="AT1928" s="45"/>
      <c r="AU1928" s="74"/>
    </row>
    <row r="1929" spans="15:47" x14ac:dyDescent="0.25">
      <c r="O1929" s="6" t="s">
        <v>243</v>
      </c>
      <c r="Q1929" s="60"/>
      <c r="R1929" s="53">
        <f>R1927-R1928</f>
        <v>32.235800622664584</v>
      </c>
      <c r="S1929" s="56"/>
      <c r="T1929" s="72"/>
      <c r="U1929" s="64">
        <f>U1927-U1928</f>
        <v>31.267313457999734</v>
      </c>
      <c r="V1929" s="44"/>
      <c r="W1929" s="72"/>
      <c r="X1929" s="64">
        <f>X1927-X1928</f>
        <v>26.543282416184102</v>
      </c>
      <c r="Y1929" s="44"/>
      <c r="Z1929" s="72"/>
      <c r="AA1929" s="64">
        <f>AA1927-AA1928</f>
        <v>11.420336758336788</v>
      </c>
      <c r="AB1929" s="44"/>
      <c r="AC1929" s="72"/>
      <c r="AD1929" s="64">
        <f>AD1927-AD1928</f>
        <v>-24.10633843018125</v>
      </c>
      <c r="AE1929" s="44"/>
      <c r="AF1929" s="72"/>
      <c r="AG1929" s="64">
        <f>AG1927-AG1928</f>
        <v>-92.687355836378259</v>
      </c>
      <c r="AH1929" s="44"/>
      <c r="AI1929" s="72"/>
      <c r="AJ1929" s="64">
        <f>AJ1927-AJ1928</f>
        <v>-190.25833001389256</v>
      </c>
      <c r="AK1929" s="44"/>
      <c r="AL1929" s="72"/>
      <c r="AM1929" s="64">
        <f>AM1927-AM1928</f>
        <v>-299.03916452864576</v>
      </c>
      <c r="AN1929" s="44"/>
      <c r="AO1929" s="72"/>
      <c r="AP1929" s="64">
        <f>AP1927-AP1928</f>
        <v>-414.28100105371573</v>
      </c>
      <c r="AQ1929" s="44"/>
      <c r="AR1929" s="72"/>
      <c r="AS1929" s="64">
        <f>AS1927-AS1928</f>
        <v>-546.12486603666662</v>
      </c>
      <c r="AT1929" s="44"/>
      <c r="AU1929" s="72"/>
    </row>
    <row r="1930" spans="15:47" ht="13" x14ac:dyDescent="0.3">
      <c r="O1930" s="6" t="s">
        <v>75</v>
      </c>
      <c r="P1930" s="6">
        <v>3</v>
      </c>
      <c r="Q1930" s="65"/>
      <c r="R1930" s="85">
        <f>(F_LP_h/F_P_h)^2*(R1927-('Valve Sizing'!$V$4*'Valve Sizing'!$G$7))</f>
        <v>46.748898074963421</v>
      </c>
      <c r="S1930" s="58"/>
      <c r="T1930" s="73"/>
      <c r="U1930" s="53">
        <f>(U$29/U$27)^2*(U1927-('Valve Sizing'!$V$4*'Valve Sizing'!$G$7))</f>
        <v>46.068039900355622</v>
      </c>
      <c r="V1930" s="41"/>
      <c r="W1930" s="73"/>
      <c r="X1930" s="53">
        <f>(X$29/X$27)^2*(X1927-('Valve Sizing'!$V$4*'Valve Sizing'!$G$7))</f>
        <v>41.843497492976653</v>
      </c>
      <c r="Y1930" s="41"/>
      <c r="Z1930" s="73"/>
      <c r="AA1930" s="53">
        <f>(AA$29/AA$27)^2*(AA1927-('Valve Sizing'!$V$4*'Valve Sizing'!$G$7))</f>
        <v>30.224271632306319</v>
      </c>
      <c r="AB1930" s="41"/>
      <c r="AC1930" s="73"/>
      <c r="AD1930" s="53">
        <f>(AD$29/AD$27)^2*(AD1927-('Valve Sizing'!$V$4*'Valve Sizing'!$G$7))</f>
        <v>6.8546413220898703</v>
      </c>
      <c r="AE1930" s="41"/>
      <c r="AF1930" s="73"/>
      <c r="AG1930" s="53">
        <f>(AG$29/AG$27)^2*(AG1927-('Valve Sizing'!$V$4*'Valve Sizing'!$G$7))</f>
        <v>-30.686238877312093</v>
      </c>
      <c r="AH1930" s="41"/>
      <c r="AI1930" s="73"/>
      <c r="AJ1930" s="53">
        <f>(AJ$29/AJ$27)^2*(AJ1927-('Valve Sizing'!$V$4*'Valve Sizing'!$G$7))</f>
        <v>-74.583165272550247</v>
      </c>
      <c r="AK1930" s="41"/>
      <c r="AL1930" s="73"/>
      <c r="AM1930" s="53">
        <f>(AM$29/AM$27)^2*(AM1927-('Valve Sizing'!$V$4*'Valve Sizing'!$G$7))</f>
        <v>-105.07536826978009</v>
      </c>
      <c r="AN1930" s="41"/>
      <c r="AO1930" s="73"/>
      <c r="AP1930" s="53">
        <f>(AP$29/AP$27)^2*(AP1927-('Valve Sizing'!$V$4*'Valve Sizing'!$G$7))</f>
        <v>-124.56036374733378</v>
      </c>
      <c r="AQ1930" s="41"/>
      <c r="AR1930" s="73"/>
      <c r="AS1930" s="53">
        <f>(AS$29/AS$27)^2*(AS1927-('Valve Sizing'!$V$4*'Valve Sizing'!$G$7))</f>
        <v>-160.05196245053085</v>
      </c>
      <c r="AT1930" s="41"/>
      <c r="AU1930" s="73"/>
    </row>
    <row r="1931" spans="15:47" ht="13" x14ac:dyDescent="0.25">
      <c r="O1931" s="1" t="s">
        <v>69</v>
      </c>
      <c r="P1931" s="17">
        <v>7</v>
      </c>
      <c r="Q1931" s="65"/>
      <c r="R1931" s="53">
        <f>(R1925/(N_1*F_P_h))*SQRT('Valve Sizing'!$G$6/R1929)</f>
        <v>4.2482868007829495</v>
      </c>
      <c r="S1931" s="58"/>
      <c r="T1931" s="73"/>
      <c r="U1931" s="64">
        <f>(U1925/(N_1*U$27))*SQRT('Valve Sizing'!$G$6/U1929)</f>
        <v>28.0038395993321</v>
      </c>
      <c r="V1931" s="41"/>
      <c r="W1931" s="73"/>
      <c r="X1931" s="64">
        <f>(X1925/(N_1*X$27))*SQRT('Valve Sizing'!$G$6/X1929)</f>
        <v>73.120826441998915</v>
      </c>
      <c r="Y1931" s="41"/>
      <c r="Z1931" s="73"/>
      <c r="AA1931" s="64">
        <f>(AA1925/(N_1*AA$27))*SQRT('Valve Sizing'!$G$6/AA1929)</f>
        <v>214.07185435604839</v>
      </c>
      <c r="AB1931" s="41"/>
      <c r="AC1931" s="73"/>
      <c r="AD1931" s="64" t="e">
        <f>(AD1925/(N_1*AD$27))*SQRT('Valve Sizing'!$G$6/AD1929)</f>
        <v>#NUM!</v>
      </c>
      <c r="AE1931" s="41"/>
      <c r="AF1931" s="73"/>
      <c r="AG1931" s="64" t="e">
        <f>(AG1925/(N_1*AG$27))*SQRT('Valve Sizing'!$G$6/AG1929)</f>
        <v>#NUM!</v>
      </c>
      <c r="AH1931" s="41"/>
      <c r="AI1931" s="73"/>
      <c r="AJ1931" s="64" t="e">
        <f>(AJ1925/(N_1*AJ$27))*SQRT('Valve Sizing'!$G$6/AJ1929)</f>
        <v>#NUM!</v>
      </c>
      <c r="AK1931" s="41"/>
      <c r="AL1931" s="73"/>
      <c r="AM1931" s="64" t="e">
        <f>(AM1925/(N_1*AM$27))*SQRT('Valve Sizing'!$G$6/AM1929)</f>
        <v>#NUM!</v>
      </c>
      <c r="AN1931" s="41"/>
      <c r="AO1931" s="73"/>
      <c r="AP1931" s="64" t="e">
        <f>(AP1925/(N_1*AP$27))*SQRT('Valve Sizing'!$G$6/AP1929)</f>
        <v>#NUM!</v>
      </c>
      <c r="AQ1931" s="41"/>
      <c r="AR1931" s="73"/>
      <c r="AS1931" s="64" t="e">
        <f>(AS1925/(N_1*AS$27))*SQRT('Valve Sizing'!$G$6/AS1929)</f>
        <v>#NUM!</v>
      </c>
      <c r="AT1931" s="41"/>
      <c r="AU1931" s="73"/>
    </row>
    <row r="1932" spans="15:47" ht="13" x14ac:dyDescent="0.3">
      <c r="O1932" s="1" t="s">
        <v>72</v>
      </c>
      <c r="P1932" s="17">
        <v>7</v>
      </c>
      <c r="Q1932" s="65"/>
      <c r="R1932" s="53">
        <f>(R1925/(N_1*F_P_h))*SQRT('Valve Sizing'!$G$6/R1930)</f>
        <v>3.5277464981355497</v>
      </c>
      <c r="S1932" s="56"/>
      <c r="T1932" s="72"/>
      <c r="U1932" s="85">
        <f>(U1925/(N_1*U$27))*SQRT('Valve Sizing'!$G$6/U1930)</f>
        <v>23.070818258581166</v>
      </c>
      <c r="V1932" s="44"/>
      <c r="W1932" s="72"/>
      <c r="X1932" s="85">
        <f>(X1925/(N_1*X$27))*SQRT('Valve Sizing'!$G$6/X1930)</f>
        <v>58.237727008722075</v>
      </c>
      <c r="Y1932" s="44"/>
      <c r="Z1932" s="72"/>
      <c r="AA1932" s="85">
        <f>(AA1925/(N_1*AA$27))*SQRT('Valve Sizing'!$G$6/AA1930)</f>
        <v>131.58945990855028</v>
      </c>
      <c r="AB1932" s="44"/>
      <c r="AC1932" s="72"/>
      <c r="AD1932" s="85">
        <f>(AD1925/(N_1*AD$27))*SQRT('Valve Sizing'!$G$6/AD1930)</f>
        <v>460.15119138472585</v>
      </c>
      <c r="AE1932" s="44"/>
      <c r="AF1932" s="72"/>
      <c r="AG1932" s="85" t="e">
        <f>(AG1925/(N_1*AG$27))*SQRT('Valve Sizing'!$G$6/AG1930)</f>
        <v>#NUM!</v>
      </c>
      <c r="AH1932" s="44"/>
      <c r="AI1932" s="72"/>
      <c r="AJ1932" s="85" t="e">
        <f>(AJ1925/(N_1*AJ$27))*SQRT('Valve Sizing'!$G$6/AJ1930)</f>
        <v>#NUM!</v>
      </c>
      <c r="AK1932" s="44"/>
      <c r="AL1932" s="72"/>
      <c r="AM1932" s="85" t="e">
        <f>(AM1925/(N_1*AM$27))*SQRT('Valve Sizing'!$G$6/AM1930)</f>
        <v>#NUM!</v>
      </c>
      <c r="AN1932" s="44"/>
      <c r="AO1932" s="72"/>
      <c r="AP1932" s="85" t="e">
        <f>(AP1925/(N_1*AP$27))*SQRT('Valve Sizing'!$G$6/AP1930)</f>
        <v>#NUM!</v>
      </c>
      <c r="AQ1932" s="44"/>
      <c r="AR1932" s="72"/>
      <c r="AS1932" s="85" t="e">
        <f>(AS1925/(N_1*AS$27))*SQRT('Valve Sizing'!$G$6/AS1930)</f>
        <v>#NUM!</v>
      </c>
      <c r="AT1932" s="44"/>
      <c r="AU1932" s="72"/>
    </row>
    <row r="1933" spans="15:47" x14ac:dyDescent="0.25">
      <c r="O1933" s="1" t="s">
        <v>246</v>
      </c>
      <c r="P1933" s="18"/>
      <c r="Q1933" s="65"/>
      <c r="R1933" s="53">
        <f>IF(R1929&lt;R1930,R1931,R1932)</f>
        <v>4.2482868007829495</v>
      </c>
      <c r="S1933" s="49"/>
      <c r="T1933" s="72"/>
      <c r="U1933" s="64">
        <f>IF(U1929&lt;U1930,U1931,U1932)</f>
        <v>28.0038395993321</v>
      </c>
      <c r="V1933" s="44"/>
      <c r="W1933" s="72"/>
      <c r="X1933" s="64">
        <f>IF(X1929&lt;X1930,X1931,X1932)</f>
        <v>73.120826441998915</v>
      </c>
      <c r="Y1933" s="44"/>
      <c r="Z1933" s="72"/>
      <c r="AA1933" s="64">
        <f>IF(AA1929&lt;AA1930,AA1931,AA1932)</f>
        <v>214.07185435604839</v>
      </c>
      <c r="AB1933" s="44"/>
      <c r="AC1933" s="72"/>
      <c r="AD1933" s="64" t="e">
        <f>IF(AD1929&lt;AD1930,AD1931,AD1932)</f>
        <v>#NUM!</v>
      </c>
      <c r="AE1933" s="44"/>
      <c r="AF1933" s="72"/>
      <c r="AG1933" s="64" t="e">
        <f>IF(AG1929&lt;AG1930,AG1931,AG1932)</f>
        <v>#NUM!</v>
      </c>
      <c r="AH1933" s="44"/>
      <c r="AI1933" s="72"/>
      <c r="AJ1933" s="64" t="e">
        <f>IF(AJ1929&lt;AJ1930,AJ1931,AJ1932)</f>
        <v>#NUM!</v>
      </c>
      <c r="AK1933" s="44"/>
      <c r="AL1933" s="72"/>
      <c r="AM1933" s="64" t="e">
        <f>IF(AM1929&lt;AM1930,AM1931,AM1932)</f>
        <v>#NUM!</v>
      </c>
      <c r="AN1933" s="44"/>
      <c r="AO1933" s="72"/>
      <c r="AP1933" s="64" t="e">
        <f>IF(AP1929&lt;AP1930,AP1931,AP1932)</f>
        <v>#NUM!</v>
      </c>
      <c r="AQ1933" s="44"/>
      <c r="AR1933" s="72"/>
      <c r="AS1933" s="64" t="e">
        <f>IF(AS1929&lt;AS1930,AS1931,AS1932)</f>
        <v>#NUM!</v>
      </c>
      <c r="AT1933" s="44"/>
      <c r="AU1933" s="72"/>
    </row>
    <row r="1934" spans="15:47" ht="13" x14ac:dyDescent="0.3">
      <c r="O1934" s="7" t="s">
        <v>264</v>
      </c>
      <c r="Q1934" s="61"/>
      <c r="R1934" s="53"/>
      <c r="S1934" s="69">
        <f>IFERROR(ABS(C_h-R1933),Q_max*10)</f>
        <v>0.75171319921705049</v>
      </c>
      <c r="T1934" s="76">
        <f>R1925</f>
        <v>24.116791572496094</v>
      </c>
      <c r="U1934" s="61"/>
      <c r="V1934" s="69">
        <f>IFERROR(ABS(U$23-U1933),Q_max*10)</f>
        <v>16.0038395993321</v>
      </c>
      <c r="W1934" s="75">
        <f>U1925</f>
        <v>156.45779118936989</v>
      </c>
      <c r="X1934" s="61"/>
      <c r="Y1934" s="69">
        <f>IFERROR(ABS(X$23-X1933),Q_max*10)</f>
        <v>50.120826441998915</v>
      </c>
      <c r="Z1934" s="75">
        <f>X1925</f>
        <v>375.55892531087204</v>
      </c>
      <c r="AA1934" s="61"/>
      <c r="AB1934" s="69">
        <f>IFERROR(ABS(AA$23-AA1933),Q_max*10)</f>
        <v>175.07185435604839</v>
      </c>
      <c r="AC1934" s="75">
        <f>AA1925</f>
        <v>717.07962632335307</v>
      </c>
      <c r="AD1934" s="61"/>
      <c r="AE1934" s="69">
        <f>IFERROR(ABS(AD$23-AD1933),Q_max*10)</f>
        <v>5500</v>
      </c>
      <c r="AF1934" s="75">
        <f>AD1925</f>
        <v>1179.3319722473068</v>
      </c>
      <c r="AG1934" s="61"/>
      <c r="AH1934" s="69">
        <f>IFERROR(ABS(AG$23-AG1933),Q_max*10)</f>
        <v>5500</v>
      </c>
      <c r="AI1934" s="75">
        <f>AG1925</f>
        <v>1755.8646033400848</v>
      </c>
      <c r="AJ1934" s="61"/>
      <c r="AK1934" s="69">
        <f>IFERROR(ABS(AJ$23-AJ1933),Q_max*10)</f>
        <v>5500</v>
      </c>
      <c r="AL1934" s="75">
        <f>AJ1925</f>
        <v>2343.2081198845308</v>
      </c>
      <c r="AM1934" s="61"/>
      <c r="AN1934" s="69">
        <f>IFERROR(ABS(AM$23-AM1933),Q_max*10)</f>
        <v>5500</v>
      </c>
      <c r="AO1934" s="75">
        <f>AM1925</f>
        <v>2859.1592094083067</v>
      </c>
      <c r="AP1934" s="61"/>
      <c r="AQ1934" s="69">
        <f>IFERROR(ABS(AP$23-AP1933),Q_max*10)</f>
        <v>5500</v>
      </c>
      <c r="AR1934" s="75">
        <f>AP1925</f>
        <v>3319.3950805832733</v>
      </c>
      <c r="AS1934" s="61"/>
      <c r="AT1934" s="69">
        <f>IFERROR(ABS(AS$23-AS1933),Q_max*10)</f>
        <v>5500</v>
      </c>
      <c r="AU1934" s="75">
        <f>AS1925</f>
        <v>3777.7812363151402</v>
      </c>
    </row>
    <row r="1935" spans="15:47" ht="14.5" x14ac:dyDescent="0.35">
      <c r="O1935" s="6"/>
      <c r="P1935" s="6"/>
      <c r="Q1935" s="60"/>
      <c r="R1935" s="67"/>
      <c r="S1935" s="56"/>
      <c r="T1935" s="72"/>
      <c r="V1935" s="11"/>
      <c r="W1935" s="38"/>
      <c r="Y1935" s="11"/>
      <c r="Z1935" s="38"/>
      <c r="AB1935" s="11"/>
      <c r="AC1935" s="38"/>
      <c r="AE1935" s="11"/>
      <c r="AF1935" s="38"/>
      <c r="AH1935" s="11"/>
      <c r="AI1935" s="38"/>
      <c r="AK1935" s="11"/>
      <c r="AL1935" s="38"/>
      <c r="AN1935" s="11"/>
      <c r="AO1935" s="38"/>
      <c r="AQ1935" s="11"/>
      <c r="AR1935" s="38"/>
      <c r="AT1935" s="11"/>
      <c r="AU1935" s="38"/>
    </row>
    <row r="1936" spans="15:47" ht="14" x14ac:dyDescent="0.3">
      <c r="O1936" s="8" t="s">
        <v>235</v>
      </c>
      <c r="P1936" s="6"/>
      <c r="Q1936" s="60"/>
      <c r="R1936" s="53">
        <f>R1925*1.02</f>
        <v>24.599127403946017</v>
      </c>
      <c r="S1936" s="58" t="s">
        <v>238</v>
      </c>
      <c r="T1936" s="73" t="s">
        <v>241</v>
      </c>
      <c r="U1936" s="84">
        <f>U1925*1.01</f>
        <v>158.02236910126359</v>
      </c>
      <c r="V1936" s="58" t="s">
        <v>238</v>
      </c>
      <c r="W1936" s="73" t="s">
        <v>241</v>
      </c>
      <c r="X1936" s="84">
        <f>X1925*1.01</f>
        <v>379.31451456398077</v>
      </c>
      <c r="Y1936" s="58" t="s">
        <v>238</v>
      </c>
      <c r="Z1936" s="73" t="s">
        <v>241</v>
      </c>
      <c r="AA1936" s="84">
        <f>AA1925*1.01</f>
        <v>724.25042258658664</v>
      </c>
      <c r="AB1936" s="58" t="s">
        <v>238</v>
      </c>
      <c r="AC1936" s="73" t="s">
        <v>241</v>
      </c>
      <c r="AD1936" s="84">
        <f>AD1925*1.01</f>
        <v>1191.1252919697799</v>
      </c>
      <c r="AE1936" s="58" t="s">
        <v>238</v>
      </c>
      <c r="AF1936" s="73" t="s">
        <v>241</v>
      </c>
      <c r="AG1936" s="84">
        <f>AG1925*1.01</f>
        <v>1773.4232493734858</v>
      </c>
      <c r="AH1936" s="58" t="s">
        <v>238</v>
      </c>
      <c r="AI1936" s="73" t="s">
        <v>241</v>
      </c>
      <c r="AJ1936" s="84">
        <f>AJ1925*1.01</f>
        <v>2366.6402010833763</v>
      </c>
      <c r="AK1936" s="58" t="s">
        <v>238</v>
      </c>
      <c r="AL1936" s="73" t="s">
        <v>241</v>
      </c>
      <c r="AM1936" s="84">
        <f>AM1925*1.01</f>
        <v>2887.7508015023895</v>
      </c>
      <c r="AN1936" s="58" t="s">
        <v>238</v>
      </c>
      <c r="AO1936" s="73" t="s">
        <v>241</v>
      </c>
      <c r="AP1936" s="84">
        <f>AP1925*1.01</f>
        <v>3352.5890313891059</v>
      </c>
      <c r="AQ1936" s="58" t="s">
        <v>238</v>
      </c>
      <c r="AR1936" s="73" t="s">
        <v>241</v>
      </c>
      <c r="AS1936" s="84">
        <f>AS1925*1.01</f>
        <v>3815.5590486782917</v>
      </c>
      <c r="AT1936" s="58" t="s">
        <v>238</v>
      </c>
      <c r="AU1936" s="73" t="s">
        <v>241</v>
      </c>
    </row>
    <row r="1937" spans="15:47" ht="13" x14ac:dyDescent="0.25">
      <c r="O1937" s="6"/>
      <c r="P1937" s="6"/>
      <c r="Q1937" s="60"/>
      <c r="R1937" s="70"/>
      <c r="S1937" s="63" t="s">
        <v>250</v>
      </c>
      <c r="T1937" s="71" t="s">
        <v>242</v>
      </c>
      <c r="U1937" s="61"/>
      <c r="V1937" s="63" t="s">
        <v>250</v>
      </c>
      <c r="W1937" s="71" t="s">
        <v>242</v>
      </c>
      <c r="X1937" s="61"/>
      <c r="Y1937" s="63" t="s">
        <v>250</v>
      </c>
      <c r="Z1937" s="71" t="s">
        <v>242</v>
      </c>
      <c r="AA1937" s="61"/>
      <c r="AB1937" s="63" t="s">
        <v>250</v>
      </c>
      <c r="AC1937" s="71" t="s">
        <v>242</v>
      </c>
      <c r="AD1937" s="61"/>
      <c r="AE1937" s="63" t="s">
        <v>250</v>
      </c>
      <c r="AF1937" s="71" t="s">
        <v>242</v>
      </c>
      <c r="AG1937" s="61"/>
      <c r="AH1937" s="63" t="s">
        <v>250</v>
      </c>
      <c r="AI1937" s="71" t="s">
        <v>242</v>
      </c>
      <c r="AJ1937" s="61"/>
      <c r="AK1937" s="63" t="s">
        <v>250</v>
      </c>
      <c r="AL1937" s="71" t="s">
        <v>242</v>
      </c>
      <c r="AM1937" s="61"/>
      <c r="AN1937" s="63" t="s">
        <v>250</v>
      </c>
      <c r="AO1937" s="71" t="s">
        <v>242</v>
      </c>
      <c r="AP1937" s="61"/>
      <c r="AQ1937" s="63" t="s">
        <v>250</v>
      </c>
      <c r="AR1937" s="71" t="s">
        <v>242</v>
      </c>
      <c r="AS1937" s="61"/>
      <c r="AT1937" s="63" t="s">
        <v>250</v>
      </c>
      <c r="AU1937" s="71" t="s">
        <v>242</v>
      </c>
    </row>
    <row r="1938" spans="15:47" ht="13" x14ac:dyDescent="0.3">
      <c r="O1938" s="6" t="s">
        <v>231</v>
      </c>
      <c r="P1938" s="6"/>
      <c r="Q1938" s="60"/>
      <c r="R1938" s="85">
        <f>P_1_minQ-(R1936^2*R_up)+dpup_minQ</f>
        <v>56.895706954777587</v>
      </c>
      <c r="S1938" s="56"/>
      <c r="T1938" s="72"/>
      <c r="U1938" s="53">
        <f>P_1_minQ-(U1936^2*R_up)+dpup_minQ</f>
        <v>56.072810903871122</v>
      </c>
      <c r="V1938" s="44"/>
      <c r="W1938" s="72"/>
      <c r="X1938" s="53">
        <f>P_1_minQ-(X1936^2*R_up)+dpup_minQ</f>
        <v>52.056990849074353</v>
      </c>
      <c r="Y1938" s="44"/>
      <c r="Z1938" s="72"/>
      <c r="AA1938" s="53">
        <f>P_1_minQ-(AA1936^2*R_up)+dpup_minQ</f>
        <v>39.20122679443265</v>
      </c>
      <c r="AB1938" s="44"/>
      <c r="AC1938" s="72"/>
      <c r="AD1938" s="53">
        <f>P_1_minQ-(AD1936^2*R_up)+dpup_minQ</f>
        <v>9.0005923279266007</v>
      </c>
      <c r="AE1938" s="44"/>
      <c r="AF1938" s="72"/>
      <c r="AG1938" s="53">
        <f>P_1_minQ-(AG1936^2*R_up)+dpup_minQ</f>
        <v>-49.298987552124721</v>
      </c>
      <c r="AH1938" s="44"/>
      <c r="AI1938" s="72"/>
      <c r="AJ1938" s="53">
        <f>P_1_minQ-(AJ1936^2*R_up)+dpup_minQ</f>
        <v>-132.24244651752664</v>
      </c>
      <c r="AK1938" s="44"/>
      <c r="AL1938" s="72"/>
      <c r="AM1938" s="53">
        <f>P_1_minQ-(AM1936^2*R_up)+dpup_minQ</f>
        <v>-224.71522092460972</v>
      </c>
      <c r="AN1938" s="44"/>
      <c r="AO1938" s="72"/>
      <c r="AP1938" s="53">
        <f>P_1_minQ-(AP1936^2*R_up)+dpup_minQ</f>
        <v>-322.68038545729632</v>
      </c>
      <c r="AQ1938" s="44"/>
      <c r="AR1938" s="72"/>
      <c r="AS1938" s="53">
        <f>P_1_minQ-(AS1936^2*R_up)+dpup_minQ</f>
        <v>-434.75865768155325</v>
      </c>
      <c r="AT1938" s="44"/>
      <c r="AU1938" s="72"/>
    </row>
    <row r="1939" spans="15:47" ht="13" x14ac:dyDescent="0.3">
      <c r="O1939" s="6" t="s">
        <v>233</v>
      </c>
      <c r="P1939" s="6"/>
      <c r="Q1939" s="60"/>
      <c r="R1939" s="85">
        <f>P_2_minQ+(R1936^2*R_dn)-dpdn_minQ</f>
        <v>24.660858609044482</v>
      </c>
      <c r="S1939" s="66"/>
      <c r="T1939" s="74"/>
      <c r="U1939" s="53">
        <f>P_2_minQ+(U1936^2*R_dn)-dpdn_minQ</f>
        <v>24.825437819225776</v>
      </c>
      <c r="V1939" s="45"/>
      <c r="W1939" s="74"/>
      <c r="X1939" s="53">
        <f>P_2_minQ+(X1936^2*R_dn)-dpdn_minQ</f>
        <v>25.628601830185129</v>
      </c>
      <c r="Y1939" s="45"/>
      <c r="Z1939" s="74"/>
      <c r="AA1939" s="53">
        <f>P_2_minQ+(AA1936^2*R_dn)-dpdn_minQ</f>
        <v>28.199754641113472</v>
      </c>
      <c r="AB1939" s="45"/>
      <c r="AC1939" s="74"/>
      <c r="AD1939" s="53">
        <f>P_2_minQ+(AD1936^2*R_dn)-dpdn_minQ</f>
        <v>34.239881534414685</v>
      </c>
      <c r="AE1939" s="45"/>
      <c r="AF1939" s="74"/>
      <c r="AG1939" s="53">
        <f>P_2_minQ+(AG1936^2*R_dn)-dpdn_minQ</f>
        <v>45.899797510424946</v>
      </c>
      <c r="AH1939" s="45"/>
      <c r="AI1939" s="74"/>
      <c r="AJ1939" s="53">
        <f>P_2_minQ+(AJ1936^2*R_dn)-dpdn_minQ</f>
        <v>62.488489303505332</v>
      </c>
      <c r="AK1939" s="45"/>
      <c r="AL1939" s="74"/>
      <c r="AM1939" s="53">
        <f>P_2_minQ+(AM1936^2*R_dn)-dpdn_minQ</f>
        <v>80.983044184921937</v>
      </c>
      <c r="AN1939" s="45"/>
      <c r="AO1939" s="74"/>
      <c r="AP1939" s="53">
        <f>P_2_minQ+(AP1936^2*R_dn)-dpdn_minQ</f>
        <v>100.57607709145927</v>
      </c>
      <c r="AQ1939" s="45"/>
      <c r="AR1939" s="74"/>
      <c r="AS1939" s="53">
        <f>P_2_minQ+(AS1936^2*R_dn)-dpdn_minQ</f>
        <v>122.99173153631065</v>
      </c>
      <c r="AT1939" s="45"/>
      <c r="AU1939" s="74"/>
    </row>
    <row r="1940" spans="15:47" x14ac:dyDescent="0.25">
      <c r="O1940" s="6" t="s">
        <v>243</v>
      </c>
      <c r="Q1940" s="60"/>
      <c r="R1940" s="53">
        <f>R1938-R1939</f>
        <v>32.234848345733106</v>
      </c>
      <c r="S1940" s="56"/>
      <c r="T1940" s="72"/>
      <c r="U1940" s="64">
        <f>U1938-U1939</f>
        <v>31.247373084645346</v>
      </c>
      <c r="V1940" s="44"/>
      <c r="W1940" s="72"/>
      <c r="X1940" s="64">
        <f>X1938-X1939</f>
        <v>26.428389018889224</v>
      </c>
      <c r="Y1940" s="44"/>
      <c r="Z1940" s="72"/>
      <c r="AA1940" s="64">
        <f>AA1938-AA1939</f>
        <v>11.001472153319177</v>
      </c>
      <c r="AB1940" s="44"/>
      <c r="AC1940" s="72"/>
      <c r="AD1940" s="64">
        <f>AD1938-AD1939</f>
        <v>-25.239289206488085</v>
      </c>
      <c r="AE1940" s="44"/>
      <c r="AF1940" s="72"/>
      <c r="AG1940" s="64">
        <f>AG1938-AG1939</f>
        <v>-95.198785062549661</v>
      </c>
      <c r="AH1940" s="44"/>
      <c r="AI1940" s="72"/>
      <c r="AJ1940" s="64">
        <f>AJ1938-AJ1939</f>
        <v>-194.73093582103198</v>
      </c>
      <c r="AK1940" s="44"/>
      <c r="AL1940" s="72"/>
      <c r="AM1940" s="64">
        <f>AM1938-AM1939</f>
        <v>-305.69826510953169</v>
      </c>
      <c r="AN1940" s="44"/>
      <c r="AO1940" s="72"/>
      <c r="AP1940" s="64">
        <f>AP1938-AP1939</f>
        <v>-423.25646254875562</v>
      </c>
      <c r="AQ1940" s="44"/>
      <c r="AR1940" s="72"/>
      <c r="AS1940" s="64">
        <f>AS1938-AS1939</f>
        <v>-557.75038921786393</v>
      </c>
      <c r="AT1940" s="44"/>
      <c r="AU1940" s="72"/>
    </row>
    <row r="1941" spans="15:47" ht="13" x14ac:dyDescent="0.3">
      <c r="O1941" s="6" t="s">
        <v>75</v>
      </c>
      <c r="P1941" s="6">
        <v>3</v>
      </c>
      <c r="Q1941" s="65"/>
      <c r="R1941" s="85">
        <f>(F_LP_h/F_P_h)^2*(R1938-('Valve Sizing'!$V$4*'Valve Sizing'!$G$7))</f>
        <v>46.748240962226561</v>
      </c>
      <c r="S1941" s="58"/>
      <c r="T1941" s="73"/>
      <c r="U1941" s="53">
        <f>(U$29/U$27)^2*(U1938-('Valve Sizing'!$V$4*'Valve Sizing'!$G$7))</f>
        <v>46.054283920850878</v>
      </c>
      <c r="V1941" s="41"/>
      <c r="W1941" s="73"/>
      <c r="X1941" s="53">
        <f>(X$29/X$27)^2*(X1938-('Valve Sizing'!$V$4*'Valve Sizing'!$G$7))</f>
        <v>41.766025491307218</v>
      </c>
      <c r="Y1941" s="41"/>
      <c r="Z1941" s="73"/>
      <c r="AA1941" s="53">
        <f>(AA$29/AA$27)^2*(AA1938-('Valve Sizing'!$V$4*'Valve Sizing'!$G$7))</f>
        <v>29.954523796572261</v>
      </c>
      <c r="AB1941" s="41"/>
      <c r="AC1941" s="73"/>
      <c r="AD1941" s="53">
        <f>(AD$29/AD$27)^2*(AD1938-('Valve Sizing'!$V$4*'Valve Sizing'!$G$7))</f>
        <v>6.173749794737863</v>
      </c>
      <c r="AE1941" s="41"/>
      <c r="AF1941" s="73"/>
      <c r="AG1941" s="53">
        <f>(AG$29/AG$27)^2*(AG1938-('Valve Sizing'!$V$4*'Valve Sizing'!$G$7))</f>
        <v>-32.034131212262217</v>
      </c>
      <c r="AH1941" s="41"/>
      <c r="AI1941" s="73"/>
      <c r="AJ1941" s="53">
        <f>(AJ$29/AJ$27)^2*(AJ1938-('Valve Sizing'!$V$4*'Valve Sizing'!$G$7))</f>
        <v>-76.738828343235554</v>
      </c>
      <c r="AK1941" s="41"/>
      <c r="AL1941" s="73"/>
      <c r="AM1941" s="53">
        <f>(AM$29/AM$27)^2*(AM1938-('Valve Sizing'!$V$4*'Valve Sizing'!$G$7))</f>
        <v>-107.73053007592297</v>
      </c>
      <c r="AN1941" s="41"/>
      <c r="AO1941" s="73"/>
      <c r="AP1941" s="53">
        <f>(AP$29/AP$27)^2*(AP1938-('Valve Sizing'!$V$4*'Valve Sizing'!$G$7))</f>
        <v>-127.51199532555466</v>
      </c>
      <c r="AQ1941" s="41"/>
      <c r="AR1941" s="73"/>
      <c r="AS1941" s="53">
        <f>(AS$29/AS$27)^2*(AS1938-('Valve Sizing'!$V$4*'Valve Sizing'!$G$7))</f>
        <v>-163.69599038490409</v>
      </c>
      <c r="AT1941" s="41"/>
      <c r="AU1941" s="73"/>
    </row>
    <row r="1942" spans="15:47" ht="13" x14ac:dyDescent="0.25">
      <c r="O1942" s="1" t="s">
        <v>69</v>
      </c>
      <c r="P1942" s="17">
        <v>7</v>
      </c>
      <c r="Q1942" s="65"/>
      <c r="R1942" s="53">
        <f>(R1936/(N_1*F_P_h))*SQRT('Valve Sizing'!$G$6/R1940)</f>
        <v>4.3333165424658517</v>
      </c>
      <c r="S1942" s="58"/>
      <c r="T1942" s="73"/>
      <c r="U1942" s="64">
        <f>(U1936/(N_1*U$27))*SQRT('Valve Sizing'!$G$6/U1940)</f>
        <v>28.292901172044964</v>
      </c>
      <c r="V1942" s="41"/>
      <c r="W1942" s="73"/>
      <c r="X1942" s="64">
        <f>(X1936/(N_1*X$27))*SQRT('Valve Sizing'!$G$6/X1940)</f>
        <v>74.01239085255898</v>
      </c>
      <c r="Y1942" s="41"/>
      <c r="Z1942" s="73"/>
      <c r="AA1942" s="64">
        <f>(AA1936/(N_1*AA$27))*SQRT('Valve Sizing'!$G$6/AA1940)</f>
        <v>220.29010916583999</v>
      </c>
      <c r="AB1942" s="41"/>
      <c r="AC1942" s="73"/>
      <c r="AD1942" s="64" t="e">
        <f>(AD1936/(N_1*AD$27))*SQRT('Valve Sizing'!$G$6/AD1940)</f>
        <v>#NUM!</v>
      </c>
      <c r="AE1942" s="41"/>
      <c r="AF1942" s="73"/>
      <c r="AG1942" s="64" t="e">
        <f>(AG1936/(N_1*AG$27))*SQRT('Valve Sizing'!$G$6/AG1940)</f>
        <v>#NUM!</v>
      </c>
      <c r="AH1942" s="41"/>
      <c r="AI1942" s="73"/>
      <c r="AJ1942" s="64" t="e">
        <f>(AJ1936/(N_1*AJ$27))*SQRT('Valve Sizing'!$G$6/AJ1940)</f>
        <v>#NUM!</v>
      </c>
      <c r="AK1942" s="41"/>
      <c r="AL1942" s="73"/>
      <c r="AM1942" s="64" t="e">
        <f>(AM1936/(N_1*AM$27))*SQRT('Valve Sizing'!$G$6/AM1940)</f>
        <v>#NUM!</v>
      </c>
      <c r="AN1942" s="41"/>
      <c r="AO1942" s="73"/>
      <c r="AP1942" s="64" t="e">
        <f>(AP1936/(N_1*AP$27))*SQRT('Valve Sizing'!$G$6/AP1940)</f>
        <v>#NUM!</v>
      </c>
      <c r="AQ1942" s="41"/>
      <c r="AR1942" s="73"/>
      <c r="AS1942" s="64" t="e">
        <f>(AS1936/(N_1*AS$27))*SQRT('Valve Sizing'!$G$6/AS1940)</f>
        <v>#NUM!</v>
      </c>
      <c r="AT1942" s="41"/>
      <c r="AU1942" s="73"/>
    </row>
    <row r="1943" spans="15:47" ht="13" x14ac:dyDescent="0.3">
      <c r="O1943" s="1" t="s">
        <v>72</v>
      </c>
      <c r="P1943" s="17">
        <v>7</v>
      </c>
      <c r="Q1943" s="65"/>
      <c r="R1943" s="53">
        <f>(R1936/(N_1*F_P_h))*SQRT('Valve Sizing'!$G$6/R1941)</f>
        <v>3.5983267176208376</v>
      </c>
      <c r="S1943" s="56"/>
      <c r="T1943" s="72"/>
      <c r="U1943" s="85">
        <f>(U1936/(N_1*U$27))*SQRT('Valve Sizing'!$G$6/U1941)</f>
        <v>23.305006154249273</v>
      </c>
      <c r="V1943" s="44"/>
      <c r="W1943" s="72"/>
      <c r="X1943" s="85">
        <f>(X1936/(N_1*X$27))*SQRT('Valve Sizing'!$G$6/X1941)</f>
        <v>58.874631851899544</v>
      </c>
      <c r="Y1943" s="44"/>
      <c r="Z1943" s="72"/>
      <c r="AA1943" s="85">
        <f>(AA1936/(N_1*AA$27))*SQRT('Valve Sizing'!$G$6/AA1941)</f>
        <v>133.50243596603593</v>
      </c>
      <c r="AB1943" s="44"/>
      <c r="AC1943" s="72"/>
      <c r="AD1943" s="85">
        <f>(AD1936/(N_1*AD$27))*SQRT('Valve Sizing'!$G$6/AD1941)</f>
        <v>489.71091004297051</v>
      </c>
      <c r="AE1943" s="44"/>
      <c r="AF1943" s="72"/>
      <c r="AG1943" s="85" t="e">
        <f>(AG1936/(N_1*AG$27))*SQRT('Valve Sizing'!$G$6/AG1941)</f>
        <v>#NUM!</v>
      </c>
      <c r="AH1943" s="44"/>
      <c r="AI1943" s="72"/>
      <c r="AJ1943" s="85" t="e">
        <f>(AJ1936/(N_1*AJ$27))*SQRT('Valve Sizing'!$G$6/AJ1941)</f>
        <v>#NUM!</v>
      </c>
      <c r="AK1943" s="44"/>
      <c r="AL1943" s="72"/>
      <c r="AM1943" s="85" t="e">
        <f>(AM1936/(N_1*AM$27))*SQRT('Valve Sizing'!$G$6/AM1941)</f>
        <v>#NUM!</v>
      </c>
      <c r="AN1943" s="44"/>
      <c r="AO1943" s="72"/>
      <c r="AP1943" s="85" t="e">
        <f>(AP1936/(N_1*AP$27))*SQRT('Valve Sizing'!$G$6/AP1941)</f>
        <v>#NUM!</v>
      </c>
      <c r="AQ1943" s="44"/>
      <c r="AR1943" s="72"/>
      <c r="AS1943" s="85" t="e">
        <f>(AS1936/(N_1*AS$27))*SQRT('Valve Sizing'!$G$6/AS1941)</f>
        <v>#NUM!</v>
      </c>
      <c r="AT1943" s="44"/>
      <c r="AU1943" s="72"/>
    </row>
    <row r="1944" spans="15:47" x14ac:dyDescent="0.25">
      <c r="O1944" s="1" t="s">
        <v>246</v>
      </c>
      <c r="P1944" s="18"/>
      <c r="Q1944" s="65"/>
      <c r="R1944" s="53">
        <f>IF(R1940&lt;R1941,R1942,R1943)</f>
        <v>4.3333165424658517</v>
      </c>
      <c r="S1944" s="49"/>
      <c r="T1944" s="72"/>
      <c r="U1944" s="64">
        <f>IF(U1940&lt;U1941,U1942,U1943)</f>
        <v>28.292901172044964</v>
      </c>
      <c r="V1944" s="44"/>
      <c r="W1944" s="72"/>
      <c r="X1944" s="64">
        <f>IF(X1940&lt;X1941,X1942,X1943)</f>
        <v>74.01239085255898</v>
      </c>
      <c r="Y1944" s="44"/>
      <c r="Z1944" s="72"/>
      <c r="AA1944" s="64">
        <f>IF(AA1940&lt;AA1941,AA1942,AA1943)</f>
        <v>220.29010916583999</v>
      </c>
      <c r="AB1944" s="44"/>
      <c r="AC1944" s="72"/>
      <c r="AD1944" s="64" t="e">
        <f>IF(AD1940&lt;AD1941,AD1942,AD1943)</f>
        <v>#NUM!</v>
      </c>
      <c r="AE1944" s="44"/>
      <c r="AF1944" s="72"/>
      <c r="AG1944" s="64" t="e">
        <f>IF(AG1940&lt;AG1941,AG1942,AG1943)</f>
        <v>#NUM!</v>
      </c>
      <c r="AH1944" s="44"/>
      <c r="AI1944" s="72"/>
      <c r="AJ1944" s="64" t="e">
        <f>IF(AJ1940&lt;AJ1941,AJ1942,AJ1943)</f>
        <v>#NUM!</v>
      </c>
      <c r="AK1944" s="44"/>
      <c r="AL1944" s="72"/>
      <c r="AM1944" s="64" t="e">
        <f>IF(AM1940&lt;AM1941,AM1942,AM1943)</f>
        <v>#NUM!</v>
      </c>
      <c r="AN1944" s="44"/>
      <c r="AO1944" s="72"/>
      <c r="AP1944" s="64" t="e">
        <f>IF(AP1940&lt;AP1941,AP1942,AP1943)</f>
        <v>#NUM!</v>
      </c>
      <c r="AQ1944" s="44"/>
      <c r="AR1944" s="72"/>
      <c r="AS1944" s="64" t="e">
        <f>IF(AS1940&lt;AS1941,AS1942,AS1943)</f>
        <v>#NUM!</v>
      </c>
      <c r="AT1944" s="44"/>
      <c r="AU1944" s="72"/>
    </row>
    <row r="1945" spans="15:47" ht="13" x14ac:dyDescent="0.3">
      <c r="O1945" s="7" t="s">
        <v>264</v>
      </c>
      <c r="Q1945" s="61"/>
      <c r="R1945" s="53"/>
      <c r="S1945" s="69">
        <f>IFERROR(ABS(C_h-R1944),Q_max*10)</f>
        <v>0.66668345753414826</v>
      </c>
      <c r="T1945" s="76">
        <f>R1936</f>
        <v>24.599127403946017</v>
      </c>
      <c r="U1945" s="61"/>
      <c r="V1945" s="69">
        <f>IFERROR(ABS(U$23-U1944),Q_max*10)</f>
        <v>16.292901172044964</v>
      </c>
      <c r="W1945" s="75">
        <f>U1936</f>
        <v>158.02236910126359</v>
      </c>
      <c r="X1945" s="61"/>
      <c r="Y1945" s="69">
        <f>IFERROR(ABS(X$23-X1944),Q_max*10)</f>
        <v>51.01239085255898</v>
      </c>
      <c r="Z1945" s="75">
        <f>X1936</f>
        <v>379.31451456398077</v>
      </c>
      <c r="AA1945" s="61"/>
      <c r="AB1945" s="69">
        <f>IFERROR(ABS(AA$23-AA1944),Q_max*10)</f>
        <v>181.29010916583999</v>
      </c>
      <c r="AC1945" s="75">
        <f>AA1936</f>
        <v>724.25042258658664</v>
      </c>
      <c r="AD1945" s="61"/>
      <c r="AE1945" s="69">
        <f>IFERROR(ABS(AD$23-AD1944),Q_max*10)</f>
        <v>5500</v>
      </c>
      <c r="AF1945" s="75">
        <f>AD1936</f>
        <v>1191.1252919697799</v>
      </c>
      <c r="AG1945" s="61"/>
      <c r="AH1945" s="69">
        <f>IFERROR(ABS(AG$23-AG1944),Q_max*10)</f>
        <v>5500</v>
      </c>
      <c r="AI1945" s="75">
        <f>AG1936</f>
        <v>1773.4232493734858</v>
      </c>
      <c r="AJ1945" s="61"/>
      <c r="AK1945" s="69">
        <f>IFERROR(ABS(AJ$23-AJ1944),Q_max*10)</f>
        <v>5500</v>
      </c>
      <c r="AL1945" s="75">
        <f>AJ1936</f>
        <v>2366.6402010833763</v>
      </c>
      <c r="AM1945" s="61"/>
      <c r="AN1945" s="69">
        <f>IFERROR(ABS(AM$23-AM1944),Q_max*10)</f>
        <v>5500</v>
      </c>
      <c r="AO1945" s="75">
        <f>AM1936</f>
        <v>2887.7508015023895</v>
      </c>
      <c r="AP1945" s="61"/>
      <c r="AQ1945" s="69">
        <f>IFERROR(ABS(AP$23-AP1944),Q_max*10)</f>
        <v>5500</v>
      </c>
      <c r="AR1945" s="75">
        <f>AP1936</f>
        <v>3352.5890313891059</v>
      </c>
      <c r="AS1945" s="61"/>
      <c r="AT1945" s="69">
        <f>IFERROR(ABS(AS$23-AS1944),Q_max*10)</f>
        <v>5500</v>
      </c>
      <c r="AU1945" s="75">
        <f>AS1936</f>
        <v>3815.5590486782917</v>
      </c>
    </row>
    <row r="1946" spans="15:47" ht="14.5" x14ac:dyDescent="0.35">
      <c r="O1946" s="6"/>
      <c r="P1946" s="6"/>
      <c r="Q1946" s="60"/>
      <c r="R1946" s="67"/>
      <c r="S1946" s="58"/>
      <c r="T1946" s="73"/>
      <c r="V1946" s="11"/>
      <c r="W1946" s="38"/>
      <c r="Y1946" s="11"/>
      <c r="Z1946" s="38"/>
      <c r="AB1946" s="11"/>
      <c r="AC1946" s="38"/>
      <c r="AE1946" s="11"/>
      <c r="AF1946" s="38"/>
      <c r="AH1946" s="11"/>
      <c r="AI1946" s="38"/>
      <c r="AK1946" s="11"/>
      <c r="AL1946" s="38"/>
      <c r="AN1946" s="11"/>
      <c r="AO1946" s="38"/>
      <c r="AQ1946" s="11"/>
      <c r="AR1946" s="38"/>
      <c r="AT1946" s="11"/>
      <c r="AU1946" s="38"/>
    </row>
    <row r="1947" spans="15:47" ht="14" x14ac:dyDescent="0.3">
      <c r="O1947" s="8" t="s">
        <v>235</v>
      </c>
      <c r="P1947" s="6"/>
      <c r="Q1947" s="60"/>
      <c r="R1947" s="53">
        <f>R1936*1.02</f>
        <v>25.091109952024937</v>
      </c>
      <c r="S1947" s="58" t="s">
        <v>238</v>
      </c>
      <c r="T1947" s="73" t="s">
        <v>241</v>
      </c>
      <c r="U1947" s="84">
        <f>U1936*1.01</f>
        <v>159.60259279227623</v>
      </c>
      <c r="V1947" s="58" t="s">
        <v>238</v>
      </c>
      <c r="W1947" s="73" t="s">
        <v>241</v>
      </c>
      <c r="X1947" s="84">
        <f>X1936*1.01</f>
        <v>383.10765970962058</v>
      </c>
      <c r="Y1947" s="58" t="s">
        <v>238</v>
      </c>
      <c r="Z1947" s="73" t="s">
        <v>241</v>
      </c>
      <c r="AA1947" s="84">
        <f>AA1936*1.01</f>
        <v>731.49292681245254</v>
      </c>
      <c r="AB1947" s="58" t="s">
        <v>238</v>
      </c>
      <c r="AC1947" s="73" t="s">
        <v>241</v>
      </c>
      <c r="AD1947" s="84">
        <f>AD1936*1.01</f>
        <v>1203.0365448894777</v>
      </c>
      <c r="AE1947" s="58" t="s">
        <v>238</v>
      </c>
      <c r="AF1947" s="73" t="s">
        <v>241</v>
      </c>
      <c r="AG1947" s="84">
        <f>AG1936*1.01</f>
        <v>1791.1574818672207</v>
      </c>
      <c r="AH1947" s="58" t="s">
        <v>238</v>
      </c>
      <c r="AI1947" s="73" t="s">
        <v>241</v>
      </c>
      <c r="AJ1947" s="84">
        <f>AJ1936*1.01</f>
        <v>2390.30660309421</v>
      </c>
      <c r="AK1947" s="58" t="s">
        <v>238</v>
      </c>
      <c r="AL1947" s="73" t="s">
        <v>241</v>
      </c>
      <c r="AM1947" s="84">
        <f>AM1936*1.01</f>
        <v>2916.6283095174135</v>
      </c>
      <c r="AN1947" s="58" t="s">
        <v>238</v>
      </c>
      <c r="AO1947" s="73" t="s">
        <v>241</v>
      </c>
      <c r="AP1947" s="84">
        <f>AP1936*1.01</f>
        <v>3386.114921702997</v>
      </c>
      <c r="AQ1947" s="58" t="s">
        <v>238</v>
      </c>
      <c r="AR1947" s="73" t="s">
        <v>241</v>
      </c>
      <c r="AS1947" s="84">
        <f>AS1936*1.01</f>
        <v>3853.7146391650745</v>
      </c>
      <c r="AT1947" s="58" t="s">
        <v>238</v>
      </c>
      <c r="AU1947" s="73" t="s">
        <v>241</v>
      </c>
    </row>
    <row r="1948" spans="15:47" ht="13" x14ac:dyDescent="0.25">
      <c r="O1948" s="6"/>
      <c r="P1948" s="6"/>
      <c r="Q1948" s="60"/>
      <c r="R1948" s="70"/>
      <c r="S1948" s="63" t="s">
        <v>250</v>
      </c>
      <c r="T1948" s="71" t="s">
        <v>242</v>
      </c>
      <c r="U1948" s="61"/>
      <c r="V1948" s="63" t="s">
        <v>250</v>
      </c>
      <c r="W1948" s="71" t="s">
        <v>242</v>
      </c>
      <c r="X1948" s="61"/>
      <c r="Y1948" s="63" t="s">
        <v>250</v>
      </c>
      <c r="Z1948" s="71" t="s">
        <v>242</v>
      </c>
      <c r="AA1948" s="61"/>
      <c r="AB1948" s="63" t="s">
        <v>250</v>
      </c>
      <c r="AC1948" s="71" t="s">
        <v>242</v>
      </c>
      <c r="AD1948" s="61"/>
      <c r="AE1948" s="63" t="s">
        <v>250</v>
      </c>
      <c r="AF1948" s="71" t="s">
        <v>242</v>
      </c>
      <c r="AG1948" s="61"/>
      <c r="AH1948" s="63" t="s">
        <v>250</v>
      </c>
      <c r="AI1948" s="71" t="s">
        <v>242</v>
      </c>
      <c r="AJ1948" s="61"/>
      <c r="AK1948" s="63" t="s">
        <v>250</v>
      </c>
      <c r="AL1948" s="71" t="s">
        <v>242</v>
      </c>
      <c r="AM1948" s="61"/>
      <c r="AN1948" s="63" t="s">
        <v>250</v>
      </c>
      <c r="AO1948" s="71" t="s">
        <v>242</v>
      </c>
      <c r="AP1948" s="61"/>
      <c r="AQ1948" s="63" t="s">
        <v>250</v>
      </c>
      <c r="AR1948" s="71" t="s">
        <v>242</v>
      </c>
      <c r="AS1948" s="61"/>
      <c r="AT1948" s="63" t="s">
        <v>250</v>
      </c>
      <c r="AU1948" s="71" t="s">
        <v>242</v>
      </c>
    </row>
    <row r="1949" spans="15:47" ht="13" x14ac:dyDescent="0.3">
      <c r="O1949" s="6" t="s">
        <v>231</v>
      </c>
      <c r="P1949" s="6"/>
      <c r="Q1949" s="60"/>
      <c r="R1949" s="85">
        <f>P_1_minQ-(R1947^2*R_up)+dpup_minQ</f>
        <v>56.894881330677997</v>
      </c>
      <c r="S1949" s="56"/>
      <c r="T1949" s="72"/>
      <c r="U1949" s="53">
        <f>P_1_minQ-(U1947^2*R_up)+dpup_minQ</f>
        <v>56.055859924822116</v>
      </c>
      <c r="V1949" s="44"/>
      <c r="W1949" s="72"/>
      <c r="X1949" s="53">
        <f>P_1_minQ-(X1947^2*R_up)+dpup_minQ</f>
        <v>51.959321886923931</v>
      </c>
      <c r="Y1949" s="44"/>
      <c r="Z1949" s="72"/>
      <c r="AA1949" s="53">
        <f>P_1_minQ-(AA1947^2*R_up)+dpup_minQ</f>
        <v>38.845156974783926</v>
      </c>
      <c r="AB1949" s="44"/>
      <c r="AC1949" s="72"/>
      <c r="AD1949" s="53">
        <f>P_1_minQ-(AD1947^2*R_up)+dpup_minQ</f>
        <v>8.0374897555011096</v>
      </c>
      <c r="AE1949" s="44"/>
      <c r="AF1949" s="72"/>
      <c r="AG1949" s="53">
        <f>P_1_minQ-(AG1947^2*R_up)+dpup_minQ</f>
        <v>-51.433911680139239</v>
      </c>
      <c r="AH1949" s="44"/>
      <c r="AI1949" s="72"/>
      <c r="AJ1949" s="53">
        <f>P_1_minQ-(AJ1947^2*R_up)+dpup_minQ</f>
        <v>-136.04453417074578</v>
      </c>
      <c r="AK1949" s="44"/>
      <c r="AL1949" s="72"/>
      <c r="AM1949" s="53">
        <f>P_1_minQ-(AM1947^2*R_up)+dpup_minQ</f>
        <v>-230.37601134341125</v>
      </c>
      <c r="AN1949" s="44"/>
      <c r="AO1949" s="72"/>
      <c r="AP1949" s="53">
        <f>P_1_minQ-(AP1947^2*R_up)+dpup_minQ</f>
        <v>-330.31027568320479</v>
      </c>
      <c r="AQ1949" s="44"/>
      <c r="AR1949" s="72"/>
      <c r="AS1949" s="53">
        <f>P_1_minQ-(AS1947^2*R_up)+dpup_minQ</f>
        <v>-444.64132117916927</v>
      </c>
      <c r="AT1949" s="44"/>
      <c r="AU1949" s="72"/>
    </row>
    <row r="1950" spans="15:47" ht="13" x14ac:dyDescent="0.3">
      <c r="O1950" s="6" t="s">
        <v>233</v>
      </c>
      <c r="P1950" s="6"/>
      <c r="Q1950" s="60"/>
      <c r="R1950" s="85">
        <f>P_2_minQ+(R1947^2*R_dn)-dpdn_minQ</f>
        <v>24.661023733864404</v>
      </c>
      <c r="S1950" s="66"/>
      <c r="T1950" s="74"/>
      <c r="U1950" s="53">
        <f>P_2_minQ+(U1947^2*R_dn)-dpdn_minQ</f>
        <v>24.82882801503558</v>
      </c>
      <c r="V1950" s="45"/>
      <c r="W1950" s="74"/>
      <c r="X1950" s="53">
        <f>P_2_minQ+(X1947^2*R_dn)-dpdn_minQ</f>
        <v>25.648135622615214</v>
      </c>
      <c r="Y1950" s="45"/>
      <c r="Z1950" s="74"/>
      <c r="AA1950" s="53">
        <f>P_2_minQ+(AA1947^2*R_dn)-dpdn_minQ</f>
        <v>28.270968605043215</v>
      </c>
      <c r="AB1950" s="45"/>
      <c r="AC1950" s="74"/>
      <c r="AD1950" s="53">
        <f>P_2_minQ+(AD1947^2*R_dn)-dpdn_minQ</f>
        <v>34.432502048899785</v>
      </c>
      <c r="AE1950" s="45"/>
      <c r="AF1950" s="74"/>
      <c r="AG1950" s="53">
        <f>P_2_minQ+(AG1947^2*R_dn)-dpdn_minQ</f>
        <v>46.326782336027847</v>
      </c>
      <c r="AH1950" s="45"/>
      <c r="AI1950" s="74"/>
      <c r="AJ1950" s="53">
        <f>P_2_minQ+(AJ1947^2*R_dn)-dpdn_minQ</f>
        <v>63.248906834149153</v>
      </c>
      <c r="AK1950" s="45"/>
      <c r="AL1950" s="74"/>
      <c r="AM1950" s="53">
        <f>P_2_minQ+(AM1947^2*R_dn)-dpdn_minQ</f>
        <v>82.115202268682239</v>
      </c>
      <c r="AN1950" s="45"/>
      <c r="AO1950" s="74"/>
      <c r="AP1950" s="53">
        <f>P_2_minQ+(AP1947^2*R_dn)-dpdn_minQ</f>
        <v>102.10205513664096</v>
      </c>
      <c r="AQ1950" s="45"/>
      <c r="AR1950" s="74"/>
      <c r="AS1950" s="53">
        <f>P_2_minQ+(AS1947^2*R_dn)-dpdn_minQ</f>
        <v>124.96826423583384</v>
      </c>
      <c r="AT1950" s="45"/>
      <c r="AU1950" s="74"/>
    </row>
    <row r="1951" spans="15:47" x14ac:dyDescent="0.25">
      <c r="O1951" s="6" t="s">
        <v>243</v>
      </c>
      <c r="Q1951" s="60"/>
      <c r="R1951" s="53">
        <f>R1949-R1950</f>
        <v>32.233857596813593</v>
      </c>
      <c r="S1951" s="56"/>
      <c r="T1951" s="72"/>
      <c r="U1951" s="64">
        <f>U1949-U1950</f>
        <v>31.227031909786536</v>
      </c>
      <c r="V1951" s="44"/>
      <c r="W1951" s="72"/>
      <c r="X1951" s="64">
        <f>X1949-X1950</f>
        <v>26.311186264308716</v>
      </c>
      <c r="Y1951" s="44"/>
      <c r="Z1951" s="72"/>
      <c r="AA1951" s="64">
        <f>AA1949-AA1950</f>
        <v>10.57418836974071</v>
      </c>
      <c r="AB1951" s="44"/>
      <c r="AC1951" s="72"/>
      <c r="AD1951" s="64">
        <f>AD1949-AD1950</f>
        <v>-26.395012293398675</v>
      </c>
      <c r="AE1951" s="44"/>
      <c r="AF1951" s="72"/>
      <c r="AG1951" s="64">
        <f>AG1949-AG1950</f>
        <v>-97.760694016167093</v>
      </c>
      <c r="AH1951" s="44"/>
      <c r="AI1951" s="72"/>
      <c r="AJ1951" s="64">
        <f>AJ1949-AJ1950</f>
        <v>-199.29344100489493</v>
      </c>
      <c r="AK1951" s="44"/>
      <c r="AL1951" s="72"/>
      <c r="AM1951" s="64">
        <f>AM1949-AM1950</f>
        <v>-312.49121361209347</v>
      </c>
      <c r="AN1951" s="44"/>
      <c r="AO1951" s="72"/>
      <c r="AP1951" s="64">
        <f>AP1949-AP1950</f>
        <v>-432.41233081984575</v>
      </c>
      <c r="AQ1951" s="44"/>
      <c r="AR1951" s="72"/>
      <c r="AS1951" s="64">
        <f>AS1949-AS1950</f>
        <v>-569.60958541500315</v>
      </c>
      <c r="AT1951" s="44"/>
      <c r="AU1951" s="72"/>
    </row>
    <row r="1952" spans="15:47" ht="13" x14ac:dyDescent="0.3">
      <c r="O1952" s="6" t="s">
        <v>75</v>
      </c>
      <c r="P1952" s="6">
        <v>3</v>
      </c>
      <c r="Q1952" s="65"/>
      <c r="R1952" s="85">
        <f>(F_LP_h/F_P_h)^2*(R1949-('Valve Sizing'!$V$4*'Valve Sizing'!$G$7))</f>
        <v>46.747557302135142</v>
      </c>
      <c r="S1952" s="58"/>
      <c r="T1952" s="73"/>
      <c r="U1952" s="53">
        <f>(U$29/U$27)^2*(U1949-('Valve Sizing'!$V$4*'Valve Sizing'!$G$7))</f>
        <v>46.040251446158081</v>
      </c>
      <c r="V1952" s="41"/>
      <c r="W1952" s="73"/>
      <c r="X1952" s="53">
        <f>(X$29/X$27)^2*(X1949-('Valve Sizing'!$V$4*'Valve Sizing'!$G$7))</f>
        <v>41.686996302404232</v>
      </c>
      <c r="Y1952" s="41"/>
      <c r="Z1952" s="73"/>
      <c r="AA1952" s="53">
        <f>(AA$29/AA$27)^2*(AA1949-('Valve Sizing'!$V$4*'Valve Sizing'!$G$7))</f>
        <v>29.67935402933994</v>
      </c>
      <c r="AB1952" s="41"/>
      <c r="AC1952" s="73"/>
      <c r="AD1952" s="53">
        <f>(AD$29/AD$27)^2*(AD1949-('Valve Sizing'!$V$4*'Valve Sizing'!$G$7))</f>
        <v>5.4791723476860845</v>
      </c>
      <c r="AE1952" s="41"/>
      <c r="AF1952" s="73"/>
      <c r="AG1952" s="53">
        <f>(AG$29/AG$27)^2*(AG1949-('Valve Sizing'!$V$4*'Valve Sizing'!$G$7))</f>
        <v>-33.409116183144825</v>
      </c>
      <c r="AH1952" s="41"/>
      <c r="AI1952" s="73"/>
      <c r="AJ1952" s="53">
        <f>(AJ$29/AJ$27)^2*(AJ1949-('Valve Sizing'!$V$4*'Valve Sizing'!$G$7))</f>
        <v>-78.93782024164166</v>
      </c>
      <c r="AK1952" s="41"/>
      <c r="AL1952" s="73"/>
      <c r="AM1952" s="53">
        <f>(AM$29/AM$27)^2*(AM1949-('Valve Sizing'!$V$4*'Valve Sizing'!$G$7))</f>
        <v>-110.43906063436937</v>
      </c>
      <c r="AN1952" s="41"/>
      <c r="AO1952" s="73"/>
      <c r="AP1952" s="53">
        <f>(AP$29/AP$27)^2*(AP1949-('Valve Sizing'!$V$4*'Valve Sizing'!$G$7))</f>
        <v>-130.52295469849778</v>
      </c>
      <c r="AQ1952" s="41"/>
      <c r="AR1952" s="73"/>
      <c r="AS1952" s="53">
        <f>(AS$29/AS$27)^2*(AS1949-('Valve Sizing'!$V$4*'Valve Sizing'!$G$7))</f>
        <v>-167.4132632807582</v>
      </c>
      <c r="AT1952" s="41"/>
      <c r="AU1952" s="73"/>
    </row>
    <row r="1953" spans="15:47" ht="13" x14ac:dyDescent="0.25">
      <c r="O1953" s="1" t="s">
        <v>69</v>
      </c>
      <c r="P1953" s="17">
        <v>7</v>
      </c>
      <c r="Q1953" s="65"/>
      <c r="R1953" s="53">
        <f>(R1947/(N_1*F_P_h))*SQRT('Valve Sizing'!$G$6/R1951)</f>
        <v>4.4200507997120351</v>
      </c>
      <c r="S1953" s="58"/>
      <c r="T1953" s="73"/>
      <c r="U1953" s="64">
        <f>(U1947/(N_1*U$27))*SQRT('Valve Sizing'!$G$6/U1951)</f>
        <v>28.585135764461782</v>
      </c>
      <c r="V1953" s="41"/>
      <c r="W1953" s="73"/>
      <c r="X1953" s="64">
        <f>(X1947/(N_1*X$27))*SQRT('Valve Sizing'!$G$6/X1951)</f>
        <v>74.918821699268861</v>
      </c>
      <c r="Y1953" s="41"/>
      <c r="Z1953" s="73"/>
      <c r="AA1953" s="64">
        <f>(AA1947/(N_1*AA$27))*SQRT('Valve Sizing'!$G$6/AA1951)</f>
        <v>226.94376340410557</v>
      </c>
      <c r="AB1953" s="41"/>
      <c r="AC1953" s="73"/>
      <c r="AD1953" s="64" t="e">
        <f>(AD1947/(N_1*AD$27))*SQRT('Valve Sizing'!$G$6/AD1951)</f>
        <v>#NUM!</v>
      </c>
      <c r="AE1953" s="41"/>
      <c r="AF1953" s="73"/>
      <c r="AG1953" s="64" t="e">
        <f>(AG1947/(N_1*AG$27))*SQRT('Valve Sizing'!$G$6/AG1951)</f>
        <v>#NUM!</v>
      </c>
      <c r="AH1953" s="41"/>
      <c r="AI1953" s="73"/>
      <c r="AJ1953" s="64" t="e">
        <f>(AJ1947/(N_1*AJ$27))*SQRT('Valve Sizing'!$G$6/AJ1951)</f>
        <v>#NUM!</v>
      </c>
      <c r="AK1953" s="41"/>
      <c r="AL1953" s="73"/>
      <c r="AM1953" s="64" t="e">
        <f>(AM1947/(N_1*AM$27))*SQRT('Valve Sizing'!$G$6/AM1951)</f>
        <v>#NUM!</v>
      </c>
      <c r="AN1953" s="41"/>
      <c r="AO1953" s="73"/>
      <c r="AP1953" s="64" t="e">
        <f>(AP1947/(N_1*AP$27))*SQRT('Valve Sizing'!$G$6/AP1951)</f>
        <v>#NUM!</v>
      </c>
      <c r="AQ1953" s="41"/>
      <c r="AR1953" s="73"/>
      <c r="AS1953" s="64" t="e">
        <f>(AS1947/(N_1*AS$27))*SQRT('Valve Sizing'!$G$6/AS1951)</f>
        <v>#NUM!</v>
      </c>
      <c r="AT1953" s="41"/>
      <c r="AU1953" s="73"/>
    </row>
    <row r="1954" spans="15:47" ht="13" x14ac:dyDescent="0.3">
      <c r="O1954" s="1" t="s">
        <v>72</v>
      </c>
      <c r="P1954" s="17">
        <v>7</v>
      </c>
      <c r="Q1954" s="65"/>
      <c r="R1954" s="53">
        <f>(R1947/(N_1*F_P_h))*SQRT('Valve Sizing'!$G$6/R1952)</f>
        <v>3.6703200899942225</v>
      </c>
      <c r="S1954" s="56"/>
      <c r="T1954" s="72"/>
      <c r="U1954" s="85">
        <f>(U1947/(N_1*U$27))*SQRT('Valve Sizing'!$G$6/U1952)</f>
        <v>23.541642990451404</v>
      </c>
      <c r="V1954" s="44"/>
      <c r="W1954" s="72"/>
      <c r="X1954" s="85">
        <f>(X1947/(N_1*X$27))*SQRT('Valve Sizing'!$G$6/X1952)</f>
        <v>59.519716091675043</v>
      </c>
      <c r="Y1954" s="44"/>
      <c r="Z1954" s="72"/>
      <c r="AA1954" s="85">
        <f>(AA1947/(N_1*AA$27))*SQRT('Valve Sizing'!$G$6/AA1952)</f>
        <v>135.46108557519904</v>
      </c>
      <c r="AB1954" s="44"/>
      <c r="AC1954" s="72"/>
      <c r="AD1954" s="85">
        <f>(AD1947/(N_1*AD$27))*SQRT('Valve Sizing'!$G$6/AD1952)</f>
        <v>525.02282566580595</v>
      </c>
      <c r="AE1954" s="44"/>
      <c r="AF1954" s="72"/>
      <c r="AG1954" s="85" t="e">
        <f>(AG1947/(N_1*AG$27))*SQRT('Valve Sizing'!$G$6/AG1952)</f>
        <v>#NUM!</v>
      </c>
      <c r="AH1954" s="44"/>
      <c r="AI1954" s="72"/>
      <c r="AJ1954" s="85" t="e">
        <f>(AJ1947/(N_1*AJ$27))*SQRT('Valve Sizing'!$G$6/AJ1952)</f>
        <v>#NUM!</v>
      </c>
      <c r="AK1954" s="44"/>
      <c r="AL1954" s="72"/>
      <c r="AM1954" s="85" t="e">
        <f>(AM1947/(N_1*AM$27))*SQRT('Valve Sizing'!$G$6/AM1952)</f>
        <v>#NUM!</v>
      </c>
      <c r="AN1954" s="44"/>
      <c r="AO1954" s="72"/>
      <c r="AP1954" s="85" t="e">
        <f>(AP1947/(N_1*AP$27))*SQRT('Valve Sizing'!$G$6/AP1952)</f>
        <v>#NUM!</v>
      </c>
      <c r="AQ1954" s="44"/>
      <c r="AR1954" s="72"/>
      <c r="AS1954" s="85" t="e">
        <f>(AS1947/(N_1*AS$27))*SQRT('Valve Sizing'!$G$6/AS1952)</f>
        <v>#NUM!</v>
      </c>
      <c r="AT1954" s="44"/>
      <c r="AU1954" s="72"/>
    </row>
    <row r="1955" spans="15:47" x14ac:dyDescent="0.25">
      <c r="O1955" s="1" t="s">
        <v>246</v>
      </c>
      <c r="P1955" s="18"/>
      <c r="Q1955" s="65"/>
      <c r="R1955" s="53">
        <f>IF(R1951&lt;R1952,R1953,R1954)</f>
        <v>4.4200507997120351</v>
      </c>
      <c r="S1955" s="49"/>
      <c r="T1955" s="72"/>
      <c r="U1955" s="64">
        <f>IF(U1951&lt;U1952,U1953,U1954)</f>
        <v>28.585135764461782</v>
      </c>
      <c r="V1955" s="44"/>
      <c r="W1955" s="72"/>
      <c r="X1955" s="64">
        <f>IF(X1951&lt;X1952,X1953,X1954)</f>
        <v>74.918821699268861</v>
      </c>
      <c r="Y1955" s="44"/>
      <c r="Z1955" s="72"/>
      <c r="AA1955" s="64">
        <f>IF(AA1951&lt;AA1952,AA1953,AA1954)</f>
        <v>226.94376340410557</v>
      </c>
      <c r="AB1955" s="44"/>
      <c r="AC1955" s="72"/>
      <c r="AD1955" s="64" t="e">
        <f>IF(AD1951&lt;AD1952,AD1953,AD1954)</f>
        <v>#NUM!</v>
      </c>
      <c r="AE1955" s="44"/>
      <c r="AF1955" s="72"/>
      <c r="AG1955" s="64" t="e">
        <f>IF(AG1951&lt;AG1952,AG1953,AG1954)</f>
        <v>#NUM!</v>
      </c>
      <c r="AH1955" s="44"/>
      <c r="AI1955" s="72"/>
      <c r="AJ1955" s="64" t="e">
        <f>IF(AJ1951&lt;AJ1952,AJ1953,AJ1954)</f>
        <v>#NUM!</v>
      </c>
      <c r="AK1955" s="44"/>
      <c r="AL1955" s="72"/>
      <c r="AM1955" s="64" t="e">
        <f>IF(AM1951&lt;AM1952,AM1953,AM1954)</f>
        <v>#NUM!</v>
      </c>
      <c r="AN1955" s="44"/>
      <c r="AO1955" s="72"/>
      <c r="AP1955" s="64" t="e">
        <f>IF(AP1951&lt;AP1952,AP1953,AP1954)</f>
        <v>#NUM!</v>
      </c>
      <c r="AQ1955" s="44"/>
      <c r="AR1955" s="72"/>
      <c r="AS1955" s="64" t="e">
        <f>IF(AS1951&lt;AS1952,AS1953,AS1954)</f>
        <v>#NUM!</v>
      </c>
      <c r="AT1955" s="44"/>
      <c r="AU1955" s="72"/>
    </row>
    <row r="1956" spans="15:47" ht="13" x14ac:dyDescent="0.3">
      <c r="O1956" s="7" t="s">
        <v>264</v>
      </c>
      <c r="Q1956" s="61"/>
      <c r="R1956" s="53"/>
      <c r="S1956" s="69">
        <f>IFERROR(ABS(C_h-R1955),Q_max*10)</f>
        <v>0.57994920028796493</v>
      </c>
      <c r="T1956" s="76">
        <f>R1947</f>
        <v>25.091109952024937</v>
      </c>
      <c r="U1956" s="61"/>
      <c r="V1956" s="69">
        <f>IFERROR(ABS(U$23-U1955),Q_max*10)</f>
        <v>16.585135764461782</v>
      </c>
      <c r="W1956" s="75">
        <f>U1947</f>
        <v>159.60259279227623</v>
      </c>
      <c r="X1956" s="61"/>
      <c r="Y1956" s="69">
        <f>IFERROR(ABS(X$23-X1955),Q_max*10)</f>
        <v>51.918821699268861</v>
      </c>
      <c r="Z1956" s="75">
        <f>X1947</f>
        <v>383.10765970962058</v>
      </c>
      <c r="AA1956" s="61"/>
      <c r="AB1956" s="69">
        <f>IFERROR(ABS(AA$23-AA1955),Q_max*10)</f>
        <v>187.94376340410557</v>
      </c>
      <c r="AC1956" s="75">
        <f>AA1947</f>
        <v>731.49292681245254</v>
      </c>
      <c r="AD1956" s="61"/>
      <c r="AE1956" s="69">
        <f>IFERROR(ABS(AD$23-AD1955),Q_max*10)</f>
        <v>5500</v>
      </c>
      <c r="AF1956" s="75">
        <f>AD1947</f>
        <v>1203.0365448894777</v>
      </c>
      <c r="AG1956" s="61"/>
      <c r="AH1956" s="69">
        <f>IFERROR(ABS(AG$23-AG1955),Q_max*10)</f>
        <v>5500</v>
      </c>
      <c r="AI1956" s="75">
        <f>AG1947</f>
        <v>1791.1574818672207</v>
      </c>
      <c r="AJ1956" s="61"/>
      <c r="AK1956" s="69">
        <f>IFERROR(ABS(AJ$23-AJ1955),Q_max*10)</f>
        <v>5500</v>
      </c>
      <c r="AL1956" s="75">
        <f>AJ1947</f>
        <v>2390.30660309421</v>
      </c>
      <c r="AM1956" s="61"/>
      <c r="AN1956" s="69">
        <f>IFERROR(ABS(AM$23-AM1955),Q_max*10)</f>
        <v>5500</v>
      </c>
      <c r="AO1956" s="75">
        <f>AM1947</f>
        <v>2916.6283095174135</v>
      </c>
      <c r="AP1956" s="61"/>
      <c r="AQ1956" s="69">
        <f>IFERROR(ABS(AP$23-AP1955),Q_max*10)</f>
        <v>5500</v>
      </c>
      <c r="AR1956" s="75">
        <f>AP1947</f>
        <v>3386.114921702997</v>
      </c>
      <c r="AS1956" s="61"/>
      <c r="AT1956" s="69">
        <f>IFERROR(ABS(AS$23-AS1955),Q_max*10)</f>
        <v>5500</v>
      </c>
      <c r="AU1956" s="75">
        <f>AS1947</f>
        <v>3853.7146391650745</v>
      </c>
    </row>
    <row r="1957" spans="15:47" ht="14.5" x14ac:dyDescent="0.35">
      <c r="O1957" s="8"/>
      <c r="P1957" s="6"/>
      <c r="Q1957" s="60"/>
      <c r="R1957" s="67"/>
      <c r="S1957" s="56"/>
      <c r="T1957" s="72"/>
      <c r="V1957" s="11"/>
      <c r="W1957" s="38"/>
      <c r="Y1957" s="11"/>
      <c r="Z1957" s="38"/>
      <c r="AB1957" s="11"/>
      <c r="AC1957" s="38"/>
      <c r="AE1957" s="11"/>
      <c r="AF1957" s="38"/>
      <c r="AH1957" s="11"/>
      <c r="AI1957" s="38"/>
      <c r="AK1957" s="11"/>
      <c r="AL1957" s="38"/>
      <c r="AN1957" s="11"/>
      <c r="AO1957" s="38"/>
      <c r="AQ1957" s="11"/>
      <c r="AR1957" s="38"/>
      <c r="AT1957" s="11"/>
      <c r="AU1957" s="38"/>
    </row>
    <row r="1958" spans="15:47" ht="14" x14ac:dyDescent="0.3">
      <c r="O1958" s="8" t="s">
        <v>235</v>
      </c>
      <c r="P1958" s="6"/>
      <c r="Q1958" s="60"/>
      <c r="R1958" s="53">
        <f>R1947*1.02</f>
        <v>25.592932151065437</v>
      </c>
      <c r="S1958" s="58" t="s">
        <v>238</v>
      </c>
      <c r="T1958" s="73" t="s">
        <v>241</v>
      </c>
      <c r="U1958" s="84">
        <f>U1947*1.01</f>
        <v>161.19861872019899</v>
      </c>
      <c r="V1958" s="58" t="s">
        <v>238</v>
      </c>
      <c r="W1958" s="73" t="s">
        <v>241</v>
      </c>
      <c r="X1958" s="84">
        <f>X1947*1.01</f>
        <v>386.93873630671681</v>
      </c>
      <c r="Y1958" s="58" t="s">
        <v>238</v>
      </c>
      <c r="Z1958" s="73" t="s">
        <v>241</v>
      </c>
      <c r="AA1958" s="84">
        <f>AA1947*1.01</f>
        <v>738.80785608057704</v>
      </c>
      <c r="AB1958" s="58" t="s">
        <v>238</v>
      </c>
      <c r="AC1958" s="73" t="s">
        <v>241</v>
      </c>
      <c r="AD1958" s="84">
        <f>AD1947*1.01</f>
        <v>1215.0669103383725</v>
      </c>
      <c r="AE1958" s="58" t="s">
        <v>238</v>
      </c>
      <c r="AF1958" s="73" t="s">
        <v>241</v>
      </c>
      <c r="AG1958" s="84">
        <f>AG1947*1.01</f>
        <v>1809.069056685893</v>
      </c>
      <c r="AH1958" s="58" t="s">
        <v>238</v>
      </c>
      <c r="AI1958" s="73" t="s">
        <v>241</v>
      </c>
      <c r="AJ1958" s="84">
        <f>AJ1947*1.01</f>
        <v>2414.2096691251522</v>
      </c>
      <c r="AK1958" s="58" t="s">
        <v>238</v>
      </c>
      <c r="AL1958" s="73" t="s">
        <v>241</v>
      </c>
      <c r="AM1958" s="84">
        <f>AM1947*1.01</f>
        <v>2945.7945926125876</v>
      </c>
      <c r="AN1958" s="58" t="s">
        <v>238</v>
      </c>
      <c r="AO1958" s="73" t="s">
        <v>241</v>
      </c>
      <c r="AP1958" s="84">
        <f>AP1947*1.01</f>
        <v>3419.9760709200268</v>
      </c>
      <c r="AQ1958" s="58" t="s">
        <v>238</v>
      </c>
      <c r="AR1958" s="73" t="s">
        <v>241</v>
      </c>
      <c r="AS1958" s="84">
        <f>AS1947*1.01</f>
        <v>3892.2517855567253</v>
      </c>
      <c r="AT1958" s="58" t="s">
        <v>238</v>
      </c>
      <c r="AU1958" s="73" t="s">
        <v>241</v>
      </c>
    </row>
    <row r="1959" spans="15:47" ht="13" x14ac:dyDescent="0.25">
      <c r="O1959" s="6"/>
      <c r="P1959" s="6"/>
      <c r="Q1959" s="60"/>
      <c r="R1959" s="70"/>
      <c r="S1959" s="63" t="s">
        <v>250</v>
      </c>
      <c r="T1959" s="71" t="s">
        <v>242</v>
      </c>
      <c r="U1959" s="61"/>
      <c r="V1959" s="63" t="s">
        <v>250</v>
      </c>
      <c r="W1959" s="71" t="s">
        <v>242</v>
      </c>
      <c r="X1959" s="61"/>
      <c r="Y1959" s="63" t="s">
        <v>250</v>
      </c>
      <c r="Z1959" s="71" t="s">
        <v>242</v>
      </c>
      <c r="AA1959" s="61"/>
      <c r="AB1959" s="63" t="s">
        <v>250</v>
      </c>
      <c r="AC1959" s="71" t="s">
        <v>242</v>
      </c>
      <c r="AD1959" s="61"/>
      <c r="AE1959" s="63" t="s">
        <v>250</v>
      </c>
      <c r="AF1959" s="71" t="s">
        <v>242</v>
      </c>
      <c r="AG1959" s="61"/>
      <c r="AH1959" s="63" t="s">
        <v>250</v>
      </c>
      <c r="AI1959" s="71" t="s">
        <v>242</v>
      </c>
      <c r="AJ1959" s="61"/>
      <c r="AK1959" s="63" t="s">
        <v>250</v>
      </c>
      <c r="AL1959" s="71" t="s">
        <v>242</v>
      </c>
      <c r="AM1959" s="61"/>
      <c r="AN1959" s="63" t="s">
        <v>250</v>
      </c>
      <c r="AO1959" s="71" t="s">
        <v>242</v>
      </c>
      <c r="AP1959" s="61"/>
      <c r="AQ1959" s="63" t="s">
        <v>250</v>
      </c>
      <c r="AR1959" s="71" t="s">
        <v>242</v>
      </c>
      <c r="AS1959" s="61"/>
      <c r="AT1959" s="63" t="s">
        <v>250</v>
      </c>
      <c r="AU1959" s="71" t="s">
        <v>242</v>
      </c>
    </row>
    <row r="1960" spans="15:47" ht="13" x14ac:dyDescent="0.3">
      <c r="O1960" s="6" t="s">
        <v>231</v>
      </c>
      <c r="P1960" s="6"/>
      <c r="Q1960" s="60"/>
      <c r="R1960" s="85">
        <f>P_1_minQ-(R1958^2*R_up)+dpup_minQ</f>
        <v>56.894022351364775</v>
      </c>
      <c r="S1960" s="56"/>
      <c r="T1960" s="72"/>
      <c r="U1960" s="53">
        <f>P_1_minQ-(U1958^2*R_up)+dpup_minQ</f>
        <v>56.038568231094224</v>
      </c>
      <c r="V1960" s="44"/>
      <c r="W1960" s="72"/>
      <c r="X1960" s="53">
        <f>P_1_minQ-(X1958^2*R_up)+dpup_minQ</f>
        <v>51.859689778634284</v>
      </c>
      <c r="Y1960" s="44"/>
      <c r="Z1960" s="72"/>
      <c r="AA1960" s="53">
        <f>P_1_minQ-(AA1958^2*R_up)+dpup_minQ</f>
        <v>38.48193015176026</v>
      </c>
      <c r="AB1960" s="44"/>
      <c r="AC1960" s="72"/>
      <c r="AD1960" s="53">
        <f>P_1_minQ-(AD1958^2*R_up)+dpup_minQ</f>
        <v>7.0550288213698478</v>
      </c>
      <c r="AE1960" s="44"/>
      <c r="AF1960" s="72"/>
      <c r="AG1960" s="53">
        <f>P_1_minQ-(AG1958^2*R_up)+dpup_minQ</f>
        <v>-53.61174778312688</v>
      </c>
      <c r="AH1960" s="44"/>
      <c r="AI1960" s="72"/>
      <c r="AJ1960" s="53">
        <f>P_1_minQ-(AJ1958^2*R_up)+dpup_minQ</f>
        <v>-139.92304378579459</v>
      </c>
      <c r="AK1960" s="44"/>
      <c r="AL1960" s="72"/>
      <c r="AM1960" s="53">
        <f>P_1_minQ-(AM1958^2*R_up)+dpup_minQ</f>
        <v>-236.15058364963059</v>
      </c>
      <c r="AN1960" s="44"/>
      <c r="AO1960" s="72"/>
      <c r="AP1960" s="53">
        <f>P_1_minQ-(AP1958^2*R_up)+dpup_minQ</f>
        <v>-338.093526702654</v>
      </c>
      <c r="AQ1960" s="44"/>
      <c r="AR1960" s="72"/>
      <c r="AS1960" s="53">
        <f>P_1_minQ-(AS1958^2*R_up)+dpup_minQ</f>
        <v>-454.72262621308738</v>
      </c>
      <c r="AT1960" s="44"/>
      <c r="AU1960" s="72"/>
    </row>
    <row r="1961" spans="15:47" ht="13" x14ac:dyDescent="0.3">
      <c r="O1961" s="6" t="s">
        <v>233</v>
      </c>
      <c r="P1961" s="6"/>
      <c r="Q1961" s="60"/>
      <c r="R1961" s="85">
        <f>P_2_minQ+(R1958^2*R_dn)-dpdn_minQ</f>
        <v>24.661195529727046</v>
      </c>
      <c r="S1961" s="66"/>
      <c r="T1961" s="74"/>
      <c r="U1961" s="53">
        <f>P_2_minQ+(U1958^2*R_dn)-dpdn_minQ</f>
        <v>24.832286353781157</v>
      </c>
      <c r="V1961" s="45"/>
      <c r="W1961" s="74"/>
      <c r="X1961" s="53">
        <f>P_2_minQ+(X1958^2*R_dn)-dpdn_minQ</f>
        <v>25.668062044273146</v>
      </c>
      <c r="Y1961" s="45"/>
      <c r="Z1961" s="74"/>
      <c r="AA1961" s="53">
        <f>P_2_minQ+(AA1958^2*R_dn)-dpdn_minQ</f>
        <v>28.343613969647947</v>
      </c>
      <c r="AB1961" s="45"/>
      <c r="AC1961" s="74"/>
      <c r="AD1961" s="53">
        <f>P_2_minQ+(AD1958^2*R_dn)-dpdn_minQ</f>
        <v>34.628994235726033</v>
      </c>
      <c r="AE1961" s="45"/>
      <c r="AF1961" s="74"/>
      <c r="AG1961" s="53">
        <f>P_2_minQ+(AG1958^2*R_dn)-dpdn_minQ</f>
        <v>46.762349556625381</v>
      </c>
      <c r="AH1961" s="45"/>
      <c r="AI1961" s="74"/>
      <c r="AJ1961" s="53">
        <f>P_2_minQ+(AJ1958^2*R_dn)-dpdn_minQ</f>
        <v>64.024608757158916</v>
      </c>
      <c r="AK1961" s="45"/>
      <c r="AL1961" s="74"/>
      <c r="AM1961" s="53">
        <f>P_2_minQ+(AM1958^2*R_dn)-dpdn_minQ</f>
        <v>83.270116729926116</v>
      </c>
      <c r="AN1961" s="45"/>
      <c r="AO1961" s="74"/>
      <c r="AP1961" s="53">
        <f>P_2_minQ+(AP1958^2*R_dn)-dpdn_minQ</f>
        <v>103.6587053405308</v>
      </c>
      <c r="AQ1961" s="45"/>
      <c r="AR1961" s="74"/>
      <c r="AS1961" s="53">
        <f>P_2_minQ+(AS1958^2*R_dn)-dpdn_minQ</f>
        <v>126.98452524261748</v>
      </c>
      <c r="AT1961" s="45"/>
      <c r="AU1961" s="74"/>
    </row>
    <row r="1962" spans="15:47" x14ac:dyDescent="0.25">
      <c r="O1962" s="6" t="s">
        <v>243</v>
      </c>
      <c r="Q1962" s="60"/>
      <c r="R1962" s="53">
        <f>R1960-R1961</f>
        <v>32.23282682163773</v>
      </c>
      <c r="S1962" s="56"/>
      <c r="T1962" s="72"/>
      <c r="U1962" s="64">
        <f>U1960-U1961</f>
        <v>31.206281877313067</v>
      </c>
      <c r="V1962" s="44"/>
      <c r="W1962" s="72"/>
      <c r="X1962" s="64">
        <f>X1960-X1961</f>
        <v>26.191627734361138</v>
      </c>
      <c r="Y1962" s="44"/>
      <c r="Z1962" s="72"/>
      <c r="AA1962" s="64">
        <f>AA1960-AA1961</f>
        <v>10.138316182112312</v>
      </c>
      <c r="AB1962" s="44"/>
      <c r="AC1962" s="72"/>
      <c r="AD1962" s="64">
        <f>AD1960-AD1961</f>
        <v>-27.573965414356184</v>
      </c>
      <c r="AE1962" s="44"/>
      <c r="AF1962" s="72"/>
      <c r="AG1962" s="64">
        <f>AG1960-AG1961</f>
        <v>-100.37409733975227</v>
      </c>
      <c r="AH1962" s="44"/>
      <c r="AI1962" s="72"/>
      <c r="AJ1962" s="64">
        <f>AJ1960-AJ1961</f>
        <v>-203.94765254295351</v>
      </c>
      <c r="AK1962" s="44"/>
      <c r="AL1962" s="72"/>
      <c r="AM1962" s="64">
        <f>AM1960-AM1961</f>
        <v>-319.42070037955671</v>
      </c>
      <c r="AN1962" s="44"/>
      <c r="AO1962" s="72"/>
      <c r="AP1962" s="64">
        <f>AP1960-AP1961</f>
        <v>-441.75223204318479</v>
      </c>
      <c r="AQ1962" s="44"/>
      <c r="AR1962" s="72"/>
      <c r="AS1962" s="64">
        <f>AS1960-AS1961</f>
        <v>-581.70715145570489</v>
      </c>
      <c r="AT1962" s="44"/>
      <c r="AU1962" s="72"/>
    </row>
    <row r="1963" spans="15:47" ht="13" x14ac:dyDescent="0.3">
      <c r="O1963" s="6" t="s">
        <v>75</v>
      </c>
      <c r="P1963" s="6">
        <v>3</v>
      </c>
      <c r="Q1963" s="65"/>
      <c r="R1963" s="85">
        <f>(F_LP_h/F_P_h)^2*(R1960-('Valve Sizing'!$V$4*'Valve Sizing'!$G$7))</f>
        <v>46.746846022176022</v>
      </c>
      <c r="S1963" s="58"/>
      <c r="T1963" s="73"/>
      <c r="U1963" s="53">
        <f>(U$29/U$27)^2*(U1960-('Valve Sizing'!$V$4*'Valve Sizing'!$G$7))</f>
        <v>46.025936918723964</v>
      </c>
      <c r="V1963" s="41"/>
      <c r="W1963" s="73"/>
      <c r="X1963" s="53">
        <f>(X$29/X$27)^2*(X1960-('Valve Sizing'!$V$4*'Valve Sizing'!$G$7))</f>
        <v>41.6063786268043</v>
      </c>
      <c r="Y1963" s="41"/>
      <c r="Z1963" s="73"/>
      <c r="AA1963" s="53">
        <f>(AA$29/AA$27)^2*(AA1960-('Valve Sizing'!$V$4*'Valve Sizing'!$G$7))</f>
        <v>29.398653349786251</v>
      </c>
      <c r="AB1963" s="41"/>
      <c r="AC1963" s="73"/>
      <c r="AD1963" s="53">
        <f>(AD$29/AD$27)^2*(AD1960-('Valve Sizing'!$V$4*'Valve Sizing'!$G$7))</f>
        <v>4.7706338939485535</v>
      </c>
      <c r="AE1963" s="41"/>
      <c r="AF1963" s="73"/>
      <c r="AG1963" s="53">
        <f>(AG$29/AG$27)^2*(AG1960-('Valve Sizing'!$V$4*'Valve Sizing'!$G$7))</f>
        <v>-34.811738351942189</v>
      </c>
      <c r="AH1963" s="41"/>
      <c r="AI1963" s="73"/>
      <c r="AJ1963" s="53">
        <f>(AJ$29/AJ$27)^2*(AJ1960-('Valve Sizing'!$V$4*'Valve Sizing'!$G$7))</f>
        <v>-81.181011877205719</v>
      </c>
      <c r="AK1963" s="41"/>
      <c r="AL1963" s="73"/>
      <c r="AM1963" s="53">
        <f>(AM$29/AM$27)^2*(AM1960-('Valve Sizing'!$V$4*'Valve Sizing'!$G$7))</f>
        <v>-113.20203265704048</v>
      </c>
      <c r="AN1963" s="41"/>
      <c r="AO1963" s="73"/>
      <c r="AP1963" s="53">
        <f>(AP$29/AP$27)^2*(AP1960-('Valve Sizing'!$V$4*'Valve Sizing'!$G$7))</f>
        <v>-133.59443435483706</v>
      </c>
      <c r="AQ1963" s="41"/>
      <c r="AR1963" s="73"/>
      <c r="AS1963" s="53">
        <f>(AS$29/AS$27)^2*(AS1960-('Valve Sizing'!$V$4*'Valve Sizing'!$G$7))</f>
        <v>-171.20525336181899</v>
      </c>
      <c r="AT1963" s="41"/>
      <c r="AU1963" s="73"/>
    </row>
    <row r="1964" spans="15:47" ht="13" x14ac:dyDescent="0.25">
      <c r="O1964" s="1" t="s">
        <v>69</v>
      </c>
      <c r="P1964" s="17">
        <v>7</v>
      </c>
      <c r="Q1964" s="65"/>
      <c r="R1964" s="53">
        <f>(R1958/(N_1*F_P_h))*SQRT('Valve Sizing'!$G$6/R1962)</f>
        <v>4.5085239031326481</v>
      </c>
      <c r="S1964" s="58"/>
      <c r="T1964" s="73"/>
      <c r="U1964" s="64">
        <f>(U1958/(N_1*U$27))*SQRT('Valve Sizing'!$G$6/U1962)</f>
        <v>28.880584138021813</v>
      </c>
      <c r="V1964" s="41"/>
      <c r="W1964" s="73"/>
      <c r="X1964" s="64">
        <f>(X1958/(N_1*X$27))*SQRT('Valve Sizing'!$G$6/X1962)</f>
        <v>75.840516481091711</v>
      </c>
      <c r="Y1964" s="41"/>
      <c r="Z1964" s="73"/>
      <c r="AA1964" s="64">
        <f>(AA1958/(N_1*AA$27))*SQRT('Valve Sizing'!$G$6/AA1962)</f>
        <v>234.0885825627503</v>
      </c>
      <c r="AB1964" s="41"/>
      <c r="AC1964" s="73"/>
      <c r="AD1964" s="64" t="e">
        <f>(AD1958/(N_1*AD$27))*SQRT('Valve Sizing'!$G$6/AD1962)</f>
        <v>#NUM!</v>
      </c>
      <c r="AE1964" s="41"/>
      <c r="AF1964" s="73"/>
      <c r="AG1964" s="64" t="e">
        <f>(AG1958/(N_1*AG$27))*SQRT('Valve Sizing'!$G$6/AG1962)</f>
        <v>#NUM!</v>
      </c>
      <c r="AH1964" s="41"/>
      <c r="AI1964" s="73"/>
      <c r="AJ1964" s="64" t="e">
        <f>(AJ1958/(N_1*AJ$27))*SQRT('Valve Sizing'!$G$6/AJ1962)</f>
        <v>#NUM!</v>
      </c>
      <c r="AK1964" s="41"/>
      <c r="AL1964" s="73"/>
      <c r="AM1964" s="64" t="e">
        <f>(AM1958/(N_1*AM$27))*SQRT('Valve Sizing'!$G$6/AM1962)</f>
        <v>#NUM!</v>
      </c>
      <c r="AN1964" s="41"/>
      <c r="AO1964" s="73"/>
      <c r="AP1964" s="64" t="e">
        <f>(AP1958/(N_1*AP$27))*SQRT('Valve Sizing'!$G$6/AP1962)</f>
        <v>#NUM!</v>
      </c>
      <c r="AQ1964" s="41"/>
      <c r="AR1964" s="73"/>
      <c r="AS1964" s="64" t="e">
        <f>(AS1958/(N_1*AS$27))*SQRT('Valve Sizing'!$G$6/AS1962)</f>
        <v>#NUM!</v>
      </c>
      <c r="AT1964" s="41"/>
      <c r="AU1964" s="73"/>
    </row>
    <row r="1965" spans="15:47" ht="13" x14ac:dyDescent="0.3">
      <c r="O1965" s="1" t="s">
        <v>72</v>
      </c>
      <c r="P1965" s="17">
        <v>7</v>
      </c>
      <c r="Q1965" s="65"/>
      <c r="R1965" s="53">
        <f>(R1958/(N_1*F_P_h))*SQRT('Valve Sizing'!$G$6/R1963)</f>
        <v>3.7437549731540654</v>
      </c>
      <c r="S1965" s="56"/>
      <c r="T1965" s="72"/>
      <c r="U1965" s="85">
        <f>(U1958/(N_1*U$27))*SQRT('Valve Sizing'!$G$6/U1963)</f>
        <v>23.780756584744474</v>
      </c>
      <c r="V1965" s="44"/>
      <c r="W1965" s="72"/>
      <c r="X1965" s="85">
        <f>(X1958/(N_1*X$27))*SQRT('Valve Sizing'!$G$6/X1963)</f>
        <v>60.17312523130181</v>
      </c>
      <c r="Y1965" s="44"/>
      <c r="Z1965" s="72"/>
      <c r="AA1965" s="85">
        <f>(AA1958/(N_1*AA$27))*SQRT('Valve Sizing'!$G$6/AA1963)</f>
        <v>137.46730828926627</v>
      </c>
      <c r="AB1965" s="44"/>
      <c r="AC1965" s="72"/>
      <c r="AD1965" s="85">
        <f>(AD1958/(N_1*AD$27))*SQRT('Valve Sizing'!$G$6/AD1963)</f>
        <v>568.28866637424278</v>
      </c>
      <c r="AE1965" s="44"/>
      <c r="AF1965" s="72"/>
      <c r="AG1965" s="85" t="e">
        <f>(AG1958/(N_1*AG$27))*SQRT('Valve Sizing'!$G$6/AG1963)</f>
        <v>#NUM!</v>
      </c>
      <c r="AH1965" s="44"/>
      <c r="AI1965" s="72"/>
      <c r="AJ1965" s="85" t="e">
        <f>(AJ1958/(N_1*AJ$27))*SQRT('Valve Sizing'!$G$6/AJ1963)</f>
        <v>#NUM!</v>
      </c>
      <c r="AK1965" s="44"/>
      <c r="AL1965" s="72"/>
      <c r="AM1965" s="85" t="e">
        <f>(AM1958/(N_1*AM$27))*SQRT('Valve Sizing'!$G$6/AM1963)</f>
        <v>#NUM!</v>
      </c>
      <c r="AN1965" s="44"/>
      <c r="AO1965" s="72"/>
      <c r="AP1965" s="85" t="e">
        <f>(AP1958/(N_1*AP$27))*SQRT('Valve Sizing'!$G$6/AP1963)</f>
        <v>#NUM!</v>
      </c>
      <c r="AQ1965" s="44"/>
      <c r="AR1965" s="72"/>
      <c r="AS1965" s="85" t="e">
        <f>(AS1958/(N_1*AS$27))*SQRT('Valve Sizing'!$G$6/AS1963)</f>
        <v>#NUM!</v>
      </c>
      <c r="AT1965" s="44"/>
      <c r="AU1965" s="72"/>
    </row>
    <row r="1966" spans="15:47" x14ac:dyDescent="0.25">
      <c r="O1966" s="1" t="s">
        <v>246</v>
      </c>
      <c r="P1966" s="18"/>
      <c r="Q1966" s="65"/>
      <c r="R1966" s="53">
        <f>IF(R1962&lt;R1963,R1964,R1965)</f>
        <v>4.5085239031326481</v>
      </c>
      <c r="S1966" s="49"/>
      <c r="T1966" s="72"/>
      <c r="U1966" s="64">
        <f>IF(U1962&lt;U1963,U1964,U1965)</f>
        <v>28.880584138021813</v>
      </c>
      <c r="V1966" s="44"/>
      <c r="W1966" s="72"/>
      <c r="X1966" s="64">
        <f>IF(X1962&lt;X1963,X1964,X1965)</f>
        <v>75.840516481091711</v>
      </c>
      <c r="Y1966" s="44"/>
      <c r="Z1966" s="72"/>
      <c r="AA1966" s="64">
        <f>IF(AA1962&lt;AA1963,AA1964,AA1965)</f>
        <v>234.0885825627503</v>
      </c>
      <c r="AB1966" s="44"/>
      <c r="AC1966" s="72"/>
      <c r="AD1966" s="64" t="e">
        <f>IF(AD1962&lt;AD1963,AD1964,AD1965)</f>
        <v>#NUM!</v>
      </c>
      <c r="AE1966" s="44"/>
      <c r="AF1966" s="72"/>
      <c r="AG1966" s="64" t="e">
        <f>IF(AG1962&lt;AG1963,AG1964,AG1965)</f>
        <v>#NUM!</v>
      </c>
      <c r="AH1966" s="44"/>
      <c r="AI1966" s="72"/>
      <c r="AJ1966" s="64" t="e">
        <f>IF(AJ1962&lt;AJ1963,AJ1964,AJ1965)</f>
        <v>#NUM!</v>
      </c>
      <c r="AK1966" s="44"/>
      <c r="AL1966" s="72"/>
      <c r="AM1966" s="64" t="e">
        <f>IF(AM1962&lt;AM1963,AM1964,AM1965)</f>
        <v>#NUM!</v>
      </c>
      <c r="AN1966" s="44"/>
      <c r="AO1966" s="72"/>
      <c r="AP1966" s="64" t="e">
        <f>IF(AP1962&lt;AP1963,AP1964,AP1965)</f>
        <v>#NUM!</v>
      </c>
      <c r="AQ1966" s="44"/>
      <c r="AR1966" s="72"/>
      <c r="AS1966" s="64" t="e">
        <f>IF(AS1962&lt;AS1963,AS1964,AS1965)</f>
        <v>#NUM!</v>
      </c>
      <c r="AT1966" s="44"/>
      <c r="AU1966" s="72"/>
    </row>
    <row r="1967" spans="15:47" ht="13" x14ac:dyDescent="0.3">
      <c r="O1967" s="7" t="s">
        <v>264</v>
      </c>
      <c r="Q1967" s="61"/>
      <c r="R1967" s="53"/>
      <c r="S1967" s="69">
        <f>IFERROR(ABS(C_h-R1966),Q_max*10)</f>
        <v>0.49147609686735194</v>
      </c>
      <c r="T1967" s="76">
        <f>R1958</f>
        <v>25.592932151065437</v>
      </c>
      <c r="U1967" s="61"/>
      <c r="V1967" s="69">
        <f>IFERROR(ABS(U$23-U1966),Q_max*10)</f>
        <v>16.880584138021813</v>
      </c>
      <c r="W1967" s="75">
        <f>U1958</f>
        <v>161.19861872019899</v>
      </c>
      <c r="X1967" s="61"/>
      <c r="Y1967" s="69">
        <f>IFERROR(ABS(X$23-X1966),Q_max*10)</f>
        <v>52.840516481091711</v>
      </c>
      <c r="Z1967" s="75">
        <f>X1958</f>
        <v>386.93873630671681</v>
      </c>
      <c r="AA1967" s="61"/>
      <c r="AB1967" s="69">
        <f>IFERROR(ABS(AA$23-AA1966),Q_max*10)</f>
        <v>195.0885825627503</v>
      </c>
      <c r="AC1967" s="75">
        <f>AA1958</f>
        <v>738.80785608057704</v>
      </c>
      <c r="AD1967" s="61"/>
      <c r="AE1967" s="69">
        <f>IFERROR(ABS(AD$23-AD1966),Q_max*10)</f>
        <v>5500</v>
      </c>
      <c r="AF1967" s="75">
        <f>AD1958</f>
        <v>1215.0669103383725</v>
      </c>
      <c r="AG1967" s="61"/>
      <c r="AH1967" s="69">
        <f>IFERROR(ABS(AG$23-AG1966),Q_max*10)</f>
        <v>5500</v>
      </c>
      <c r="AI1967" s="75">
        <f>AG1958</f>
        <v>1809.069056685893</v>
      </c>
      <c r="AJ1967" s="61"/>
      <c r="AK1967" s="69">
        <f>IFERROR(ABS(AJ$23-AJ1966),Q_max*10)</f>
        <v>5500</v>
      </c>
      <c r="AL1967" s="75">
        <f>AJ1958</f>
        <v>2414.2096691251522</v>
      </c>
      <c r="AM1967" s="61"/>
      <c r="AN1967" s="69">
        <f>IFERROR(ABS(AM$23-AM1966),Q_max*10)</f>
        <v>5500</v>
      </c>
      <c r="AO1967" s="75">
        <f>AM1958</f>
        <v>2945.7945926125876</v>
      </c>
      <c r="AP1967" s="61"/>
      <c r="AQ1967" s="69">
        <f>IFERROR(ABS(AP$23-AP1966),Q_max*10)</f>
        <v>5500</v>
      </c>
      <c r="AR1967" s="75">
        <f>AP1958</f>
        <v>3419.9760709200268</v>
      </c>
      <c r="AS1967" s="61"/>
      <c r="AT1967" s="69">
        <f>IFERROR(ABS(AS$23-AS1966),Q_max*10)</f>
        <v>5500</v>
      </c>
      <c r="AU1967" s="75">
        <f>AS1958</f>
        <v>3892.2517855567253</v>
      </c>
    </row>
    <row r="1968" spans="15:47" ht="14.5" x14ac:dyDescent="0.35">
      <c r="O1968" s="6"/>
      <c r="P1968" s="6"/>
      <c r="Q1968" s="60"/>
      <c r="R1968" s="67"/>
      <c r="S1968" s="66"/>
      <c r="T1968" s="74"/>
      <c r="V1968" s="11"/>
      <c r="W1968" s="38"/>
      <c r="Y1968" s="11"/>
      <c r="Z1968" s="38"/>
      <c r="AB1968" s="11"/>
      <c r="AC1968" s="38"/>
      <c r="AE1968" s="11"/>
      <c r="AF1968" s="38"/>
      <c r="AH1968" s="11"/>
      <c r="AI1968" s="38"/>
      <c r="AK1968" s="11"/>
      <c r="AL1968" s="38"/>
      <c r="AN1968" s="11"/>
      <c r="AO1968" s="38"/>
      <c r="AQ1968" s="11"/>
      <c r="AR1968" s="38"/>
      <c r="AT1968" s="11"/>
      <c r="AU1968" s="38"/>
    </row>
    <row r="1969" spans="15:47" ht="14" x14ac:dyDescent="0.3">
      <c r="O1969" s="8" t="s">
        <v>235</v>
      </c>
      <c r="P1969" s="6"/>
      <c r="Q1969" s="60"/>
      <c r="R1969" s="53">
        <f>R1958*1.02</f>
        <v>26.104790794086746</v>
      </c>
      <c r="S1969" s="58" t="s">
        <v>238</v>
      </c>
      <c r="T1969" s="73" t="s">
        <v>241</v>
      </c>
      <c r="U1969" s="84">
        <f>U1958*1.01</f>
        <v>162.81060490740097</v>
      </c>
      <c r="V1969" s="58" t="s">
        <v>238</v>
      </c>
      <c r="W1969" s="73" t="s">
        <v>241</v>
      </c>
      <c r="X1969" s="84">
        <f>X1958*1.01</f>
        <v>390.80812366978398</v>
      </c>
      <c r="Y1969" s="58" t="s">
        <v>238</v>
      </c>
      <c r="Z1969" s="73" t="s">
        <v>241</v>
      </c>
      <c r="AA1969" s="84">
        <f>AA1958*1.01</f>
        <v>746.19593464138279</v>
      </c>
      <c r="AB1969" s="58" t="s">
        <v>238</v>
      </c>
      <c r="AC1969" s="73" t="s">
        <v>241</v>
      </c>
      <c r="AD1969" s="84">
        <f>AD1958*1.01</f>
        <v>1227.2175794417562</v>
      </c>
      <c r="AE1969" s="58" t="s">
        <v>238</v>
      </c>
      <c r="AF1969" s="73" t="s">
        <v>241</v>
      </c>
      <c r="AG1969" s="84">
        <f>AG1958*1.01</f>
        <v>1827.1597472527519</v>
      </c>
      <c r="AH1969" s="58" t="s">
        <v>238</v>
      </c>
      <c r="AI1969" s="73" t="s">
        <v>241</v>
      </c>
      <c r="AJ1969" s="84">
        <f>AJ1958*1.01</f>
        <v>2438.3517658164037</v>
      </c>
      <c r="AK1969" s="58" t="s">
        <v>238</v>
      </c>
      <c r="AL1969" s="73" t="s">
        <v>241</v>
      </c>
      <c r="AM1969" s="84">
        <f>AM1958*1.01</f>
        <v>2975.2525385387135</v>
      </c>
      <c r="AN1969" s="58" t="s">
        <v>238</v>
      </c>
      <c r="AO1969" s="73" t="s">
        <v>241</v>
      </c>
      <c r="AP1969" s="84">
        <f>AP1958*1.01</f>
        <v>3454.1758316292271</v>
      </c>
      <c r="AQ1969" s="58" t="s">
        <v>238</v>
      </c>
      <c r="AR1969" s="73" t="s">
        <v>241</v>
      </c>
      <c r="AS1969" s="84">
        <f>AS1958*1.01</f>
        <v>3931.1743034122924</v>
      </c>
      <c r="AT1969" s="58" t="s">
        <v>238</v>
      </c>
      <c r="AU1969" s="73" t="s">
        <v>241</v>
      </c>
    </row>
    <row r="1970" spans="15:47" ht="13" x14ac:dyDescent="0.25">
      <c r="O1970" s="6"/>
      <c r="P1970" s="6"/>
      <c r="Q1970" s="60"/>
      <c r="R1970" s="70"/>
      <c r="S1970" s="63" t="s">
        <v>250</v>
      </c>
      <c r="T1970" s="71" t="s">
        <v>242</v>
      </c>
      <c r="U1970" s="61"/>
      <c r="V1970" s="63" t="s">
        <v>250</v>
      </c>
      <c r="W1970" s="71" t="s">
        <v>242</v>
      </c>
      <c r="X1970" s="61"/>
      <c r="Y1970" s="63" t="s">
        <v>250</v>
      </c>
      <c r="Z1970" s="71" t="s">
        <v>242</v>
      </c>
      <c r="AA1970" s="61"/>
      <c r="AB1970" s="63" t="s">
        <v>250</v>
      </c>
      <c r="AC1970" s="71" t="s">
        <v>242</v>
      </c>
      <c r="AD1970" s="61"/>
      <c r="AE1970" s="63" t="s">
        <v>250</v>
      </c>
      <c r="AF1970" s="71" t="s">
        <v>242</v>
      </c>
      <c r="AG1970" s="61"/>
      <c r="AH1970" s="63" t="s">
        <v>250</v>
      </c>
      <c r="AI1970" s="71" t="s">
        <v>242</v>
      </c>
      <c r="AJ1970" s="61"/>
      <c r="AK1970" s="63" t="s">
        <v>250</v>
      </c>
      <c r="AL1970" s="71" t="s">
        <v>242</v>
      </c>
      <c r="AM1970" s="61"/>
      <c r="AN1970" s="63" t="s">
        <v>250</v>
      </c>
      <c r="AO1970" s="71" t="s">
        <v>242</v>
      </c>
      <c r="AP1970" s="61"/>
      <c r="AQ1970" s="63" t="s">
        <v>250</v>
      </c>
      <c r="AR1970" s="71" t="s">
        <v>242</v>
      </c>
      <c r="AS1970" s="61"/>
      <c r="AT1970" s="63" t="s">
        <v>250</v>
      </c>
      <c r="AU1970" s="71" t="s">
        <v>242</v>
      </c>
    </row>
    <row r="1971" spans="15:47" ht="13" x14ac:dyDescent="0.3">
      <c r="O1971" s="6" t="s">
        <v>231</v>
      </c>
      <c r="P1971" s="6"/>
      <c r="Q1971" s="60"/>
      <c r="R1971" s="85">
        <f>P_1_minQ-(R1969^2*R_up)+dpup_minQ</f>
        <v>56.8931286692873</v>
      </c>
      <c r="S1971" s="56"/>
      <c r="T1971" s="72"/>
      <c r="U1971" s="53">
        <f>P_1_minQ-(U1969^2*R_up)+dpup_minQ</f>
        <v>56.020928974322395</v>
      </c>
      <c r="V1971" s="44"/>
      <c r="W1971" s="72"/>
      <c r="X1971" s="53">
        <f>P_1_minQ-(X1969^2*R_up)+dpup_minQ</f>
        <v>51.758055064968012</v>
      </c>
      <c r="Y1971" s="44"/>
      <c r="Z1971" s="72"/>
      <c r="AA1971" s="53">
        <f>P_1_minQ-(AA1969^2*R_up)+dpup_minQ</f>
        <v>38.111402469593827</v>
      </c>
      <c r="AB1971" s="44"/>
      <c r="AC1971" s="72"/>
      <c r="AD1971" s="53">
        <f>P_1_minQ-(AD1969^2*R_up)+dpup_minQ</f>
        <v>6.0528204224625695</v>
      </c>
      <c r="AE1971" s="44"/>
      <c r="AF1971" s="72"/>
      <c r="AG1971" s="53">
        <f>P_1_minQ-(AG1969^2*R_up)+dpup_minQ</f>
        <v>-55.83335839178455</v>
      </c>
      <c r="AH1971" s="44"/>
      <c r="AI1971" s="72"/>
      <c r="AJ1971" s="53">
        <f>P_1_minQ-(AJ1969^2*R_up)+dpup_minQ</f>
        <v>-143.87951144410587</v>
      </c>
      <c r="AK1971" s="44"/>
      <c r="AL1971" s="72"/>
      <c r="AM1971" s="53">
        <f>P_1_minQ-(AM1969^2*R_up)+dpup_minQ</f>
        <v>-242.04122485920496</v>
      </c>
      <c r="AN1971" s="44"/>
      <c r="AO1971" s="72"/>
      <c r="AP1971" s="53">
        <f>P_1_minQ-(AP1969^2*R_up)+dpup_minQ</f>
        <v>-346.03322106759413</v>
      </c>
      <c r="AQ1971" s="44"/>
      <c r="AR1971" s="72"/>
      <c r="AS1971" s="53">
        <f>P_1_minQ-(AS1969^2*R_up)+dpup_minQ</f>
        <v>-465.00656547818727</v>
      </c>
      <c r="AT1971" s="44"/>
      <c r="AU1971" s="72"/>
    </row>
    <row r="1972" spans="15:47" ht="13" x14ac:dyDescent="0.3">
      <c r="O1972" s="6" t="s">
        <v>233</v>
      </c>
      <c r="P1972" s="6"/>
      <c r="Q1972" s="60"/>
      <c r="R1972" s="85">
        <f>P_2_minQ+(R1969^2*R_dn)-dpdn_minQ</f>
        <v>24.661374266142541</v>
      </c>
      <c r="S1972" s="66"/>
      <c r="T1972" s="74"/>
      <c r="U1972" s="53">
        <f>P_2_minQ+(U1969^2*R_dn)-dpdn_minQ</f>
        <v>24.83581420513552</v>
      </c>
      <c r="V1972" s="45"/>
      <c r="W1972" s="74"/>
      <c r="X1972" s="53">
        <f>P_2_minQ+(X1969^2*R_dn)-dpdn_minQ</f>
        <v>25.688388987006398</v>
      </c>
      <c r="Y1972" s="45"/>
      <c r="Z1972" s="74"/>
      <c r="AA1972" s="53">
        <f>P_2_minQ+(AA1969^2*R_dn)-dpdn_minQ</f>
        <v>28.417719506081237</v>
      </c>
      <c r="AB1972" s="45"/>
      <c r="AC1972" s="74"/>
      <c r="AD1972" s="53">
        <f>P_2_minQ+(AD1969^2*R_dn)-dpdn_minQ</f>
        <v>34.829435915507489</v>
      </c>
      <c r="AE1972" s="45"/>
      <c r="AF1972" s="74"/>
      <c r="AG1972" s="53">
        <f>P_2_minQ+(AG1969^2*R_dn)-dpdn_minQ</f>
        <v>47.206671678356912</v>
      </c>
      <c r="AH1972" s="45"/>
      <c r="AI1972" s="74"/>
      <c r="AJ1972" s="53">
        <f>P_2_minQ+(AJ1969^2*R_dn)-dpdn_minQ</f>
        <v>64.815902288821178</v>
      </c>
      <c r="AK1972" s="45"/>
      <c r="AL1972" s="74"/>
      <c r="AM1972" s="53">
        <f>P_2_minQ+(AM1969^2*R_dn)-dpdn_minQ</f>
        <v>84.448244971840992</v>
      </c>
      <c r="AN1972" s="45"/>
      <c r="AO1972" s="74"/>
      <c r="AP1972" s="53">
        <f>P_2_minQ+(AP1969^2*R_dn)-dpdn_minQ</f>
        <v>105.24664421351883</v>
      </c>
      <c r="AQ1972" s="45"/>
      <c r="AR1972" s="74"/>
      <c r="AS1972" s="53">
        <f>P_2_minQ+(AS1969^2*R_dn)-dpdn_minQ</f>
        <v>129.04131309563743</v>
      </c>
      <c r="AT1972" s="45"/>
      <c r="AU1972" s="74"/>
    </row>
    <row r="1973" spans="15:47" x14ac:dyDescent="0.25">
      <c r="O1973" s="6" t="s">
        <v>243</v>
      </c>
      <c r="Q1973" s="60"/>
      <c r="R1973" s="53">
        <f>R1971-R1972</f>
        <v>32.231754403144762</v>
      </c>
      <c r="S1973" s="56"/>
      <c r="T1973" s="72"/>
      <c r="U1973" s="64">
        <f>U1971-U1972</f>
        <v>31.185114769186875</v>
      </c>
      <c r="V1973" s="44"/>
      <c r="W1973" s="72"/>
      <c r="X1973" s="64">
        <f>X1971-X1972</f>
        <v>26.069666077961614</v>
      </c>
      <c r="Y1973" s="44"/>
      <c r="Z1973" s="72"/>
      <c r="AA1973" s="64">
        <f>AA1971-AA1972</f>
        <v>9.6936829635125896</v>
      </c>
      <c r="AB1973" s="44"/>
      <c r="AC1973" s="72"/>
      <c r="AD1973" s="64">
        <f>AD1971-AD1972</f>
        <v>-28.776615493044918</v>
      </c>
      <c r="AE1973" s="44"/>
      <c r="AF1973" s="72"/>
      <c r="AG1973" s="64">
        <f>AG1971-AG1972</f>
        <v>-103.04003007014146</v>
      </c>
      <c r="AH1973" s="44"/>
      <c r="AI1973" s="72"/>
      <c r="AJ1973" s="64">
        <f>AJ1971-AJ1972</f>
        <v>-208.69541373292705</v>
      </c>
      <c r="AK1973" s="44"/>
      <c r="AL1973" s="72"/>
      <c r="AM1973" s="64">
        <f>AM1971-AM1972</f>
        <v>-326.48946983104594</v>
      </c>
      <c r="AN1973" s="44"/>
      <c r="AO1973" s="72"/>
      <c r="AP1973" s="64">
        <f>AP1971-AP1972</f>
        <v>-451.27986528111296</v>
      </c>
      <c r="AQ1973" s="44"/>
      <c r="AR1973" s="72"/>
      <c r="AS1973" s="64">
        <f>AS1971-AS1972</f>
        <v>-594.04787857382473</v>
      </c>
      <c r="AT1973" s="44"/>
      <c r="AU1973" s="72"/>
    </row>
    <row r="1974" spans="15:47" ht="13" x14ac:dyDescent="0.3">
      <c r="O1974" s="6" t="s">
        <v>75</v>
      </c>
      <c r="P1974" s="6">
        <v>3</v>
      </c>
      <c r="Q1974" s="65"/>
      <c r="R1974" s="85">
        <f>(F_LP_h/F_P_h)^2*(R1971-('Valve Sizing'!$V$4*'Valve Sizing'!$G$7))</f>
        <v>46.746106006506558</v>
      </c>
      <c r="S1974" s="58"/>
      <c r="T1974" s="73"/>
      <c r="U1974" s="53">
        <f>(U$29/U$27)^2*(U1971-('Valve Sizing'!$V$4*'Valve Sizing'!$G$7))</f>
        <v>46.011334669288409</v>
      </c>
      <c r="V1974" s="41"/>
      <c r="W1974" s="73"/>
      <c r="X1974" s="53">
        <f>(X$29/X$27)^2*(X1971-('Valve Sizing'!$V$4*'Valve Sizing'!$G$7))</f>
        <v>41.524140535924801</v>
      </c>
      <c r="Y1974" s="41"/>
      <c r="Z1974" s="73"/>
      <c r="AA1974" s="53">
        <f>(AA$29/AA$27)^2*(AA1971-('Valve Sizing'!$V$4*'Valve Sizing'!$G$7))</f>
        <v>29.112310586573539</v>
      </c>
      <c r="AB1974" s="41"/>
      <c r="AC1974" s="73"/>
      <c r="AD1974" s="53">
        <f>(AD$29/AD$27)^2*(AD1971-('Valve Sizing'!$V$4*'Valve Sizing'!$G$7))</f>
        <v>4.0478538172909131</v>
      </c>
      <c r="AE1974" s="41"/>
      <c r="AF1974" s="73"/>
      <c r="AG1974" s="53">
        <f>(AG$29/AG$27)^2*(AG1971-('Valve Sizing'!$V$4*'Valve Sizing'!$G$7))</f>
        <v>-36.242553226332369</v>
      </c>
      <c r="AH1974" s="41"/>
      <c r="AI1974" s="73"/>
      <c r="AJ1974" s="53">
        <f>(AJ$29/AJ$27)^2*(AJ1971-('Valve Sizing'!$V$4*'Valve Sizing'!$G$7))</f>
        <v>-83.469291664644601</v>
      </c>
      <c r="AK1974" s="41"/>
      <c r="AL1974" s="73"/>
      <c r="AM1974" s="53">
        <f>(AM$29/AM$27)^2*(AM1971-('Valve Sizing'!$V$4*'Valve Sizing'!$G$7))</f>
        <v>-116.0205404173673</v>
      </c>
      <c r="AN1974" s="41"/>
      <c r="AO1974" s="73"/>
      <c r="AP1974" s="53">
        <f>(AP$29/AP$27)^2*(AP1971-('Valve Sizing'!$V$4*'Valve Sizing'!$G$7))</f>
        <v>-136.72765075226874</v>
      </c>
      <c r="AQ1974" s="41"/>
      <c r="AR1974" s="73"/>
      <c r="AS1974" s="53">
        <f>(AS$29/AS$27)^2*(AS1971-('Valve Sizing'!$V$4*'Valve Sizing'!$G$7))</f>
        <v>-175.07346244350913</v>
      </c>
      <c r="AT1974" s="41"/>
      <c r="AU1974" s="73"/>
    </row>
    <row r="1975" spans="15:47" ht="13" x14ac:dyDescent="0.25">
      <c r="O1975" s="1" t="s">
        <v>69</v>
      </c>
      <c r="P1975" s="17">
        <v>7</v>
      </c>
      <c r="Q1975" s="65"/>
      <c r="R1975" s="53">
        <f>(R1969/(N_1*F_P_h))*SQRT('Valve Sizing'!$G$6/R1973)</f>
        <v>4.5987708846926694</v>
      </c>
      <c r="S1975" s="58"/>
      <c r="T1975" s="73"/>
      <c r="U1975" s="64">
        <f>(U1969/(N_1*U$27))*SQRT('Valve Sizing'!$G$6/U1973)</f>
        <v>29.179287760768293</v>
      </c>
      <c r="V1975" s="41"/>
      <c r="W1975" s="73"/>
      <c r="X1975" s="64">
        <f>(X1969/(N_1*X$27))*SQRT('Valve Sizing'!$G$6/X1973)</f>
        <v>76.777888850556238</v>
      </c>
      <c r="Y1975" s="41"/>
      <c r="Z1975" s="73"/>
      <c r="AA1975" s="64">
        <f>(AA1969/(N_1*AA$27))*SQRT('Valve Sizing'!$G$6/AA1973)</f>
        <v>241.7909911362263</v>
      </c>
      <c r="AB1975" s="41"/>
      <c r="AC1975" s="73"/>
      <c r="AD1975" s="64" t="e">
        <f>(AD1969/(N_1*AD$27))*SQRT('Valve Sizing'!$G$6/AD1973)</f>
        <v>#NUM!</v>
      </c>
      <c r="AE1975" s="41"/>
      <c r="AF1975" s="73"/>
      <c r="AG1975" s="64" t="e">
        <f>(AG1969/(N_1*AG$27))*SQRT('Valve Sizing'!$G$6/AG1973)</f>
        <v>#NUM!</v>
      </c>
      <c r="AH1975" s="41"/>
      <c r="AI1975" s="73"/>
      <c r="AJ1975" s="64" t="e">
        <f>(AJ1969/(N_1*AJ$27))*SQRT('Valve Sizing'!$G$6/AJ1973)</f>
        <v>#NUM!</v>
      </c>
      <c r="AK1975" s="41"/>
      <c r="AL1975" s="73"/>
      <c r="AM1975" s="64" t="e">
        <f>(AM1969/(N_1*AM$27))*SQRT('Valve Sizing'!$G$6/AM1973)</f>
        <v>#NUM!</v>
      </c>
      <c r="AN1975" s="41"/>
      <c r="AO1975" s="73"/>
      <c r="AP1975" s="64" t="e">
        <f>(AP1969/(N_1*AP$27))*SQRT('Valve Sizing'!$G$6/AP1973)</f>
        <v>#NUM!</v>
      </c>
      <c r="AQ1975" s="41"/>
      <c r="AR1975" s="73"/>
      <c r="AS1975" s="64" t="e">
        <f>(AS1969/(N_1*AS$27))*SQRT('Valve Sizing'!$G$6/AS1973)</f>
        <v>#NUM!</v>
      </c>
      <c r="AT1975" s="41"/>
      <c r="AU1975" s="73"/>
    </row>
    <row r="1976" spans="15:47" ht="13" x14ac:dyDescent="0.3">
      <c r="O1976" s="1" t="s">
        <v>72</v>
      </c>
      <c r="P1976" s="17">
        <v>7</v>
      </c>
      <c r="Q1976" s="65"/>
      <c r="R1976" s="53">
        <f>(R1969/(N_1*F_P_h))*SQRT('Valve Sizing'!$G$6/R1974)</f>
        <v>3.8186602979679565</v>
      </c>
      <c r="S1976" s="56"/>
      <c r="T1976" s="72"/>
      <c r="U1976" s="85">
        <f>(U1969/(N_1*U$27))*SQRT('Valve Sizing'!$G$6/U1974)</f>
        <v>24.022375138091451</v>
      </c>
      <c r="V1976" s="44"/>
      <c r="W1976" s="72"/>
      <c r="X1976" s="85">
        <f>(X1969/(N_1*X$27))*SQRT('Valve Sizing'!$G$6/X1974)</f>
        <v>60.83500867375048</v>
      </c>
      <c r="Y1976" s="44"/>
      <c r="Z1976" s="72"/>
      <c r="AA1976" s="85">
        <f>(AA1969/(N_1*AA$27))*SQRT('Valve Sizing'!$G$6/AA1974)</f>
        <v>139.52312132074863</v>
      </c>
      <c r="AB1976" s="44"/>
      <c r="AC1976" s="72"/>
      <c r="AD1976" s="85">
        <f>(AD1969/(N_1*AD$27))*SQRT('Valve Sizing'!$G$6/AD1974)</f>
        <v>623.11183951977421</v>
      </c>
      <c r="AE1976" s="44"/>
      <c r="AF1976" s="72"/>
      <c r="AG1976" s="85" t="e">
        <f>(AG1969/(N_1*AG$27))*SQRT('Valve Sizing'!$G$6/AG1974)</f>
        <v>#NUM!</v>
      </c>
      <c r="AH1976" s="44"/>
      <c r="AI1976" s="72"/>
      <c r="AJ1976" s="85" t="e">
        <f>(AJ1969/(N_1*AJ$27))*SQRT('Valve Sizing'!$G$6/AJ1974)</f>
        <v>#NUM!</v>
      </c>
      <c r="AK1976" s="44"/>
      <c r="AL1976" s="72"/>
      <c r="AM1976" s="85" t="e">
        <f>(AM1969/(N_1*AM$27))*SQRT('Valve Sizing'!$G$6/AM1974)</f>
        <v>#NUM!</v>
      </c>
      <c r="AN1976" s="44"/>
      <c r="AO1976" s="72"/>
      <c r="AP1976" s="85" t="e">
        <f>(AP1969/(N_1*AP$27))*SQRT('Valve Sizing'!$G$6/AP1974)</f>
        <v>#NUM!</v>
      </c>
      <c r="AQ1976" s="44"/>
      <c r="AR1976" s="72"/>
      <c r="AS1976" s="85" t="e">
        <f>(AS1969/(N_1*AS$27))*SQRT('Valve Sizing'!$G$6/AS1974)</f>
        <v>#NUM!</v>
      </c>
      <c r="AT1976" s="44"/>
      <c r="AU1976" s="72"/>
    </row>
    <row r="1977" spans="15:47" x14ac:dyDescent="0.25">
      <c r="O1977" s="1" t="s">
        <v>246</v>
      </c>
      <c r="P1977" s="18"/>
      <c r="Q1977" s="65"/>
      <c r="R1977" s="53">
        <f>IF(R1973&lt;R1974,R1975,R1976)</f>
        <v>4.5987708846926694</v>
      </c>
      <c r="S1977" s="49"/>
      <c r="T1977" s="72"/>
      <c r="U1977" s="64">
        <f>IF(U1973&lt;U1974,U1975,U1976)</f>
        <v>29.179287760768293</v>
      </c>
      <c r="V1977" s="44"/>
      <c r="W1977" s="72"/>
      <c r="X1977" s="64">
        <f>IF(X1973&lt;X1974,X1975,X1976)</f>
        <v>76.777888850556238</v>
      </c>
      <c r="Y1977" s="44"/>
      <c r="Z1977" s="72"/>
      <c r="AA1977" s="64">
        <f>IF(AA1973&lt;AA1974,AA1975,AA1976)</f>
        <v>241.7909911362263</v>
      </c>
      <c r="AB1977" s="44"/>
      <c r="AC1977" s="72"/>
      <c r="AD1977" s="64" t="e">
        <f>IF(AD1973&lt;AD1974,AD1975,AD1976)</f>
        <v>#NUM!</v>
      </c>
      <c r="AE1977" s="44"/>
      <c r="AF1977" s="72"/>
      <c r="AG1977" s="64" t="e">
        <f>IF(AG1973&lt;AG1974,AG1975,AG1976)</f>
        <v>#NUM!</v>
      </c>
      <c r="AH1977" s="44"/>
      <c r="AI1977" s="72"/>
      <c r="AJ1977" s="64" t="e">
        <f>IF(AJ1973&lt;AJ1974,AJ1975,AJ1976)</f>
        <v>#NUM!</v>
      </c>
      <c r="AK1977" s="44"/>
      <c r="AL1977" s="72"/>
      <c r="AM1977" s="64" t="e">
        <f>IF(AM1973&lt;AM1974,AM1975,AM1976)</f>
        <v>#NUM!</v>
      </c>
      <c r="AN1977" s="44"/>
      <c r="AO1977" s="72"/>
      <c r="AP1977" s="64" t="e">
        <f>IF(AP1973&lt;AP1974,AP1975,AP1976)</f>
        <v>#NUM!</v>
      </c>
      <c r="AQ1977" s="44"/>
      <c r="AR1977" s="72"/>
      <c r="AS1977" s="64" t="e">
        <f>IF(AS1973&lt;AS1974,AS1975,AS1976)</f>
        <v>#NUM!</v>
      </c>
      <c r="AT1977" s="44"/>
      <c r="AU1977" s="72"/>
    </row>
    <row r="1978" spans="15:47" ht="13" x14ac:dyDescent="0.3">
      <c r="O1978" s="7" t="s">
        <v>264</v>
      </c>
      <c r="Q1978" s="61"/>
      <c r="R1978" s="53"/>
      <c r="S1978" s="69">
        <f>IFERROR(ABS(C_h-R1977),Q_max*10)</f>
        <v>0.40122911530733063</v>
      </c>
      <c r="T1978" s="76">
        <f>R1969</f>
        <v>26.104790794086746</v>
      </c>
      <c r="U1978" s="61"/>
      <c r="V1978" s="69">
        <f>IFERROR(ABS(U$23-U1977),Q_max*10)</f>
        <v>17.179287760768293</v>
      </c>
      <c r="W1978" s="75">
        <f>U1969</f>
        <v>162.81060490740097</v>
      </c>
      <c r="X1978" s="61"/>
      <c r="Y1978" s="69">
        <f>IFERROR(ABS(X$23-X1977),Q_max*10)</f>
        <v>53.777888850556238</v>
      </c>
      <c r="Z1978" s="75">
        <f>X1969</f>
        <v>390.80812366978398</v>
      </c>
      <c r="AA1978" s="61"/>
      <c r="AB1978" s="69">
        <f>IFERROR(ABS(AA$23-AA1977),Q_max*10)</f>
        <v>202.7909911362263</v>
      </c>
      <c r="AC1978" s="75">
        <f>AA1969</f>
        <v>746.19593464138279</v>
      </c>
      <c r="AD1978" s="61"/>
      <c r="AE1978" s="69">
        <f>IFERROR(ABS(AD$23-AD1977),Q_max*10)</f>
        <v>5500</v>
      </c>
      <c r="AF1978" s="75">
        <f>AD1969</f>
        <v>1227.2175794417562</v>
      </c>
      <c r="AG1978" s="61"/>
      <c r="AH1978" s="69">
        <f>IFERROR(ABS(AG$23-AG1977),Q_max*10)</f>
        <v>5500</v>
      </c>
      <c r="AI1978" s="75">
        <f>AG1969</f>
        <v>1827.1597472527519</v>
      </c>
      <c r="AJ1978" s="61"/>
      <c r="AK1978" s="69">
        <f>IFERROR(ABS(AJ$23-AJ1977),Q_max*10)</f>
        <v>5500</v>
      </c>
      <c r="AL1978" s="75">
        <f>AJ1969</f>
        <v>2438.3517658164037</v>
      </c>
      <c r="AM1978" s="61"/>
      <c r="AN1978" s="69">
        <f>IFERROR(ABS(AM$23-AM1977),Q_max*10)</f>
        <v>5500</v>
      </c>
      <c r="AO1978" s="75">
        <f>AM1969</f>
        <v>2975.2525385387135</v>
      </c>
      <c r="AP1978" s="61"/>
      <c r="AQ1978" s="69">
        <f>IFERROR(ABS(AP$23-AP1977),Q_max*10)</f>
        <v>5500</v>
      </c>
      <c r="AR1978" s="75">
        <f>AP1969</f>
        <v>3454.1758316292271</v>
      </c>
      <c r="AS1978" s="61"/>
      <c r="AT1978" s="69">
        <f>IFERROR(ABS(AS$23-AS1977),Q_max*10)</f>
        <v>5500</v>
      </c>
      <c r="AU1978" s="75">
        <f>AS1969</f>
        <v>3931.1743034122924</v>
      </c>
    </row>
    <row r="1979" spans="15:47" ht="14.5" x14ac:dyDescent="0.35">
      <c r="O1979" s="6"/>
      <c r="P1979" s="6"/>
      <c r="Q1979" s="60"/>
      <c r="R1979" s="67"/>
      <c r="S1979" s="56"/>
      <c r="T1979" s="72"/>
      <c r="V1979" s="11"/>
      <c r="W1979" s="38"/>
      <c r="Y1979" s="11"/>
      <c r="Z1979" s="38"/>
      <c r="AB1979" s="11"/>
      <c r="AC1979" s="38"/>
      <c r="AE1979" s="11"/>
      <c r="AF1979" s="38"/>
      <c r="AH1979" s="11"/>
      <c r="AI1979" s="38"/>
      <c r="AK1979" s="11"/>
      <c r="AL1979" s="38"/>
      <c r="AN1979" s="11"/>
      <c r="AO1979" s="38"/>
      <c r="AQ1979" s="11"/>
      <c r="AR1979" s="38"/>
      <c r="AT1979" s="11"/>
      <c r="AU1979" s="38"/>
    </row>
    <row r="1980" spans="15:47" ht="14" x14ac:dyDescent="0.3">
      <c r="O1980" s="8" t="s">
        <v>235</v>
      </c>
      <c r="P1980" s="6"/>
      <c r="Q1980" s="60"/>
      <c r="R1980" s="53">
        <f>R1969*1.02</f>
        <v>26.62688660996848</v>
      </c>
      <c r="S1980" s="58" t="s">
        <v>238</v>
      </c>
      <c r="T1980" s="73" t="s">
        <v>241</v>
      </c>
      <c r="U1980" s="84">
        <f>U1969*1.01</f>
        <v>164.43871095647498</v>
      </c>
      <c r="V1980" s="58" t="s">
        <v>238</v>
      </c>
      <c r="W1980" s="73" t="s">
        <v>241</v>
      </c>
      <c r="X1980" s="84">
        <f>X1969*1.01</f>
        <v>394.71620490648183</v>
      </c>
      <c r="Y1980" s="58" t="s">
        <v>238</v>
      </c>
      <c r="Z1980" s="73" t="s">
        <v>241</v>
      </c>
      <c r="AA1980" s="84">
        <f>AA1969*1.01</f>
        <v>753.65789398779657</v>
      </c>
      <c r="AB1980" s="58" t="s">
        <v>238</v>
      </c>
      <c r="AC1980" s="73" t="s">
        <v>241</v>
      </c>
      <c r="AD1980" s="84">
        <f>AD1969*1.01</f>
        <v>1239.4897552361738</v>
      </c>
      <c r="AE1980" s="58" t="s">
        <v>238</v>
      </c>
      <c r="AF1980" s="73" t="s">
        <v>241</v>
      </c>
      <c r="AG1980" s="84">
        <f>AG1969*1.01</f>
        <v>1845.4313447252794</v>
      </c>
      <c r="AH1980" s="58" t="s">
        <v>238</v>
      </c>
      <c r="AI1980" s="73" t="s">
        <v>241</v>
      </c>
      <c r="AJ1980" s="84">
        <f>AJ1969*1.01</f>
        <v>2462.735283474568</v>
      </c>
      <c r="AK1980" s="58" t="s">
        <v>238</v>
      </c>
      <c r="AL1980" s="73" t="s">
        <v>241</v>
      </c>
      <c r="AM1980" s="84">
        <f>AM1969*1.01</f>
        <v>3005.0050639241008</v>
      </c>
      <c r="AN1980" s="58" t="s">
        <v>238</v>
      </c>
      <c r="AO1980" s="73" t="s">
        <v>241</v>
      </c>
      <c r="AP1980" s="84">
        <f>AP1969*1.01</f>
        <v>3488.7175899455192</v>
      </c>
      <c r="AQ1980" s="58" t="s">
        <v>238</v>
      </c>
      <c r="AR1980" s="73" t="s">
        <v>241</v>
      </c>
      <c r="AS1980" s="84">
        <f>AS1969*1.01</f>
        <v>3970.4860464464155</v>
      </c>
      <c r="AT1980" s="58" t="s">
        <v>238</v>
      </c>
      <c r="AU1980" s="73" t="s">
        <v>241</v>
      </c>
    </row>
    <row r="1981" spans="15:47" ht="13" x14ac:dyDescent="0.25">
      <c r="O1981" s="6"/>
      <c r="P1981" s="6"/>
      <c r="Q1981" s="60"/>
      <c r="R1981" s="70"/>
      <c r="S1981" s="63" t="s">
        <v>250</v>
      </c>
      <c r="T1981" s="71" t="s">
        <v>242</v>
      </c>
      <c r="U1981" s="61"/>
      <c r="V1981" s="63" t="s">
        <v>250</v>
      </c>
      <c r="W1981" s="71" t="s">
        <v>242</v>
      </c>
      <c r="X1981" s="61"/>
      <c r="Y1981" s="63" t="s">
        <v>250</v>
      </c>
      <c r="Z1981" s="71" t="s">
        <v>242</v>
      </c>
      <c r="AA1981" s="61"/>
      <c r="AB1981" s="63" t="s">
        <v>250</v>
      </c>
      <c r="AC1981" s="71" t="s">
        <v>242</v>
      </c>
      <c r="AD1981" s="61"/>
      <c r="AE1981" s="63" t="s">
        <v>250</v>
      </c>
      <c r="AF1981" s="71" t="s">
        <v>242</v>
      </c>
      <c r="AG1981" s="61"/>
      <c r="AH1981" s="63" t="s">
        <v>250</v>
      </c>
      <c r="AI1981" s="71" t="s">
        <v>242</v>
      </c>
      <c r="AJ1981" s="61"/>
      <c r="AK1981" s="63" t="s">
        <v>250</v>
      </c>
      <c r="AL1981" s="71" t="s">
        <v>242</v>
      </c>
      <c r="AM1981" s="61"/>
      <c r="AN1981" s="63" t="s">
        <v>250</v>
      </c>
      <c r="AO1981" s="71" t="s">
        <v>242</v>
      </c>
      <c r="AP1981" s="61"/>
      <c r="AQ1981" s="63" t="s">
        <v>250</v>
      </c>
      <c r="AR1981" s="71" t="s">
        <v>242</v>
      </c>
      <c r="AS1981" s="61"/>
      <c r="AT1981" s="63" t="s">
        <v>250</v>
      </c>
      <c r="AU1981" s="71" t="s">
        <v>242</v>
      </c>
    </row>
    <row r="1982" spans="15:47" ht="13" x14ac:dyDescent="0.3">
      <c r="O1982" s="6" t="s">
        <v>231</v>
      </c>
      <c r="P1982" s="6"/>
      <c r="Q1982" s="60"/>
      <c r="R1982" s="85">
        <f>P_1_minQ-(R1980^2*R_up)+dpup_minQ</f>
        <v>56.892198882453897</v>
      </c>
      <c r="S1982" s="56"/>
      <c r="T1982" s="72"/>
      <c r="U1982" s="53">
        <f>P_1_minQ-(U1980^2*R_up)+dpup_minQ</f>
        <v>56.002935168489458</v>
      </c>
      <c r="V1982" s="44"/>
      <c r="W1982" s="72"/>
      <c r="X1982" s="53">
        <f>P_1_minQ-(X1980^2*R_up)+dpup_minQ</f>
        <v>51.65437749355705</v>
      </c>
      <c r="Y1982" s="44"/>
      <c r="Z1982" s="72"/>
      <c r="AA1982" s="53">
        <f>P_1_minQ-(AA1980^2*R_up)+dpup_minQ</f>
        <v>37.733427181015848</v>
      </c>
      <c r="AB1982" s="44"/>
      <c r="AC1982" s="72"/>
      <c r="AD1982" s="53">
        <f>P_1_minQ-(AD1980^2*R_up)+dpup_minQ</f>
        <v>5.0304676347372519</v>
      </c>
      <c r="AE1982" s="44"/>
      <c r="AF1982" s="72"/>
      <c r="AG1982" s="53">
        <f>P_1_minQ-(AG1980^2*R_up)+dpup_minQ</f>
        <v>-58.099623373676231</v>
      </c>
      <c r="AH1982" s="44"/>
      <c r="AI1982" s="72"/>
      <c r="AJ1982" s="53">
        <f>P_1_minQ-(AJ1980^2*R_up)+dpup_minQ</f>
        <v>-147.91550410234922</v>
      </c>
      <c r="AK1982" s="44"/>
      <c r="AL1982" s="72"/>
      <c r="AM1982" s="53">
        <f>P_1_minQ-(AM1980^2*R_up)+dpup_minQ</f>
        <v>-248.05026795709185</v>
      </c>
      <c r="AN1982" s="44"/>
      <c r="AO1982" s="72"/>
      <c r="AP1982" s="53">
        <f>P_1_minQ-(AP1980^2*R_up)+dpup_minQ</f>
        <v>-354.13250328926961</v>
      </c>
      <c r="AQ1982" s="44"/>
      <c r="AR1982" s="72"/>
      <c r="AS1982" s="53">
        <f>P_1_minQ-(AS1980^2*R_up)+dpup_minQ</f>
        <v>-475.49721192251565</v>
      </c>
      <c r="AT1982" s="44"/>
      <c r="AU1982" s="72"/>
    </row>
    <row r="1983" spans="15:47" ht="13" x14ac:dyDescent="0.3">
      <c r="O1983" s="6" t="s">
        <v>233</v>
      </c>
      <c r="P1983" s="6"/>
      <c r="Q1983" s="60"/>
      <c r="R1983" s="85">
        <f>P_2_minQ+(R1980^2*R_dn)-dpdn_minQ</f>
        <v>24.661560223509223</v>
      </c>
      <c r="S1983" s="66"/>
      <c r="T1983" s="74"/>
      <c r="U1983" s="53">
        <f>P_2_minQ+(U1980^2*R_dn)-dpdn_minQ</f>
        <v>24.83941296630211</v>
      </c>
      <c r="V1983" s="45"/>
      <c r="W1983" s="74"/>
      <c r="X1983" s="53">
        <f>P_2_minQ+(X1980^2*R_dn)-dpdn_minQ</f>
        <v>25.709124501288592</v>
      </c>
      <c r="Y1983" s="45"/>
      <c r="Z1983" s="74"/>
      <c r="AA1983" s="53">
        <f>P_2_minQ+(AA1980^2*R_dn)-dpdn_minQ</f>
        <v>28.493314563796833</v>
      </c>
      <c r="AB1983" s="45"/>
      <c r="AC1983" s="74"/>
      <c r="AD1983" s="53">
        <f>P_2_minQ+(AD1980^2*R_dn)-dpdn_minQ</f>
        <v>35.033906473052554</v>
      </c>
      <c r="AE1983" s="45"/>
      <c r="AF1983" s="74"/>
      <c r="AG1983" s="53">
        <f>P_2_minQ+(AG1980^2*R_dn)-dpdn_minQ</f>
        <v>47.659924674735251</v>
      </c>
      <c r="AH1983" s="45"/>
      <c r="AI1983" s="74"/>
      <c r="AJ1983" s="53">
        <f>P_2_minQ+(AJ1980^2*R_dn)-dpdn_minQ</f>
        <v>65.623100820469844</v>
      </c>
      <c r="AK1983" s="45"/>
      <c r="AL1983" s="74"/>
      <c r="AM1983" s="53">
        <f>P_2_minQ+(AM1980^2*R_dn)-dpdn_minQ</f>
        <v>85.650053591418356</v>
      </c>
      <c r="AN1983" s="45"/>
      <c r="AO1983" s="74"/>
      <c r="AP1983" s="53">
        <f>P_2_minQ+(AP1980^2*R_dn)-dpdn_minQ</f>
        <v>106.86650065785392</v>
      </c>
      <c r="AQ1983" s="45"/>
      <c r="AR1983" s="74"/>
      <c r="AS1983" s="53">
        <f>P_2_minQ+(AS1980^2*R_dn)-dpdn_minQ</f>
        <v>131.1394423845031</v>
      </c>
      <c r="AT1983" s="45"/>
      <c r="AU1983" s="74"/>
    </row>
    <row r="1984" spans="15:47" x14ac:dyDescent="0.25">
      <c r="O1984" s="6" t="s">
        <v>243</v>
      </c>
      <c r="Q1984" s="60"/>
      <c r="R1984" s="53">
        <f>R1982-R1983</f>
        <v>32.23063865894467</v>
      </c>
      <c r="S1984" s="56"/>
      <c r="T1984" s="72"/>
      <c r="U1984" s="64">
        <f>U1982-U1983</f>
        <v>31.163522202187348</v>
      </c>
      <c r="V1984" s="44"/>
      <c r="W1984" s="72"/>
      <c r="X1984" s="64">
        <f>X1982-X1983</f>
        <v>25.945252992268458</v>
      </c>
      <c r="Y1984" s="44"/>
      <c r="Z1984" s="72"/>
      <c r="AA1984" s="64">
        <f>AA1982-AA1983</f>
        <v>9.2401126172190153</v>
      </c>
      <c r="AB1984" s="44"/>
      <c r="AC1984" s="72"/>
      <c r="AD1984" s="64">
        <f>AD1982-AD1983</f>
        <v>-30.003438838315301</v>
      </c>
      <c r="AE1984" s="44"/>
      <c r="AF1984" s="72"/>
      <c r="AG1984" s="64">
        <f>AG1982-AG1983</f>
        <v>-105.75954804841149</v>
      </c>
      <c r="AH1984" s="44"/>
      <c r="AI1984" s="72"/>
      <c r="AJ1984" s="64">
        <f>AJ1982-AJ1983</f>
        <v>-213.53860492281905</v>
      </c>
      <c r="AK1984" s="44"/>
      <c r="AL1984" s="72"/>
      <c r="AM1984" s="64">
        <f>AM1982-AM1983</f>
        <v>-333.7003215485102</v>
      </c>
      <c r="AN1984" s="44"/>
      <c r="AO1984" s="72"/>
      <c r="AP1984" s="64">
        <f>AP1982-AP1983</f>
        <v>-460.99900394712353</v>
      </c>
      <c r="AQ1984" s="44"/>
      <c r="AR1984" s="72"/>
      <c r="AS1984" s="64">
        <f>AS1982-AS1983</f>
        <v>-606.63665430701872</v>
      </c>
      <c r="AT1984" s="44"/>
      <c r="AU1984" s="72"/>
    </row>
    <row r="1985" spans="15:47" ht="13" x14ac:dyDescent="0.3">
      <c r="O1985" s="6" t="s">
        <v>75</v>
      </c>
      <c r="P1985" s="6">
        <v>3</v>
      </c>
      <c r="Q1985" s="65"/>
      <c r="R1985" s="85">
        <f>(F_LP_h/F_P_h)^2*(R1982-('Valve Sizing'!$V$4*'Valve Sizing'!$G$7))</f>
        <v>46.745336094204042</v>
      </c>
      <c r="S1985" s="58"/>
      <c r="T1985" s="73"/>
      <c r="U1985" s="53">
        <f>(U$29/U$27)^2*(U1982-('Valve Sizing'!$V$4*'Valve Sizing'!$G$7))</f>
        <v>45.996438914639214</v>
      </c>
      <c r="V1985" s="41"/>
      <c r="W1985" s="73"/>
      <c r="X1985" s="53">
        <f>(X$29/X$27)^2*(X1982-('Valve Sizing'!$V$4*'Valve Sizing'!$G$7))</f>
        <v>41.440249459418624</v>
      </c>
      <c r="Y1985" s="41"/>
      <c r="Z1985" s="73"/>
      <c r="AA1985" s="53">
        <f>(AA$29/AA$27)^2*(AA1982-('Valve Sizing'!$V$4*'Valve Sizing'!$G$7))</f>
        <v>28.820212333820248</v>
      </c>
      <c r="AB1985" s="41"/>
      <c r="AC1985" s="73"/>
      <c r="AD1985" s="53">
        <f>(AD$29/AD$27)^2*(AD1982-('Valve Sizing'!$V$4*'Valve Sizing'!$G$7))</f>
        <v>3.3105458610924527</v>
      </c>
      <c r="AE1985" s="41"/>
      <c r="AF1985" s="73"/>
      <c r="AG1985" s="53">
        <f>(AG$29/AG$27)^2*(AG1982-('Valve Sizing'!$V$4*'Valve Sizing'!$G$7))</f>
        <v>-37.702127479697786</v>
      </c>
      <c r="AH1985" s="41"/>
      <c r="AI1985" s="73"/>
      <c r="AJ1985" s="53">
        <f>(AJ$29/AJ$27)^2*(AJ1982-('Valve Sizing'!$V$4*'Valve Sizing'!$G$7))</f>
        <v>-85.803565875811017</v>
      </c>
      <c r="AK1985" s="41"/>
      <c r="AL1985" s="73"/>
      <c r="AM1985" s="53">
        <f>(AM$29/AM$27)^2*(AM1982-('Valve Sizing'!$V$4*'Valve Sizing'!$G$7))</f>
        <v>-118.89570018367672</v>
      </c>
      <c r="AN1985" s="41"/>
      <c r="AO1985" s="73"/>
      <c r="AP1985" s="53">
        <f>(AP$29/AP$27)^2*(AP1982-('Valve Sizing'!$V$4*'Valve Sizing'!$G$7))</f>
        <v>-139.92384479928882</v>
      </c>
      <c r="AQ1985" s="41"/>
      <c r="AR1985" s="73"/>
      <c r="AS1985" s="53">
        <f>(AS$29/AS$27)^2*(AS1982-('Valve Sizing'!$V$4*'Valve Sizing'!$G$7))</f>
        <v>-179.0194225277412</v>
      </c>
      <c r="AT1985" s="41"/>
      <c r="AU1985" s="73"/>
    </row>
    <row r="1986" spans="15:47" ht="13" x14ac:dyDescent="0.25">
      <c r="O1986" s="1" t="s">
        <v>69</v>
      </c>
      <c r="P1986" s="17">
        <v>7</v>
      </c>
      <c r="Q1986" s="65"/>
      <c r="R1986" s="53">
        <f>(R1980/(N_1*F_P_h))*SQRT('Valve Sizing'!$G$6/R1984)</f>
        <v>4.6908274926437654</v>
      </c>
      <c r="S1986" s="58"/>
      <c r="T1986" s="73"/>
      <c r="U1986" s="64">
        <f>(U1980/(N_1*U$27))*SQRT('Valve Sizing'!$G$6/U1984)</f>
        <v>29.481288824852992</v>
      </c>
      <c r="V1986" s="41"/>
      <c r="W1986" s="73"/>
      <c r="X1986" s="64">
        <f>(X1980/(N_1*X$27))*SQRT('Valve Sizing'!$G$6/X1984)</f>
        <v>77.731369488817094</v>
      </c>
      <c r="Y1986" s="41"/>
      <c r="Z1986" s="73"/>
      <c r="AA1986" s="64">
        <f>(AA1980/(N_1*AA$27))*SQRT('Valve Sizing'!$G$6/AA1984)</f>
        <v>250.13085233868301</v>
      </c>
      <c r="AB1986" s="41"/>
      <c r="AC1986" s="73"/>
      <c r="AD1986" s="64" t="e">
        <f>(AD1980/(N_1*AD$27))*SQRT('Valve Sizing'!$G$6/AD1984)</f>
        <v>#NUM!</v>
      </c>
      <c r="AE1986" s="41"/>
      <c r="AF1986" s="73"/>
      <c r="AG1986" s="64" t="e">
        <f>(AG1980/(N_1*AG$27))*SQRT('Valve Sizing'!$G$6/AG1984)</f>
        <v>#NUM!</v>
      </c>
      <c r="AH1986" s="41"/>
      <c r="AI1986" s="73"/>
      <c r="AJ1986" s="64" t="e">
        <f>(AJ1980/(N_1*AJ$27))*SQRT('Valve Sizing'!$G$6/AJ1984)</f>
        <v>#NUM!</v>
      </c>
      <c r="AK1986" s="41"/>
      <c r="AL1986" s="73"/>
      <c r="AM1986" s="64" t="e">
        <f>(AM1980/(N_1*AM$27))*SQRT('Valve Sizing'!$G$6/AM1984)</f>
        <v>#NUM!</v>
      </c>
      <c r="AN1986" s="41"/>
      <c r="AO1986" s="73"/>
      <c r="AP1986" s="64" t="e">
        <f>(AP1980/(N_1*AP$27))*SQRT('Valve Sizing'!$G$6/AP1984)</f>
        <v>#NUM!</v>
      </c>
      <c r="AQ1986" s="41"/>
      <c r="AR1986" s="73"/>
      <c r="AS1986" s="64" t="e">
        <f>(AS1980/(N_1*AS$27))*SQRT('Valve Sizing'!$G$6/AS1984)</f>
        <v>#NUM!</v>
      </c>
      <c r="AT1986" s="41"/>
      <c r="AU1986" s="73"/>
    </row>
    <row r="1987" spans="15:47" ht="13" x14ac:dyDescent="0.3">
      <c r="O1987" s="1" t="s">
        <v>72</v>
      </c>
      <c r="P1987" s="17">
        <v>7</v>
      </c>
      <c r="Q1987" s="65"/>
      <c r="R1987" s="53">
        <f>(R1980/(N_1*F_P_h))*SQRT('Valve Sizing'!$G$6/R1985)</f>
        <v>3.8950655800884482</v>
      </c>
      <c r="S1987" s="56"/>
      <c r="T1987" s="72"/>
      <c r="U1987" s="85">
        <f>(U1980/(N_1*U$27))*SQRT('Valve Sizing'!$G$6/U1985)</f>
        <v>24.266527242114616</v>
      </c>
      <c r="V1987" s="44"/>
      <c r="W1987" s="72"/>
      <c r="X1987" s="85">
        <f>(X1980/(N_1*X$27))*SQRT('Valve Sizing'!$G$6/X1985)</f>
        <v>61.505519866115932</v>
      </c>
      <c r="Y1987" s="44"/>
      <c r="Z1987" s="72"/>
      <c r="AA1987" s="85">
        <f>(AA1980/(N_1*AA$27))*SQRT('Valve Sizing'!$G$6/AA1985)</f>
        <v>141.63066917356292</v>
      </c>
      <c r="AB1987" s="44"/>
      <c r="AC1987" s="72"/>
      <c r="AD1987" s="85">
        <f>(AD1980/(N_1*AD$27))*SQRT('Valve Sizing'!$G$6/AD1985)</f>
        <v>695.90504154515622</v>
      </c>
      <c r="AE1987" s="44"/>
      <c r="AF1987" s="72"/>
      <c r="AG1987" s="85" t="e">
        <f>(AG1980/(N_1*AG$27))*SQRT('Valve Sizing'!$G$6/AG1985)</f>
        <v>#NUM!</v>
      </c>
      <c r="AH1987" s="44"/>
      <c r="AI1987" s="72"/>
      <c r="AJ1987" s="85" t="e">
        <f>(AJ1980/(N_1*AJ$27))*SQRT('Valve Sizing'!$G$6/AJ1985)</f>
        <v>#NUM!</v>
      </c>
      <c r="AK1987" s="44"/>
      <c r="AL1987" s="72"/>
      <c r="AM1987" s="85" t="e">
        <f>(AM1980/(N_1*AM$27))*SQRT('Valve Sizing'!$G$6/AM1985)</f>
        <v>#NUM!</v>
      </c>
      <c r="AN1987" s="44"/>
      <c r="AO1987" s="72"/>
      <c r="AP1987" s="85" t="e">
        <f>(AP1980/(N_1*AP$27))*SQRT('Valve Sizing'!$G$6/AP1985)</f>
        <v>#NUM!</v>
      </c>
      <c r="AQ1987" s="44"/>
      <c r="AR1987" s="72"/>
      <c r="AS1987" s="85" t="e">
        <f>(AS1980/(N_1*AS$27))*SQRT('Valve Sizing'!$G$6/AS1985)</f>
        <v>#NUM!</v>
      </c>
      <c r="AT1987" s="44"/>
      <c r="AU1987" s="72"/>
    </row>
    <row r="1988" spans="15:47" x14ac:dyDescent="0.25">
      <c r="O1988" s="1" t="s">
        <v>246</v>
      </c>
      <c r="P1988" s="18"/>
      <c r="Q1988" s="65"/>
      <c r="R1988" s="53">
        <f>IF(R1984&lt;R1985,R1986,R1987)</f>
        <v>4.6908274926437654</v>
      </c>
      <c r="S1988" s="49"/>
      <c r="T1988" s="72"/>
      <c r="U1988" s="64">
        <f>IF(U1984&lt;U1985,U1986,U1987)</f>
        <v>29.481288824852992</v>
      </c>
      <c r="V1988" s="44"/>
      <c r="W1988" s="72"/>
      <c r="X1988" s="64">
        <f>IF(X1984&lt;X1985,X1986,X1987)</f>
        <v>77.731369488817094</v>
      </c>
      <c r="Y1988" s="44"/>
      <c r="Z1988" s="72"/>
      <c r="AA1988" s="64">
        <f>IF(AA1984&lt;AA1985,AA1986,AA1987)</f>
        <v>250.13085233868301</v>
      </c>
      <c r="AB1988" s="44"/>
      <c r="AC1988" s="72"/>
      <c r="AD1988" s="64" t="e">
        <f>IF(AD1984&lt;AD1985,AD1986,AD1987)</f>
        <v>#NUM!</v>
      </c>
      <c r="AE1988" s="44"/>
      <c r="AF1988" s="72"/>
      <c r="AG1988" s="64" t="e">
        <f>IF(AG1984&lt;AG1985,AG1986,AG1987)</f>
        <v>#NUM!</v>
      </c>
      <c r="AH1988" s="44"/>
      <c r="AI1988" s="72"/>
      <c r="AJ1988" s="64" t="e">
        <f>IF(AJ1984&lt;AJ1985,AJ1986,AJ1987)</f>
        <v>#NUM!</v>
      </c>
      <c r="AK1988" s="44"/>
      <c r="AL1988" s="72"/>
      <c r="AM1988" s="64" t="e">
        <f>IF(AM1984&lt;AM1985,AM1986,AM1987)</f>
        <v>#NUM!</v>
      </c>
      <c r="AN1988" s="44"/>
      <c r="AO1988" s="72"/>
      <c r="AP1988" s="64" t="e">
        <f>IF(AP1984&lt;AP1985,AP1986,AP1987)</f>
        <v>#NUM!</v>
      </c>
      <c r="AQ1988" s="44"/>
      <c r="AR1988" s="72"/>
      <c r="AS1988" s="64" t="e">
        <f>IF(AS1984&lt;AS1985,AS1986,AS1987)</f>
        <v>#NUM!</v>
      </c>
      <c r="AT1988" s="44"/>
      <c r="AU1988" s="72"/>
    </row>
    <row r="1989" spans="15:47" ht="13" x14ac:dyDescent="0.3">
      <c r="O1989" s="7" t="s">
        <v>264</v>
      </c>
      <c r="Q1989" s="61"/>
      <c r="R1989" s="53"/>
      <c r="S1989" s="69">
        <f>IFERROR(ABS(C_h-R1988),Q_max*10)</f>
        <v>0.30917250735623458</v>
      </c>
      <c r="T1989" s="76">
        <f>R1980</f>
        <v>26.62688660996848</v>
      </c>
      <c r="U1989" s="61"/>
      <c r="V1989" s="69">
        <f>IFERROR(ABS(U$23-U1988),Q_max*10)</f>
        <v>17.481288824852992</v>
      </c>
      <c r="W1989" s="75">
        <f>U1980</f>
        <v>164.43871095647498</v>
      </c>
      <c r="X1989" s="61"/>
      <c r="Y1989" s="69">
        <f>IFERROR(ABS(X$23-X1988),Q_max*10)</f>
        <v>54.731369488817094</v>
      </c>
      <c r="Z1989" s="75">
        <f>X1980</f>
        <v>394.71620490648183</v>
      </c>
      <c r="AA1989" s="61"/>
      <c r="AB1989" s="69">
        <f>IFERROR(ABS(AA$23-AA1988),Q_max*10)</f>
        <v>211.13085233868301</v>
      </c>
      <c r="AC1989" s="75">
        <f>AA1980</f>
        <v>753.65789398779657</v>
      </c>
      <c r="AD1989" s="61"/>
      <c r="AE1989" s="69">
        <f>IFERROR(ABS(AD$23-AD1988),Q_max*10)</f>
        <v>5500</v>
      </c>
      <c r="AF1989" s="75">
        <f>AD1980</f>
        <v>1239.4897552361738</v>
      </c>
      <c r="AG1989" s="61"/>
      <c r="AH1989" s="69">
        <f>IFERROR(ABS(AG$23-AG1988),Q_max*10)</f>
        <v>5500</v>
      </c>
      <c r="AI1989" s="75">
        <f>AG1980</f>
        <v>1845.4313447252794</v>
      </c>
      <c r="AJ1989" s="61"/>
      <c r="AK1989" s="69">
        <f>IFERROR(ABS(AJ$23-AJ1988),Q_max*10)</f>
        <v>5500</v>
      </c>
      <c r="AL1989" s="75">
        <f>AJ1980</f>
        <v>2462.735283474568</v>
      </c>
      <c r="AM1989" s="61"/>
      <c r="AN1989" s="69">
        <f>IFERROR(ABS(AM$23-AM1988),Q_max*10)</f>
        <v>5500</v>
      </c>
      <c r="AO1989" s="75">
        <f>AM1980</f>
        <v>3005.0050639241008</v>
      </c>
      <c r="AP1989" s="61"/>
      <c r="AQ1989" s="69">
        <f>IFERROR(ABS(AP$23-AP1988),Q_max*10)</f>
        <v>5500</v>
      </c>
      <c r="AR1989" s="75">
        <f>AP1980</f>
        <v>3488.7175899455192</v>
      </c>
      <c r="AS1989" s="61"/>
      <c r="AT1989" s="69">
        <f>IFERROR(ABS(AS$23-AS1988),Q_max*10)</f>
        <v>5500</v>
      </c>
      <c r="AU1989" s="75">
        <f>AS1980</f>
        <v>3970.4860464464155</v>
      </c>
    </row>
    <row r="1990" spans="15:47" ht="14.5" x14ac:dyDescent="0.35">
      <c r="O1990" s="8"/>
      <c r="P1990" s="6"/>
      <c r="Q1990" s="60"/>
      <c r="R1990" s="67"/>
      <c r="S1990" s="58"/>
      <c r="T1990" s="73"/>
      <c r="V1990" s="11"/>
      <c r="W1990" s="38"/>
      <c r="Y1990" s="11"/>
      <c r="Z1990" s="38"/>
      <c r="AB1990" s="11"/>
      <c r="AC1990" s="38"/>
      <c r="AE1990" s="11"/>
      <c r="AF1990" s="38"/>
      <c r="AH1990" s="11"/>
      <c r="AI1990" s="38"/>
      <c r="AK1990" s="11"/>
      <c r="AL1990" s="38"/>
      <c r="AN1990" s="11"/>
      <c r="AO1990" s="38"/>
      <c r="AQ1990" s="11"/>
      <c r="AR1990" s="38"/>
      <c r="AT1990" s="11"/>
      <c r="AU1990" s="38"/>
    </row>
    <row r="1991" spans="15:47" ht="14" x14ac:dyDescent="0.3">
      <c r="O1991" s="8" t="s">
        <v>235</v>
      </c>
      <c r="P1991" s="6"/>
      <c r="Q1991" s="60"/>
      <c r="R1991" s="53">
        <f>R1980*1.02</f>
        <v>27.159424342167849</v>
      </c>
      <c r="S1991" s="58" t="s">
        <v>238</v>
      </c>
      <c r="T1991" s="73" t="s">
        <v>241</v>
      </c>
      <c r="U1991" s="84">
        <f>U1980*1.01</f>
        <v>166.08309806603972</v>
      </c>
      <c r="V1991" s="58" t="s">
        <v>238</v>
      </c>
      <c r="W1991" s="73" t="s">
        <v>241</v>
      </c>
      <c r="X1991" s="84">
        <f>X1980*1.01</f>
        <v>398.66336695554668</v>
      </c>
      <c r="Y1991" s="58" t="s">
        <v>238</v>
      </c>
      <c r="Z1991" s="73" t="s">
        <v>241</v>
      </c>
      <c r="AA1991" s="84">
        <f>AA1980*1.01</f>
        <v>761.1944729276745</v>
      </c>
      <c r="AB1991" s="58" t="s">
        <v>238</v>
      </c>
      <c r="AC1991" s="73" t="s">
        <v>241</v>
      </c>
      <c r="AD1991" s="84">
        <f>AD1980*1.01</f>
        <v>1251.8846527885355</v>
      </c>
      <c r="AE1991" s="58" t="s">
        <v>238</v>
      </c>
      <c r="AF1991" s="73" t="s">
        <v>241</v>
      </c>
      <c r="AG1991" s="84">
        <f>AG1980*1.01</f>
        <v>1863.8856581725322</v>
      </c>
      <c r="AH1991" s="58" t="s">
        <v>238</v>
      </c>
      <c r="AI1991" s="73" t="s">
        <v>241</v>
      </c>
      <c r="AJ1991" s="84">
        <f>AJ1980*1.01</f>
        <v>2487.3626363093135</v>
      </c>
      <c r="AK1991" s="58" t="s">
        <v>238</v>
      </c>
      <c r="AL1991" s="73" t="s">
        <v>241</v>
      </c>
      <c r="AM1991" s="84">
        <f>AM1980*1.01</f>
        <v>3035.0551145633417</v>
      </c>
      <c r="AN1991" s="58" t="s">
        <v>238</v>
      </c>
      <c r="AO1991" s="73" t="s">
        <v>241</v>
      </c>
      <c r="AP1991" s="84">
        <f>AP1980*1.01</f>
        <v>3523.6047658449743</v>
      </c>
      <c r="AQ1991" s="58" t="s">
        <v>238</v>
      </c>
      <c r="AR1991" s="73" t="s">
        <v>241</v>
      </c>
      <c r="AS1991" s="84">
        <f>AS1980*1.01</f>
        <v>4010.1909069108797</v>
      </c>
      <c r="AT1991" s="58" t="s">
        <v>238</v>
      </c>
      <c r="AU1991" s="73" t="s">
        <v>241</v>
      </c>
    </row>
    <row r="1992" spans="15:47" ht="13" x14ac:dyDescent="0.25">
      <c r="O1992" s="6"/>
      <c r="P1992" s="6"/>
      <c r="Q1992" s="60"/>
      <c r="R1992" s="70"/>
      <c r="S1992" s="63" t="s">
        <v>250</v>
      </c>
      <c r="T1992" s="71" t="s">
        <v>242</v>
      </c>
      <c r="U1992" s="61"/>
      <c r="V1992" s="63" t="s">
        <v>250</v>
      </c>
      <c r="W1992" s="71" t="s">
        <v>242</v>
      </c>
      <c r="X1992" s="61"/>
      <c r="Y1992" s="63" t="s">
        <v>250</v>
      </c>
      <c r="Z1992" s="71" t="s">
        <v>242</v>
      </c>
      <c r="AA1992" s="61"/>
      <c r="AB1992" s="63" t="s">
        <v>250</v>
      </c>
      <c r="AC1992" s="71" t="s">
        <v>242</v>
      </c>
      <c r="AD1992" s="61"/>
      <c r="AE1992" s="63" t="s">
        <v>250</v>
      </c>
      <c r="AF1992" s="71" t="s">
        <v>242</v>
      </c>
      <c r="AG1992" s="61"/>
      <c r="AH1992" s="63" t="s">
        <v>250</v>
      </c>
      <c r="AI1992" s="71" t="s">
        <v>242</v>
      </c>
      <c r="AJ1992" s="61"/>
      <c r="AK1992" s="63" t="s">
        <v>250</v>
      </c>
      <c r="AL1992" s="71" t="s">
        <v>242</v>
      </c>
      <c r="AM1992" s="61"/>
      <c r="AN1992" s="63" t="s">
        <v>250</v>
      </c>
      <c r="AO1992" s="71" t="s">
        <v>242</v>
      </c>
      <c r="AP1992" s="61"/>
      <c r="AQ1992" s="63" t="s">
        <v>250</v>
      </c>
      <c r="AR1992" s="71" t="s">
        <v>242</v>
      </c>
      <c r="AS1992" s="61"/>
      <c r="AT1992" s="63" t="s">
        <v>250</v>
      </c>
      <c r="AU1992" s="71" t="s">
        <v>242</v>
      </c>
    </row>
    <row r="1993" spans="15:47" ht="13" x14ac:dyDescent="0.3">
      <c r="O1993" s="6" t="s">
        <v>231</v>
      </c>
      <c r="P1993" s="6"/>
      <c r="Q1993" s="60"/>
      <c r="R1993" s="85">
        <f>P_1_minQ-(R1991^2*R_up)+dpup_minQ</f>
        <v>56.891231532232425</v>
      </c>
      <c r="S1993" s="56"/>
      <c r="T1993" s="72"/>
      <c r="U1993" s="53">
        <f>P_1_minQ-(U1991^2*R_up)+dpup_minQ</f>
        <v>55.984579687159275</v>
      </c>
      <c r="V1993" s="44"/>
      <c r="W1993" s="72"/>
      <c r="X1993" s="53">
        <f>P_1_minQ-(X1991^2*R_up)+dpup_minQ</f>
        <v>51.548616002960728</v>
      </c>
      <c r="Y1993" s="44"/>
      <c r="Z1993" s="72"/>
      <c r="AA1993" s="53">
        <f>P_1_minQ-(AA1991^2*R_up)+dpup_minQ</f>
        <v>37.347854589137448</v>
      </c>
      <c r="AB1993" s="44"/>
      <c r="AC1993" s="72"/>
      <c r="AD1993" s="53">
        <f>P_1_minQ-(AD1991^2*R_up)+dpup_minQ</f>
        <v>3.9875655559786507</v>
      </c>
      <c r="AE1993" s="44"/>
      <c r="AF1993" s="72"/>
      <c r="AG1993" s="53">
        <f>P_1_minQ-(AG1991^2*R_up)+dpup_minQ</f>
        <v>-60.411440281703939</v>
      </c>
      <c r="AH1993" s="44"/>
      <c r="AI1993" s="72"/>
      <c r="AJ1993" s="53">
        <f>P_1_minQ-(AJ1991^2*R_up)+dpup_minQ</f>
        <v>-152.03262021302325</v>
      </c>
      <c r="AK1993" s="44"/>
      <c r="AL1993" s="72"/>
      <c r="AM1993" s="53">
        <f>P_1_minQ-(AM1991^2*R_up)+dpup_minQ</f>
        <v>-254.18009282124623</v>
      </c>
      <c r="AN1993" s="44"/>
      <c r="AO1993" s="72"/>
      <c r="AP1993" s="53">
        <f>P_1_minQ-(AP1991^2*R_up)+dpup_minQ</f>
        <v>-362.39458108360071</v>
      </c>
      <c r="AQ1993" s="44"/>
      <c r="AR1993" s="72"/>
      <c r="AS1993" s="53">
        <f>P_1_minQ-(AS1991^2*R_up)+dpup_minQ</f>
        <v>-486.19872036037503</v>
      </c>
      <c r="AT1993" s="44"/>
      <c r="AU1993" s="72"/>
    </row>
    <row r="1994" spans="15:47" ht="13" x14ac:dyDescent="0.3">
      <c r="O1994" s="6" t="s">
        <v>233</v>
      </c>
      <c r="P1994" s="6"/>
      <c r="Q1994" s="60"/>
      <c r="R1994" s="85">
        <f>P_2_minQ+(R1991^2*R_dn)-dpdn_minQ</f>
        <v>24.661753693553518</v>
      </c>
      <c r="S1994" s="66"/>
      <c r="T1994" s="74"/>
      <c r="U1994" s="53">
        <f>P_2_minQ+(U1991^2*R_dn)-dpdn_minQ</f>
        <v>24.843084062568145</v>
      </c>
      <c r="V1994" s="45"/>
      <c r="W1994" s="74"/>
      <c r="X1994" s="53">
        <f>P_2_minQ+(X1991^2*R_dn)-dpdn_minQ</f>
        <v>25.730276799407857</v>
      </c>
      <c r="Y1994" s="45"/>
      <c r="Z1994" s="74"/>
      <c r="AA1994" s="53">
        <f>P_2_minQ+(AA1991^2*R_dn)-dpdn_minQ</f>
        <v>28.570429082172513</v>
      </c>
      <c r="AB1994" s="45"/>
      <c r="AC1994" s="74"/>
      <c r="AD1994" s="53">
        <f>P_2_minQ+(AD1991^2*R_dn)-dpdn_minQ</f>
        <v>35.242486888804272</v>
      </c>
      <c r="AE1994" s="45"/>
      <c r="AF1994" s="74"/>
      <c r="AG1994" s="53">
        <f>P_2_minQ+(AG1991^2*R_dn)-dpdn_minQ</f>
        <v>48.122288056340793</v>
      </c>
      <c r="AH1994" s="45"/>
      <c r="AI1994" s="74"/>
      <c r="AJ1994" s="53">
        <f>P_2_minQ+(AJ1991^2*R_dn)-dpdn_minQ</f>
        <v>66.446524042604651</v>
      </c>
      <c r="AK1994" s="45"/>
      <c r="AL1994" s="74"/>
      <c r="AM1994" s="53">
        <f>P_2_minQ+(AM1991^2*R_dn)-dpdn_minQ</f>
        <v>86.87601856424925</v>
      </c>
      <c r="AN1994" s="45"/>
      <c r="AO1994" s="74"/>
      <c r="AP1994" s="53">
        <f>P_2_minQ+(AP1991^2*R_dn)-dpdn_minQ</f>
        <v>108.51891621672013</v>
      </c>
      <c r="AQ1994" s="45"/>
      <c r="AR1994" s="74"/>
      <c r="AS1994" s="53">
        <f>P_2_minQ+(AS1991^2*R_dn)-dpdn_minQ</f>
        <v>133.279744072075</v>
      </c>
      <c r="AT1994" s="45"/>
      <c r="AU1994" s="74"/>
    </row>
    <row r="1995" spans="15:47" x14ac:dyDescent="0.25">
      <c r="O1995" s="6" t="s">
        <v>243</v>
      </c>
      <c r="Q1995" s="60"/>
      <c r="R1995" s="53">
        <f>R1993-R1994</f>
        <v>32.229477838678903</v>
      </c>
      <c r="S1995" s="56"/>
      <c r="T1995" s="72"/>
      <c r="U1995" s="64">
        <f>U1993-U1994</f>
        <v>31.14149562459113</v>
      </c>
      <c r="V1995" s="44"/>
      <c r="W1995" s="72"/>
      <c r="X1995" s="64">
        <f>X1993-X1994</f>
        <v>25.81833920355287</v>
      </c>
      <c r="Y1995" s="44"/>
      <c r="Z1995" s="72"/>
      <c r="AA1995" s="64">
        <f>AA1993-AA1994</f>
        <v>8.777425506964935</v>
      </c>
      <c r="AB1995" s="44"/>
      <c r="AC1995" s="72"/>
      <c r="AD1995" s="64">
        <f>AD1993-AD1994</f>
        <v>-31.254921332825621</v>
      </c>
      <c r="AE1995" s="44"/>
      <c r="AF1995" s="72"/>
      <c r="AG1995" s="64">
        <f>AG1993-AG1994</f>
        <v>-108.53372833804474</v>
      </c>
      <c r="AH1995" s="44"/>
      <c r="AI1995" s="72"/>
      <c r="AJ1995" s="64">
        <f>AJ1993-AJ1994</f>
        <v>-218.47914425562789</v>
      </c>
      <c r="AK1995" s="44"/>
      <c r="AL1995" s="72"/>
      <c r="AM1995" s="64">
        <f>AM1993-AM1994</f>
        <v>-341.05611138549546</v>
      </c>
      <c r="AN1995" s="44"/>
      <c r="AO1995" s="72"/>
      <c r="AP1995" s="64">
        <f>AP1993-AP1994</f>
        <v>-470.91349730032084</v>
      </c>
      <c r="AQ1995" s="44"/>
      <c r="AR1995" s="72"/>
      <c r="AS1995" s="64">
        <f>AS1993-AS1994</f>
        <v>-619.47846443244998</v>
      </c>
      <c r="AT1995" s="44"/>
      <c r="AU1995" s="72"/>
    </row>
    <row r="1996" spans="15:47" ht="13" x14ac:dyDescent="0.3">
      <c r="O1996" s="6" t="s">
        <v>75</v>
      </c>
      <c r="P1996" s="6">
        <v>3</v>
      </c>
      <c r="Q1996" s="65"/>
      <c r="R1996" s="85">
        <f>(F_LP_h/F_P_h)^2*(R1993-('Valve Sizing'!$V$4*'Valve Sizing'!$G$7))</f>
        <v>46.74453507744451</v>
      </c>
      <c r="S1996" s="58"/>
      <c r="T1996" s="73"/>
      <c r="U1996" s="53">
        <f>(U$29/U$27)^2*(U1993-('Valve Sizing'!$V$4*'Valve Sizing'!$G$7))</f>
        <v>45.981243755321557</v>
      </c>
      <c r="V1996" s="41"/>
      <c r="W1996" s="73"/>
      <c r="X1996" s="53">
        <f>(X$29/X$27)^2*(X1993-('Valve Sizing'!$V$4*'Valve Sizing'!$G$7))</f>
        <v>41.354672172274675</v>
      </c>
      <c r="Y1996" s="41"/>
      <c r="Z1996" s="73"/>
      <c r="AA1996" s="53">
        <f>(AA$29/AA$27)^2*(AA1993-('Valve Sizing'!$V$4*'Valve Sizing'!$G$7))</f>
        <v>28.522242906186616</v>
      </c>
      <c r="AB1996" s="41"/>
      <c r="AC1996" s="73"/>
      <c r="AD1996" s="53">
        <f>(AD$29/AD$27)^2*(AD1993-('Valve Sizing'!$V$4*'Valve Sizing'!$G$7))</f>
        <v>2.5584180149744</v>
      </c>
      <c r="AE1996" s="41"/>
      <c r="AF1996" s="73"/>
      <c r="AG1996" s="53">
        <f>(AG$29/AG$27)^2*(AG1993-('Valve Sizing'!$V$4*'Valve Sizing'!$G$7))</f>
        <v>-39.191039175555844</v>
      </c>
      <c r="AH1996" s="41"/>
      <c r="AI1996" s="73"/>
      <c r="AJ1996" s="53">
        <f>(AJ$29/AJ$27)^2*(AJ1993-('Valve Sizing'!$V$4*'Valve Sizing'!$G$7))</f>
        <v>-88.184758998621874</v>
      </c>
      <c r="AK1996" s="41"/>
      <c r="AL1996" s="73"/>
      <c r="AM1996" s="53">
        <f>(AM$29/AM$27)^2*(AM1993-('Valve Sizing'!$V$4*'Valve Sizing'!$G$7))</f>
        <v>-121.82865066128896</v>
      </c>
      <c r="AN1996" s="41"/>
      <c r="AO1996" s="73"/>
      <c r="AP1996" s="53">
        <f>(AP$29/AP$27)^2*(AP1993-('Valve Sizing'!$V$4*'Valve Sizing'!$G$7))</f>
        <v>-143.18428234665399</v>
      </c>
      <c r="AQ1996" s="41"/>
      <c r="AR1996" s="73"/>
      <c r="AS1996" s="53">
        <f>(AS$29/AS$27)^2*(AS1993-('Valve Sizing'!$V$4*'Valve Sizing'!$G$7))</f>
        <v>-183.04469640966636</v>
      </c>
      <c r="AT1996" s="41"/>
      <c r="AU1996" s="73"/>
    </row>
    <row r="1997" spans="15:47" ht="13" x14ac:dyDescent="0.25">
      <c r="O1997" s="1" t="s">
        <v>69</v>
      </c>
      <c r="P1997" s="17">
        <v>7</v>
      </c>
      <c r="Q1997" s="65"/>
      <c r="R1997" s="53">
        <f>(R1991/(N_1*F_P_h))*SQRT('Valve Sizing'!$G$6/R1995)</f>
        <v>4.7847302068115978</v>
      </c>
      <c r="S1997" s="58"/>
      <c r="T1997" s="73"/>
      <c r="U1997" s="64">
        <f>(U1991/(N_1*U$27))*SQRT('Valve Sizing'!$G$6/U1995)</f>
        <v>29.78663026460913</v>
      </c>
      <c r="V1997" s="41"/>
      <c r="W1997" s="73"/>
      <c r="X1997" s="64">
        <f>(X1991/(N_1*X$27))*SQRT('Valve Sizing'!$G$6/X1995)</f>
        <v>78.701407039535709</v>
      </c>
      <c r="Y1997" s="41"/>
      <c r="Z1997" s="73"/>
      <c r="AA1997" s="64">
        <f>(AA1991/(N_1*AA$27))*SQRT('Valve Sizing'!$G$6/AA1995)</f>
        <v>259.20518984568866</v>
      </c>
      <c r="AB1997" s="41"/>
      <c r="AC1997" s="73"/>
      <c r="AD1997" s="64" t="e">
        <f>(AD1991/(N_1*AD$27))*SQRT('Valve Sizing'!$G$6/AD1995)</f>
        <v>#NUM!</v>
      </c>
      <c r="AE1997" s="41"/>
      <c r="AF1997" s="73"/>
      <c r="AG1997" s="64" t="e">
        <f>(AG1991/(N_1*AG$27))*SQRT('Valve Sizing'!$G$6/AG1995)</f>
        <v>#NUM!</v>
      </c>
      <c r="AH1997" s="41"/>
      <c r="AI1997" s="73"/>
      <c r="AJ1997" s="64" t="e">
        <f>(AJ1991/(N_1*AJ$27))*SQRT('Valve Sizing'!$G$6/AJ1995)</f>
        <v>#NUM!</v>
      </c>
      <c r="AK1997" s="41"/>
      <c r="AL1997" s="73"/>
      <c r="AM1997" s="64" t="e">
        <f>(AM1991/(N_1*AM$27))*SQRT('Valve Sizing'!$G$6/AM1995)</f>
        <v>#NUM!</v>
      </c>
      <c r="AN1997" s="41"/>
      <c r="AO1997" s="73"/>
      <c r="AP1997" s="64" t="e">
        <f>(AP1991/(N_1*AP$27))*SQRT('Valve Sizing'!$G$6/AP1995)</f>
        <v>#NUM!</v>
      </c>
      <c r="AQ1997" s="41"/>
      <c r="AR1997" s="73"/>
      <c r="AS1997" s="64" t="e">
        <f>(AS1991/(N_1*AS$27))*SQRT('Valve Sizing'!$G$6/AS1995)</f>
        <v>#NUM!</v>
      </c>
      <c r="AT1997" s="41"/>
      <c r="AU1997" s="73"/>
    </row>
    <row r="1998" spans="15:47" ht="13" x14ac:dyDescent="0.3">
      <c r="O1998" s="1" t="s">
        <v>72</v>
      </c>
      <c r="P1998" s="17">
        <v>7</v>
      </c>
      <c r="Q1998" s="65"/>
      <c r="R1998" s="53">
        <f>(R1991/(N_1*F_P_h))*SQRT('Valve Sizing'!$G$6/R1996)</f>
        <v>3.9730009320269817</v>
      </c>
      <c r="S1998" s="56"/>
      <c r="T1998" s="72"/>
      <c r="U1998" s="85">
        <f>(U1991/(N_1*U$27))*SQRT('Valve Sizing'!$G$6/U1996)</f>
        <v>24.513241886537337</v>
      </c>
      <c r="V1998" s="44"/>
      <c r="W1998" s="72"/>
      <c r="X1998" s="85">
        <f>(X1991/(N_1*X$27))*SQRT('Valve Sizing'!$G$6/X1996)</f>
        <v>62.184816450690597</v>
      </c>
      <c r="Y1998" s="44"/>
      <c r="Z1998" s="72"/>
      <c r="AA1998" s="85">
        <f>(AA1991/(N_1*AA$27))*SQRT('Valve Sizing'!$G$6/AA1996)</f>
        <v>143.79223425951696</v>
      </c>
      <c r="AB1998" s="44"/>
      <c r="AC1998" s="72"/>
      <c r="AD1998" s="85">
        <f>(AD1991/(N_1*AD$27))*SQRT('Valve Sizing'!$G$6/AD1996)</f>
        <v>799.53118671434174</v>
      </c>
      <c r="AE1998" s="44"/>
      <c r="AF1998" s="72"/>
      <c r="AG1998" s="85" t="e">
        <f>(AG1991/(N_1*AG$27))*SQRT('Valve Sizing'!$G$6/AG1996)</f>
        <v>#NUM!</v>
      </c>
      <c r="AH1998" s="44"/>
      <c r="AI1998" s="72"/>
      <c r="AJ1998" s="85" t="e">
        <f>(AJ1991/(N_1*AJ$27))*SQRT('Valve Sizing'!$G$6/AJ1996)</f>
        <v>#NUM!</v>
      </c>
      <c r="AK1998" s="44"/>
      <c r="AL1998" s="72"/>
      <c r="AM1998" s="85" t="e">
        <f>(AM1991/(N_1*AM$27))*SQRT('Valve Sizing'!$G$6/AM1996)</f>
        <v>#NUM!</v>
      </c>
      <c r="AN1998" s="44"/>
      <c r="AO1998" s="72"/>
      <c r="AP1998" s="85" t="e">
        <f>(AP1991/(N_1*AP$27))*SQRT('Valve Sizing'!$G$6/AP1996)</f>
        <v>#NUM!</v>
      </c>
      <c r="AQ1998" s="44"/>
      <c r="AR1998" s="72"/>
      <c r="AS1998" s="85" t="e">
        <f>(AS1991/(N_1*AS$27))*SQRT('Valve Sizing'!$G$6/AS1996)</f>
        <v>#NUM!</v>
      </c>
      <c r="AT1998" s="44"/>
      <c r="AU1998" s="72"/>
    </row>
    <row r="1999" spans="15:47" x14ac:dyDescent="0.25">
      <c r="O1999" s="1" t="s">
        <v>246</v>
      </c>
      <c r="P1999" s="18"/>
      <c r="Q1999" s="65"/>
      <c r="R1999" s="53">
        <f>IF(R1995&lt;R1996,R1997,R1998)</f>
        <v>4.7847302068115978</v>
      </c>
      <c r="S1999" s="49"/>
      <c r="T1999" s="72"/>
      <c r="U1999" s="64">
        <f>IF(U1995&lt;U1996,U1997,U1998)</f>
        <v>29.78663026460913</v>
      </c>
      <c r="V1999" s="44"/>
      <c r="W1999" s="72"/>
      <c r="X1999" s="64">
        <f>IF(X1995&lt;X1996,X1997,X1998)</f>
        <v>78.701407039535709</v>
      </c>
      <c r="Y1999" s="44"/>
      <c r="Z1999" s="72"/>
      <c r="AA1999" s="64">
        <f>IF(AA1995&lt;AA1996,AA1997,AA1998)</f>
        <v>259.20518984568866</v>
      </c>
      <c r="AB1999" s="44"/>
      <c r="AC1999" s="72"/>
      <c r="AD1999" s="64" t="e">
        <f>IF(AD1995&lt;AD1996,AD1997,AD1998)</f>
        <v>#NUM!</v>
      </c>
      <c r="AE1999" s="44"/>
      <c r="AF1999" s="72"/>
      <c r="AG1999" s="64" t="e">
        <f>IF(AG1995&lt;AG1996,AG1997,AG1998)</f>
        <v>#NUM!</v>
      </c>
      <c r="AH1999" s="44"/>
      <c r="AI1999" s="72"/>
      <c r="AJ1999" s="64" t="e">
        <f>IF(AJ1995&lt;AJ1996,AJ1997,AJ1998)</f>
        <v>#NUM!</v>
      </c>
      <c r="AK1999" s="44"/>
      <c r="AL1999" s="72"/>
      <c r="AM1999" s="64" t="e">
        <f>IF(AM1995&lt;AM1996,AM1997,AM1998)</f>
        <v>#NUM!</v>
      </c>
      <c r="AN1999" s="44"/>
      <c r="AO1999" s="72"/>
      <c r="AP1999" s="64" t="e">
        <f>IF(AP1995&lt;AP1996,AP1997,AP1998)</f>
        <v>#NUM!</v>
      </c>
      <c r="AQ1999" s="44"/>
      <c r="AR1999" s="72"/>
      <c r="AS1999" s="64" t="e">
        <f>IF(AS1995&lt;AS1996,AS1997,AS1998)</f>
        <v>#NUM!</v>
      </c>
      <c r="AT1999" s="44"/>
      <c r="AU1999" s="72"/>
    </row>
    <row r="2000" spans="15:47" ht="13" x14ac:dyDescent="0.3">
      <c r="O2000" s="7" t="s">
        <v>264</v>
      </c>
      <c r="Q2000" s="61"/>
      <c r="R2000" s="53"/>
      <c r="S2000" s="69">
        <f>IFERROR(ABS(C_h-R1999),Q_max*10)</f>
        <v>0.21526979318840223</v>
      </c>
      <c r="T2000" s="76">
        <f>R1991</f>
        <v>27.159424342167849</v>
      </c>
      <c r="U2000" s="61"/>
      <c r="V2000" s="69">
        <f>IFERROR(ABS(U$23-U1999),Q_max*10)</f>
        <v>17.78663026460913</v>
      </c>
      <c r="W2000" s="75">
        <f>U1991</f>
        <v>166.08309806603972</v>
      </c>
      <c r="X2000" s="61"/>
      <c r="Y2000" s="69">
        <f>IFERROR(ABS(X$23-X1999),Q_max*10)</f>
        <v>55.701407039535709</v>
      </c>
      <c r="Z2000" s="75">
        <f>X1991</f>
        <v>398.66336695554668</v>
      </c>
      <c r="AA2000" s="61"/>
      <c r="AB2000" s="69">
        <f>IFERROR(ABS(AA$23-AA1999),Q_max*10)</f>
        <v>220.20518984568866</v>
      </c>
      <c r="AC2000" s="75">
        <f>AA1991</f>
        <v>761.1944729276745</v>
      </c>
      <c r="AD2000" s="61"/>
      <c r="AE2000" s="69">
        <f>IFERROR(ABS(AD$23-AD1999),Q_max*10)</f>
        <v>5500</v>
      </c>
      <c r="AF2000" s="75">
        <f>AD1991</f>
        <v>1251.8846527885355</v>
      </c>
      <c r="AG2000" s="61"/>
      <c r="AH2000" s="69">
        <f>IFERROR(ABS(AG$23-AG1999),Q_max*10)</f>
        <v>5500</v>
      </c>
      <c r="AI2000" s="75">
        <f>AG1991</f>
        <v>1863.8856581725322</v>
      </c>
      <c r="AJ2000" s="61"/>
      <c r="AK2000" s="69">
        <f>IFERROR(ABS(AJ$23-AJ1999),Q_max*10)</f>
        <v>5500</v>
      </c>
      <c r="AL2000" s="75">
        <f>AJ1991</f>
        <v>2487.3626363093135</v>
      </c>
      <c r="AM2000" s="61"/>
      <c r="AN2000" s="69">
        <f>IFERROR(ABS(AM$23-AM1999),Q_max*10)</f>
        <v>5500</v>
      </c>
      <c r="AO2000" s="75">
        <f>AM1991</f>
        <v>3035.0551145633417</v>
      </c>
      <c r="AP2000" s="61"/>
      <c r="AQ2000" s="69">
        <f>IFERROR(ABS(AP$23-AP1999),Q_max*10)</f>
        <v>5500</v>
      </c>
      <c r="AR2000" s="75">
        <f>AP1991</f>
        <v>3523.6047658449743</v>
      </c>
      <c r="AS2000" s="61"/>
      <c r="AT2000" s="69">
        <f>IFERROR(ABS(AS$23-AS1999),Q_max*10)</f>
        <v>5500</v>
      </c>
      <c r="AU2000" s="75">
        <f>AS1991</f>
        <v>4010.1909069108797</v>
      </c>
    </row>
    <row r="2001" spans="15:47" ht="14.5" x14ac:dyDescent="0.35">
      <c r="O2001" s="6"/>
      <c r="P2001" s="6"/>
      <c r="Q2001" s="60"/>
      <c r="R2001" s="67"/>
      <c r="S2001" s="56"/>
      <c r="T2001" s="72"/>
      <c r="V2001" s="11"/>
      <c r="W2001" s="38"/>
      <c r="Y2001" s="11"/>
      <c r="Z2001" s="38"/>
      <c r="AB2001" s="11"/>
      <c r="AC2001" s="38"/>
      <c r="AE2001" s="11"/>
      <c r="AF2001" s="38"/>
      <c r="AH2001" s="11"/>
      <c r="AI2001" s="38"/>
      <c r="AK2001" s="11"/>
      <c r="AL2001" s="38"/>
      <c r="AN2001" s="11"/>
      <c r="AO2001" s="38"/>
      <c r="AQ2001" s="11"/>
      <c r="AR2001" s="38"/>
      <c r="AT2001" s="11"/>
      <c r="AU2001" s="38"/>
    </row>
    <row r="2002" spans="15:47" ht="14" x14ac:dyDescent="0.3">
      <c r="O2002" s="8" t="s">
        <v>235</v>
      </c>
      <c r="P2002" s="6"/>
      <c r="Q2002" s="60"/>
      <c r="R2002" s="53">
        <f>R1991*1.02</f>
        <v>27.702612829011208</v>
      </c>
      <c r="S2002" s="58" t="s">
        <v>238</v>
      </c>
      <c r="T2002" s="73" t="s">
        <v>241</v>
      </c>
      <c r="U2002" s="84">
        <f>U1991*1.01</f>
        <v>167.74392904670012</v>
      </c>
      <c r="V2002" s="58" t="s">
        <v>238</v>
      </c>
      <c r="W2002" s="73" t="s">
        <v>241</v>
      </c>
      <c r="X2002" s="84">
        <f>X1991*1.01</f>
        <v>402.65000062510217</v>
      </c>
      <c r="Y2002" s="58" t="s">
        <v>238</v>
      </c>
      <c r="Z2002" s="73" t="s">
        <v>241</v>
      </c>
      <c r="AA2002" s="84">
        <f>AA1991*1.01</f>
        <v>768.80641765695123</v>
      </c>
      <c r="AB2002" s="58" t="s">
        <v>238</v>
      </c>
      <c r="AC2002" s="73" t="s">
        <v>241</v>
      </c>
      <c r="AD2002" s="84">
        <f>AD1991*1.01</f>
        <v>1264.4034993164209</v>
      </c>
      <c r="AE2002" s="58" t="s">
        <v>238</v>
      </c>
      <c r="AF2002" s="73" t="s">
        <v>241</v>
      </c>
      <c r="AG2002" s="84">
        <f>AG1991*1.01</f>
        <v>1882.5245147542576</v>
      </c>
      <c r="AH2002" s="58" t="s">
        <v>238</v>
      </c>
      <c r="AI2002" s="73" t="s">
        <v>241</v>
      </c>
      <c r="AJ2002" s="84">
        <f>AJ1991*1.01</f>
        <v>2512.2362626724066</v>
      </c>
      <c r="AK2002" s="58" t="s">
        <v>238</v>
      </c>
      <c r="AL2002" s="73" t="s">
        <v>241</v>
      </c>
      <c r="AM2002" s="84">
        <f>AM1991*1.01</f>
        <v>3065.405665708975</v>
      </c>
      <c r="AN2002" s="58" t="s">
        <v>238</v>
      </c>
      <c r="AO2002" s="73" t="s">
        <v>241</v>
      </c>
      <c r="AP2002" s="84">
        <f>AP1991*1.01</f>
        <v>3558.8408135034242</v>
      </c>
      <c r="AQ2002" s="58" t="s">
        <v>238</v>
      </c>
      <c r="AR2002" s="73" t="s">
        <v>241</v>
      </c>
      <c r="AS2002" s="84">
        <f>AS1991*1.01</f>
        <v>4050.2928159799885</v>
      </c>
      <c r="AT2002" s="58" t="s">
        <v>238</v>
      </c>
      <c r="AU2002" s="73" t="s">
        <v>241</v>
      </c>
    </row>
    <row r="2003" spans="15:47" ht="13" x14ac:dyDescent="0.25">
      <c r="O2003" s="6"/>
      <c r="P2003" s="6"/>
      <c r="Q2003" s="60"/>
      <c r="R2003" s="70"/>
      <c r="S2003" s="63" t="s">
        <v>250</v>
      </c>
      <c r="T2003" s="71" t="s">
        <v>242</v>
      </c>
      <c r="U2003" s="61"/>
      <c r="V2003" s="63" t="s">
        <v>250</v>
      </c>
      <c r="W2003" s="71" t="s">
        <v>242</v>
      </c>
      <c r="X2003" s="61"/>
      <c r="Y2003" s="63" t="s">
        <v>250</v>
      </c>
      <c r="Z2003" s="71" t="s">
        <v>242</v>
      </c>
      <c r="AA2003" s="61"/>
      <c r="AB2003" s="63" t="s">
        <v>250</v>
      </c>
      <c r="AC2003" s="71" t="s">
        <v>242</v>
      </c>
      <c r="AD2003" s="61"/>
      <c r="AE2003" s="63" t="s">
        <v>250</v>
      </c>
      <c r="AF2003" s="71" t="s">
        <v>242</v>
      </c>
      <c r="AG2003" s="61"/>
      <c r="AH2003" s="63" t="s">
        <v>250</v>
      </c>
      <c r="AI2003" s="71" t="s">
        <v>242</v>
      </c>
      <c r="AJ2003" s="61"/>
      <c r="AK2003" s="63" t="s">
        <v>250</v>
      </c>
      <c r="AL2003" s="71" t="s">
        <v>242</v>
      </c>
      <c r="AM2003" s="61"/>
      <c r="AN2003" s="63" t="s">
        <v>250</v>
      </c>
      <c r="AO2003" s="71" t="s">
        <v>242</v>
      </c>
      <c r="AP2003" s="61"/>
      <c r="AQ2003" s="63" t="s">
        <v>250</v>
      </c>
      <c r="AR2003" s="71" t="s">
        <v>242</v>
      </c>
      <c r="AS2003" s="61"/>
      <c r="AT2003" s="63" t="s">
        <v>250</v>
      </c>
      <c r="AU2003" s="71" t="s">
        <v>242</v>
      </c>
    </row>
    <row r="2004" spans="15:47" ht="13" x14ac:dyDescent="0.3">
      <c r="O2004" s="6" t="s">
        <v>231</v>
      </c>
      <c r="P2004" s="6"/>
      <c r="Q2004" s="60"/>
      <c r="R2004" s="85">
        <f>P_1_minQ-(R2002^2*R_up)+dpup_minQ</f>
        <v>56.890225101062001</v>
      </c>
      <c r="S2004" s="56"/>
      <c r="T2004" s="72"/>
      <c r="U2004" s="53">
        <f>P_1_minQ-(U2002^2*R_up)+dpup_minQ</f>
        <v>55.965855260654358</v>
      </c>
      <c r="V2004" s="44"/>
      <c r="W2004" s="72"/>
      <c r="X2004" s="53">
        <f>P_1_minQ-(X2002^2*R_up)+dpup_minQ</f>
        <v>51.440728706403419</v>
      </c>
      <c r="Y2004" s="44"/>
      <c r="Z2004" s="72"/>
      <c r="AA2004" s="53">
        <f>P_1_minQ-(AA2002^2*R_up)+dpup_minQ</f>
        <v>36.954531988162294</v>
      </c>
      <c r="AB2004" s="44"/>
      <c r="AC2004" s="72"/>
      <c r="AD2004" s="53">
        <f>P_1_minQ-(AD2002^2*R_up)+dpup_minQ</f>
        <v>2.9237011454369961</v>
      </c>
      <c r="AE2004" s="44"/>
      <c r="AF2004" s="72"/>
      <c r="AG2004" s="53">
        <f>P_1_minQ-(AG2002^2*R_up)+dpup_minQ</f>
        <v>-62.769724709583009</v>
      </c>
      <c r="AH2004" s="44"/>
      <c r="AI2004" s="72"/>
      <c r="AJ2004" s="53">
        <f>P_1_minQ-(AJ2002^2*R_up)+dpup_minQ</f>
        <v>-156.23249035752181</v>
      </c>
      <c r="AK2004" s="44"/>
      <c r="AL2004" s="72"/>
      <c r="AM2004" s="53">
        <f>P_1_minQ-(AM2002^2*R_up)+dpup_minQ</f>
        <v>-260.43312716517005</v>
      </c>
      <c r="AN2004" s="44"/>
      <c r="AO2004" s="72"/>
      <c r="AP2004" s="53">
        <f>P_1_minQ-(AP2002^2*R_up)+dpup_minQ</f>
        <v>-370.82272664159797</v>
      </c>
      <c r="AQ2004" s="44"/>
      <c r="AR2004" s="72"/>
      <c r="AS2004" s="53">
        <f>P_1_minQ-(AS2002^2*R_up)+dpup_minQ</f>
        <v>-497.11532911783542</v>
      </c>
      <c r="AT2004" s="44"/>
      <c r="AU2004" s="72"/>
    </row>
    <row r="2005" spans="15:47" ht="13" x14ac:dyDescent="0.3">
      <c r="O2005" s="6" t="s">
        <v>233</v>
      </c>
      <c r="P2005" s="6"/>
      <c r="Q2005" s="60"/>
      <c r="R2005" s="85">
        <f>P_2_minQ+(R2002^2*R_dn)-dpdn_minQ</f>
        <v>24.661954979787602</v>
      </c>
      <c r="S2005" s="66"/>
      <c r="T2005" s="74"/>
      <c r="U2005" s="53">
        <f>P_2_minQ+(U2002^2*R_dn)-dpdn_minQ</f>
        <v>24.846828947869128</v>
      </c>
      <c r="V2005" s="45"/>
      <c r="W2005" s="74"/>
      <c r="X2005" s="53">
        <f>P_2_minQ+(X2002^2*R_dn)-dpdn_minQ</f>
        <v>25.751854258719316</v>
      </c>
      <c r="Y2005" s="45"/>
      <c r="Z2005" s="74"/>
      <c r="AA2005" s="53">
        <f>P_2_minQ+(AA2002^2*R_dn)-dpdn_minQ</f>
        <v>28.649093602367543</v>
      </c>
      <c r="AB2005" s="45"/>
      <c r="AC2005" s="74"/>
      <c r="AD2005" s="53">
        <f>P_2_minQ+(AD2002^2*R_dn)-dpdn_minQ</f>
        <v>35.455259770912605</v>
      </c>
      <c r="AE2005" s="45"/>
      <c r="AF2005" s="74"/>
      <c r="AG2005" s="53">
        <f>P_2_minQ+(AG2002^2*R_dn)-dpdn_minQ</f>
        <v>48.593944941916604</v>
      </c>
      <c r="AH2005" s="45"/>
      <c r="AI2005" s="74"/>
      <c r="AJ2005" s="53">
        <f>P_2_minQ+(AJ2002^2*R_dn)-dpdn_minQ</f>
        <v>67.286498071504369</v>
      </c>
      <c r="AK2005" s="45"/>
      <c r="AL2005" s="74"/>
      <c r="AM2005" s="53">
        <f>P_2_minQ+(AM2002^2*R_dn)-dpdn_minQ</f>
        <v>88.126625433034008</v>
      </c>
      <c r="AN2005" s="45"/>
      <c r="AO2005" s="74"/>
      <c r="AP2005" s="53">
        <f>P_2_minQ+(AP2002^2*R_dn)-dpdn_minQ</f>
        <v>110.2045453283196</v>
      </c>
      <c r="AQ2005" s="45"/>
      <c r="AR2005" s="74"/>
      <c r="AS2005" s="53">
        <f>P_2_minQ+(AS2002^2*R_dn)-dpdn_minQ</f>
        <v>135.46306582356706</v>
      </c>
      <c r="AT2005" s="45"/>
      <c r="AU2005" s="74"/>
    </row>
    <row r="2006" spans="15:47" x14ac:dyDescent="0.25">
      <c r="O2006" s="6" t="s">
        <v>243</v>
      </c>
      <c r="Q2006" s="60"/>
      <c r="R2006" s="53">
        <f>R2004-R2005</f>
        <v>32.228270121274399</v>
      </c>
      <c r="S2006" s="56"/>
      <c r="T2006" s="72"/>
      <c r="U2006" s="64">
        <f>U2004-U2005</f>
        <v>31.11902631278523</v>
      </c>
      <c r="V2006" s="44"/>
      <c r="W2006" s="72"/>
      <c r="X2006" s="64">
        <f>X2004-X2005</f>
        <v>25.688874447684103</v>
      </c>
      <c r="Y2006" s="44"/>
      <c r="Z2006" s="72"/>
      <c r="AA2006" s="64">
        <f>AA2004-AA2005</f>
        <v>8.3054383857947514</v>
      </c>
      <c r="AB2006" s="44"/>
      <c r="AC2006" s="72"/>
      <c r="AD2006" s="64">
        <f>AD2004-AD2005</f>
        <v>-32.531558625475611</v>
      </c>
      <c r="AE2006" s="44"/>
      <c r="AF2006" s="72"/>
      <c r="AG2006" s="64">
        <f>AG2004-AG2005</f>
        <v>-111.36366965149961</v>
      </c>
      <c r="AH2006" s="44"/>
      <c r="AI2006" s="72"/>
      <c r="AJ2006" s="64">
        <f>AJ2004-AJ2005</f>
        <v>-223.51898842902619</v>
      </c>
      <c r="AK2006" s="44"/>
      <c r="AL2006" s="72"/>
      <c r="AM2006" s="64">
        <f>AM2004-AM2005</f>
        <v>-348.55975259820406</v>
      </c>
      <c r="AN2006" s="44"/>
      <c r="AO2006" s="72"/>
      <c r="AP2006" s="64">
        <f>AP2004-AP2005</f>
        <v>-481.02727196991759</v>
      </c>
      <c r="AQ2006" s="44"/>
      <c r="AR2006" s="72"/>
      <c r="AS2006" s="64">
        <f>AS2004-AS2005</f>
        <v>-632.57839494140251</v>
      </c>
      <c r="AT2006" s="44"/>
      <c r="AU2006" s="72"/>
    </row>
    <row r="2007" spans="15:47" ht="13" x14ac:dyDescent="0.3">
      <c r="O2007" s="6" t="s">
        <v>75</v>
      </c>
      <c r="P2007" s="6">
        <v>3</v>
      </c>
      <c r="Q2007" s="65"/>
      <c r="R2007" s="85">
        <f>(F_LP_h/F_P_h)^2*(R2004-('Valve Sizing'!$V$4*'Valve Sizing'!$G$7))</f>
        <v>46.74370169960789</v>
      </c>
      <c r="S2007" s="58"/>
      <c r="T2007" s="73"/>
      <c r="U2007" s="53">
        <f>(U$29/U$27)^2*(U2004-('Valve Sizing'!$V$4*'Valve Sizing'!$G$7))</f>
        <v>45.965743173301625</v>
      </c>
      <c r="V2007" s="41"/>
      <c r="W2007" s="73"/>
      <c r="X2007" s="53">
        <f>(X$29/X$27)^2*(X2004-('Valve Sizing'!$V$4*'Valve Sizing'!$G$7))</f>
        <v>41.267374781659136</v>
      </c>
      <c r="Y2007" s="41"/>
      <c r="Z2007" s="73"/>
      <c r="AA2007" s="53">
        <f>(AA$29/AA$27)^2*(AA2004-('Valve Sizing'!$V$4*'Valve Sizing'!$G$7))</f>
        <v>28.21828429305755</v>
      </c>
      <c r="AB2007" s="41"/>
      <c r="AC2007" s="73"/>
      <c r="AD2007" s="53">
        <f>(AD$29/AD$27)^2*(AD2004-('Valve Sizing'!$V$4*'Valve Sizing'!$G$7))</f>
        <v>1.7911723991493698</v>
      </c>
      <c r="AE2007" s="41"/>
      <c r="AF2007" s="73"/>
      <c r="AG2007" s="53">
        <f>(AG$29/AG$27)^2*(AG2004-('Valve Sizing'!$V$4*'Valve Sizing'!$G$7))</f>
        <v>-40.709877996500659</v>
      </c>
      <c r="AH2007" s="41"/>
      <c r="AI2007" s="73"/>
      <c r="AJ2007" s="53">
        <f>(AJ$29/AJ$27)^2*(AJ2004-('Valve Sizing'!$V$4*'Valve Sizing'!$G$7))</f>
        <v>-90.613814103201221</v>
      </c>
      <c r="AK2007" s="41"/>
      <c r="AL2007" s="73"/>
      <c r="AM2007" s="53">
        <f>(AM$29/AM$27)^2*(AM2004-('Valve Sizing'!$V$4*'Valve Sizing'!$G$7))</f>
        <v>-124.82055344350117</v>
      </c>
      <c r="AN2007" s="41"/>
      <c r="AO2007" s="73"/>
      <c r="AP2007" s="53">
        <f>(AP$29/AP$27)^2*(AP2004-('Valve Sizing'!$V$4*'Valve Sizing'!$G$7))</f>
        <v>-146.51025468872123</v>
      </c>
      <c r="AQ2007" s="41"/>
      <c r="AR2007" s="73"/>
      <c r="AS2007" s="53">
        <f>(AS$29/AS$27)^2*(AS2004-('Valve Sizing'!$V$4*'Valve Sizing'!$G$7))</f>
        <v>-187.1508782966182</v>
      </c>
      <c r="AT2007" s="41"/>
      <c r="AU2007" s="73"/>
    </row>
    <row r="2008" spans="15:47" ht="13" x14ac:dyDescent="0.25">
      <c r="O2008" s="1" t="s">
        <v>69</v>
      </c>
      <c r="P2008" s="17">
        <v>7</v>
      </c>
      <c r="Q2008" s="65"/>
      <c r="R2008" s="53">
        <f>(R2002/(N_1*F_P_h))*SQRT('Valve Sizing'!$G$6/R2006)</f>
        <v>4.8805162542481542</v>
      </c>
      <c r="S2008" s="58"/>
      <c r="T2008" s="73"/>
      <c r="U2008" s="64">
        <f>(U2002/(N_1*U$27))*SQRT('Valve Sizing'!$G$6/U2006)</f>
        <v>30.095355775214511</v>
      </c>
      <c r="V2008" s="41"/>
      <c r="W2008" s="73"/>
      <c r="X2008" s="64">
        <f>(X2002/(N_1*X$27))*SQRT('Valve Sizing'!$G$6/X2006)</f>
        <v>79.688469106319573</v>
      </c>
      <c r="Y2008" s="41"/>
      <c r="Z2008" s="73"/>
      <c r="AA2008" s="64">
        <f>(AA2002/(N_1*AA$27))*SQRT('Valve Sizing'!$G$6/AA2006)</f>
        <v>269.13325402436612</v>
      </c>
      <c r="AB2008" s="41"/>
      <c r="AC2008" s="73"/>
      <c r="AD2008" s="64" t="e">
        <f>(AD2002/(N_1*AD$27))*SQRT('Valve Sizing'!$G$6/AD2006)</f>
        <v>#NUM!</v>
      </c>
      <c r="AE2008" s="41"/>
      <c r="AF2008" s="73"/>
      <c r="AG2008" s="64" t="e">
        <f>(AG2002/(N_1*AG$27))*SQRT('Valve Sizing'!$G$6/AG2006)</f>
        <v>#NUM!</v>
      </c>
      <c r="AH2008" s="41"/>
      <c r="AI2008" s="73"/>
      <c r="AJ2008" s="64" t="e">
        <f>(AJ2002/(N_1*AJ$27))*SQRT('Valve Sizing'!$G$6/AJ2006)</f>
        <v>#NUM!</v>
      </c>
      <c r="AK2008" s="41"/>
      <c r="AL2008" s="73"/>
      <c r="AM2008" s="64" t="e">
        <f>(AM2002/(N_1*AM$27))*SQRT('Valve Sizing'!$G$6/AM2006)</f>
        <v>#NUM!</v>
      </c>
      <c r="AN2008" s="41"/>
      <c r="AO2008" s="73"/>
      <c r="AP2008" s="64" t="e">
        <f>(AP2002/(N_1*AP$27))*SQRT('Valve Sizing'!$G$6/AP2006)</f>
        <v>#NUM!</v>
      </c>
      <c r="AQ2008" s="41"/>
      <c r="AR2008" s="73"/>
      <c r="AS2008" s="64" t="e">
        <f>(AS2002/(N_1*AS$27))*SQRT('Valve Sizing'!$G$6/AS2006)</f>
        <v>#NUM!</v>
      </c>
      <c r="AT2008" s="41"/>
      <c r="AU2008" s="73"/>
    </row>
    <row r="2009" spans="15:47" ht="13" x14ac:dyDescent="0.3">
      <c r="O2009" s="1" t="s">
        <v>72</v>
      </c>
      <c r="P2009" s="17">
        <v>7</v>
      </c>
      <c r="Q2009" s="65"/>
      <c r="R2009" s="53">
        <f>(R2002/(N_1*F_P_h))*SQRT('Valve Sizing'!$G$6/R2007)</f>
        <v>4.0524970754925196</v>
      </c>
      <c r="S2009" s="56"/>
      <c r="T2009" s="72"/>
      <c r="U2009" s="85">
        <f>(U2002/(N_1*U$27))*SQRT('Valve Sizing'!$G$6/U2007)</f>
        <v>24.76254846682022</v>
      </c>
      <c r="V2009" s="44"/>
      <c r="W2009" s="72"/>
      <c r="X2009" s="85">
        <f>(X2002/(N_1*X$27))*SQRT('Valve Sizing'!$G$6/X2007)</f>
        <v>62.8730604230702</v>
      </c>
      <c r="Y2009" s="44"/>
      <c r="Z2009" s="72"/>
      <c r="AA2009" s="85">
        <f>(AA2002/(N_1*AA$27))*SQRT('Valve Sizing'!$G$6/AA2007)</f>
        <v>146.01024862051963</v>
      </c>
      <c r="AB2009" s="44"/>
      <c r="AC2009" s="72"/>
      <c r="AD2009" s="85">
        <f>(AD2002/(N_1*AD$27))*SQRT('Valve Sizing'!$G$6/AD2007)</f>
        <v>965.10338846290006</v>
      </c>
      <c r="AE2009" s="44"/>
      <c r="AF2009" s="72"/>
      <c r="AG2009" s="85" t="e">
        <f>(AG2002/(N_1*AG$27))*SQRT('Valve Sizing'!$G$6/AG2007)</f>
        <v>#NUM!</v>
      </c>
      <c r="AH2009" s="44"/>
      <c r="AI2009" s="72"/>
      <c r="AJ2009" s="85" t="e">
        <f>(AJ2002/(N_1*AJ$27))*SQRT('Valve Sizing'!$G$6/AJ2007)</f>
        <v>#NUM!</v>
      </c>
      <c r="AK2009" s="44"/>
      <c r="AL2009" s="72"/>
      <c r="AM2009" s="85" t="e">
        <f>(AM2002/(N_1*AM$27))*SQRT('Valve Sizing'!$G$6/AM2007)</f>
        <v>#NUM!</v>
      </c>
      <c r="AN2009" s="44"/>
      <c r="AO2009" s="72"/>
      <c r="AP2009" s="85" t="e">
        <f>(AP2002/(N_1*AP$27))*SQRT('Valve Sizing'!$G$6/AP2007)</f>
        <v>#NUM!</v>
      </c>
      <c r="AQ2009" s="44"/>
      <c r="AR2009" s="72"/>
      <c r="AS2009" s="85" t="e">
        <f>(AS2002/(N_1*AS$27))*SQRT('Valve Sizing'!$G$6/AS2007)</f>
        <v>#NUM!</v>
      </c>
      <c r="AT2009" s="44"/>
      <c r="AU2009" s="72"/>
    </row>
    <row r="2010" spans="15:47" x14ac:dyDescent="0.25">
      <c r="O2010" s="1" t="s">
        <v>246</v>
      </c>
      <c r="P2010" s="18"/>
      <c r="Q2010" s="65"/>
      <c r="R2010" s="53">
        <f>IF(R2006&lt;R2007,R2008,R2009)</f>
        <v>4.8805162542481542</v>
      </c>
      <c r="S2010" s="49"/>
      <c r="T2010" s="72"/>
      <c r="U2010" s="64">
        <f>IF(U2006&lt;U2007,U2008,U2009)</f>
        <v>30.095355775214511</v>
      </c>
      <c r="V2010" s="44"/>
      <c r="W2010" s="72"/>
      <c r="X2010" s="64">
        <f>IF(X2006&lt;X2007,X2008,X2009)</f>
        <v>79.688469106319573</v>
      </c>
      <c r="Y2010" s="44"/>
      <c r="Z2010" s="72"/>
      <c r="AA2010" s="64">
        <f>IF(AA2006&lt;AA2007,AA2008,AA2009)</f>
        <v>269.13325402436612</v>
      </c>
      <c r="AB2010" s="44"/>
      <c r="AC2010" s="72"/>
      <c r="AD2010" s="64" t="e">
        <f>IF(AD2006&lt;AD2007,AD2008,AD2009)</f>
        <v>#NUM!</v>
      </c>
      <c r="AE2010" s="44"/>
      <c r="AF2010" s="72"/>
      <c r="AG2010" s="64" t="e">
        <f>IF(AG2006&lt;AG2007,AG2008,AG2009)</f>
        <v>#NUM!</v>
      </c>
      <c r="AH2010" s="44"/>
      <c r="AI2010" s="72"/>
      <c r="AJ2010" s="64" t="e">
        <f>IF(AJ2006&lt;AJ2007,AJ2008,AJ2009)</f>
        <v>#NUM!</v>
      </c>
      <c r="AK2010" s="44"/>
      <c r="AL2010" s="72"/>
      <c r="AM2010" s="64" t="e">
        <f>IF(AM2006&lt;AM2007,AM2008,AM2009)</f>
        <v>#NUM!</v>
      </c>
      <c r="AN2010" s="44"/>
      <c r="AO2010" s="72"/>
      <c r="AP2010" s="64" t="e">
        <f>IF(AP2006&lt;AP2007,AP2008,AP2009)</f>
        <v>#NUM!</v>
      </c>
      <c r="AQ2010" s="44"/>
      <c r="AR2010" s="72"/>
      <c r="AS2010" s="64" t="e">
        <f>IF(AS2006&lt;AS2007,AS2008,AS2009)</f>
        <v>#NUM!</v>
      </c>
      <c r="AT2010" s="44"/>
      <c r="AU2010" s="72"/>
    </row>
    <row r="2011" spans="15:47" ht="13" x14ac:dyDescent="0.3">
      <c r="O2011" s="7" t="s">
        <v>264</v>
      </c>
      <c r="Q2011" s="61"/>
      <c r="R2011" s="53"/>
      <c r="S2011" s="69">
        <f>IFERROR(ABS(C_h-R2010),Q_max*10)</f>
        <v>0.11948374575184584</v>
      </c>
      <c r="T2011" s="76">
        <f>R2002</f>
        <v>27.702612829011208</v>
      </c>
      <c r="U2011" s="61"/>
      <c r="V2011" s="69">
        <f>IFERROR(ABS(U$23-U2010),Q_max*10)</f>
        <v>18.095355775214511</v>
      </c>
      <c r="W2011" s="75">
        <f>U2002</f>
        <v>167.74392904670012</v>
      </c>
      <c r="X2011" s="61"/>
      <c r="Y2011" s="69">
        <f>IFERROR(ABS(X$23-X2010),Q_max*10)</f>
        <v>56.688469106319573</v>
      </c>
      <c r="Z2011" s="75">
        <f>X2002</f>
        <v>402.65000062510217</v>
      </c>
      <c r="AA2011" s="61"/>
      <c r="AB2011" s="69">
        <f>IFERROR(ABS(AA$23-AA2010),Q_max*10)</f>
        <v>230.13325402436612</v>
      </c>
      <c r="AC2011" s="75">
        <f>AA2002</f>
        <v>768.80641765695123</v>
      </c>
      <c r="AD2011" s="61"/>
      <c r="AE2011" s="69">
        <f>IFERROR(ABS(AD$23-AD2010),Q_max*10)</f>
        <v>5500</v>
      </c>
      <c r="AF2011" s="75">
        <f>AD2002</f>
        <v>1264.4034993164209</v>
      </c>
      <c r="AG2011" s="61"/>
      <c r="AH2011" s="69">
        <f>IFERROR(ABS(AG$23-AG2010),Q_max*10)</f>
        <v>5500</v>
      </c>
      <c r="AI2011" s="75">
        <f>AG2002</f>
        <v>1882.5245147542576</v>
      </c>
      <c r="AJ2011" s="61"/>
      <c r="AK2011" s="69">
        <f>IFERROR(ABS(AJ$23-AJ2010),Q_max*10)</f>
        <v>5500</v>
      </c>
      <c r="AL2011" s="75">
        <f>AJ2002</f>
        <v>2512.2362626724066</v>
      </c>
      <c r="AM2011" s="61"/>
      <c r="AN2011" s="69">
        <f>IFERROR(ABS(AM$23-AM2010),Q_max*10)</f>
        <v>5500</v>
      </c>
      <c r="AO2011" s="75">
        <f>AM2002</f>
        <v>3065.405665708975</v>
      </c>
      <c r="AP2011" s="61"/>
      <c r="AQ2011" s="69">
        <f>IFERROR(ABS(AP$23-AP2010),Q_max*10)</f>
        <v>5500</v>
      </c>
      <c r="AR2011" s="75">
        <f>AP2002</f>
        <v>3558.8408135034242</v>
      </c>
      <c r="AS2011" s="61"/>
      <c r="AT2011" s="69">
        <f>IFERROR(ABS(AS$23-AS2010),Q_max*10)</f>
        <v>5500</v>
      </c>
      <c r="AU2011" s="75">
        <f>AS2002</f>
        <v>4050.2928159799885</v>
      </c>
    </row>
    <row r="2012" spans="15:47" ht="14.5" x14ac:dyDescent="0.35">
      <c r="O2012" s="8"/>
      <c r="P2012" s="6"/>
      <c r="Q2012" s="60"/>
      <c r="R2012" s="67"/>
      <c r="S2012" s="56"/>
      <c r="T2012" s="72"/>
      <c r="V2012" s="11"/>
      <c r="W2012" s="38"/>
      <c r="Y2012" s="11"/>
      <c r="Z2012" s="38"/>
      <c r="AB2012" s="11"/>
      <c r="AC2012" s="38"/>
      <c r="AE2012" s="11"/>
      <c r="AF2012" s="38"/>
      <c r="AH2012" s="11"/>
      <c r="AI2012" s="38"/>
      <c r="AK2012" s="11"/>
      <c r="AL2012" s="38"/>
      <c r="AN2012" s="11"/>
      <c r="AO2012" s="38"/>
      <c r="AQ2012" s="11"/>
      <c r="AR2012" s="38"/>
      <c r="AT2012" s="11"/>
      <c r="AU2012" s="38"/>
    </row>
    <row r="2013" spans="15:47" ht="14" x14ac:dyDescent="0.3">
      <c r="O2013" s="8" t="s">
        <v>235</v>
      </c>
      <c r="P2013" s="6"/>
      <c r="Q2013" s="60"/>
      <c r="R2013" s="53">
        <f>R2002*1.02</f>
        <v>28.256665085591433</v>
      </c>
      <c r="S2013" s="58" t="s">
        <v>238</v>
      </c>
      <c r="T2013" s="73" t="s">
        <v>241</v>
      </c>
      <c r="U2013" s="84">
        <f>U2002*1.01</f>
        <v>169.42136833716711</v>
      </c>
      <c r="V2013" s="58" t="s">
        <v>238</v>
      </c>
      <c r="W2013" s="73" t="s">
        <v>241</v>
      </c>
      <c r="X2013" s="84">
        <f>X2002*1.01</f>
        <v>406.67650063135318</v>
      </c>
      <c r="Y2013" s="58" t="s">
        <v>238</v>
      </c>
      <c r="Z2013" s="73" t="s">
        <v>241</v>
      </c>
      <c r="AA2013" s="84">
        <f>AA2002*1.01</f>
        <v>776.49448183352069</v>
      </c>
      <c r="AB2013" s="58" t="s">
        <v>238</v>
      </c>
      <c r="AC2013" s="73" t="s">
        <v>241</v>
      </c>
      <c r="AD2013" s="84">
        <f>AD2002*1.01</f>
        <v>1277.0475343095852</v>
      </c>
      <c r="AE2013" s="58" t="s">
        <v>238</v>
      </c>
      <c r="AF2013" s="73" t="s">
        <v>241</v>
      </c>
      <c r="AG2013" s="84">
        <f>AG2002*1.01</f>
        <v>1901.3497599018001</v>
      </c>
      <c r="AH2013" s="58" t="s">
        <v>238</v>
      </c>
      <c r="AI2013" s="73" t="s">
        <v>241</v>
      </c>
      <c r="AJ2013" s="84">
        <f>AJ2002*1.01</f>
        <v>2537.3586252991308</v>
      </c>
      <c r="AK2013" s="58" t="s">
        <v>238</v>
      </c>
      <c r="AL2013" s="73" t="s">
        <v>241</v>
      </c>
      <c r="AM2013" s="84">
        <f>AM2002*1.01</f>
        <v>3096.0597223660648</v>
      </c>
      <c r="AN2013" s="58" t="s">
        <v>238</v>
      </c>
      <c r="AO2013" s="73" t="s">
        <v>241</v>
      </c>
      <c r="AP2013" s="84">
        <f>AP2002*1.01</f>
        <v>3594.4292216384583</v>
      </c>
      <c r="AQ2013" s="58" t="s">
        <v>238</v>
      </c>
      <c r="AR2013" s="73" t="s">
        <v>241</v>
      </c>
      <c r="AS2013" s="84">
        <f>AS2002*1.01</f>
        <v>4090.7957441397884</v>
      </c>
      <c r="AT2013" s="58" t="s">
        <v>238</v>
      </c>
      <c r="AU2013" s="73" t="s">
        <v>241</v>
      </c>
    </row>
    <row r="2014" spans="15:47" ht="13" x14ac:dyDescent="0.25">
      <c r="O2014" s="6"/>
      <c r="P2014" s="6"/>
      <c r="Q2014" s="60"/>
      <c r="R2014" s="70"/>
      <c r="S2014" s="63" t="s">
        <v>250</v>
      </c>
      <c r="T2014" s="71" t="s">
        <v>242</v>
      </c>
      <c r="U2014" s="61"/>
      <c r="V2014" s="63" t="s">
        <v>250</v>
      </c>
      <c r="W2014" s="71" t="s">
        <v>242</v>
      </c>
      <c r="X2014" s="61"/>
      <c r="Y2014" s="63" t="s">
        <v>250</v>
      </c>
      <c r="Z2014" s="71" t="s">
        <v>242</v>
      </c>
      <c r="AA2014" s="61"/>
      <c r="AB2014" s="63" t="s">
        <v>250</v>
      </c>
      <c r="AC2014" s="71" t="s">
        <v>242</v>
      </c>
      <c r="AD2014" s="61"/>
      <c r="AE2014" s="63" t="s">
        <v>250</v>
      </c>
      <c r="AF2014" s="71" t="s">
        <v>242</v>
      </c>
      <c r="AG2014" s="61"/>
      <c r="AH2014" s="63" t="s">
        <v>250</v>
      </c>
      <c r="AI2014" s="71" t="s">
        <v>242</v>
      </c>
      <c r="AJ2014" s="61"/>
      <c r="AK2014" s="63" t="s">
        <v>250</v>
      </c>
      <c r="AL2014" s="71" t="s">
        <v>242</v>
      </c>
      <c r="AM2014" s="61"/>
      <c r="AN2014" s="63" t="s">
        <v>250</v>
      </c>
      <c r="AO2014" s="71" t="s">
        <v>242</v>
      </c>
      <c r="AP2014" s="61"/>
      <c r="AQ2014" s="63" t="s">
        <v>250</v>
      </c>
      <c r="AR2014" s="71" t="s">
        <v>242</v>
      </c>
      <c r="AS2014" s="61"/>
      <c r="AT2014" s="63" t="s">
        <v>250</v>
      </c>
      <c r="AU2014" s="71" t="s">
        <v>242</v>
      </c>
    </row>
    <row r="2015" spans="15:47" ht="13" x14ac:dyDescent="0.3">
      <c r="O2015" s="6" t="s">
        <v>231</v>
      </c>
      <c r="P2015" s="6"/>
      <c r="Q2015" s="60"/>
      <c r="R2015" s="85">
        <f>P_1_minQ-(R2013^2*R_up)+dpup_minQ</f>
        <v>56.8891780100723</v>
      </c>
      <c r="S2015" s="56"/>
      <c r="T2015" s="72"/>
      <c r="U2015" s="53">
        <f>P_1_minQ-(U2013^2*R_up)+dpup_minQ</f>
        <v>55.946754473176696</v>
      </c>
      <c r="V2015" s="44"/>
      <c r="W2015" s="72"/>
      <c r="X2015" s="53">
        <f>P_1_minQ-(X2013^2*R_up)+dpup_minQ</f>
        <v>51.330672875185307</v>
      </c>
      <c r="Y2015" s="44"/>
      <c r="Z2015" s="72"/>
      <c r="AA2015" s="53">
        <f>P_1_minQ-(AA2013^2*R_up)+dpup_minQ</f>
        <v>36.55330360290754</v>
      </c>
      <c r="AB2015" s="44"/>
      <c r="AC2015" s="72"/>
      <c r="AD2015" s="53">
        <f>P_1_minQ-(AD2013^2*R_up)+dpup_minQ</f>
        <v>1.838453060243455</v>
      </c>
      <c r="AE2015" s="44"/>
      <c r="AF2015" s="72"/>
      <c r="AG2015" s="53">
        <f>P_1_minQ-(AG2013^2*R_up)+dpup_minQ</f>
        <v>-65.175410654462439</v>
      </c>
      <c r="AH2015" s="44"/>
      <c r="AI2015" s="72"/>
      <c r="AJ2015" s="53">
        <f>P_1_minQ-(AJ2013^2*R_up)+dpup_minQ</f>
        <v>-160.51677789192487</v>
      </c>
      <c r="AK2015" s="44"/>
      <c r="AL2015" s="72"/>
      <c r="AM2015" s="53">
        <f>P_1_minQ-(AM2013^2*R_up)+dpup_minQ</f>
        <v>-266.81184749940678</v>
      </c>
      <c r="AN2015" s="44"/>
      <c r="AO2015" s="72"/>
      <c r="AP2015" s="53">
        <f>P_1_minQ-(AP2013^2*R_up)+dpup_minQ</f>
        <v>-379.42027792531081</v>
      </c>
      <c r="AQ2015" s="44"/>
      <c r="AR2015" s="72"/>
      <c r="AS2015" s="53">
        <f>P_1_minQ-(AS2013^2*R_up)+dpup_minQ</f>
        <v>-508.25136171132073</v>
      </c>
      <c r="AT2015" s="44"/>
      <c r="AU2015" s="72"/>
    </row>
    <row r="2016" spans="15:47" ht="13" x14ac:dyDescent="0.3">
      <c r="O2016" s="6" t="s">
        <v>233</v>
      </c>
      <c r="P2016" s="6"/>
      <c r="Q2016" s="60"/>
      <c r="R2016" s="85">
        <f>P_2_minQ+(R2013^2*R_dn)-dpdn_minQ</f>
        <v>24.662164397985542</v>
      </c>
      <c r="S2016" s="66"/>
      <c r="T2016" s="74"/>
      <c r="U2016" s="53">
        <f>P_2_minQ+(U2013^2*R_dn)-dpdn_minQ</f>
        <v>24.850649105364663</v>
      </c>
      <c r="V2016" s="45"/>
      <c r="W2016" s="74"/>
      <c r="X2016" s="53">
        <f>P_2_minQ+(X2013^2*R_dn)-dpdn_minQ</f>
        <v>25.773865424962938</v>
      </c>
      <c r="Y2016" s="45"/>
      <c r="Z2016" s="74"/>
      <c r="AA2016" s="53">
        <f>P_2_minQ+(AA2013^2*R_dn)-dpdn_minQ</f>
        <v>28.729339279418493</v>
      </c>
      <c r="AB2016" s="45"/>
      <c r="AC2016" s="74"/>
      <c r="AD2016" s="53">
        <f>P_2_minQ+(AD2013^2*R_dn)-dpdn_minQ</f>
        <v>35.672309387951316</v>
      </c>
      <c r="AE2016" s="45"/>
      <c r="AF2016" s="74"/>
      <c r="AG2016" s="53">
        <f>P_2_minQ+(AG2013^2*R_dn)-dpdn_minQ</f>
        <v>49.07508213089249</v>
      </c>
      <c r="AH2016" s="45"/>
      <c r="AI2016" s="74"/>
      <c r="AJ2016" s="53">
        <f>P_2_minQ+(AJ2013^2*R_dn)-dpdn_minQ</f>
        <v>68.143355578384984</v>
      </c>
      <c r="AK2016" s="45"/>
      <c r="AL2016" s="74"/>
      <c r="AM2016" s="53">
        <f>P_2_minQ+(AM2013^2*R_dn)-dpdn_minQ</f>
        <v>89.402369499881345</v>
      </c>
      <c r="AN2016" s="45"/>
      <c r="AO2016" s="74"/>
      <c r="AP2016" s="53">
        <f>P_2_minQ+(AP2013^2*R_dn)-dpdn_minQ</f>
        <v>111.92405558506216</v>
      </c>
      <c r="AQ2016" s="45"/>
      <c r="AR2016" s="74"/>
      <c r="AS2016" s="53">
        <f>P_2_minQ+(AS2013^2*R_dn)-dpdn_minQ</f>
        <v>137.69027234226414</v>
      </c>
      <c r="AT2016" s="45"/>
      <c r="AU2016" s="74"/>
    </row>
    <row r="2017" spans="15:47" x14ac:dyDescent="0.25">
      <c r="O2017" s="6" t="s">
        <v>243</v>
      </c>
      <c r="Q2017" s="60"/>
      <c r="R2017" s="53">
        <f>R2015-R2016</f>
        <v>32.227013612086758</v>
      </c>
      <c r="S2017" s="56"/>
      <c r="T2017" s="72"/>
      <c r="U2017" s="64">
        <f>U2015-U2016</f>
        <v>31.096105367812033</v>
      </c>
      <c r="V2017" s="44"/>
      <c r="W2017" s="72"/>
      <c r="X2017" s="64">
        <f>X2015-X2016</f>
        <v>25.556807450222369</v>
      </c>
      <c r="Y2017" s="44"/>
      <c r="Z2017" s="72"/>
      <c r="AA2017" s="64">
        <f>AA2015-AA2016</f>
        <v>7.8239643234890472</v>
      </c>
      <c r="AB2017" s="44"/>
      <c r="AC2017" s="72"/>
      <c r="AD2017" s="64">
        <f>AD2015-AD2016</f>
        <v>-33.833856327707863</v>
      </c>
      <c r="AE2017" s="44"/>
      <c r="AF2017" s="72"/>
      <c r="AG2017" s="64">
        <f>AG2015-AG2016</f>
        <v>-114.25049278535494</v>
      </c>
      <c r="AH2017" s="44"/>
      <c r="AI2017" s="72"/>
      <c r="AJ2017" s="64">
        <f>AJ2015-AJ2016</f>
        <v>-228.66013347030986</v>
      </c>
      <c r="AK2017" s="44"/>
      <c r="AL2017" s="72"/>
      <c r="AM2017" s="64">
        <f>AM2015-AM2016</f>
        <v>-356.21421699928811</v>
      </c>
      <c r="AN2017" s="44"/>
      <c r="AO2017" s="72"/>
      <c r="AP2017" s="64">
        <f>AP2015-AP2016</f>
        <v>-491.34433351037296</v>
      </c>
      <c r="AQ2017" s="44"/>
      <c r="AR2017" s="72"/>
      <c r="AS2017" s="64">
        <f>AS2015-AS2016</f>
        <v>-645.94163405358483</v>
      </c>
      <c r="AT2017" s="44"/>
      <c r="AU2017" s="72"/>
    </row>
    <row r="2018" spans="15:47" ht="13" x14ac:dyDescent="0.3">
      <c r="O2018" s="6" t="s">
        <v>75</v>
      </c>
      <c r="P2018" s="6">
        <v>3</v>
      </c>
      <c r="Q2018" s="65"/>
      <c r="R2018" s="85">
        <f>(F_LP_h/F_P_h)^2*(R2015-('Valve Sizing'!$V$4*'Valve Sizing'!$G$7))</f>
        <v>46.742834653306673</v>
      </c>
      <c r="S2018" s="58"/>
      <c r="T2018" s="73"/>
      <c r="U2018" s="53">
        <f>(U$29/U$27)^2*(U2015-('Valve Sizing'!$V$4*'Valve Sizing'!$G$7))</f>
        <v>45.949931029583091</v>
      </c>
      <c r="V2018" s="41"/>
      <c r="W2018" s="73"/>
      <c r="X2018" s="53">
        <f>(X$29/X$27)^2*(X2015-('Valve Sizing'!$V$4*'Valve Sizing'!$G$7))</f>
        <v>41.178322713492221</v>
      </c>
      <c r="Y2018" s="41"/>
      <c r="Z2018" s="73"/>
      <c r="AA2018" s="53">
        <f>(AA$29/AA$27)^2*(AA2015-('Valve Sizing'!$V$4*'Valve Sizing'!$G$7))</f>
        <v>27.908216111804588</v>
      </c>
      <c r="AB2018" s="41"/>
      <c r="AC2018" s="73"/>
      <c r="AD2018" s="53">
        <f>(AD$29/AD$27)^2*(AD2015-('Valve Sizing'!$V$4*'Valve Sizing'!$G$7))</f>
        <v>1.0085051464462571</v>
      </c>
      <c r="AE2018" s="41"/>
      <c r="AF2018" s="73"/>
      <c r="AG2018" s="53">
        <f>(AG$29/AG$27)^2*(AG2015-('Valve Sizing'!$V$4*'Valve Sizing'!$G$7))</f>
        <v>-42.259245477746461</v>
      </c>
      <c r="AH2018" s="41"/>
      <c r="AI2018" s="73"/>
      <c r="AJ2018" s="53">
        <f>(AJ$29/AJ$27)^2*(AJ2015-('Valve Sizing'!$V$4*'Valve Sizing'!$G$7))</f>
        <v>-93.091693215382648</v>
      </c>
      <c r="AK2018" s="41"/>
      <c r="AL2018" s="73"/>
      <c r="AM2018" s="53">
        <f>(AM$29/AM$27)^2*(AM2015-('Valve Sizing'!$V$4*'Valve Sizing'!$G$7))</f>
        <v>-127.87259347163585</v>
      </c>
      <c r="AN2018" s="41"/>
      <c r="AO2018" s="73"/>
      <c r="AP2018" s="53">
        <f>(AP$29/AP$27)^2*(AP2015-('Valve Sizing'!$V$4*'Valve Sizing'!$G$7))</f>
        <v>-149.90307907486397</v>
      </c>
      <c r="AQ2018" s="41"/>
      <c r="AR2018" s="73"/>
      <c r="AS2018" s="53">
        <f>(AS$29/AS$27)^2*(AS2015-('Valve Sizing'!$V$4*'Valve Sizing'!$G$7))</f>
        <v>-191.3395944394978</v>
      </c>
      <c r="AT2018" s="41"/>
      <c r="AU2018" s="73"/>
    </row>
    <row r="2019" spans="15:47" ht="13" x14ac:dyDescent="0.25">
      <c r="O2019" s="1" t="s">
        <v>69</v>
      </c>
      <c r="P2019" s="17">
        <v>7</v>
      </c>
      <c r="Q2019" s="65"/>
      <c r="R2019" s="53">
        <f>(R2013/(N_1*F_P_h))*SQRT('Valve Sizing'!$G$6/R2017)</f>
        <v>4.9782236252600303</v>
      </c>
      <c r="S2019" s="58"/>
      <c r="T2019" s="73"/>
      <c r="U2019" s="64">
        <f>(U2013/(N_1*U$27))*SQRT('Valve Sizing'!$G$6/U2017)</f>
        <v>30.407509831968127</v>
      </c>
      <c r="V2019" s="41"/>
      <c r="W2019" s="73"/>
      <c r="X2019" s="64">
        <f>(X2013/(N_1*X$27))*SQRT('Valve Sizing'!$G$6/X2017)</f>
        <v>80.693043318905055</v>
      </c>
      <c r="Y2019" s="41"/>
      <c r="Z2019" s="73"/>
      <c r="AA2019" s="64">
        <f>(AA2013/(N_1*AA$27))*SQRT('Valve Sizing'!$G$6/AA2017)</f>
        <v>280.06354762441805</v>
      </c>
      <c r="AB2019" s="41"/>
      <c r="AC2019" s="73"/>
      <c r="AD2019" s="64" t="e">
        <f>(AD2013/(N_1*AD$27))*SQRT('Valve Sizing'!$G$6/AD2017)</f>
        <v>#NUM!</v>
      </c>
      <c r="AE2019" s="41"/>
      <c r="AF2019" s="73"/>
      <c r="AG2019" s="64" t="e">
        <f>(AG2013/(N_1*AG$27))*SQRT('Valve Sizing'!$G$6/AG2017)</f>
        <v>#NUM!</v>
      </c>
      <c r="AH2019" s="41"/>
      <c r="AI2019" s="73"/>
      <c r="AJ2019" s="64" t="e">
        <f>(AJ2013/(N_1*AJ$27))*SQRT('Valve Sizing'!$G$6/AJ2017)</f>
        <v>#NUM!</v>
      </c>
      <c r="AK2019" s="41"/>
      <c r="AL2019" s="73"/>
      <c r="AM2019" s="64" t="e">
        <f>(AM2013/(N_1*AM$27))*SQRT('Valve Sizing'!$G$6/AM2017)</f>
        <v>#NUM!</v>
      </c>
      <c r="AN2019" s="41"/>
      <c r="AO2019" s="73"/>
      <c r="AP2019" s="64" t="e">
        <f>(AP2013/(N_1*AP$27))*SQRT('Valve Sizing'!$G$6/AP2017)</f>
        <v>#NUM!</v>
      </c>
      <c r="AQ2019" s="41"/>
      <c r="AR2019" s="73"/>
      <c r="AS2019" s="64" t="e">
        <f>(AS2013/(N_1*AS$27))*SQRT('Valve Sizing'!$G$6/AS2017)</f>
        <v>#NUM!</v>
      </c>
      <c r="AT2019" s="41"/>
      <c r="AU2019" s="73"/>
    </row>
    <row r="2020" spans="15:47" ht="13" x14ac:dyDescent="0.3">
      <c r="O2020" s="1" t="s">
        <v>72</v>
      </c>
      <c r="P2020" s="17">
        <v>7</v>
      </c>
      <c r="Q2020" s="65"/>
      <c r="R2020" s="53">
        <f>(R2013/(N_1*F_P_h))*SQRT('Valve Sizing'!$G$6/R2018)</f>
        <v>4.1335853540015997</v>
      </c>
      <c r="S2020" s="56"/>
      <c r="T2020" s="72"/>
      <c r="U2020" s="85">
        <f>(U2013/(N_1*U$27))*SQRT('Valve Sizing'!$G$6/U2018)</f>
        <v>25.014476791998142</v>
      </c>
      <c r="V2020" s="44"/>
      <c r="W2020" s="72"/>
      <c r="X2020" s="85">
        <f>(X2013/(N_1*X$27))*SQRT('Valve Sizing'!$G$6/X2018)</f>
        <v>63.570418297681798</v>
      </c>
      <c r="Y2020" s="44"/>
      <c r="Z2020" s="72"/>
      <c r="AA2020" s="85">
        <f>(AA2013/(N_1*AA$27))*SQRT('Valve Sizing'!$G$6/AA2018)</f>
        <v>148.28730689549883</v>
      </c>
      <c r="AB2020" s="44"/>
      <c r="AC2020" s="72"/>
      <c r="AD2020" s="85">
        <f>(AD2013/(N_1*AD$27))*SQRT('Valve Sizing'!$G$6/AD2018)</f>
        <v>1299.0469543384686</v>
      </c>
      <c r="AE2020" s="44"/>
      <c r="AF2020" s="72"/>
      <c r="AG2020" s="85" t="e">
        <f>(AG2013/(N_1*AG$27))*SQRT('Valve Sizing'!$G$6/AG2018)</f>
        <v>#NUM!</v>
      </c>
      <c r="AH2020" s="44"/>
      <c r="AI2020" s="72"/>
      <c r="AJ2020" s="85" t="e">
        <f>(AJ2013/(N_1*AJ$27))*SQRT('Valve Sizing'!$G$6/AJ2018)</f>
        <v>#NUM!</v>
      </c>
      <c r="AK2020" s="44"/>
      <c r="AL2020" s="72"/>
      <c r="AM2020" s="85" t="e">
        <f>(AM2013/(N_1*AM$27))*SQRT('Valve Sizing'!$G$6/AM2018)</f>
        <v>#NUM!</v>
      </c>
      <c r="AN2020" s="44"/>
      <c r="AO2020" s="72"/>
      <c r="AP2020" s="85" t="e">
        <f>(AP2013/(N_1*AP$27))*SQRT('Valve Sizing'!$G$6/AP2018)</f>
        <v>#NUM!</v>
      </c>
      <c r="AQ2020" s="44"/>
      <c r="AR2020" s="72"/>
      <c r="AS2020" s="85" t="e">
        <f>(AS2013/(N_1*AS$27))*SQRT('Valve Sizing'!$G$6/AS2018)</f>
        <v>#NUM!</v>
      </c>
      <c r="AT2020" s="44"/>
      <c r="AU2020" s="72"/>
    </row>
    <row r="2021" spans="15:47" x14ac:dyDescent="0.25">
      <c r="O2021" s="1" t="s">
        <v>246</v>
      </c>
      <c r="P2021" s="18"/>
      <c r="Q2021" s="65"/>
      <c r="R2021" s="53">
        <f>IF(R2017&lt;R2018,R2019,R2020)</f>
        <v>4.9782236252600303</v>
      </c>
      <c r="S2021" s="49"/>
      <c r="T2021" s="72"/>
      <c r="U2021" s="64">
        <f>IF(U2017&lt;U2018,U2019,U2020)</f>
        <v>30.407509831968127</v>
      </c>
      <c r="V2021" s="44"/>
      <c r="W2021" s="72"/>
      <c r="X2021" s="64">
        <f>IF(X2017&lt;X2018,X2019,X2020)</f>
        <v>80.693043318905055</v>
      </c>
      <c r="Y2021" s="44"/>
      <c r="Z2021" s="72"/>
      <c r="AA2021" s="64">
        <f>IF(AA2017&lt;AA2018,AA2019,AA2020)</f>
        <v>280.06354762441805</v>
      </c>
      <c r="AB2021" s="44"/>
      <c r="AC2021" s="72"/>
      <c r="AD2021" s="64" t="e">
        <f>IF(AD2017&lt;AD2018,AD2019,AD2020)</f>
        <v>#NUM!</v>
      </c>
      <c r="AE2021" s="44"/>
      <c r="AF2021" s="72"/>
      <c r="AG2021" s="64" t="e">
        <f>IF(AG2017&lt;AG2018,AG2019,AG2020)</f>
        <v>#NUM!</v>
      </c>
      <c r="AH2021" s="44"/>
      <c r="AI2021" s="72"/>
      <c r="AJ2021" s="64" t="e">
        <f>IF(AJ2017&lt;AJ2018,AJ2019,AJ2020)</f>
        <v>#NUM!</v>
      </c>
      <c r="AK2021" s="44"/>
      <c r="AL2021" s="72"/>
      <c r="AM2021" s="64" t="e">
        <f>IF(AM2017&lt;AM2018,AM2019,AM2020)</f>
        <v>#NUM!</v>
      </c>
      <c r="AN2021" s="44"/>
      <c r="AO2021" s="72"/>
      <c r="AP2021" s="64" t="e">
        <f>IF(AP2017&lt;AP2018,AP2019,AP2020)</f>
        <v>#NUM!</v>
      </c>
      <c r="AQ2021" s="44"/>
      <c r="AR2021" s="72"/>
      <c r="AS2021" s="64" t="e">
        <f>IF(AS2017&lt;AS2018,AS2019,AS2020)</f>
        <v>#NUM!</v>
      </c>
      <c r="AT2021" s="44"/>
      <c r="AU2021" s="72"/>
    </row>
    <row r="2022" spans="15:47" ht="13" x14ac:dyDescent="0.3">
      <c r="O2022" s="7" t="s">
        <v>264</v>
      </c>
      <c r="Q2022" s="61"/>
      <c r="R2022" s="53"/>
      <c r="S2022" s="69">
        <f>IFERROR(ABS(C_h-R2021),Q_max*10)</f>
        <v>2.1776374739969739E-2</v>
      </c>
      <c r="T2022" s="76">
        <f>R2013</f>
        <v>28.256665085591433</v>
      </c>
      <c r="U2022" s="61"/>
      <c r="V2022" s="69">
        <f>IFERROR(ABS(U$23-U2021),Q_max*10)</f>
        <v>18.407509831968127</v>
      </c>
      <c r="W2022" s="75">
        <f>U2013</f>
        <v>169.42136833716711</v>
      </c>
      <c r="X2022" s="61"/>
      <c r="Y2022" s="69">
        <f>IFERROR(ABS(X$23-X2021),Q_max*10)</f>
        <v>57.693043318905055</v>
      </c>
      <c r="Z2022" s="75">
        <f>X2013</f>
        <v>406.67650063135318</v>
      </c>
      <c r="AA2022" s="61"/>
      <c r="AB2022" s="69">
        <f>IFERROR(ABS(AA$23-AA2021),Q_max*10)</f>
        <v>241.06354762441805</v>
      </c>
      <c r="AC2022" s="75">
        <f>AA2013</f>
        <v>776.49448183352069</v>
      </c>
      <c r="AD2022" s="61"/>
      <c r="AE2022" s="69">
        <f>IFERROR(ABS(AD$23-AD2021),Q_max*10)</f>
        <v>5500</v>
      </c>
      <c r="AF2022" s="75">
        <f>AD2013</f>
        <v>1277.0475343095852</v>
      </c>
      <c r="AG2022" s="61"/>
      <c r="AH2022" s="69">
        <f>IFERROR(ABS(AG$23-AG2021),Q_max*10)</f>
        <v>5500</v>
      </c>
      <c r="AI2022" s="75">
        <f>AG2013</f>
        <v>1901.3497599018001</v>
      </c>
      <c r="AJ2022" s="61"/>
      <c r="AK2022" s="69">
        <f>IFERROR(ABS(AJ$23-AJ2021),Q_max*10)</f>
        <v>5500</v>
      </c>
      <c r="AL2022" s="75">
        <f>AJ2013</f>
        <v>2537.3586252991308</v>
      </c>
      <c r="AM2022" s="61"/>
      <c r="AN2022" s="69">
        <f>IFERROR(ABS(AM$23-AM2021),Q_max*10)</f>
        <v>5500</v>
      </c>
      <c r="AO2022" s="75">
        <f>AM2013</f>
        <v>3096.0597223660648</v>
      </c>
      <c r="AP2022" s="61"/>
      <c r="AQ2022" s="69">
        <f>IFERROR(ABS(AP$23-AP2021),Q_max*10)</f>
        <v>5500</v>
      </c>
      <c r="AR2022" s="75">
        <f>AP2013</f>
        <v>3594.4292216384583</v>
      </c>
      <c r="AS2022" s="61"/>
      <c r="AT2022" s="69">
        <f>IFERROR(ABS(AS$23-AS2021),Q_max*10)</f>
        <v>5500</v>
      </c>
      <c r="AU2022" s="75">
        <f>AS2013</f>
        <v>4090.7957441397884</v>
      </c>
    </row>
    <row r="2023" spans="15:47" ht="14.5" x14ac:dyDescent="0.35">
      <c r="O2023" s="6"/>
      <c r="P2023" s="6"/>
      <c r="Q2023" s="60"/>
      <c r="R2023" s="67"/>
      <c r="S2023" s="56"/>
      <c r="T2023" s="72"/>
      <c r="V2023" s="11"/>
      <c r="W2023" s="38"/>
      <c r="Y2023" s="11"/>
      <c r="Z2023" s="38"/>
      <c r="AB2023" s="11"/>
      <c r="AC2023" s="38"/>
      <c r="AE2023" s="11"/>
      <c r="AF2023" s="38"/>
      <c r="AH2023" s="11"/>
      <c r="AI2023" s="38"/>
      <c r="AK2023" s="11"/>
      <c r="AL2023" s="38"/>
      <c r="AN2023" s="11"/>
      <c r="AO2023" s="38"/>
      <c r="AQ2023" s="11"/>
      <c r="AR2023" s="38"/>
      <c r="AT2023" s="11"/>
      <c r="AU2023" s="38"/>
    </row>
    <row r="2024" spans="15:47" ht="14" x14ac:dyDescent="0.3">
      <c r="O2024" s="8" t="s">
        <v>235</v>
      </c>
      <c r="P2024" s="6"/>
      <c r="Q2024" s="60"/>
      <c r="R2024" s="53">
        <f>R2013*1.02</f>
        <v>28.821798387303261</v>
      </c>
      <c r="S2024" s="58" t="s">
        <v>238</v>
      </c>
      <c r="T2024" s="73" t="s">
        <v>241</v>
      </c>
      <c r="U2024" s="84">
        <f>U2013*1.01</f>
        <v>171.1155820205388</v>
      </c>
      <c r="V2024" s="58" t="s">
        <v>238</v>
      </c>
      <c r="W2024" s="73" t="s">
        <v>241</v>
      </c>
      <c r="X2024" s="84">
        <f>X2013*1.01</f>
        <v>410.7432656376667</v>
      </c>
      <c r="Y2024" s="58" t="s">
        <v>238</v>
      </c>
      <c r="Z2024" s="73" t="s">
        <v>241</v>
      </c>
      <c r="AA2024" s="84">
        <f>AA2013*1.01</f>
        <v>784.25942665185596</v>
      </c>
      <c r="AB2024" s="58" t="s">
        <v>238</v>
      </c>
      <c r="AC2024" s="73" t="s">
        <v>241</v>
      </c>
      <c r="AD2024" s="84">
        <f>AD2013*1.01</f>
        <v>1289.818009652681</v>
      </c>
      <c r="AE2024" s="58" t="s">
        <v>238</v>
      </c>
      <c r="AF2024" s="73" t="s">
        <v>241</v>
      </c>
      <c r="AG2024" s="84">
        <f>AG2013*1.01</f>
        <v>1920.363257500818</v>
      </c>
      <c r="AH2024" s="58" t="s">
        <v>238</v>
      </c>
      <c r="AI2024" s="73" t="s">
        <v>241</v>
      </c>
      <c r="AJ2024" s="84">
        <f>AJ2013*1.01</f>
        <v>2562.732211552122</v>
      </c>
      <c r="AK2024" s="58" t="s">
        <v>238</v>
      </c>
      <c r="AL2024" s="73" t="s">
        <v>241</v>
      </c>
      <c r="AM2024" s="84">
        <f>AM2013*1.01</f>
        <v>3127.0203195897257</v>
      </c>
      <c r="AN2024" s="58" t="s">
        <v>238</v>
      </c>
      <c r="AO2024" s="73" t="s">
        <v>241</v>
      </c>
      <c r="AP2024" s="84">
        <f>AP2013*1.01</f>
        <v>3630.3735138548432</v>
      </c>
      <c r="AQ2024" s="58" t="s">
        <v>238</v>
      </c>
      <c r="AR2024" s="73" t="s">
        <v>241</v>
      </c>
      <c r="AS2024" s="84">
        <f>AS2013*1.01</f>
        <v>4131.7037015811866</v>
      </c>
      <c r="AT2024" s="58" t="s">
        <v>238</v>
      </c>
      <c r="AU2024" s="73" t="s">
        <v>241</v>
      </c>
    </row>
    <row r="2025" spans="15:47" ht="13" x14ac:dyDescent="0.25">
      <c r="O2025" s="6"/>
      <c r="P2025" s="6"/>
      <c r="Q2025" s="60"/>
      <c r="R2025" s="70"/>
      <c r="S2025" s="63" t="s">
        <v>250</v>
      </c>
      <c r="T2025" s="71" t="s">
        <v>242</v>
      </c>
      <c r="U2025" s="61"/>
      <c r="V2025" s="63" t="s">
        <v>250</v>
      </c>
      <c r="W2025" s="71" t="s">
        <v>242</v>
      </c>
      <c r="X2025" s="61"/>
      <c r="Y2025" s="63" t="s">
        <v>250</v>
      </c>
      <c r="Z2025" s="71" t="s">
        <v>242</v>
      </c>
      <c r="AA2025" s="61"/>
      <c r="AB2025" s="63" t="s">
        <v>250</v>
      </c>
      <c r="AC2025" s="71" t="s">
        <v>242</v>
      </c>
      <c r="AD2025" s="61"/>
      <c r="AE2025" s="63" t="s">
        <v>250</v>
      </c>
      <c r="AF2025" s="71" t="s">
        <v>242</v>
      </c>
      <c r="AG2025" s="61"/>
      <c r="AH2025" s="63" t="s">
        <v>250</v>
      </c>
      <c r="AI2025" s="71" t="s">
        <v>242</v>
      </c>
      <c r="AJ2025" s="61"/>
      <c r="AK2025" s="63" t="s">
        <v>250</v>
      </c>
      <c r="AL2025" s="71" t="s">
        <v>242</v>
      </c>
      <c r="AM2025" s="61"/>
      <c r="AN2025" s="63" t="s">
        <v>250</v>
      </c>
      <c r="AO2025" s="71" t="s">
        <v>242</v>
      </c>
      <c r="AP2025" s="61"/>
      <c r="AQ2025" s="63" t="s">
        <v>250</v>
      </c>
      <c r="AR2025" s="71" t="s">
        <v>242</v>
      </c>
      <c r="AS2025" s="61"/>
      <c r="AT2025" s="63" t="s">
        <v>250</v>
      </c>
      <c r="AU2025" s="71" t="s">
        <v>242</v>
      </c>
    </row>
    <row r="2026" spans="15:47" ht="13" x14ac:dyDescent="0.3">
      <c r="O2026" s="6" t="s">
        <v>231</v>
      </c>
      <c r="P2026" s="6"/>
      <c r="Q2026" s="60"/>
      <c r="R2026" s="85">
        <f>P_1_minQ-(R2024^2*R_up)+dpup_minQ</f>
        <v>56.888088616606609</v>
      </c>
      <c r="S2026" s="56"/>
      <c r="T2026" s="72"/>
      <c r="U2026" s="53">
        <f>P_1_minQ-(U2024^2*R_up)+dpup_minQ</f>
        <v>55.927269759870725</v>
      </c>
      <c r="V2026" s="44"/>
      <c r="W2026" s="72"/>
      <c r="X2026" s="53">
        <f>P_1_minQ-(X2024^2*R_up)+dpup_minQ</f>
        <v>51.218404921759713</v>
      </c>
      <c r="Y2026" s="44"/>
      <c r="Z2026" s="72"/>
      <c r="AA2026" s="53">
        <f>P_1_minQ-(AA2024^2*R_up)+dpup_minQ</f>
        <v>36.144010527109153</v>
      </c>
      <c r="AB2026" s="44"/>
      <c r="AC2026" s="72"/>
      <c r="AD2026" s="53">
        <f>P_1_minQ-(AD2024^2*R_up)+dpup_minQ</f>
        <v>0.73139148853754243</v>
      </c>
      <c r="AE2026" s="44"/>
      <c r="AF2026" s="72"/>
      <c r="AG2026" s="53">
        <f>P_1_minQ-(AG2024^2*R_up)+dpup_minQ</f>
        <v>-67.629450886833951</v>
      </c>
      <c r="AH2026" s="44"/>
      <c r="AI2026" s="72"/>
      <c r="AJ2026" s="53">
        <f>P_1_minQ-(AJ2024^2*R_up)+dpup_minQ</f>
        <v>-164.88717960576932</v>
      </c>
      <c r="AK2026" s="44"/>
      <c r="AL2026" s="72"/>
      <c r="AM2026" s="53">
        <f>P_1_minQ-(AM2024^2*R_up)+dpup_minQ</f>
        <v>-273.31878011236171</v>
      </c>
      <c r="AN2026" s="44"/>
      <c r="AO2026" s="72"/>
      <c r="AP2026" s="53">
        <f>P_1_minQ-(AP2024^2*R_up)+dpup_minQ</f>
        <v>-388.19063998982648</v>
      </c>
      <c r="AQ2026" s="44"/>
      <c r="AR2026" s="72"/>
      <c r="AS2026" s="53">
        <f>P_1_minQ-(AS2024^2*R_up)+dpup_minQ</f>
        <v>-519.61122855993517</v>
      </c>
      <c r="AT2026" s="44"/>
      <c r="AU2026" s="72"/>
    </row>
    <row r="2027" spans="15:47" ht="13" x14ac:dyDescent="0.3">
      <c r="O2027" s="6" t="s">
        <v>233</v>
      </c>
      <c r="P2027" s="6"/>
      <c r="Q2027" s="60"/>
      <c r="R2027" s="85">
        <f>P_2_minQ+(R2024^2*R_dn)-dpdn_minQ</f>
        <v>24.662382276678681</v>
      </c>
      <c r="S2027" s="66"/>
      <c r="T2027" s="74"/>
      <c r="U2027" s="53">
        <f>P_2_minQ+(U2024^2*R_dn)-dpdn_minQ</f>
        <v>24.854546048025856</v>
      </c>
      <c r="V2027" s="45"/>
      <c r="W2027" s="74"/>
      <c r="X2027" s="53">
        <f>P_2_minQ+(X2024^2*R_dn)-dpdn_minQ</f>
        <v>25.796319015648059</v>
      </c>
      <c r="Y2027" s="45"/>
      <c r="Z2027" s="74"/>
      <c r="AA2027" s="53">
        <f>P_2_minQ+(AA2024^2*R_dn)-dpdn_minQ</f>
        <v>28.811197894578168</v>
      </c>
      <c r="AB2027" s="45"/>
      <c r="AC2027" s="74"/>
      <c r="AD2027" s="53">
        <f>P_2_minQ+(AD2024^2*R_dn)-dpdn_minQ</f>
        <v>35.893721702292495</v>
      </c>
      <c r="AE2027" s="45"/>
      <c r="AF2027" s="74"/>
      <c r="AG2027" s="53">
        <f>P_2_minQ+(AG2024^2*R_dn)-dpdn_minQ</f>
        <v>49.565890177366796</v>
      </c>
      <c r="AH2027" s="45"/>
      <c r="AI2027" s="74"/>
      <c r="AJ2027" s="53">
        <f>P_2_minQ+(AJ2024^2*R_dn)-dpdn_minQ</f>
        <v>69.017435921153861</v>
      </c>
      <c r="AK2027" s="45"/>
      <c r="AL2027" s="74"/>
      <c r="AM2027" s="53">
        <f>P_2_minQ+(AM2024^2*R_dn)-dpdn_minQ</f>
        <v>90.703756022472348</v>
      </c>
      <c r="AN2027" s="45"/>
      <c r="AO2027" s="74"/>
      <c r="AP2027" s="53">
        <f>P_2_minQ+(AP2024^2*R_dn)-dpdn_minQ</f>
        <v>113.67812799796529</v>
      </c>
      <c r="AQ2027" s="45"/>
      <c r="AR2027" s="74"/>
      <c r="AS2027" s="53">
        <f>P_2_minQ+(AS2024^2*R_dn)-dpdn_minQ</f>
        <v>139.96224571198704</v>
      </c>
      <c r="AT2027" s="45"/>
      <c r="AU2027" s="74"/>
    </row>
    <row r="2028" spans="15:47" x14ac:dyDescent="0.25">
      <c r="O2028" s="6" t="s">
        <v>243</v>
      </c>
      <c r="Q2028" s="60"/>
      <c r="R2028" s="53">
        <f>R2026-R2027</f>
        <v>32.225706339927925</v>
      </c>
      <c r="S2028" s="56"/>
      <c r="T2028" s="72"/>
      <c r="U2028" s="64">
        <f>U2026-U2027</f>
        <v>31.072723711844869</v>
      </c>
      <c r="V2028" s="44"/>
      <c r="W2028" s="72"/>
      <c r="X2028" s="64">
        <f>X2026-X2027</f>
        <v>25.422085906111654</v>
      </c>
      <c r="Y2028" s="44"/>
      <c r="Z2028" s="72"/>
      <c r="AA2028" s="64">
        <f>AA2026-AA2027</f>
        <v>7.3328126325309846</v>
      </c>
      <c r="AB2028" s="44"/>
      <c r="AC2028" s="72"/>
      <c r="AD2028" s="64">
        <f>AD2026-AD2027</f>
        <v>-35.162330213754956</v>
      </c>
      <c r="AE2028" s="44"/>
      <c r="AF2028" s="72"/>
      <c r="AG2028" s="64">
        <f>AG2026-AG2027</f>
        <v>-117.19534106420075</v>
      </c>
      <c r="AH2028" s="44"/>
      <c r="AI2028" s="72"/>
      <c r="AJ2028" s="64">
        <f>AJ2026-AJ2027</f>
        <v>-233.90461552692318</v>
      </c>
      <c r="AK2028" s="44"/>
      <c r="AL2028" s="72"/>
      <c r="AM2028" s="64">
        <f>AM2026-AM2027</f>
        <v>-364.02253613483407</v>
      </c>
      <c r="AN2028" s="44"/>
      <c r="AO2028" s="72"/>
      <c r="AP2028" s="64">
        <f>AP2026-AP2027</f>
        <v>-501.86876798779178</v>
      </c>
      <c r="AQ2028" s="44"/>
      <c r="AR2028" s="72"/>
      <c r="AS2028" s="64">
        <f>AS2026-AS2027</f>
        <v>-659.57347427192224</v>
      </c>
      <c r="AT2028" s="44"/>
      <c r="AU2028" s="72"/>
    </row>
    <row r="2029" spans="15:47" ht="13" x14ac:dyDescent="0.3">
      <c r="O2029" s="6" t="s">
        <v>75</v>
      </c>
      <c r="P2029" s="6">
        <v>3</v>
      </c>
      <c r="Q2029" s="65"/>
      <c r="R2029" s="85">
        <f>(F_LP_h/F_P_h)^2*(R2026-('Valve Sizing'!$V$4*'Valve Sizing'!$G$7))</f>
        <v>46.74193257833489</v>
      </c>
      <c r="S2029" s="58"/>
      <c r="T2029" s="73"/>
      <c r="U2029" s="53">
        <f>(U$29/U$27)^2*(U2026-('Valve Sizing'!$V$4*'Valve Sizing'!$G$7))</f>
        <v>45.93380106177581</v>
      </c>
      <c r="V2029" s="41"/>
      <c r="W2029" s="73"/>
      <c r="X2029" s="53">
        <f>(X$29/X$27)^2*(X2026-('Valve Sizing'!$V$4*'Valve Sizing'!$G$7))</f>
        <v>41.087480698755151</v>
      </c>
      <c r="Y2029" s="41"/>
      <c r="Z2029" s="73"/>
      <c r="AA2029" s="53">
        <f>(AA$29/AA$27)^2*(AA2026-('Valve Sizing'!$V$4*'Valve Sizing'!$G$7))</f>
        <v>27.591915560108433</v>
      </c>
      <c r="AB2029" s="41"/>
      <c r="AC2029" s="73"/>
      <c r="AD2029" s="53">
        <f>(AD$29/AD$27)^2*(AD2026-('Valve Sizing'!$V$4*'Valve Sizing'!$G$7))</f>
        <v>0.21010628196382553</v>
      </c>
      <c r="AE2029" s="41"/>
      <c r="AF2029" s="73"/>
      <c r="AG2029" s="53">
        <f>(AG$29/AG$27)^2*(AG2026-('Valve Sizing'!$V$4*'Valve Sizing'!$G$7))</f>
        <v>-43.839755245365303</v>
      </c>
      <c r="AH2029" s="41"/>
      <c r="AI2029" s="73"/>
      <c r="AJ2029" s="53">
        <f>(AJ$29/AJ$27)^2*(AJ2026-('Valve Sizing'!$V$4*'Valve Sizing'!$G$7))</f>
        <v>-95.619377697718861</v>
      </c>
      <c r="AK2029" s="41"/>
      <c r="AL2029" s="73"/>
      <c r="AM2029" s="53">
        <f>(AM$29/AM$27)^2*(AM2026-('Valve Sizing'!$V$4*'Valve Sizing'!$G$7))</f>
        <v>-130.98597950433609</v>
      </c>
      <c r="AN2029" s="41"/>
      <c r="AO2029" s="73"/>
      <c r="AP2029" s="53">
        <f>(AP$29/AP$27)^2*(AP2026-('Valve Sizing'!$V$4*'Valve Sizing'!$G$7))</f>
        <v>-153.36409923116824</v>
      </c>
      <c r="AQ2029" s="41"/>
      <c r="AR2029" s="73"/>
      <c r="AS2029" s="53">
        <f>(AS$29/AS$27)^2*(AS2026-('Valve Sizing'!$V$4*'Valve Sizing'!$G$7))</f>
        <v>-195.61250377684928</v>
      </c>
      <c r="AT2029" s="41"/>
      <c r="AU2029" s="73"/>
    </row>
    <row r="2030" spans="15:47" ht="13" x14ac:dyDescent="0.25">
      <c r="O2030" s="1" t="s">
        <v>69</v>
      </c>
      <c r="P2030" s="17">
        <v>7</v>
      </c>
      <c r="Q2030" s="65"/>
      <c r="R2030" s="53">
        <f>(R2024/(N_1*F_P_h))*SQRT('Valve Sizing'!$G$6/R2028)</f>
        <v>5.0778910898241172</v>
      </c>
      <c r="S2030" s="58"/>
      <c r="T2030" s="73"/>
      <c r="U2030" s="64">
        <f>(U2024/(N_1*U$27))*SQRT('Valve Sizing'!$G$6/U2028)</f>
        <v>30.72313771020405</v>
      </c>
      <c r="V2030" s="41"/>
      <c r="W2030" s="73"/>
      <c r="X2030" s="64">
        <f>(X2024/(N_1*X$27))*SQRT('Valve Sizing'!$G$6/X2028)</f>
        <v>81.715638473763448</v>
      </c>
      <c r="Y2030" s="41"/>
      <c r="Z2030" s="73"/>
      <c r="AA2030" s="64">
        <f>(AA2024/(N_1*AA$27))*SQRT('Valve Sizing'!$G$6/AA2028)</f>
        <v>292.18377529158067</v>
      </c>
      <c r="AB2030" s="41"/>
      <c r="AC2030" s="73"/>
      <c r="AD2030" s="64" t="e">
        <f>(AD2024/(N_1*AD$27))*SQRT('Valve Sizing'!$G$6/AD2028)</f>
        <v>#NUM!</v>
      </c>
      <c r="AE2030" s="41"/>
      <c r="AF2030" s="73"/>
      <c r="AG2030" s="64" t="e">
        <f>(AG2024/(N_1*AG$27))*SQRT('Valve Sizing'!$G$6/AG2028)</f>
        <v>#NUM!</v>
      </c>
      <c r="AH2030" s="41"/>
      <c r="AI2030" s="73"/>
      <c r="AJ2030" s="64" t="e">
        <f>(AJ2024/(N_1*AJ$27))*SQRT('Valve Sizing'!$G$6/AJ2028)</f>
        <v>#NUM!</v>
      </c>
      <c r="AK2030" s="41"/>
      <c r="AL2030" s="73"/>
      <c r="AM2030" s="64" t="e">
        <f>(AM2024/(N_1*AM$27))*SQRT('Valve Sizing'!$G$6/AM2028)</f>
        <v>#NUM!</v>
      </c>
      <c r="AN2030" s="41"/>
      <c r="AO2030" s="73"/>
      <c r="AP2030" s="64" t="e">
        <f>(AP2024/(N_1*AP$27))*SQRT('Valve Sizing'!$G$6/AP2028)</f>
        <v>#NUM!</v>
      </c>
      <c r="AQ2030" s="41"/>
      <c r="AR2030" s="73"/>
      <c r="AS2030" s="64" t="e">
        <f>(AS2024/(N_1*AS$27))*SQRT('Valve Sizing'!$G$6/AS2028)</f>
        <v>#NUM!</v>
      </c>
      <c r="AT2030" s="41"/>
      <c r="AU2030" s="73"/>
    </row>
    <row r="2031" spans="15:47" ht="13" x14ac:dyDescent="0.3">
      <c r="O2031" s="1" t="s">
        <v>72</v>
      </c>
      <c r="P2031" s="17">
        <v>7</v>
      </c>
      <c r="Q2031" s="65"/>
      <c r="R2031" s="53">
        <f>(R2024/(N_1*F_P_h))*SQRT('Valve Sizing'!$G$6/R2029)</f>
        <v>4.2162977457667665</v>
      </c>
      <c r="S2031" s="56"/>
      <c r="T2031" s="72"/>
      <c r="U2031" s="85">
        <f>(U2024/(N_1*U$27))*SQRT('Valve Sizing'!$G$6/U2029)</f>
        <v>25.269057092724523</v>
      </c>
      <c r="V2031" s="44"/>
      <c r="W2031" s="72"/>
      <c r="X2031" s="85">
        <f>(X2024/(N_1*X$27))*SQRT('Valve Sizing'!$G$6/X2029)</f>
        <v>64.27706128114832</v>
      </c>
      <c r="Y2031" s="44"/>
      <c r="Z2031" s="72"/>
      <c r="AA2031" s="85">
        <f>(AA2024/(N_1*AA$27))*SQRT('Valve Sizing'!$G$6/AA2029)</f>
        <v>150.62618069158731</v>
      </c>
      <c r="AB2031" s="44"/>
      <c r="AC2031" s="72"/>
      <c r="AD2031" s="85">
        <f>(AD2024/(N_1*AD$27))*SQRT('Valve Sizing'!$G$6/AD2029)</f>
        <v>2874.522837763504</v>
      </c>
      <c r="AE2031" s="44"/>
      <c r="AF2031" s="72"/>
      <c r="AG2031" s="85" t="e">
        <f>(AG2024/(N_1*AG$27))*SQRT('Valve Sizing'!$G$6/AG2029)</f>
        <v>#NUM!</v>
      </c>
      <c r="AH2031" s="44"/>
      <c r="AI2031" s="72"/>
      <c r="AJ2031" s="85" t="e">
        <f>(AJ2024/(N_1*AJ$27))*SQRT('Valve Sizing'!$G$6/AJ2029)</f>
        <v>#NUM!</v>
      </c>
      <c r="AK2031" s="44"/>
      <c r="AL2031" s="72"/>
      <c r="AM2031" s="85" t="e">
        <f>(AM2024/(N_1*AM$27))*SQRT('Valve Sizing'!$G$6/AM2029)</f>
        <v>#NUM!</v>
      </c>
      <c r="AN2031" s="44"/>
      <c r="AO2031" s="72"/>
      <c r="AP2031" s="85" t="e">
        <f>(AP2024/(N_1*AP$27))*SQRT('Valve Sizing'!$G$6/AP2029)</f>
        <v>#NUM!</v>
      </c>
      <c r="AQ2031" s="44"/>
      <c r="AR2031" s="72"/>
      <c r="AS2031" s="85" t="e">
        <f>(AS2024/(N_1*AS$27))*SQRT('Valve Sizing'!$G$6/AS2029)</f>
        <v>#NUM!</v>
      </c>
      <c r="AT2031" s="44"/>
      <c r="AU2031" s="72"/>
    </row>
    <row r="2032" spans="15:47" x14ac:dyDescent="0.25">
      <c r="O2032" s="1" t="s">
        <v>246</v>
      </c>
      <c r="P2032" s="18"/>
      <c r="Q2032" s="65"/>
      <c r="R2032" s="53">
        <f>IF(R2028&lt;R2029,R2030,R2031)</f>
        <v>5.0778910898241172</v>
      </c>
      <c r="S2032" s="49"/>
      <c r="T2032" s="72"/>
      <c r="U2032" s="64">
        <f>IF(U2028&lt;U2029,U2030,U2031)</f>
        <v>30.72313771020405</v>
      </c>
      <c r="V2032" s="44"/>
      <c r="W2032" s="72"/>
      <c r="X2032" s="64">
        <f>IF(X2028&lt;X2029,X2030,X2031)</f>
        <v>81.715638473763448</v>
      </c>
      <c r="Y2032" s="44"/>
      <c r="Z2032" s="72"/>
      <c r="AA2032" s="64">
        <f>IF(AA2028&lt;AA2029,AA2030,AA2031)</f>
        <v>292.18377529158067</v>
      </c>
      <c r="AB2032" s="44"/>
      <c r="AC2032" s="72"/>
      <c r="AD2032" s="64" t="e">
        <f>IF(AD2028&lt;AD2029,AD2030,AD2031)</f>
        <v>#NUM!</v>
      </c>
      <c r="AE2032" s="44"/>
      <c r="AF2032" s="72"/>
      <c r="AG2032" s="64" t="e">
        <f>IF(AG2028&lt;AG2029,AG2030,AG2031)</f>
        <v>#NUM!</v>
      </c>
      <c r="AH2032" s="44"/>
      <c r="AI2032" s="72"/>
      <c r="AJ2032" s="64" t="e">
        <f>IF(AJ2028&lt;AJ2029,AJ2030,AJ2031)</f>
        <v>#NUM!</v>
      </c>
      <c r="AK2032" s="44"/>
      <c r="AL2032" s="72"/>
      <c r="AM2032" s="64" t="e">
        <f>IF(AM2028&lt;AM2029,AM2030,AM2031)</f>
        <v>#NUM!</v>
      </c>
      <c r="AN2032" s="44"/>
      <c r="AO2032" s="72"/>
      <c r="AP2032" s="64" t="e">
        <f>IF(AP2028&lt;AP2029,AP2030,AP2031)</f>
        <v>#NUM!</v>
      </c>
      <c r="AQ2032" s="44"/>
      <c r="AR2032" s="72"/>
      <c r="AS2032" s="64" t="e">
        <f>IF(AS2028&lt;AS2029,AS2030,AS2031)</f>
        <v>#NUM!</v>
      </c>
      <c r="AT2032" s="44"/>
      <c r="AU2032" s="72"/>
    </row>
    <row r="2033" spans="15:47" ht="13" x14ac:dyDescent="0.3">
      <c r="O2033" s="7" t="s">
        <v>264</v>
      </c>
      <c r="Q2033" s="61"/>
      <c r="R2033" s="53"/>
      <c r="S2033" s="69">
        <f>IFERROR(ABS(C_h-R2032),Q_max*10)</f>
        <v>7.7891089824117188E-2</v>
      </c>
      <c r="T2033" s="76">
        <f>R2024</f>
        <v>28.821798387303261</v>
      </c>
      <c r="U2033" s="61"/>
      <c r="V2033" s="69">
        <f>IFERROR(ABS(U$23-U2032),Q_max*10)</f>
        <v>18.72313771020405</v>
      </c>
      <c r="W2033" s="75">
        <f>U2024</f>
        <v>171.1155820205388</v>
      </c>
      <c r="X2033" s="61"/>
      <c r="Y2033" s="69">
        <f>IFERROR(ABS(X$23-X2032),Q_max*10)</f>
        <v>58.715638473763448</v>
      </c>
      <c r="Z2033" s="75">
        <f>X2024</f>
        <v>410.7432656376667</v>
      </c>
      <c r="AA2033" s="61"/>
      <c r="AB2033" s="69">
        <f>IFERROR(ABS(AA$23-AA2032),Q_max*10)</f>
        <v>253.18377529158067</v>
      </c>
      <c r="AC2033" s="75">
        <f>AA2024</f>
        <v>784.25942665185596</v>
      </c>
      <c r="AD2033" s="61"/>
      <c r="AE2033" s="69">
        <f>IFERROR(ABS(AD$23-AD2032),Q_max*10)</f>
        <v>5500</v>
      </c>
      <c r="AF2033" s="75">
        <f>AD2024</f>
        <v>1289.818009652681</v>
      </c>
      <c r="AG2033" s="61"/>
      <c r="AH2033" s="69">
        <f>IFERROR(ABS(AG$23-AG2032),Q_max*10)</f>
        <v>5500</v>
      </c>
      <c r="AI2033" s="75">
        <f>AG2024</f>
        <v>1920.363257500818</v>
      </c>
      <c r="AJ2033" s="61"/>
      <c r="AK2033" s="69">
        <f>IFERROR(ABS(AJ$23-AJ2032),Q_max*10)</f>
        <v>5500</v>
      </c>
      <c r="AL2033" s="75">
        <f>AJ2024</f>
        <v>2562.732211552122</v>
      </c>
      <c r="AM2033" s="61"/>
      <c r="AN2033" s="69">
        <f>IFERROR(ABS(AM$23-AM2032),Q_max*10)</f>
        <v>5500</v>
      </c>
      <c r="AO2033" s="75">
        <f>AM2024</f>
        <v>3127.0203195897257</v>
      </c>
      <c r="AP2033" s="61"/>
      <c r="AQ2033" s="69">
        <f>IFERROR(ABS(AP$23-AP2032),Q_max*10)</f>
        <v>5500</v>
      </c>
      <c r="AR2033" s="75">
        <f>AP2024</f>
        <v>3630.3735138548432</v>
      </c>
      <c r="AS2033" s="61"/>
      <c r="AT2033" s="69">
        <f>IFERROR(ABS(AS$23-AS2032),Q_max*10)</f>
        <v>5500</v>
      </c>
      <c r="AU2033" s="75">
        <f>AS2024</f>
        <v>4131.7037015811866</v>
      </c>
    </row>
    <row r="2034" spans="15:47" ht="14.5" x14ac:dyDescent="0.35">
      <c r="O2034" s="8"/>
      <c r="P2034" s="6"/>
      <c r="Q2034" s="60"/>
      <c r="R2034" s="67"/>
      <c r="S2034" s="58"/>
      <c r="T2034" s="73"/>
      <c r="V2034" s="11"/>
      <c r="W2034" s="38"/>
      <c r="Y2034" s="11"/>
      <c r="Z2034" s="38"/>
      <c r="AB2034" s="11"/>
      <c r="AC2034" s="38"/>
      <c r="AE2034" s="11"/>
      <c r="AF2034" s="38"/>
      <c r="AH2034" s="11"/>
      <c r="AI2034" s="38"/>
      <c r="AK2034" s="11"/>
      <c r="AL2034" s="38"/>
      <c r="AN2034" s="11"/>
      <c r="AO2034" s="38"/>
      <c r="AQ2034" s="11"/>
      <c r="AR2034" s="38"/>
      <c r="AT2034" s="11"/>
      <c r="AU2034" s="38"/>
    </row>
    <row r="2035" spans="15:47" ht="14" x14ac:dyDescent="0.3">
      <c r="O2035" s="8" t="s">
        <v>235</v>
      </c>
      <c r="P2035" s="6"/>
      <c r="Q2035" s="60"/>
      <c r="R2035" s="53">
        <f>R2024*1.02</f>
        <v>29.398234355049325</v>
      </c>
      <c r="S2035" s="58" t="s">
        <v>238</v>
      </c>
      <c r="T2035" s="73" t="s">
        <v>241</v>
      </c>
      <c r="U2035" s="84">
        <f>U2024*1.01</f>
        <v>172.82673784074419</v>
      </c>
      <c r="V2035" s="58" t="s">
        <v>238</v>
      </c>
      <c r="W2035" s="73" t="s">
        <v>241</v>
      </c>
      <c r="X2035" s="84">
        <f>X2024*1.01</f>
        <v>414.85069829404335</v>
      </c>
      <c r="Y2035" s="58" t="s">
        <v>238</v>
      </c>
      <c r="Z2035" s="73" t="s">
        <v>241</v>
      </c>
      <c r="AA2035" s="84">
        <f>AA2024*1.01</f>
        <v>792.10202091837448</v>
      </c>
      <c r="AB2035" s="58" t="s">
        <v>238</v>
      </c>
      <c r="AC2035" s="73" t="s">
        <v>241</v>
      </c>
      <c r="AD2035" s="84">
        <f>AD2024*1.01</f>
        <v>1302.7161897492078</v>
      </c>
      <c r="AE2035" s="58" t="s">
        <v>238</v>
      </c>
      <c r="AF2035" s="73" t="s">
        <v>241</v>
      </c>
      <c r="AG2035" s="84">
        <f>AG2024*1.01</f>
        <v>1939.5668900758262</v>
      </c>
      <c r="AH2035" s="58" t="s">
        <v>238</v>
      </c>
      <c r="AI2035" s="73" t="s">
        <v>241</v>
      </c>
      <c r="AJ2035" s="84">
        <f>AJ2024*1.01</f>
        <v>2588.3595336676431</v>
      </c>
      <c r="AK2035" s="58" t="s">
        <v>238</v>
      </c>
      <c r="AL2035" s="73" t="s">
        <v>241</v>
      </c>
      <c r="AM2035" s="84">
        <f>AM2024*1.01</f>
        <v>3158.2905227856231</v>
      </c>
      <c r="AN2035" s="58" t="s">
        <v>238</v>
      </c>
      <c r="AO2035" s="73" t="s">
        <v>241</v>
      </c>
      <c r="AP2035" s="84">
        <f>AP2024*1.01</f>
        <v>3666.6772489933915</v>
      </c>
      <c r="AQ2035" s="58" t="s">
        <v>238</v>
      </c>
      <c r="AR2035" s="73" t="s">
        <v>241</v>
      </c>
      <c r="AS2035" s="84">
        <f>AS2024*1.01</f>
        <v>4173.0207385969989</v>
      </c>
      <c r="AT2035" s="58" t="s">
        <v>238</v>
      </c>
      <c r="AU2035" s="73" t="s">
        <v>241</v>
      </c>
    </row>
    <row r="2036" spans="15:47" ht="13" x14ac:dyDescent="0.25">
      <c r="O2036" s="6"/>
      <c r="P2036" s="6"/>
      <c r="Q2036" s="60"/>
      <c r="R2036" s="70"/>
      <c r="S2036" s="63" t="s">
        <v>250</v>
      </c>
      <c r="T2036" s="71" t="s">
        <v>242</v>
      </c>
      <c r="U2036" s="61"/>
      <c r="V2036" s="63" t="s">
        <v>250</v>
      </c>
      <c r="W2036" s="71" t="s">
        <v>242</v>
      </c>
      <c r="X2036" s="61"/>
      <c r="Y2036" s="63" t="s">
        <v>250</v>
      </c>
      <c r="Z2036" s="71" t="s">
        <v>242</v>
      </c>
      <c r="AA2036" s="61"/>
      <c r="AB2036" s="63" t="s">
        <v>250</v>
      </c>
      <c r="AC2036" s="71" t="s">
        <v>242</v>
      </c>
      <c r="AD2036" s="61"/>
      <c r="AE2036" s="63" t="s">
        <v>250</v>
      </c>
      <c r="AF2036" s="71" t="s">
        <v>242</v>
      </c>
      <c r="AG2036" s="61"/>
      <c r="AH2036" s="63" t="s">
        <v>250</v>
      </c>
      <c r="AI2036" s="71" t="s">
        <v>242</v>
      </c>
      <c r="AJ2036" s="61"/>
      <c r="AK2036" s="63" t="s">
        <v>250</v>
      </c>
      <c r="AL2036" s="71" t="s">
        <v>242</v>
      </c>
      <c r="AM2036" s="61"/>
      <c r="AN2036" s="63" t="s">
        <v>250</v>
      </c>
      <c r="AO2036" s="71" t="s">
        <v>242</v>
      </c>
      <c r="AP2036" s="61"/>
      <c r="AQ2036" s="63" t="s">
        <v>250</v>
      </c>
      <c r="AR2036" s="71" t="s">
        <v>242</v>
      </c>
      <c r="AS2036" s="61"/>
      <c r="AT2036" s="63" t="s">
        <v>250</v>
      </c>
      <c r="AU2036" s="71" t="s">
        <v>242</v>
      </c>
    </row>
    <row r="2037" spans="15:47" ht="13" x14ac:dyDescent="0.3">
      <c r="O2037" s="6" t="s">
        <v>231</v>
      </c>
      <c r="P2037" s="6"/>
      <c r="Q2037" s="60"/>
      <c r="R2037" s="85">
        <f>P_1_minQ-(R2035^2*R_up)+dpup_minQ</f>
        <v>56.886955211644903</v>
      </c>
      <c r="S2037" s="56"/>
      <c r="T2037" s="72"/>
      <c r="U2037" s="53">
        <f>P_1_minQ-(U2035^2*R_up)+dpup_minQ</f>
        <v>55.907393403827314</v>
      </c>
      <c r="V2037" s="44"/>
      <c r="W2037" s="72"/>
      <c r="X2037" s="53">
        <f>P_1_minQ-(X2035^2*R_up)+dpup_minQ</f>
        <v>51.103880382470265</v>
      </c>
      <c r="Y2037" s="44"/>
      <c r="Z2037" s="72"/>
      <c r="AA2037" s="53">
        <f>P_1_minQ-(AA2035^2*R_up)+dpup_minQ</f>
        <v>35.726490660487237</v>
      </c>
      <c r="AB2037" s="44"/>
      <c r="AC2037" s="72"/>
      <c r="AD2037" s="53">
        <f>P_1_minQ-(AD2035^2*R_up)+dpup_minQ</f>
        <v>-0.39792202075967686</v>
      </c>
      <c r="AE2037" s="44"/>
      <c r="AF2037" s="72"/>
      <c r="AG2037" s="53">
        <f>P_1_minQ-(AG2035^2*R_up)+dpup_minQ</f>
        <v>-70.132817327876126</v>
      </c>
      <c r="AH2037" s="44"/>
      <c r="AI2037" s="72"/>
      <c r="AJ2037" s="53">
        <f>P_1_minQ-(AJ2035^2*R_up)+dpup_minQ</f>
        <v>-169.34542639406212</v>
      </c>
      <c r="AK2037" s="44"/>
      <c r="AL2037" s="72"/>
      <c r="AM2037" s="53">
        <f>P_1_minQ-(AM2035^2*R_up)+dpup_minQ</f>
        <v>-279.95650207083708</v>
      </c>
      <c r="AN2037" s="44"/>
      <c r="AO2037" s="72"/>
      <c r="AP2037" s="53">
        <f>P_1_minQ-(AP2035^2*R_up)+dpup_minQ</f>
        <v>-397.13728633183877</v>
      </c>
      <c r="AQ2037" s="44"/>
      <c r="AR2037" s="72"/>
      <c r="AS2037" s="53">
        <f>P_1_minQ-(AS2035^2*R_up)+dpup_minQ</f>
        <v>-531.1994287322068</v>
      </c>
      <c r="AT2037" s="44"/>
      <c r="AU2037" s="72"/>
    </row>
    <row r="2038" spans="15:47" ht="13" x14ac:dyDescent="0.3">
      <c r="O2038" s="6" t="s">
        <v>233</v>
      </c>
      <c r="P2038" s="6"/>
      <c r="Q2038" s="60"/>
      <c r="R2038" s="85">
        <f>P_2_minQ+(R2035^2*R_dn)-dpdn_minQ</f>
        <v>24.662608957671022</v>
      </c>
      <c r="S2038" s="66"/>
      <c r="T2038" s="74"/>
      <c r="U2038" s="53">
        <f>P_2_minQ+(U2035^2*R_dn)-dpdn_minQ</f>
        <v>24.858521319234541</v>
      </c>
      <c r="V2038" s="45"/>
      <c r="W2038" s="74"/>
      <c r="X2038" s="53">
        <f>P_2_minQ+(X2035^2*R_dn)-dpdn_minQ</f>
        <v>25.819223923505948</v>
      </c>
      <c r="Y2038" s="45"/>
      <c r="Z2038" s="74"/>
      <c r="AA2038" s="53">
        <f>P_2_minQ+(AA2035^2*R_dn)-dpdn_minQ</f>
        <v>28.894701867902555</v>
      </c>
      <c r="AB2038" s="45"/>
      <c r="AC2038" s="74"/>
      <c r="AD2038" s="53">
        <f>P_2_minQ+(AD2035^2*R_dn)-dpdn_minQ</f>
        <v>36.119584404151936</v>
      </c>
      <c r="AE2038" s="45"/>
      <c r="AF2038" s="74"/>
      <c r="AG2038" s="53">
        <f>P_2_minQ+(AG2035^2*R_dn)-dpdn_minQ</f>
        <v>50.066563465575229</v>
      </c>
      <c r="AH2038" s="45"/>
      <c r="AI2038" s="74"/>
      <c r="AJ2038" s="53">
        <f>P_2_minQ+(AJ2035^2*R_dn)-dpdn_minQ</f>
        <v>69.909085278812427</v>
      </c>
      <c r="AK2038" s="45"/>
      <c r="AL2038" s="74"/>
      <c r="AM2038" s="53">
        <f>P_2_minQ+(AM2035^2*R_dn)-dpdn_minQ</f>
        <v>92.031300414167404</v>
      </c>
      <c r="AN2038" s="45"/>
      <c r="AO2038" s="74"/>
      <c r="AP2038" s="53">
        <f>P_2_minQ+(AP2035^2*R_dn)-dpdn_minQ</f>
        <v>115.46745726636775</v>
      </c>
      <c r="AQ2038" s="45"/>
      <c r="AR2038" s="74"/>
      <c r="AS2038" s="53">
        <f>P_2_minQ+(AS2035^2*R_dn)-dpdn_minQ</f>
        <v>142.27988574644135</v>
      </c>
      <c r="AT2038" s="45"/>
      <c r="AU2038" s="74"/>
    </row>
    <row r="2039" spans="15:47" x14ac:dyDescent="0.25">
      <c r="O2039" s="6" t="s">
        <v>243</v>
      </c>
      <c r="Q2039" s="60"/>
      <c r="R2039" s="53">
        <f>R2037-R2038</f>
        <v>32.224346253973877</v>
      </c>
      <c r="S2039" s="56"/>
      <c r="T2039" s="72"/>
      <c r="U2039" s="64">
        <f>U2037-U2038</f>
        <v>31.048872084592773</v>
      </c>
      <c r="V2039" s="44"/>
      <c r="W2039" s="72"/>
      <c r="X2039" s="64">
        <f>X2037-X2038</f>
        <v>25.284656458964317</v>
      </c>
      <c r="Y2039" s="44"/>
      <c r="Z2039" s="72"/>
      <c r="AA2039" s="64">
        <f>AA2037-AA2038</f>
        <v>6.8317887925846819</v>
      </c>
      <c r="AB2039" s="44"/>
      <c r="AC2039" s="72"/>
      <c r="AD2039" s="64">
        <f>AD2037-AD2038</f>
        <v>-36.517506424911616</v>
      </c>
      <c r="AE2039" s="44"/>
      <c r="AF2039" s="72"/>
      <c r="AG2039" s="64">
        <f>AG2037-AG2038</f>
        <v>-120.19938079345135</v>
      </c>
      <c r="AH2039" s="44"/>
      <c r="AI2039" s="72"/>
      <c r="AJ2039" s="64">
        <f>AJ2037-AJ2038</f>
        <v>-239.25451167287454</v>
      </c>
      <c r="AK2039" s="44"/>
      <c r="AL2039" s="72"/>
      <c r="AM2039" s="64">
        <f>AM2037-AM2038</f>
        <v>-371.98780248500447</v>
      </c>
      <c r="AN2039" s="44"/>
      <c r="AO2039" s="72"/>
      <c r="AP2039" s="64">
        <f>AP2037-AP2038</f>
        <v>-512.60474359820648</v>
      </c>
      <c r="AQ2039" s="44"/>
      <c r="AR2039" s="72"/>
      <c r="AS2039" s="64">
        <f>AS2037-AS2038</f>
        <v>-673.47931447864812</v>
      </c>
      <c r="AT2039" s="44"/>
      <c r="AU2039" s="72"/>
    </row>
    <row r="2040" spans="15:47" ht="13" x14ac:dyDescent="0.3">
      <c r="O2040" s="6" t="s">
        <v>75</v>
      </c>
      <c r="P2040" s="6">
        <v>3</v>
      </c>
      <c r="Q2040" s="65"/>
      <c r="R2040" s="85">
        <f>(F_LP_h/F_P_h)^2*(R2037-('Valve Sizing'!$V$4*'Valve Sizing'!$G$7))</f>
        <v>46.740994059534238</v>
      </c>
      <c r="S2040" s="58"/>
      <c r="T2040" s="73"/>
      <c r="U2040" s="53">
        <f>(U$29/U$27)^2*(U2037-('Valve Sizing'!$V$4*'Valve Sizing'!$G$7))</f>
        <v>45.917346881615607</v>
      </c>
      <c r="V2040" s="41"/>
      <c r="W2040" s="73"/>
      <c r="X2040" s="53">
        <f>(X$29/X$27)^2*(X2037-('Valve Sizing'!$V$4*'Valve Sizing'!$G$7))</f>
        <v>40.994812759521871</v>
      </c>
      <c r="Y2040" s="41"/>
      <c r="Z2040" s="73"/>
      <c r="AA2040" s="53">
        <f>(AA$29/AA$27)^2*(AA2037-('Valve Sizing'!$V$4*'Valve Sizing'!$G$7))</f>
        <v>27.269257367323195</v>
      </c>
      <c r="AB2040" s="41"/>
      <c r="AC2040" s="73"/>
      <c r="AD2040" s="53">
        <f>(AD$29/AD$27)^2*(AD2037-('Valve Sizing'!$V$4*'Valve Sizing'!$G$7))</f>
        <v>-0.60434039969471587</v>
      </c>
      <c r="AE2040" s="41"/>
      <c r="AF2040" s="73"/>
      <c r="AG2040" s="53">
        <f>(AG$29/AG$27)^2*(AG2037-('Valve Sizing'!$V$4*'Valve Sizing'!$G$7))</f>
        <v>-45.452033259313282</v>
      </c>
      <c r="AH2040" s="41"/>
      <c r="AI2040" s="73"/>
      <c r="AJ2040" s="53">
        <f>(AJ$29/AJ$27)^2*(AJ2037-('Valve Sizing'!$V$4*'Valve Sizing'!$G$7))</f>
        <v>-98.197868638150084</v>
      </c>
      <c r="AK2040" s="41"/>
      <c r="AL2040" s="73"/>
      <c r="AM2040" s="53">
        <f>(AM$29/AM$27)^2*(AM2037-('Valve Sizing'!$V$4*'Valve Sizing'!$G$7))</f>
        <v>-134.16194459629358</v>
      </c>
      <c r="AN2040" s="41"/>
      <c r="AO2040" s="73"/>
      <c r="AP2040" s="53">
        <f>(AP$29/AP$27)^2*(AP2037-('Valve Sizing'!$V$4*'Valve Sizing'!$G$7))</f>
        <v>-156.89468589261418</v>
      </c>
      <c r="AQ2040" s="41"/>
      <c r="AR2040" s="73"/>
      <c r="AS2040" s="53">
        <f>(AS$29/AS$27)^2*(AS2037-('Valve Sizing'!$V$4*'Valve Sizing'!$G$7))</f>
        <v>-199.97129859188155</v>
      </c>
      <c r="AT2040" s="41"/>
      <c r="AU2040" s="73"/>
    </row>
    <row r="2041" spans="15:47" ht="13" x14ac:dyDescent="0.25">
      <c r="O2041" s="1" t="s">
        <v>69</v>
      </c>
      <c r="P2041" s="17">
        <v>7</v>
      </c>
      <c r="Q2041" s="65"/>
      <c r="R2041" s="53">
        <f>(R2035/(N_1*F_P_h))*SQRT('Valve Sizing'!$G$6/R2039)</f>
        <v>5.1795582144025554</v>
      </c>
      <c r="S2041" s="58"/>
      <c r="T2041" s="73"/>
      <c r="U2041" s="64">
        <f>(U2035/(N_1*U$27))*SQRT('Valve Sizing'!$G$6/U2039)</f>
        <v>31.042285505867845</v>
      </c>
      <c r="V2041" s="41"/>
      <c r="W2041" s="73"/>
      <c r="X2041" s="64">
        <f>(X2035/(N_1*X$27))*SQRT('Valve Sizing'!$G$6/X2039)</f>
        <v>82.75678575535953</v>
      </c>
      <c r="Y2041" s="41"/>
      <c r="Z2041" s="73"/>
      <c r="AA2041" s="64">
        <f>(AA2035/(N_1*AA$27))*SQRT('Valve Sizing'!$G$6/AA2039)</f>
        <v>305.73527420937182</v>
      </c>
      <c r="AB2041" s="41"/>
      <c r="AC2041" s="73"/>
      <c r="AD2041" s="64" t="e">
        <f>(AD2035/(N_1*AD$27))*SQRT('Valve Sizing'!$G$6/AD2039)</f>
        <v>#NUM!</v>
      </c>
      <c r="AE2041" s="41"/>
      <c r="AF2041" s="73"/>
      <c r="AG2041" s="64" t="e">
        <f>(AG2035/(N_1*AG$27))*SQRT('Valve Sizing'!$G$6/AG2039)</f>
        <v>#NUM!</v>
      </c>
      <c r="AH2041" s="41"/>
      <c r="AI2041" s="73"/>
      <c r="AJ2041" s="64" t="e">
        <f>(AJ2035/(N_1*AJ$27))*SQRT('Valve Sizing'!$G$6/AJ2039)</f>
        <v>#NUM!</v>
      </c>
      <c r="AK2041" s="41"/>
      <c r="AL2041" s="73"/>
      <c r="AM2041" s="64" t="e">
        <f>(AM2035/(N_1*AM$27))*SQRT('Valve Sizing'!$G$6/AM2039)</f>
        <v>#NUM!</v>
      </c>
      <c r="AN2041" s="41"/>
      <c r="AO2041" s="73"/>
      <c r="AP2041" s="64" t="e">
        <f>(AP2035/(N_1*AP$27))*SQRT('Valve Sizing'!$G$6/AP2039)</f>
        <v>#NUM!</v>
      </c>
      <c r="AQ2041" s="41"/>
      <c r="AR2041" s="73"/>
      <c r="AS2041" s="64" t="e">
        <f>(AS2035/(N_1*AS$27))*SQRT('Valve Sizing'!$G$6/AS2039)</f>
        <v>#NUM!</v>
      </c>
      <c r="AT2041" s="41"/>
      <c r="AU2041" s="73"/>
    </row>
    <row r="2042" spans="15:47" ht="13" x14ac:dyDescent="0.3">
      <c r="O2042" s="1" t="s">
        <v>72</v>
      </c>
      <c r="P2042" s="17">
        <v>7</v>
      </c>
      <c r="Q2042" s="65"/>
      <c r="R2042" s="53">
        <f>(R2035/(N_1*F_P_h))*SQRT('Valve Sizing'!$G$6/R2040)</f>
        <v>4.3006668768705651</v>
      </c>
      <c r="S2042" s="56"/>
      <c r="T2042" s="72"/>
      <c r="U2042" s="85">
        <f>(U2035/(N_1*U$27))*SQRT('Valve Sizing'!$G$6/U2040)</f>
        <v>25.526320029529604</v>
      </c>
      <c r="V2042" s="44"/>
      <c r="W2042" s="72"/>
      <c r="X2042" s="85">
        <f>(X2035/(N_1*X$27))*SQRT('Valve Sizing'!$G$6/X2040)</f>
        <v>64.993165453931539</v>
      </c>
      <c r="Y2042" s="44"/>
      <c r="Z2042" s="72"/>
      <c r="AA2042" s="85">
        <f>(AA2035/(N_1*AA$27))*SQRT('Valve Sizing'!$G$6/AA2040)</f>
        <v>153.02983454324078</v>
      </c>
      <c r="AB2042" s="44"/>
      <c r="AC2042" s="72"/>
      <c r="AD2042" s="85" t="e">
        <f>(AD2035/(N_1*AD$27))*SQRT('Valve Sizing'!$G$6/AD2040)</f>
        <v>#NUM!</v>
      </c>
      <c r="AE2042" s="44"/>
      <c r="AF2042" s="72"/>
      <c r="AG2042" s="85" t="e">
        <f>(AG2035/(N_1*AG$27))*SQRT('Valve Sizing'!$G$6/AG2040)</f>
        <v>#NUM!</v>
      </c>
      <c r="AH2042" s="44"/>
      <c r="AI2042" s="72"/>
      <c r="AJ2042" s="85" t="e">
        <f>(AJ2035/(N_1*AJ$27))*SQRT('Valve Sizing'!$G$6/AJ2040)</f>
        <v>#NUM!</v>
      </c>
      <c r="AK2042" s="44"/>
      <c r="AL2042" s="72"/>
      <c r="AM2042" s="85" t="e">
        <f>(AM2035/(N_1*AM$27))*SQRT('Valve Sizing'!$G$6/AM2040)</f>
        <v>#NUM!</v>
      </c>
      <c r="AN2042" s="44"/>
      <c r="AO2042" s="72"/>
      <c r="AP2042" s="85" t="e">
        <f>(AP2035/(N_1*AP$27))*SQRT('Valve Sizing'!$G$6/AP2040)</f>
        <v>#NUM!</v>
      </c>
      <c r="AQ2042" s="44"/>
      <c r="AR2042" s="72"/>
      <c r="AS2042" s="85" t="e">
        <f>(AS2035/(N_1*AS$27))*SQRT('Valve Sizing'!$G$6/AS2040)</f>
        <v>#NUM!</v>
      </c>
      <c r="AT2042" s="44"/>
      <c r="AU2042" s="72"/>
    </row>
    <row r="2043" spans="15:47" x14ac:dyDescent="0.25">
      <c r="O2043" s="1" t="s">
        <v>246</v>
      </c>
      <c r="P2043" s="18"/>
      <c r="Q2043" s="65"/>
      <c r="R2043" s="53">
        <f>IF(R2039&lt;R2040,R2041,R2042)</f>
        <v>5.1795582144025554</v>
      </c>
      <c r="S2043" s="49"/>
      <c r="T2043" s="72"/>
      <c r="U2043" s="64">
        <f>IF(U2039&lt;U2040,U2041,U2042)</f>
        <v>31.042285505867845</v>
      </c>
      <c r="V2043" s="44"/>
      <c r="W2043" s="72"/>
      <c r="X2043" s="64">
        <f>IF(X2039&lt;X2040,X2041,X2042)</f>
        <v>82.75678575535953</v>
      </c>
      <c r="Y2043" s="44"/>
      <c r="Z2043" s="72"/>
      <c r="AA2043" s="64">
        <f>IF(AA2039&lt;AA2040,AA2041,AA2042)</f>
        <v>305.73527420937182</v>
      </c>
      <c r="AB2043" s="44"/>
      <c r="AC2043" s="72"/>
      <c r="AD2043" s="64" t="e">
        <f>IF(AD2039&lt;AD2040,AD2041,AD2042)</f>
        <v>#NUM!</v>
      </c>
      <c r="AE2043" s="44"/>
      <c r="AF2043" s="72"/>
      <c r="AG2043" s="64" t="e">
        <f>IF(AG2039&lt;AG2040,AG2041,AG2042)</f>
        <v>#NUM!</v>
      </c>
      <c r="AH2043" s="44"/>
      <c r="AI2043" s="72"/>
      <c r="AJ2043" s="64" t="e">
        <f>IF(AJ2039&lt;AJ2040,AJ2041,AJ2042)</f>
        <v>#NUM!</v>
      </c>
      <c r="AK2043" s="44"/>
      <c r="AL2043" s="72"/>
      <c r="AM2043" s="64" t="e">
        <f>IF(AM2039&lt;AM2040,AM2041,AM2042)</f>
        <v>#NUM!</v>
      </c>
      <c r="AN2043" s="44"/>
      <c r="AO2043" s="72"/>
      <c r="AP2043" s="64" t="e">
        <f>IF(AP2039&lt;AP2040,AP2041,AP2042)</f>
        <v>#NUM!</v>
      </c>
      <c r="AQ2043" s="44"/>
      <c r="AR2043" s="72"/>
      <c r="AS2043" s="64" t="e">
        <f>IF(AS2039&lt;AS2040,AS2041,AS2042)</f>
        <v>#NUM!</v>
      </c>
      <c r="AT2043" s="44"/>
      <c r="AU2043" s="72"/>
    </row>
    <row r="2044" spans="15:47" ht="13" x14ac:dyDescent="0.3">
      <c r="O2044" s="7" t="s">
        <v>264</v>
      </c>
      <c r="Q2044" s="61"/>
      <c r="R2044" s="53"/>
      <c r="S2044" s="69">
        <f>IFERROR(ABS(C_h-R2043),Q_max*10)</f>
        <v>0.17955821440255537</v>
      </c>
      <c r="T2044" s="76">
        <f>R2035</f>
        <v>29.398234355049325</v>
      </c>
      <c r="U2044" s="61"/>
      <c r="V2044" s="69">
        <f>IFERROR(ABS(U$23-U2043),Q_max*10)</f>
        <v>19.042285505867845</v>
      </c>
      <c r="W2044" s="75">
        <f>U2035</f>
        <v>172.82673784074419</v>
      </c>
      <c r="X2044" s="61"/>
      <c r="Y2044" s="69">
        <f>IFERROR(ABS(X$23-X2043),Q_max*10)</f>
        <v>59.75678575535953</v>
      </c>
      <c r="Z2044" s="75">
        <f>X2035</f>
        <v>414.85069829404335</v>
      </c>
      <c r="AA2044" s="61"/>
      <c r="AB2044" s="69">
        <f>IFERROR(ABS(AA$23-AA2043),Q_max*10)</f>
        <v>266.73527420937182</v>
      </c>
      <c r="AC2044" s="75">
        <f>AA2035</f>
        <v>792.10202091837448</v>
      </c>
      <c r="AD2044" s="61"/>
      <c r="AE2044" s="69">
        <f>IFERROR(ABS(AD$23-AD2043),Q_max*10)</f>
        <v>5500</v>
      </c>
      <c r="AF2044" s="75">
        <f>AD2035</f>
        <v>1302.7161897492078</v>
      </c>
      <c r="AG2044" s="61"/>
      <c r="AH2044" s="69">
        <f>IFERROR(ABS(AG$23-AG2043),Q_max*10)</f>
        <v>5500</v>
      </c>
      <c r="AI2044" s="75">
        <f>AG2035</f>
        <v>1939.5668900758262</v>
      </c>
      <c r="AJ2044" s="61"/>
      <c r="AK2044" s="69">
        <f>IFERROR(ABS(AJ$23-AJ2043),Q_max*10)</f>
        <v>5500</v>
      </c>
      <c r="AL2044" s="75">
        <f>AJ2035</f>
        <v>2588.3595336676431</v>
      </c>
      <c r="AM2044" s="61"/>
      <c r="AN2044" s="69">
        <f>IFERROR(ABS(AM$23-AM2043),Q_max*10)</f>
        <v>5500</v>
      </c>
      <c r="AO2044" s="75">
        <f>AM2035</f>
        <v>3158.2905227856231</v>
      </c>
      <c r="AP2044" s="61"/>
      <c r="AQ2044" s="69">
        <f>IFERROR(ABS(AP$23-AP2043),Q_max*10)</f>
        <v>5500</v>
      </c>
      <c r="AR2044" s="75">
        <f>AP2035</f>
        <v>3666.6772489933915</v>
      </c>
      <c r="AS2044" s="61"/>
      <c r="AT2044" s="69">
        <f>IFERROR(ABS(AS$23-AS2043),Q_max*10)</f>
        <v>5500</v>
      </c>
      <c r="AU2044" s="75">
        <f>AS2035</f>
        <v>4173.0207385969989</v>
      </c>
    </row>
    <row r="2045" spans="15:47" ht="14.5" x14ac:dyDescent="0.35">
      <c r="O2045" s="6"/>
      <c r="P2045" s="6"/>
      <c r="Q2045" s="60"/>
      <c r="R2045" s="67"/>
      <c r="S2045" s="56"/>
      <c r="T2045" s="72"/>
      <c r="V2045" s="11"/>
      <c r="W2045" s="38"/>
      <c r="Y2045" s="11"/>
      <c r="Z2045" s="38"/>
      <c r="AB2045" s="11"/>
      <c r="AC2045" s="38"/>
      <c r="AE2045" s="11"/>
      <c r="AF2045" s="38"/>
      <c r="AH2045" s="11"/>
      <c r="AI2045" s="38"/>
      <c r="AK2045" s="11"/>
      <c r="AL2045" s="38"/>
      <c r="AN2045" s="11"/>
      <c r="AO2045" s="38"/>
      <c r="AQ2045" s="11"/>
      <c r="AR2045" s="38"/>
      <c r="AT2045" s="11"/>
      <c r="AU2045" s="38"/>
    </row>
    <row r="2046" spans="15:47" ht="14" x14ac:dyDescent="0.3">
      <c r="O2046" s="8" t="s">
        <v>235</v>
      </c>
      <c r="P2046" s="6"/>
      <c r="Q2046" s="60"/>
      <c r="R2046" s="53">
        <f>R2035*1.02</f>
        <v>29.986199042150311</v>
      </c>
      <c r="S2046" s="58" t="s">
        <v>238</v>
      </c>
      <c r="T2046" s="73" t="s">
        <v>241</v>
      </c>
      <c r="U2046" s="84">
        <f>U2035*1.01</f>
        <v>174.55500521915164</v>
      </c>
      <c r="V2046" s="58" t="s">
        <v>238</v>
      </c>
      <c r="W2046" s="73" t="s">
        <v>241</v>
      </c>
      <c r="X2046" s="84">
        <f>X2035*1.01</f>
        <v>418.99920527698379</v>
      </c>
      <c r="Y2046" s="58" t="s">
        <v>238</v>
      </c>
      <c r="Z2046" s="73" t="s">
        <v>241</v>
      </c>
      <c r="AA2046" s="84">
        <f>AA2035*1.01</f>
        <v>800.02304112755826</v>
      </c>
      <c r="AB2046" s="58" t="s">
        <v>238</v>
      </c>
      <c r="AC2046" s="73" t="s">
        <v>241</v>
      </c>
      <c r="AD2046" s="84">
        <f>AD2035*1.01</f>
        <v>1315.7433516466999</v>
      </c>
      <c r="AE2046" s="58" t="s">
        <v>238</v>
      </c>
      <c r="AF2046" s="73" t="s">
        <v>241</v>
      </c>
      <c r="AG2046" s="84">
        <f>AG2035*1.01</f>
        <v>1958.9625589765844</v>
      </c>
      <c r="AH2046" s="58" t="s">
        <v>238</v>
      </c>
      <c r="AI2046" s="73" t="s">
        <v>241</v>
      </c>
      <c r="AJ2046" s="84">
        <f>AJ2035*1.01</f>
        <v>2614.2431290043196</v>
      </c>
      <c r="AK2046" s="58" t="s">
        <v>238</v>
      </c>
      <c r="AL2046" s="73" t="s">
        <v>241</v>
      </c>
      <c r="AM2046" s="84">
        <f>AM2035*1.01</f>
        <v>3189.8734280134795</v>
      </c>
      <c r="AN2046" s="58" t="s">
        <v>238</v>
      </c>
      <c r="AO2046" s="73" t="s">
        <v>241</v>
      </c>
      <c r="AP2046" s="84">
        <f>AP2035*1.01</f>
        <v>3703.3440214833254</v>
      </c>
      <c r="AQ2046" s="58" t="s">
        <v>238</v>
      </c>
      <c r="AR2046" s="73" t="s">
        <v>241</v>
      </c>
      <c r="AS2046" s="84">
        <f>AS2035*1.01</f>
        <v>4214.7509459829689</v>
      </c>
      <c r="AT2046" s="58" t="s">
        <v>238</v>
      </c>
      <c r="AU2046" s="73" t="s">
        <v>241</v>
      </c>
    </row>
    <row r="2047" spans="15:47" ht="13" x14ac:dyDescent="0.25">
      <c r="O2047" s="6"/>
      <c r="P2047" s="6"/>
      <c r="Q2047" s="60"/>
      <c r="R2047" s="70"/>
      <c r="S2047" s="63" t="s">
        <v>250</v>
      </c>
      <c r="T2047" s="71" t="s">
        <v>242</v>
      </c>
      <c r="U2047" s="61"/>
      <c r="V2047" s="63" t="s">
        <v>250</v>
      </c>
      <c r="W2047" s="71" t="s">
        <v>242</v>
      </c>
      <c r="X2047" s="61"/>
      <c r="Y2047" s="63" t="s">
        <v>250</v>
      </c>
      <c r="Z2047" s="71" t="s">
        <v>242</v>
      </c>
      <c r="AA2047" s="61"/>
      <c r="AB2047" s="63" t="s">
        <v>250</v>
      </c>
      <c r="AC2047" s="71" t="s">
        <v>242</v>
      </c>
      <c r="AD2047" s="61"/>
      <c r="AE2047" s="63" t="s">
        <v>250</v>
      </c>
      <c r="AF2047" s="71" t="s">
        <v>242</v>
      </c>
      <c r="AG2047" s="61"/>
      <c r="AH2047" s="63" t="s">
        <v>250</v>
      </c>
      <c r="AI2047" s="71" t="s">
        <v>242</v>
      </c>
      <c r="AJ2047" s="61"/>
      <c r="AK2047" s="63" t="s">
        <v>250</v>
      </c>
      <c r="AL2047" s="71" t="s">
        <v>242</v>
      </c>
      <c r="AM2047" s="61"/>
      <c r="AN2047" s="63" t="s">
        <v>250</v>
      </c>
      <c r="AO2047" s="71" t="s">
        <v>242</v>
      </c>
      <c r="AP2047" s="61"/>
      <c r="AQ2047" s="63" t="s">
        <v>250</v>
      </c>
      <c r="AR2047" s="71" t="s">
        <v>242</v>
      </c>
      <c r="AS2047" s="61"/>
      <c r="AT2047" s="63" t="s">
        <v>250</v>
      </c>
      <c r="AU2047" s="71" t="s">
        <v>242</v>
      </c>
    </row>
    <row r="2048" spans="15:47" ht="13" x14ac:dyDescent="0.3">
      <c r="O2048" s="6" t="s">
        <v>231</v>
      </c>
      <c r="P2048" s="6"/>
      <c r="Q2048" s="60"/>
      <c r="R2048" s="85">
        <f>P_1_minQ-(R2046^2*R_up)+dpup_minQ</f>
        <v>56.885776017122744</v>
      </c>
      <c r="S2048" s="56"/>
      <c r="T2048" s="72"/>
      <c r="U2048" s="53">
        <f>P_1_minQ-(U2046^2*R_up)+dpup_minQ</f>
        <v>55.887117533027421</v>
      </c>
      <c r="V2048" s="44"/>
      <c r="W2048" s="72"/>
      <c r="X2048" s="53">
        <f>P_1_minQ-(X2046^2*R_up)+dpup_minQ</f>
        <v>50.987053899941102</v>
      </c>
      <c r="Y2048" s="44"/>
      <c r="Z2048" s="72"/>
      <c r="AA2048" s="53">
        <f>P_1_minQ-(AA2046^2*R_up)+dpup_minQ</f>
        <v>35.300578644546206</v>
      </c>
      <c r="AB2048" s="44"/>
      <c r="AC2048" s="72"/>
      <c r="AD2048" s="53">
        <f>P_1_minQ-(AD2046^2*R_up)+dpup_minQ</f>
        <v>-1.5499347315937628</v>
      </c>
      <c r="AE2048" s="44"/>
      <c r="AF2048" s="72"/>
      <c r="AG2048" s="53">
        <f>P_1_minQ-(AG2046^2*R_up)+dpup_minQ</f>
        <v>-72.686501434383246</v>
      </c>
      <c r="AH2048" s="44"/>
      <c r="AI2048" s="72"/>
      <c r="AJ2048" s="53">
        <f>P_1_minQ-(AJ2046^2*R_up)+dpup_minQ</f>
        <v>-173.89328394279957</v>
      </c>
      <c r="AK2048" s="44"/>
      <c r="AL2048" s="72"/>
      <c r="AM2048" s="53">
        <f>P_1_minQ-(AM2046^2*R_up)+dpup_minQ</f>
        <v>-286.72764224067777</v>
      </c>
      <c r="AN2048" s="44"/>
      <c r="AO2048" s="72"/>
      <c r="AP2048" s="53">
        <f>P_1_minQ-(AP2046^2*R_up)+dpup_minQ</f>
        <v>-406.26376026532552</v>
      </c>
      <c r="AQ2048" s="44"/>
      <c r="AR2048" s="72"/>
      <c r="AS2048" s="53">
        <f>P_1_minQ-(AS2046^2*R_up)+dpup_minQ</f>
        <v>-543.02055172794098</v>
      </c>
      <c r="AT2048" s="44"/>
      <c r="AU2048" s="72"/>
    </row>
    <row r="2049" spans="15:47" ht="13" x14ac:dyDescent="0.3">
      <c r="O2049" s="6" t="s">
        <v>233</v>
      </c>
      <c r="P2049" s="6"/>
      <c r="Q2049" s="60"/>
      <c r="R2049" s="85">
        <f>P_2_minQ+(R2046^2*R_dn)-dpdn_minQ</f>
        <v>24.662844796575452</v>
      </c>
      <c r="S2049" s="66"/>
      <c r="T2049" s="74"/>
      <c r="U2049" s="53">
        <f>P_2_minQ+(U2046^2*R_dn)-dpdn_minQ</f>
        <v>24.862576493394517</v>
      </c>
      <c r="V2049" s="45"/>
      <c r="W2049" s="74"/>
      <c r="X2049" s="53">
        <f>P_2_minQ+(X2046^2*R_dn)-dpdn_minQ</f>
        <v>25.842589220011781</v>
      </c>
      <c r="Y2049" s="45"/>
      <c r="Z2049" s="74"/>
      <c r="AA2049" s="53">
        <f>P_2_minQ+(AA2046^2*R_dn)-dpdn_minQ</f>
        <v>28.979884271090757</v>
      </c>
      <c r="AB2049" s="45"/>
      <c r="AC2049" s="74"/>
      <c r="AD2049" s="53">
        <f>P_2_minQ+(AD2046^2*R_dn)-dpdn_minQ</f>
        <v>36.349986946318758</v>
      </c>
      <c r="AE2049" s="45"/>
      <c r="AF2049" s="74"/>
      <c r="AG2049" s="53">
        <f>P_2_minQ+(AG2046^2*R_dn)-dpdn_minQ</f>
        <v>50.57730028687665</v>
      </c>
      <c r="AH2049" s="45"/>
      <c r="AI2049" s="74"/>
      <c r="AJ2049" s="53">
        <f>P_2_minQ+(AJ2046^2*R_dn)-dpdn_minQ</f>
        <v>70.81865678855992</v>
      </c>
      <c r="AK2049" s="45"/>
      <c r="AL2049" s="74"/>
      <c r="AM2049" s="53">
        <f>P_2_minQ+(AM2046^2*R_dn)-dpdn_minQ</f>
        <v>93.385528448135545</v>
      </c>
      <c r="AN2049" s="45"/>
      <c r="AO2049" s="74"/>
      <c r="AP2049" s="53">
        <f>P_2_minQ+(AP2046^2*R_dn)-dpdn_minQ</f>
        <v>117.2927520530651</v>
      </c>
      <c r="AQ2049" s="45"/>
      <c r="AR2049" s="74"/>
      <c r="AS2049" s="53">
        <f>P_2_minQ+(AS2046^2*R_dn)-dpdn_minQ</f>
        <v>144.64411034558819</v>
      </c>
      <c r="AT2049" s="45"/>
      <c r="AU2049" s="74"/>
    </row>
    <row r="2050" spans="15:47" x14ac:dyDescent="0.25">
      <c r="O2050" s="6" t="s">
        <v>243</v>
      </c>
      <c r="Q2050" s="60"/>
      <c r="R2050" s="53">
        <f>R2048-R2049</f>
        <v>32.222931220547295</v>
      </c>
      <c r="S2050" s="56"/>
      <c r="T2050" s="72"/>
      <c r="U2050" s="64">
        <f>U2048-U2049</f>
        <v>31.024541039632904</v>
      </c>
      <c r="V2050" s="44"/>
      <c r="W2050" s="72"/>
      <c r="X2050" s="64">
        <f>X2048-X2049</f>
        <v>25.144464679929321</v>
      </c>
      <c r="Y2050" s="44"/>
      <c r="Z2050" s="72"/>
      <c r="AA2050" s="64">
        <f>AA2048-AA2049</f>
        <v>6.3206943734554493</v>
      </c>
      <c r="AB2050" s="44"/>
      <c r="AC2050" s="72"/>
      <c r="AD2050" s="64">
        <f>AD2048-AD2049</f>
        <v>-37.899921677912523</v>
      </c>
      <c r="AE2050" s="44"/>
      <c r="AF2050" s="72"/>
      <c r="AG2050" s="64">
        <f>AG2048-AG2049</f>
        <v>-123.2638017212599</v>
      </c>
      <c r="AH2050" s="44"/>
      <c r="AI2050" s="72"/>
      <c r="AJ2050" s="64">
        <f>AJ2048-AJ2049</f>
        <v>-244.7119407313595</v>
      </c>
      <c r="AK2050" s="44"/>
      <c r="AL2050" s="72"/>
      <c r="AM2050" s="64">
        <f>AM2048-AM2049</f>
        <v>-380.11317068881328</v>
      </c>
      <c r="AN2050" s="44"/>
      <c r="AO2050" s="72"/>
      <c r="AP2050" s="64">
        <f>AP2048-AP2049</f>
        <v>-523.55651231839056</v>
      </c>
      <c r="AQ2050" s="44"/>
      <c r="AR2050" s="72"/>
      <c r="AS2050" s="64">
        <f>AS2048-AS2049</f>
        <v>-687.66466207352914</v>
      </c>
      <c r="AT2050" s="44"/>
      <c r="AU2050" s="72"/>
    </row>
    <row r="2051" spans="15:47" ht="13" x14ac:dyDescent="0.3">
      <c r="O2051" s="6" t="s">
        <v>75</v>
      </c>
      <c r="P2051" s="6">
        <v>3</v>
      </c>
      <c r="Q2051" s="65"/>
      <c r="R2051" s="85">
        <f>(F_LP_h/F_P_h)^2*(R2048-('Valve Sizing'!$V$4*'Valve Sizing'!$G$7))</f>
        <v>46.740017624574044</v>
      </c>
      <c r="S2051" s="58"/>
      <c r="T2051" s="73"/>
      <c r="U2051" s="53">
        <f>(U$29/U$27)^2*(U2048-('Valve Sizing'!$V$4*'Valve Sizing'!$G$7))</f>
        <v>45.900561972434183</v>
      </c>
      <c r="V2051" s="41"/>
      <c r="W2051" s="73"/>
      <c r="X2051" s="53">
        <f>(X$29/X$27)^2*(X2048-('Valve Sizing'!$V$4*'Valve Sizing'!$G$7))</f>
        <v>40.900282194710002</v>
      </c>
      <c r="Y2051" s="41"/>
      <c r="Z2051" s="73"/>
      <c r="AA2051" s="53">
        <f>(AA$29/AA$27)^2*(AA2048-('Valve Sizing'!$V$4*'Valve Sizing'!$G$7))</f>
        <v>26.94011374486297</v>
      </c>
      <c r="AB2051" s="41"/>
      <c r="AC2051" s="73"/>
      <c r="AD2051" s="53">
        <f>(AD$29/AD$27)^2*(AD2048-('Valve Sizing'!$V$4*'Valve Sizing'!$G$7))</f>
        <v>-1.4351574596545886</v>
      </c>
      <c r="AE2051" s="41"/>
      <c r="AF2051" s="73"/>
      <c r="AG2051" s="53">
        <f>(AG$29/AG$27)^2*(AG2048-('Valve Sizing'!$V$4*'Valve Sizing'!$G$7))</f>
        <v>-47.096718061341612</v>
      </c>
      <c r="AH2051" s="41"/>
      <c r="AI2051" s="73"/>
      <c r="AJ2051" s="53">
        <f>(AJ$29/AJ$27)^2*(AJ2048-('Valve Sizing'!$V$4*'Valve Sizing'!$G$7))</f>
        <v>-100.82818724648395</v>
      </c>
      <c r="AK2051" s="41"/>
      <c r="AL2051" s="73"/>
      <c r="AM2051" s="53">
        <f>(AM$29/AM$27)^2*(AM2048-('Valve Sizing'!$V$4*'Valve Sizing'!$G$7))</f>
        <v>-137.40174658659942</v>
      </c>
      <c r="AN2051" s="41"/>
      <c r="AO2051" s="73"/>
      <c r="AP2051" s="53">
        <f>(AP$29/AP$27)^2*(AP2048-('Valve Sizing'!$V$4*'Valve Sizing'!$G$7))</f>
        <v>-160.49623734595519</v>
      </c>
      <c r="AQ2051" s="41"/>
      <c r="AR2051" s="73"/>
      <c r="AS2051" s="53">
        <f>(AS$29/AS$27)^2*(AS2048-('Valve Sizing'!$V$4*'Valve Sizing'!$G$7))</f>
        <v>-204.41770518269593</v>
      </c>
      <c r="AT2051" s="41"/>
      <c r="AU2051" s="73"/>
    </row>
    <row r="2052" spans="15:47" ht="13" x14ac:dyDescent="0.25">
      <c r="O2052" s="1" t="s">
        <v>69</v>
      </c>
      <c r="P2052" s="17">
        <v>7</v>
      </c>
      <c r="Q2052" s="65"/>
      <c r="R2052" s="53">
        <f>(R2046/(N_1*F_P_h))*SQRT('Valve Sizing'!$G$6/R2050)</f>
        <v>5.2832653791693636</v>
      </c>
      <c r="S2052" s="58"/>
      <c r="T2052" s="73"/>
      <c r="U2052" s="64">
        <f>(U2046/(N_1*U$27))*SQRT('Valve Sizing'!$G$6/U2050)</f>
        <v>31.365000156781896</v>
      </c>
      <c r="V2052" s="41"/>
      <c r="W2052" s="73"/>
      <c r="X2052" s="64">
        <f>(X2046/(N_1*X$27))*SQRT('Valve Sizing'!$G$6/X2050)</f>
        <v>83.817040044902541</v>
      </c>
      <c r="Y2052" s="41"/>
      <c r="Z2052" s="73"/>
      <c r="AA2052" s="64">
        <f>(AA2046/(N_1*AA$27))*SQRT('Valve Sizing'!$G$6/AA2050)</f>
        <v>321.03452649792121</v>
      </c>
      <c r="AB2052" s="41"/>
      <c r="AC2052" s="73"/>
      <c r="AD2052" s="64" t="e">
        <f>(AD2046/(N_1*AD$27))*SQRT('Valve Sizing'!$G$6/AD2050)</f>
        <v>#NUM!</v>
      </c>
      <c r="AE2052" s="41"/>
      <c r="AF2052" s="73"/>
      <c r="AG2052" s="64" t="e">
        <f>(AG2046/(N_1*AG$27))*SQRT('Valve Sizing'!$G$6/AG2050)</f>
        <v>#NUM!</v>
      </c>
      <c r="AH2052" s="41"/>
      <c r="AI2052" s="73"/>
      <c r="AJ2052" s="64" t="e">
        <f>(AJ2046/(N_1*AJ$27))*SQRT('Valve Sizing'!$G$6/AJ2050)</f>
        <v>#NUM!</v>
      </c>
      <c r="AK2052" s="41"/>
      <c r="AL2052" s="73"/>
      <c r="AM2052" s="64" t="e">
        <f>(AM2046/(N_1*AM$27))*SQRT('Valve Sizing'!$G$6/AM2050)</f>
        <v>#NUM!</v>
      </c>
      <c r="AN2052" s="41"/>
      <c r="AO2052" s="73"/>
      <c r="AP2052" s="64" t="e">
        <f>(AP2046/(N_1*AP$27))*SQRT('Valve Sizing'!$G$6/AP2050)</f>
        <v>#NUM!</v>
      </c>
      <c r="AQ2052" s="41"/>
      <c r="AR2052" s="73"/>
      <c r="AS2052" s="64" t="e">
        <f>(AS2046/(N_1*AS$27))*SQRT('Valve Sizing'!$G$6/AS2050)</f>
        <v>#NUM!</v>
      </c>
      <c r="AT2052" s="41"/>
      <c r="AU2052" s="73"/>
    </row>
    <row r="2053" spans="15:47" ht="13" x14ac:dyDescent="0.3">
      <c r="O2053" s="1" t="s">
        <v>72</v>
      </c>
      <c r="P2053" s="17">
        <v>7</v>
      </c>
      <c r="Q2053" s="65"/>
      <c r="R2053" s="53">
        <f>(R2046/(N_1*F_P_h))*SQRT('Valve Sizing'!$G$6/R2051)</f>
        <v>4.3867260347324866</v>
      </c>
      <c r="S2053" s="56"/>
      <c r="T2053" s="72"/>
      <c r="U2053" s="85">
        <f>(U2046/(N_1*U$27))*SQRT('Valve Sizing'!$G$6/U2051)</f>
        <v>25.786296701299893</v>
      </c>
      <c r="V2053" s="44"/>
      <c r="W2053" s="72"/>
      <c r="X2053" s="85">
        <f>(X2046/(N_1*X$27))*SQRT('Valve Sizing'!$G$6/X2051)</f>
        <v>65.718911960724</v>
      </c>
      <c r="Y2053" s="44"/>
      <c r="Z2053" s="72"/>
      <c r="AA2053" s="85">
        <f>(AA2046/(N_1*AA$27))*SQRT('Valve Sizing'!$G$6/AA2051)</f>
        <v>155.50144367127206</v>
      </c>
      <c r="AB2053" s="44"/>
      <c r="AC2053" s="72"/>
      <c r="AD2053" s="85" t="e">
        <f>(AD2046/(N_1*AD$27))*SQRT('Valve Sizing'!$G$6/AD2051)</f>
        <v>#NUM!</v>
      </c>
      <c r="AE2053" s="44"/>
      <c r="AF2053" s="72"/>
      <c r="AG2053" s="85" t="e">
        <f>(AG2046/(N_1*AG$27))*SQRT('Valve Sizing'!$G$6/AG2051)</f>
        <v>#NUM!</v>
      </c>
      <c r="AH2053" s="44"/>
      <c r="AI2053" s="72"/>
      <c r="AJ2053" s="85" t="e">
        <f>(AJ2046/(N_1*AJ$27))*SQRT('Valve Sizing'!$G$6/AJ2051)</f>
        <v>#NUM!</v>
      </c>
      <c r="AK2053" s="44"/>
      <c r="AL2053" s="72"/>
      <c r="AM2053" s="85" t="e">
        <f>(AM2046/(N_1*AM$27))*SQRT('Valve Sizing'!$G$6/AM2051)</f>
        <v>#NUM!</v>
      </c>
      <c r="AN2053" s="44"/>
      <c r="AO2053" s="72"/>
      <c r="AP2053" s="85" t="e">
        <f>(AP2046/(N_1*AP$27))*SQRT('Valve Sizing'!$G$6/AP2051)</f>
        <v>#NUM!</v>
      </c>
      <c r="AQ2053" s="44"/>
      <c r="AR2053" s="72"/>
      <c r="AS2053" s="85" t="e">
        <f>(AS2046/(N_1*AS$27))*SQRT('Valve Sizing'!$G$6/AS2051)</f>
        <v>#NUM!</v>
      </c>
      <c r="AT2053" s="44"/>
      <c r="AU2053" s="72"/>
    </row>
    <row r="2054" spans="15:47" x14ac:dyDescent="0.25">
      <c r="O2054" s="1" t="s">
        <v>246</v>
      </c>
      <c r="P2054" s="18"/>
      <c r="Q2054" s="65"/>
      <c r="R2054" s="53">
        <f>IF(R2050&lt;R2051,R2052,R2053)</f>
        <v>5.2832653791693636</v>
      </c>
      <c r="S2054" s="49"/>
      <c r="T2054" s="72"/>
      <c r="U2054" s="64">
        <f>IF(U2050&lt;U2051,U2052,U2053)</f>
        <v>31.365000156781896</v>
      </c>
      <c r="V2054" s="44"/>
      <c r="W2054" s="72"/>
      <c r="X2054" s="64">
        <f>IF(X2050&lt;X2051,X2052,X2053)</f>
        <v>83.817040044902541</v>
      </c>
      <c r="Y2054" s="44"/>
      <c r="Z2054" s="72"/>
      <c r="AA2054" s="64">
        <f>IF(AA2050&lt;AA2051,AA2052,AA2053)</f>
        <v>321.03452649792121</v>
      </c>
      <c r="AB2054" s="44"/>
      <c r="AC2054" s="72"/>
      <c r="AD2054" s="64" t="e">
        <f>IF(AD2050&lt;AD2051,AD2052,AD2053)</f>
        <v>#NUM!</v>
      </c>
      <c r="AE2054" s="44"/>
      <c r="AF2054" s="72"/>
      <c r="AG2054" s="64" t="e">
        <f>IF(AG2050&lt;AG2051,AG2052,AG2053)</f>
        <v>#NUM!</v>
      </c>
      <c r="AH2054" s="44"/>
      <c r="AI2054" s="72"/>
      <c r="AJ2054" s="64" t="e">
        <f>IF(AJ2050&lt;AJ2051,AJ2052,AJ2053)</f>
        <v>#NUM!</v>
      </c>
      <c r="AK2054" s="44"/>
      <c r="AL2054" s="72"/>
      <c r="AM2054" s="64" t="e">
        <f>IF(AM2050&lt;AM2051,AM2052,AM2053)</f>
        <v>#NUM!</v>
      </c>
      <c r="AN2054" s="44"/>
      <c r="AO2054" s="72"/>
      <c r="AP2054" s="64" t="e">
        <f>IF(AP2050&lt;AP2051,AP2052,AP2053)</f>
        <v>#NUM!</v>
      </c>
      <c r="AQ2054" s="44"/>
      <c r="AR2054" s="72"/>
      <c r="AS2054" s="64" t="e">
        <f>IF(AS2050&lt;AS2051,AS2052,AS2053)</f>
        <v>#NUM!</v>
      </c>
      <c r="AT2054" s="44"/>
      <c r="AU2054" s="72"/>
    </row>
    <row r="2055" spans="15:47" ht="13" x14ac:dyDescent="0.3">
      <c r="O2055" s="7" t="s">
        <v>264</v>
      </c>
      <c r="Q2055" s="61"/>
      <c r="R2055" s="53"/>
      <c r="S2055" s="69">
        <f>IFERROR(ABS(C_h-R2054),Q_max*10)</f>
        <v>0.28326537916936356</v>
      </c>
      <c r="T2055" s="76">
        <f>R2046</f>
        <v>29.986199042150311</v>
      </c>
      <c r="U2055" s="61"/>
      <c r="V2055" s="69">
        <f>IFERROR(ABS(U$23-U2054),Q_max*10)</f>
        <v>19.365000156781896</v>
      </c>
      <c r="W2055" s="75">
        <f>U2046</f>
        <v>174.55500521915164</v>
      </c>
      <c r="X2055" s="61"/>
      <c r="Y2055" s="69">
        <f>IFERROR(ABS(X$23-X2054),Q_max*10)</f>
        <v>60.817040044902541</v>
      </c>
      <c r="Z2055" s="75">
        <f>X2046</f>
        <v>418.99920527698379</v>
      </c>
      <c r="AA2055" s="61"/>
      <c r="AB2055" s="69">
        <f>IFERROR(ABS(AA$23-AA2054),Q_max*10)</f>
        <v>282.03452649792121</v>
      </c>
      <c r="AC2055" s="75">
        <f>AA2046</f>
        <v>800.02304112755826</v>
      </c>
      <c r="AD2055" s="61"/>
      <c r="AE2055" s="69">
        <f>IFERROR(ABS(AD$23-AD2054),Q_max*10)</f>
        <v>5500</v>
      </c>
      <c r="AF2055" s="75">
        <f>AD2046</f>
        <v>1315.7433516466999</v>
      </c>
      <c r="AG2055" s="61"/>
      <c r="AH2055" s="69">
        <f>IFERROR(ABS(AG$23-AG2054),Q_max*10)</f>
        <v>5500</v>
      </c>
      <c r="AI2055" s="75">
        <f>AG2046</f>
        <v>1958.9625589765844</v>
      </c>
      <c r="AJ2055" s="61"/>
      <c r="AK2055" s="69">
        <f>IFERROR(ABS(AJ$23-AJ2054),Q_max*10)</f>
        <v>5500</v>
      </c>
      <c r="AL2055" s="75">
        <f>AJ2046</f>
        <v>2614.2431290043196</v>
      </c>
      <c r="AM2055" s="61"/>
      <c r="AN2055" s="69">
        <f>IFERROR(ABS(AM$23-AM2054),Q_max*10)</f>
        <v>5500</v>
      </c>
      <c r="AO2055" s="75">
        <f>AM2046</f>
        <v>3189.8734280134795</v>
      </c>
      <c r="AP2055" s="61"/>
      <c r="AQ2055" s="69">
        <f>IFERROR(ABS(AP$23-AP2054),Q_max*10)</f>
        <v>5500</v>
      </c>
      <c r="AR2055" s="75">
        <f>AP2046</f>
        <v>3703.3440214833254</v>
      </c>
      <c r="AS2055" s="61"/>
      <c r="AT2055" s="69">
        <f>IFERROR(ABS(AS$23-AS2054),Q_max*10)</f>
        <v>5500</v>
      </c>
      <c r="AU2055" s="75">
        <f>AS2046</f>
        <v>4214.7509459829689</v>
      </c>
    </row>
    <row r="2056" spans="15:47" ht="14.5" x14ac:dyDescent="0.35">
      <c r="O2056" s="6"/>
      <c r="P2056" s="6"/>
      <c r="Q2056" s="60"/>
      <c r="R2056" s="67"/>
      <c r="S2056" s="66"/>
      <c r="T2056" s="74"/>
      <c r="V2056" s="11"/>
      <c r="W2056" s="38"/>
      <c r="Y2056" s="11"/>
      <c r="Z2056" s="38"/>
      <c r="AB2056" s="11"/>
      <c r="AC2056" s="38"/>
      <c r="AE2056" s="11"/>
      <c r="AF2056" s="38"/>
      <c r="AH2056" s="11"/>
      <c r="AI2056" s="38"/>
      <c r="AK2056" s="11"/>
      <c r="AL2056" s="38"/>
      <c r="AN2056" s="11"/>
      <c r="AO2056" s="38"/>
      <c r="AQ2056" s="11"/>
      <c r="AR2056" s="38"/>
      <c r="AT2056" s="11"/>
      <c r="AU2056" s="38"/>
    </row>
    <row r="2057" spans="15:47" ht="14" x14ac:dyDescent="0.3">
      <c r="O2057" s="8" t="s">
        <v>235</v>
      </c>
      <c r="P2057" s="6"/>
      <c r="Q2057" s="60"/>
      <c r="R2057" s="53">
        <f>R2046*1.02</f>
        <v>30.585923022993317</v>
      </c>
      <c r="S2057" s="58" t="s">
        <v>238</v>
      </c>
      <c r="T2057" s="73" t="s">
        <v>241</v>
      </c>
      <c r="U2057" s="84">
        <f>U2046*1.01</f>
        <v>176.30055527134314</v>
      </c>
      <c r="V2057" s="58" t="s">
        <v>238</v>
      </c>
      <c r="W2057" s="73" t="s">
        <v>241</v>
      </c>
      <c r="X2057" s="84">
        <f>X2046*1.01</f>
        <v>423.18919732975365</v>
      </c>
      <c r="Y2057" s="58" t="s">
        <v>238</v>
      </c>
      <c r="Z2057" s="73" t="s">
        <v>241</v>
      </c>
      <c r="AA2057" s="84">
        <f>AA2046*1.01</f>
        <v>808.0232715388338</v>
      </c>
      <c r="AB2057" s="58" t="s">
        <v>238</v>
      </c>
      <c r="AC2057" s="73" t="s">
        <v>241</v>
      </c>
      <c r="AD2057" s="84">
        <f>AD2046*1.01</f>
        <v>1328.900785163167</v>
      </c>
      <c r="AE2057" s="58" t="s">
        <v>238</v>
      </c>
      <c r="AF2057" s="73" t="s">
        <v>241</v>
      </c>
      <c r="AG2057" s="84">
        <f>AG2046*1.01</f>
        <v>1978.5521845663502</v>
      </c>
      <c r="AH2057" s="58" t="s">
        <v>238</v>
      </c>
      <c r="AI2057" s="73" t="s">
        <v>241</v>
      </c>
      <c r="AJ2057" s="84">
        <f>AJ2046*1.01</f>
        <v>2640.3855602943627</v>
      </c>
      <c r="AK2057" s="58" t="s">
        <v>238</v>
      </c>
      <c r="AL2057" s="73" t="s">
        <v>241</v>
      </c>
      <c r="AM2057" s="84">
        <f>AM2046*1.01</f>
        <v>3221.7721622936142</v>
      </c>
      <c r="AN2057" s="58" t="s">
        <v>238</v>
      </c>
      <c r="AO2057" s="73" t="s">
        <v>241</v>
      </c>
      <c r="AP2057" s="84">
        <f>AP2046*1.01</f>
        <v>3740.3774616981586</v>
      </c>
      <c r="AQ2057" s="58" t="s">
        <v>238</v>
      </c>
      <c r="AR2057" s="73" t="s">
        <v>241</v>
      </c>
      <c r="AS2057" s="84">
        <f>AS2046*1.01</f>
        <v>4256.8984554427989</v>
      </c>
      <c r="AT2057" s="58" t="s">
        <v>238</v>
      </c>
      <c r="AU2057" s="73" t="s">
        <v>241</v>
      </c>
    </row>
    <row r="2058" spans="15:47" ht="13" x14ac:dyDescent="0.25">
      <c r="O2058" s="6"/>
      <c r="P2058" s="6"/>
      <c r="Q2058" s="60"/>
      <c r="R2058" s="70"/>
      <c r="S2058" s="63" t="s">
        <v>250</v>
      </c>
      <c r="T2058" s="71" t="s">
        <v>242</v>
      </c>
      <c r="U2058" s="61"/>
      <c r="V2058" s="63" t="s">
        <v>250</v>
      </c>
      <c r="W2058" s="71" t="s">
        <v>242</v>
      </c>
      <c r="X2058" s="61"/>
      <c r="Y2058" s="63" t="s">
        <v>250</v>
      </c>
      <c r="Z2058" s="71" t="s">
        <v>242</v>
      </c>
      <c r="AA2058" s="61"/>
      <c r="AB2058" s="63" t="s">
        <v>250</v>
      </c>
      <c r="AC2058" s="71" t="s">
        <v>242</v>
      </c>
      <c r="AD2058" s="61"/>
      <c r="AE2058" s="63" t="s">
        <v>250</v>
      </c>
      <c r="AF2058" s="71" t="s">
        <v>242</v>
      </c>
      <c r="AG2058" s="61"/>
      <c r="AH2058" s="63" t="s">
        <v>250</v>
      </c>
      <c r="AI2058" s="71" t="s">
        <v>242</v>
      </c>
      <c r="AJ2058" s="61"/>
      <c r="AK2058" s="63" t="s">
        <v>250</v>
      </c>
      <c r="AL2058" s="71" t="s">
        <v>242</v>
      </c>
      <c r="AM2058" s="61"/>
      <c r="AN2058" s="63" t="s">
        <v>250</v>
      </c>
      <c r="AO2058" s="71" t="s">
        <v>242</v>
      </c>
      <c r="AP2058" s="61"/>
      <c r="AQ2058" s="63" t="s">
        <v>250</v>
      </c>
      <c r="AR2058" s="71" t="s">
        <v>242</v>
      </c>
      <c r="AS2058" s="61"/>
      <c r="AT2058" s="63" t="s">
        <v>250</v>
      </c>
      <c r="AU2058" s="71" t="s">
        <v>242</v>
      </c>
    </row>
    <row r="2059" spans="15:47" ht="13" x14ac:dyDescent="0.3">
      <c r="O2059" s="6" t="s">
        <v>231</v>
      </c>
      <c r="P2059" s="6"/>
      <c r="Q2059" s="60"/>
      <c r="R2059" s="85">
        <f>P_1_minQ-(R2057^2*R_up)+dpup_minQ</f>
        <v>56.884549183141893</v>
      </c>
      <c r="S2059" s="56"/>
      <c r="T2059" s="72"/>
      <c r="U2059" s="53">
        <f>P_1_minQ-(U2057^2*R_up)+dpup_minQ</f>
        <v>55.866434117224451</v>
      </c>
      <c r="V2059" s="44"/>
      <c r="W2059" s="72"/>
      <c r="X2059" s="53">
        <f>P_1_minQ-(X2057^2*R_up)+dpup_minQ</f>
        <v>50.867879205113098</v>
      </c>
      <c r="Y2059" s="44"/>
      <c r="Z2059" s="72"/>
      <c r="AA2059" s="53">
        <f>P_1_minQ-(AA2057^2*R_up)+dpup_minQ</f>
        <v>34.866105797084764</v>
      </c>
      <c r="AB2059" s="44"/>
      <c r="AC2059" s="72"/>
      <c r="AD2059" s="53">
        <f>P_1_minQ-(AD2057^2*R_up)+dpup_minQ</f>
        <v>-2.7251028979156375</v>
      </c>
      <c r="AE2059" s="44"/>
      <c r="AF2059" s="72"/>
      <c r="AG2059" s="53">
        <f>P_1_minQ-(AG2057^2*R_up)+dpup_minQ</f>
        <v>-75.291514591431167</v>
      </c>
      <c r="AH2059" s="44"/>
      <c r="AI2059" s="72"/>
      <c r="AJ2059" s="53">
        <f>P_1_minQ-(AJ2057^2*R_up)+dpup_minQ</f>
        <v>-178.53255342826665</v>
      </c>
      <c r="AK2059" s="44"/>
      <c r="AL2059" s="72"/>
      <c r="AM2059" s="53">
        <f>P_1_minQ-(AM2057^2*R_up)+dpup_minQ</f>
        <v>-293.63488232793213</v>
      </c>
      <c r="AN2059" s="44"/>
      <c r="AO2059" s="72"/>
      <c r="AP2059" s="53">
        <f>P_1_minQ-(AP2057^2*R_up)+dpup_minQ</f>
        <v>-415.57367632487546</v>
      </c>
      <c r="AQ2059" s="44"/>
      <c r="AR2059" s="72"/>
      <c r="AS2059" s="53">
        <f>P_1_minQ-(AS2057^2*R_up)+dpup_minQ</f>
        <v>-555.07927929588936</v>
      </c>
      <c r="AT2059" s="44"/>
      <c r="AU2059" s="72"/>
    </row>
    <row r="2060" spans="15:47" ht="13" x14ac:dyDescent="0.3">
      <c r="O2060" s="6" t="s">
        <v>233</v>
      </c>
      <c r="P2060" s="6"/>
      <c r="Q2060" s="60"/>
      <c r="R2060" s="85">
        <f>P_2_minQ+(R2057^2*R_dn)-dpdn_minQ</f>
        <v>24.663090163371621</v>
      </c>
      <c r="S2060" s="66"/>
      <c r="T2060" s="74"/>
      <c r="U2060" s="53">
        <f>P_2_minQ+(U2057^2*R_dn)-dpdn_minQ</f>
        <v>24.866713176555109</v>
      </c>
      <c r="V2060" s="45"/>
      <c r="W2060" s="74"/>
      <c r="X2060" s="53">
        <f>P_2_minQ+(X2057^2*R_dn)-dpdn_minQ</f>
        <v>25.866424158977381</v>
      </c>
      <c r="Y2060" s="45"/>
      <c r="Z2060" s="74"/>
      <c r="AA2060" s="53">
        <f>P_2_minQ+(AA2057^2*R_dn)-dpdn_minQ</f>
        <v>29.066778840583048</v>
      </c>
      <c r="AB2060" s="45"/>
      <c r="AC2060" s="74"/>
      <c r="AD2060" s="53">
        <f>P_2_minQ+(AD2057^2*R_dn)-dpdn_minQ</f>
        <v>36.58502057958313</v>
      </c>
      <c r="AE2060" s="45"/>
      <c r="AF2060" s="74"/>
      <c r="AG2060" s="53">
        <f>P_2_minQ+(AG2057^2*R_dn)-dpdn_minQ</f>
        <v>51.098302918286237</v>
      </c>
      <c r="AH2060" s="45"/>
      <c r="AI2060" s="74"/>
      <c r="AJ2060" s="53">
        <f>P_2_minQ+(AJ2057^2*R_dn)-dpdn_minQ</f>
        <v>71.746510685653334</v>
      </c>
      <c r="AK2060" s="45"/>
      <c r="AL2060" s="74"/>
      <c r="AM2060" s="53">
        <f>P_2_minQ+(AM2057^2*R_dn)-dpdn_minQ</f>
        <v>94.766976465586424</v>
      </c>
      <c r="AN2060" s="45"/>
      <c r="AO2060" s="74"/>
      <c r="AP2060" s="53">
        <f>P_2_minQ+(AP2057^2*R_dn)-dpdn_minQ</f>
        <v>119.15473526497509</v>
      </c>
      <c r="AQ2060" s="45"/>
      <c r="AR2060" s="74"/>
      <c r="AS2060" s="53">
        <f>P_2_minQ+(AS2057^2*R_dn)-dpdn_minQ</f>
        <v>147.05585585917788</v>
      </c>
      <c r="AT2060" s="45"/>
      <c r="AU2060" s="74"/>
    </row>
    <row r="2061" spans="15:47" x14ac:dyDescent="0.25">
      <c r="O2061" s="6" t="s">
        <v>243</v>
      </c>
      <c r="Q2061" s="60"/>
      <c r="R2061" s="53">
        <f>R2059-R2060</f>
        <v>32.221459019770272</v>
      </c>
      <c r="S2061" s="56"/>
      <c r="T2061" s="72"/>
      <c r="U2061" s="64">
        <f>U2059-U2060</f>
        <v>30.999720940669341</v>
      </c>
      <c r="V2061" s="44"/>
      <c r="W2061" s="72"/>
      <c r="X2061" s="64">
        <f>X2059-X2060</f>
        <v>25.001455046135717</v>
      </c>
      <c r="Y2061" s="44"/>
      <c r="Z2061" s="72"/>
      <c r="AA2061" s="64">
        <f>AA2059-AA2060</f>
        <v>5.7993269565017158</v>
      </c>
      <c r="AB2061" s="44"/>
      <c r="AC2061" s="72"/>
      <c r="AD2061" s="64">
        <f>AD2059-AD2060</f>
        <v>-39.31012347749877</v>
      </c>
      <c r="AE2061" s="44"/>
      <c r="AF2061" s="72"/>
      <c r="AG2061" s="64">
        <f>AG2059-AG2060</f>
        <v>-126.3898175097174</v>
      </c>
      <c r="AH2061" s="44"/>
      <c r="AI2061" s="72"/>
      <c r="AJ2061" s="64">
        <f>AJ2059-AJ2060</f>
        <v>-250.27906411391999</v>
      </c>
      <c r="AK2061" s="44"/>
      <c r="AL2061" s="72"/>
      <c r="AM2061" s="64">
        <f>AM2059-AM2060</f>
        <v>-388.40185879351856</v>
      </c>
      <c r="AN2061" s="44"/>
      <c r="AO2061" s="72"/>
      <c r="AP2061" s="64">
        <f>AP2059-AP2060</f>
        <v>-534.72841158985057</v>
      </c>
      <c r="AQ2061" s="44"/>
      <c r="AR2061" s="72"/>
      <c r="AS2061" s="64">
        <f>AS2059-AS2060</f>
        <v>-702.13513515506725</v>
      </c>
      <c r="AT2061" s="44"/>
      <c r="AU2061" s="72"/>
    </row>
    <row r="2062" spans="15:47" ht="13" x14ac:dyDescent="0.3">
      <c r="O2062" s="6" t="s">
        <v>75</v>
      </c>
      <c r="P2062" s="6">
        <v>3</v>
      </c>
      <c r="Q2062" s="65"/>
      <c r="R2062" s="85">
        <f>(F_LP_h/F_P_h)^2*(R2059-('Valve Sizing'!$V$4*'Valve Sizing'!$G$7))</f>
        <v>46.739001741641459</v>
      </c>
      <c r="S2062" s="58"/>
      <c r="T2062" s="73"/>
      <c r="U2062" s="53">
        <f>(U$29/U$27)^2*(U2059-('Valve Sizing'!$V$4*'Valve Sizing'!$G$7))</f>
        <v>45.883439686578207</v>
      </c>
      <c r="V2062" s="41"/>
      <c r="W2062" s="73"/>
      <c r="X2062" s="53">
        <f>(X$29/X$27)^2*(X2059-('Valve Sizing'!$V$4*'Valve Sizing'!$G$7))</f>
        <v>40.803851565545408</v>
      </c>
      <c r="Y2062" s="41"/>
      <c r="Z2062" s="73"/>
      <c r="AA2062" s="53">
        <f>(AA$29/AA$27)^2*(AA2059-('Valve Sizing'!$V$4*'Valve Sizing'!$G$7))</f>
        <v>26.604354335591292</v>
      </c>
      <c r="AB2062" s="41"/>
      <c r="AC2062" s="73"/>
      <c r="AD2062" s="53">
        <f>(AD$29/AD$27)^2*(AD2059-('Valve Sizing'!$V$4*'Valve Sizing'!$G$7))</f>
        <v>-2.2826739425196716</v>
      </c>
      <c r="AE2062" s="41"/>
      <c r="AF2062" s="73"/>
      <c r="AG2062" s="53">
        <f>(AG$29/AG$27)^2*(AG2059-('Valve Sizing'!$V$4*'Valve Sizing'!$G$7))</f>
        <v>-48.774461027890716</v>
      </c>
      <c r="AH2062" s="41"/>
      <c r="AI2062" s="73"/>
      <c r="AJ2062" s="53">
        <f>(AJ$29/AJ$27)^2*(AJ2059-('Valve Sizing'!$V$4*'Valve Sizing'!$G$7))</f>
        <v>-103.51137525884532</v>
      </c>
      <c r="AK2062" s="41"/>
      <c r="AL2062" s="73"/>
      <c r="AM2062" s="53">
        <f>(AM$29/AM$27)^2*(AM2059-('Valve Sizing'!$V$4*'Valve Sizing'!$G$7))</f>
        <v>-140.70666859691036</v>
      </c>
      <c r="AN2062" s="41"/>
      <c r="AO2062" s="73"/>
      <c r="AP2062" s="53">
        <f>(AP$29/AP$27)^2*(AP2059-('Valve Sizing'!$V$4*'Valve Sizing'!$G$7))</f>
        <v>-164.1701799835084</v>
      </c>
      <c r="AQ2062" s="41"/>
      <c r="AR2062" s="73"/>
      <c r="AS2062" s="53">
        <f>(AS$29/AS$27)^2*(AS2059-('Valve Sizing'!$V$4*'Valve Sizing'!$G$7))</f>
        <v>-208.95348454598565</v>
      </c>
      <c r="AT2062" s="41"/>
      <c r="AU2062" s="73"/>
    </row>
    <row r="2063" spans="15:47" ht="13" x14ac:dyDescent="0.25">
      <c r="O2063" s="1" t="s">
        <v>69</v>
      </c>
      <c r="P2063" s="17">
        <v>7</v>
      </c>
      <c r="Q2063" s="65"/>
      <c r="R2063" s="53">
        <f>(R2057/(N_1*F_P_h))*SQRT('Valve Sizing'!$G$6/R2061)</f>
        <v>5.3890537956616305</v>
      </c>
      <c r="S2063" s="58"/>
      <c r="T2063" s="73"/>
      <c r="U2063" s="64">
        <f>(U2057/(N_1*U$27))*SQRT('Valve Sizing'!$G$6/U2061)</f>
        <v>31.691329464626893</v>
      </c>
      <c r="V2063" s="41"/>
      <c r="W2063" s="73"/>
      <c r="X2063" s="64">
        <f>(X2057/(N_1*X$27))*SQRT('Valve Sizing'!$G$6/X2061)</f>
        <v>84.896981324108182</v>
      </c>
      <c r="Y2063" s="41"/>
      <c r="Z2063" s="73"/>
      <c r="AA2063" s="64">
        <f>(AA2057/(N_1*AA$27))*SQRT('Valve Sizing'!$G$6/AA2061)</f>
        <v>338.50626781971721</v>
      </c>
      <c r="AB2063" s="41"/>
      <c r="AC2063" s="73"/>
      <c r="AD2063" s="64" t="e">
        <f>(AD2057/(N_1*AD$27))*SQRT('Valve Sizing'!$G$6/AD2061)</f>
        <v>#NUM!</v>
      </c>
      <c r="AE2063" s="41"/>
      <c r="AF2063" s="73"/>
      <c r="AG2063" s="64" t="e">
        <f>(AG2057/(N_1*AG$27))*SQRT('Valve Sizing'!$G$6/AG2061)</f>
        <v>#NUM!</v>
      </c>
      <c r="AH2063" s="41"/>
      <c r="AI2063" s="73"/>
      <c r="AJ2063" s="64" t="e">
        <f>(AJ2057/(N_1*AJ$27))*SQRT('Valve Sizing'!$G$6/AJ2061)</f>
        <v>#NUM!</v>
      </c>
      <c r="AK2063" s="41"/>
      <c r="AL2063" s="73"/>
      <c r="AM2063" s="64" t="e">
        <f>(AM2057/(N_1*AM$27))*SQRT('Valve Sizing'!$G$6/AM2061)</f>
        <v>#NUM!</v>
      </c>
      <c r="AN2063" s="41"/>
      <c r="AO2063" s="73"/>
      <c r="AP2063" s="64" t="e">
        <f>(AP2057/(N_1*AP$27))*SQRT('Valve Sizing'!$G$6/AP2061)</f>
        <v>#NUM!</v>
      </c>
      <c r="AQ2063" s="41"/>
      <c r="AR2063" s="73"/>
      <c r="AS2063" s="64" t="e">
        <f>(AS2057/(N_1*AS$27))*SQRT('Valve Sizing'!$G$6/AS2061)</f>
        <v>#NUM!</v>
      </c>
      <c r="AT2063" s="41"/>
      <c r="AU2063" s="73"/>
    </row>
    <row r="2064" spans="15:47" ht="13" x14ac:dyDescent="0.3">
      <c r="O2064" s="1" t="s">
        <v>72</v>
      </c>
      <c r="P2064" s="17">
        <v>7</v>
      </c>
      <c r="Q2064" s="65"/>
      <c r="R2064" s="53">
        <f>(R2057/(N_1*F_P_h))*SQRT('Valve Sizing'!$G$6/R2062)</f>
        <v>4.4745091818765905</v>
      </c>
      <c r="S2064" s="56"/>
      <c r="T2064" s="72"/>
      <c r="U2064" s="85">
        <f>(U2057/(N_1*U$27))*SQRT('Valve Sizing'!$G$6/U2062)</f>
        <v>26.049018653985872</v>
      </c>
      <c r="V2064" s="44"/>
      <c r="W2064" s="72"/>
      <c r="X2064" s="85">
        <f>(X2057/(N_1*X$27))*SQRT('Valve Sizing'!$G$6/X2062)</f>
        <v>66.454487210091543</v>
      </c>
      <c r="Y2064" s="44"/>
      <c r="Z2064" s="72"/>
      <c r="AA2064" s="85">
        <f>(AA2057/(N_1*AA$27))*SQRT('Valve Sizing'!$G$6/AA2062)</f>
        <v>158.04441378715819</v>
      </c>
      <c r="AB2064" s="44"/>
      <c r="AC2064" s="72"/>
      <c r="AD2064" s="85" t="e">
        <f>(AD2057/(N_1*AD$27))*SQRT('Valve Sizing'!$G$6/AD2062)</f>
        <v>#NUM!</v>
      </c>
      <c r="AE2064" s="44"/>
      <c r="AF2064" s="72"/>
      <c r="AG2064" s="85" t="e">
        <f>(AG2057/(N_1*AG$27))*SQRT('Valve Sizing'!$G$6/AG2062)</f>
        <v>#NUM!</v>
      </c>
      <c r="AH2064" s="44"/>
      <c r="AI2064" s="72"/>
      <c r="AJ2064" s="85" t="e">
        <f>(AJ2057/(N_1*AJ$27))*SQRT('Valve Sizing'!$G$6/AJ2062)</f>
        <v>#NUM!</v>
      </c>
      <c r="AK2064" s="44"/>
      <c r="AL2064" s="72"/>
      <c r="AM2064" s="85" t="e">
        <f>(AM2057/(N_1*AM$27))*SQRT('Valve Sizing'!$G$6/AM2062)</f>
        <v>#NUM!</v>
      </c>
      <c r="AN2064" s="44"/>
      <c r="AO2064" s="72"/>
      <c r="AP2064" s="85" t="e">
        <f>(AP2057/(N_1*AP$27))*SQRT('Valve Sizing'!$G$6/AP2062)</f>
        <v>#NUM!</v>
      </c>
      <c r="AQ2064" s="44"/>
      <c r="AR2064" s="72"/>
      <c r="AS2064" s="85" t="e">
        <f>(AS2057/(N_1*AS$27))*SQRT('Valve Sizing'!$G$6/AS2062)</f>
        <v>#NUM!</v>
      </c>
      <c r="AT2064" s="44"/>
      <c r="AU2064" s="72"/>
    </row>
    <row r="2065" spans="15:47" x14ac:dyDescent="0.25">
      <c r="O2065" s="1" t="s">
        <v>246</v>
      </c>
      <c r="P2065" s="18"/>
      <c r="Q2065" s="65"/>
      <c r="R2065" s="53">
        <f>IF(R2061&lt;R2062,R2063,R2064)</f>
        <v>5.3890537956616305</v>
      </c>
      <c r="S2065" s="49"/>
      <c r="T2065" s="72"/>
      <c r="U2065" s="64">
        <f>IF(U2061&lt;U2062,U2063,U2064)</f>
        <v>31.691329464626893</v>
      </c>
      <c r="V2065" s="44"/>
      <c r="W2065" s="72"/>
      <c r="X2065" s="64">
        <f>IF(X2061&lt;X2062,X2063,X2064)</f>
        <v>84.896981324108182</v>
      </c>
      <c r="Y2065" s="44"/>
      <c r="Z2065" s="72"/>
      <c r="AA2065" s="64">
        <f>IF(AA2061&lt;AA2062,AA2063,AA2064)</f>
        <v>338.50626781971721</v>
      </c>
      <c r="AB2065" s="44"/>
      <c r="AC2065" s="72"/>
      <c r="AD2065" s="64" t="e">
        <f>IF(AD2061&lt;AD2062,AD2063,AD2064)</f>
        <v>#NUM!</v>
      </c>
      <c r="AE2065" s="44"/>
      <c r="AF2065" s="72"/>
      <c r="AG2065" s="64" t="e">
        <f>IF(AG2061&lt;AG2062,AG2063,AG2064)</f>
        <v>#NUM!</v>
      </c>
      <c r="AH2065" s="44"/>
      <c r="AI2065" s="72"/>
      <c r="AJ2065" s="64" t="e">
        <f>IF(AJ2061&lt;AJ2062,AJ2063,AJ2064)</f>
        <v>#NUM!</v>
      </c>
      <c r="AK2065" s="44"/>
      <c r="AL2065" s="72"/>
      <c r="AM2065" s="64" t="e">
        <f>IF(AM2061&lt;AM2062,AM2063,AM2064)</f>
        <v>#NUM!</v>
      </c>
      <c r="AN2065" s="44"/>
      <c r="AO2065" s="72"/>
      <c r="AP2065" s="64" t="e">
        <f>IF(AP2061&lt;AP2062,AP2063,AP2064)</f>
        <v>#NUM!</v>
      </c>
      <c r="AQ2065" s="44"/>
      <c r="AR2065" s="72"/>
      <c r="AS2065" s="64" t="e">
        <f>IF(AS2061&lt;AS2062,AS2063,AS2064)</f>
        <v>#NUM!</v>
      </c>
      <c r="AT2065" s="44"/>
      <c r="AU2065" s="72"/>
    </row>
    <row r="2066" spans="15:47" ht="13" x14ac:dyDescent="0.3">
      <c r="O2066" s="7" t="s">
        <v>264</v>
      </c>
      <c r="Q2066" s="61"/>
      <c r="R2066" s="53"/>
      <c r="S2066" s="69">
        <f>IFERROR(ABS(C_h-R2065),Q_max*10)</f>
        <v>0.38905379566163045</v>
      </c>
      <c r="T2066" s="76">
        <f>R2057</f>
        <v>30.585923022993317</v>
      </c>
      <c r="U2066" s="61"/>
      <c r="V2066" s="69">
        <f>IFERROR(ABS(U$23-U2065),Q_max*10)</f>
        <v>19.691329464626893</v>
      </c>
      <c r="W2066" s="75">
        <f>U2057</f>
        <v>176.30055527134314</v>
      </c>
      <c r="X2066" s="61"/>
      <c r="Y2066" s="69">
        <f>IFERROR(ABS(X$23-X2065),Q_max*10)</f>
        <v>61.896981324108182</v>
      </c>
      <c r="Z2066" s="75">
        <f>X2057</f>
        <v>423.18919732975365</v>
      </c>
      <c r="AA2066" s="61"/>
      <c r="AB2066" s="69">
        <f>IFERROR(ABS(AA$23-AA2065),Q_max*10)</f>
        <v>299.50626781971721</v>
      </c>
      <c r="AC2066" s="75">
        <f>AA2057</f>
        <v>808.0232715388338</v>
      </c>
      <c r="AD2066" s="61"/>
      <c r="AE2066" s="69">
        <f>IFERROR(ABS(AD$23-AD2065),Q_max*10)</f>
        <v>5500</v>
      </c>
      <c r="AF2066" s="75">
        <f>AD2057</f>
        <v>1328.900785163167</v>
      </c>
      <c r="AG2066" s="61"/>
      <c r="AH2066" s="69">
        <f>IFERROR(ABS(AG$23-AG2065),Q_max*10)</f>
        <v>5500</v>
      </c>
      <c r="AI2066" s="75">
        <f>AG2057</f>
        <v>1978.5521845663502</v>
      </c>
      <c r="AJ2066" s="61"/>
      <c r="AK2066" s="69">
        <f>IFERROR(ABS(AJ$23-AJ2065),Q_max*10)</f>
        <v>5500</v>
      </c>
      <c r="AL2066" s="75">
        <f>AJ2057</f>
        <v>2640.3855602943627</v>
      </c>
      <c r="AM2066" s="61"/>
      <c r="AN2066" s="69">
        <f>IFERROR(ABS(AM$23-AM2065),Q_max*10)</f>
        <v>5500</v>
      </c>
      <c r="AO2066" s="75">
        <f>AM2057</f>
        <v>3221.7721622936142</v>
      </c>
      <c r="AP2066" s="61"/>
      <c r="AQ2066" s="69">
        <f>IFERROR(ABS(AP$23-AP2065),Q_max*10)</f>
        <v>5500</v>
      </c>
      <c r="AR2066" s="75">
        <f>AP2057</f>
        <v>3740.3774616981586</v>
      </c>
      <c r="AS2066" s="61"/>
      <c r="AT2066" s="69">
        <f>IFERROR(ABS(AS$23-AS2065),Q_max*10)</f>
        <v>5500</v>
      </c>
      <c r="AU2066" s="75">
        <f>AS2057</f>
        <v>4256.8984554427989</v>
      </c>
    </row>
    <row r="2067" spans="15:47" ht="14.5" x14ac:dyDescent="0.35">
      <c r="O2067" s="6"/>
      <c r="P2067" s="6"/>
      <c r="Q2067" s="60"/>
      <c r="R2067" s="67"/>
      <c r="S2067" s="56"/>
      <c r="T2067" s="72"/>
      <c r="V2067" s="11"/>
      <c r="W2067" s="38"/>
      <c r="Y2067" s="11"/>
      <c r="Z2067" s="38"/>
      <c r="AB2067" s="11"/>
      <c r="AC2067" s="38"/>
      <c r="AE2067" s="11"/>
      <c r="AF2067" s="38"/>
      <c r="AH2067" s="11"/>
      <c r="AI2067" s="38"/>
      <c r="AK2067" s="11"/>
      <c r="AL2067" s="38"/>
      <c r="AN2067" s="11"/>
      <c r="AO2067" s="38"/>
      <c r="AQ2067" s="11"/>
      <c r="AR2067" s="38"/>
      <c r="AT2067" s="11"/>
      <c r="AU2067" s="38"/>
    </row>
    <row r="2068" spans="15:47" ht="14" x14ac:dyDescent="0.3">
      <c r="O2068" s="8" t="s">
        <v>235</v>
      </c>
      <c r="P2068" s="6"/>
      <c r="Q2068" s="60"/>
      <c r="R2068" s="53">
        <f>R2057*1.02</f>
        <v>31.197641483453182</v>
      </c>
      <c r="S2068" s="58" t="s">
        <v>238</v>
      </c>
      <c r="T2068" s="73" t="s">
        <v>241</v>
      </c>
      <c r="U2068" s="84">
        <f>U2057*1.01</f>
        <v>178.06356082405657</v>
      </c>
      <c r="V2068" s="58" t="s">
        <v>238</v>
      </c>
      <c r="W2068" s="73" t="s">
        <v>241</v>
      </c>
      <c r="X2068" s="84">
        <f>X2057*1.01</f>
        <v>427.42108930305119</v>
      </c>
      <c r="Y2068" s="58" t="s">
        <v>238</v>
      </c>
      <c r="Z2068" s="73" t="s">
        <v>241</v>
      </c>
      <c r="AA2068" s="84">
        <f>AA2057*1.01</f>
        <v>816.10350425422212</v>
      </c>
      <c r="AB2068" s="58" t="s">
        <v>238</v>
      </c>
      <c r="AC2068" s="73" t="s">
        <v>241</v>
      </c>
      <c r="AD2068" s="84">
        <f>AD2057*1.01</f>
        <v>1342.1897930147986</v>
      </c>
      <c r="AE2068" s="58" t="s">
        <v>238</v>
      </c>
      <c r="AF2068" s="73" t="s">
        <v>241</v>
      </c>
      <c r="AG2068" s="84">
        <f>AG2057*1.01</f>
        <v>1998.3377064120136</v>
      </c>
      <c r="AH2068" s="58" t="s">
        <v>238</v>
      </c>
      <c r="AI2068" s="73" t="s">
        <v>241</v>
      </c>
      <c r="AJ2068" s="84">
        <f>AJ2057*1.01</f>
        <v>2666.7894158973063</v>
      </c>
      <c r="AK2068" s="58" t="s">
        <v>238</v>
      </c>
      <c r="AL2068" s="73" t="s">
        <v>241</v>
      </c>
      <c r="AM2068" s="84">
        <f>AM2057*1.01</f>
        <v>3253.9898839165503</v>
      </c>
      <c r="AN2068" s="58" t="s">
        <v>238</v>
      </c>
      <c r="AO2068" s="73" t="s">
        <v>241</v>
      </c>
      <c r="AP2068" s="84">
        <f>AP2057*1.01</f>
        <v>3777.7812363151402</v>
      </c>
      <c r="AQ2068" s="58" t="s">
        <v>238</v>
      </c>
      <c r="AR2068" s="73" t="s">
        <v>241</v>
      </c>
      <c r="AS2068" s="84">
        <f>AS2057*1.01</f>
        <v>4299.4674399972273</v>
      </c>
      <c r="AT2068" s="58" t="s">
        <v>238</v>
      </c>
      <c r="AU2068" s="73" t="s">
        <v>241</v>
      </c>
    </row>
    <row r="2069" spans="15:47" ht="13" x14ac:dyDescent="0.25">
      <c r="O2069" s="6"/>
      <c r="P2069" s="6"/>
      <c r="Q2069" s="60"/>
      <c r="R2069" s="70"/>
      <c r="S2069" s="63" t="s">
        <v>250</v>
      </c>
      <c r="T2069" s="71" t="s">
        <v>242</v>
      </c>
      <c r="U2069" s="61"/>
      <c r="V2069" s="63" t="s">
        <v>250</v>
      </c>
      <c r="W2069" s="71" t="s">
        <v>242</v>
      </c>
      <c r="X2069" s="61"/>
      <c r="Y2069" s="63" t="s">
        <v>250</v>
      </c>
      <c r="Z2069" s="71" t="s">
        <v>242</v>
      </c>
      <c r="AA2069" s="61"/>
      <c r="AB2069" s="63" t="s">
        <v>250</v>
      </c>
      <c r="AC2069" s="71" t="s">
        <v>242</v>
      </c>
      <c r="AD2069" s="61"/>
      <c r="AE2069" s="63" t="s">
        <v>250</v>
      </c>
      <c r="AF2069" s="71" t="s">
        <v>242</v>
      </c>
      <c r="AG2069" s="61"/>
      <c r="AH2069" s="63" t="s">
        <v>250</v>
      </c>
      <c r="AI2069" s="71" t="s">
        <v>242</v>
      </c>
      <c r="AJ2069" s="61"/>
      <c r="AK2069" s="63" t="s">
        <v>250</v>
      </c>
      <c r="AL2069" s="71" t="s">
        <v>242</v>
      </c>
      <c r="AM2069" s="61"/>
      <c r="AN2069" s="63" t="s">
        <v>250</v>
      </c>
      <c r="AO2069" s="71" t="s">
        <v>242</v>
      </c>
      <c r="AP2069" s="61"/>
      <c r="AQ2069" s="63" t="s">
        <v>250</v>
      </c>
      <c r="AR2069" s="71" t="s">
        <v>242</v>
      </c>
      <c r="AS2069" s="61"/>
      <c r="AT2069" s="63" t="s">
        <v>250</v>
      </c>
      <c r="AU2069" s="71" t="s">
        <v>242</v>
      </c>
    </row>
    <row r="2070" spans="15:47" ht="13" x14ac:dyDescent="0.3">
      <c r="O2070" s="6" t="s">
        <v>231</v>
      </c>
      <c r="P2070" s="6"/>
      <c r="Q2070" s="60"/>
      <c r="R2070" s="85">
        <f>P_1_minQ-(R2068^2*R_up)+dpup_minQ</f>
        <v>56.883272785068215</v>
      </c>
      <c r="S2070" s="56"/>
      <c r="T2070" s="72"/>
      <c r="U2070" s="53">
        <f>P_1_minQ-(U2068^2*R_up)+dpup_minQ</f>
        <v>55.845334964763843</v>
      </c>
      <c r="V2070" s="44"/>
      <c r="W2070" s="72"/>
      <c r="X2070" s="53">
        <f>P_1_minQ-(X2068^2*R_up)+dpup_minQ</f>
        <v>50.746309098919049</v>
      </c>
      <c r="Y2070" s="44"/>
      <c r="Z2070" s="72"/>
      <c r="AA2070" s="53">
        <f>P_1_minQ-(AA2068^2*R_up)+dpup_minQ</f>
        <v>34.422900045389355</v>
      </c>
      <c r="AB2070" s="44"/>
      <c r="AC2070" s="72"/>
      <c r="AD2070" s="53">
        <f>P_1_minQ-(AD2068^2*R_up)+dpup_minQ</f>
        <v>-3.9238919443805544</v>
      </c>
      <c r="AE2070" s="44"/>
      <c r="AF2070" s="72"/>
      <c r="AG2070" s="53">
        <f>P_1_minQ-(AG2068^2*R_up)+dpup_minQ</f>
        <v>-77.948888512935724</v>
      </c>
      <c r="AH2070" s="44"/>
      <c r="AI2070" s="72"/>
      <c r="AJ2070" s="53">
        <f>P_1_minQ-(AJ2068^2*R_up)+dpup_minQ</f>
        <v>-183.26507223039167</v>
      </c>
      <c r="AK2070" s="44"/>
      <c r="AL2070" s="72"/>
      <c r="AM2070" s="53">
        <f>P_1_minQ-(AM2068^2*R_up)+dpup_minQ</f>
        <v>-300.68095794094035</v>
      </c>
      <c r="AN2070" s="44"/>
      <c r="AO2070" s="72"/>
      <c r="AP2070" s="53">
        <f>P_1_minQ-(AP2068^2*R_up)+dpup_minQ</f>
        <v>-425.07072169722221</v>
      </c>
      <c r="AQ2070" s="44"/>
      <c r="AR2070" s="72"/>
      <c r="AS2070" s="53">
        <f>P_1_minQ-(AS2068^2*R_up)+dpup_minQ</f>
        <v>-567.38038728795379</v>
      </c>
      <c r="AT2070" s="44"/>
      <c r="AU2070" s="72"/>
    </row>
    <row r="2071" spans="15:47" ht="13" x14ac:dyDescent="0.3">
      <c r="O2071" s="6" t="s">
        <v>233</v>
      </c>
      <c r="P2071" s="6"/>
      <c r="Q2071" s="60"/>
      <c r="R2071" s="85">
        <f>P_2_minQ+(R2068^2*R_dn)-dpdn_minQ</f>
        <v>24.663345442986358</v>
      </c>
      <c r="S2071" s="66"/>
      <c r="T2071" s="74"/>
      <c r="U2071" s="53">
        <f>P_2_minQ+(U2068^2*R_dn)-dpdn_minQ</f>
        <v>24.870933007047231</v>
      </c>
      <c r="V2071" s="45"/>
      <c r="W2071" s="74"/>
      <c r="X2071" s="53">
        <f>P_2_minQ+(X2068^2*R_dn)-dpdn_minQ</f>
        <v>25.890738180216189</v>
      </c>
      <c r="Y2071" s="45"/>
      <c r="Z2071" s="74"/>
      <c r="AA2071" s="53">
        <f>P_2_minQ+(AA2068^2*R_dn)-dpdn_minQ</f>
        <v>29.15541999092213</v>
      </c>
      <c r="AB2071" s="45"/>
      <c r="AC2071" s="74"/>
      <c r="AD2071" s="53">
        <f>P_2_minQ+(AD2068^2*R_dn)-dpdn_minQ</f>
        <v>36.824778388876112</v>
      </c>
      <c r="AE2071" s="45"/>
      <c r="AF2071" s="74"/>
      <c r="AG2071" s="53">
        <f>P_2_minQ+(AG2068^2*R_dn)-dpdn_minQ</f>
        <v>51.629777702587148</v>
      </c>
      <c r="AH2071" s="45"/>
      <c r="AI2071" s="74"/>
      <c r="AJ2071" s="53">
        <f>P_2_minQ+(AJ2068^2*R_dn)-dpdn_minQ</f>
        <v>72.693014446078337</v>
      </c>
      <c r="AK2071" s="45"/>
      <c r="AL2071" s="74"/>
      <c r="AM2071" s="53">
        <f>P_2_minQ+(AM2068^2*R_dn)-dpdn_minQ</f>
        <v>96.176191588188075</v>
      </c>
      <c r="AN2071" s="45"/>
      <c r="AO2071" s="74"/>
      <c r="AP2071" s="53">
        <f>P_2_minQ+(AP2068^2*R_dn)-dpdn_minQ</f>
        <v>121.05414433944443</v>
      </c>
      <c r="AQ2071" s="45"/>
      <c r="AR2071" s="74"/>
      <c r="AS2071" s="53">
        <f>P_2_minQ+(AS2068^2*R_dn)-dpdn_minQ</f>
        <v>149.51607745759074</v>
      </c>
      <c r="AT2071" s="45"/>
      <c r="AU2071" s="74"/>
    </row>
    <row r="2072" spans="15:47" x14ac:dyDescent="0.25">
      <c r="O2072" s="6" t="s">
        <v>243</v>
      </c>
      <c r="Q2072" s="60"/>
      <c r="R2072" s="53">
        <f>R2070-R2071</f>
        <v>32.21992734208186</v>
      </c>
      <c r="S2072" s="56"/>
      <c r="T2072" s="72"/>
      <c r="U2072" s="64">
        <f>U2070-U2071</f>
        <v>30.974401957716612</v>
      </c>
      <c r="V2072" s="44"/>
      <c r="W2072" s="72"/>
      <c r="X2072" s="64">
        <f>X2070-X2071</f>
        <v>24.85557091870286</v>
      </c>
      <c r="Y2072" s="44"/>
      <c r="Z2072" s="72"/>
      <c r="AA2072" s="64">
        <f>AA2070-AA2071</f>
        <v>5.2674800544672244</v>
      </c>
      <c r="AB2072" s="44"/>
      <c r="AC2072" s="72"/>
      <c r="AD2072" s="64">
        <f>AD2070-AD2071</f>
        <v>-40.748670333256669</v>
      </c>
      <c r="AE2072" s="44"/>
      <c r="AF2072" s="72"/>
      <c r="AG2072" s="64">
        <f>AG2070-AG2071</f>
        <v>-129.57866621552287</v>
      </c>
      <c r="AH2072" s="44"/>
      <c r="AI2072" s="72"/>
      <c r="AJ2072" s="64">
        <f>AJ2070-AJ2071</f>
        <v>-255.95808667647</v>
      </c>
      <c r="AK2072" s="44"/>
      <c r="AL2072" s="72"/>
      <c r="AM2072" s="64">
        <f>AM2070-AM2071</f>
        <v>-396.85714952912844</v>
      </c>
      <c r="AN2072" s="44"/>
      <c r="AO2072" s="72"/>
      <c r="AP2072" s="64">
        <f>AP2070-AP2071</f>
        <v>-546.12486603666662</v>
      </c>
      <c r="AQ2072" s="44"/>
      <c r="AR2072" s="72"/>
      <c r="AS2072" s="64">
        <f>AS2070-AS2071</f>
        <v>-716.89646474554456</v>
      </c>
      <c r="AT2072" s="44"/>
      <c r="AU2072" s="72"/>
    </row>
    <row r="2073" spans="15:47" ht="13" x14ac:dyDescent="0.3">
      <c r="O2073" s="6" t="s">
        <v>75</v>
      </c>
      <c r="P2073" s="6">
        <v>3</v>
      </c>
      <c r="Q2073" s="65"/>
      <c r="R2073" s="85">
        <f>(F_LP_h/F_P_h)^2*(R2070-('Valve Sizing'!$V$4*'Valve Sizing'!$G$7))</f>
        <v>46.737944817038397</v>
      </c>
      <c r="S2073" s="58"/>
      <c r="T2073" s="73"/>
      <c r="U2073" s="53">
        <f>(U$29/U$27)^2*(U2070-('Valve Sizing'!$V$4*'Valve Sizing'!$G$7))</f>
        <v>45.865973242776533</v>
      </c>
      <c r="V2073" s="41"/>
      <c r="W2073" s="73"/>
      <c r="X2073" s="53">
        <f>(X$29/X$27)^2*(X2070-('Valve Sizing'!$V$4*'Valve Sizing'!$G$7))</f>
        <v>40.705482680734605</v>
      </c>
      <c r="Y2073" s="41"/>
      <c r="Z2073" s="73"/>
      <c r="AA2073" s="53">
        <f>(AA$29/AA$27)^2*(AA2070-('Valve Sizing'!$V$4*'Valve Sizing'!$G$7))</f>
        <v>26.261846162193262</v>
      </c>
      <c r="AB2073" s="41"/>
      <c r="AC2073" s="73"/>
      <c r="AD2073" s="53">
        <f>(AD$29/AD$27)^2*(AD2070-('Valve Sizing'!$V$4*'Valve Sizing'!$G$7))</f>
        <v>-3.1472255066903236</v>
      </c>
      <c r="AE2073" s="41"/>
      <c r="AF2073" s="73"/>
      <c r="AG2073" s="53">
        <f>(AG$29/AG$27)^2*(AG2070-('Valve Sizing'!$V$4*'Valve Sizing'!$G$7))</f>
        <v>-50.485926628067439</v>
      </c>
      <c r="AH2073" s="41"/>
      <c r="AI2073" s="73"/>
      <c r="AJ2073" s="53">
        <f>(AJ$29/AJ$27)^2*(AJ2070-('Valve Sizing'!$V$4*'Valve Sizing'!$G$7))</f>
        <v>-106.2484953502552</v>
      </c>
      <c r="AK2073" s="41"/>
      <c r="AL2073" s="73"/>
      <c r="AM2073" s="53">
        <f>(AM$29/AM$27)^2*(AM2070-('Valve Sizing'!$V$4*'Valve Sizing'!$G$7))</f>
        <v>-144.07801953962854</v>
      </c>
      <c r="AN2073" s="41"/>
      <c r="AO2073" s="73"/>
      <c r="AP2073" s="53">
        <f>(AP$29/AP$27)^2*(AP2070-('Valve Sizing'!$V$4*'Valve Sizing'!$G$7))</f>
        <v>-167.91796886807637</v>
      </c>
      <c r="AQ2073" s="41"/>
      <c r="AR2073" s="73"/>
      <c r="AS2073" s="53">
        <f>(AS$29/AS$27)^2*(AS2070-('Valve Sizing'!$V$4*'Valve Sizing'!$G$7))</f>
        <v>-213.58043307447761</v>
      </c>
      <c r="AT2073" s="41"/>
      <c r="AU2073" s="73"/>
    </row>
    <row r="2074" spans="15:47" ht="13" x14ac:dyDescent="0.25">
      <c r="O2074" s="1" t="s">
        <v>69</v>
      </c>
      <c r="P2074" s="17">
        <v>7</v>
      </c>
      <c r="Q2074" s="65"/>
      <c r="R2074" s="53">
        <f>(R2068/(N_1*F_P_h))*SQRT('Valve Sizing'!$G$6/R2072)</f>
        <v>5.4969655248687417</v>
      </c>
      <c r="S2074" s="58"/>
      <c r="T2074" s="73"/>
      <c r="U2074" s="64">
        <f>(U2068/(N_1*U$27))*SQRT('Valve Sizing'!$G$6/U2072)</f>
        <v>32.021322117668383</v>
      </c>
      <c r="V2074" s="41"/>
      <c r="W2074" s="73"/>
      <c r="X2074" s="64">
        <f>(X2068/(N_1*X$27))*SQRT('Valve Sizing'!$G$6/X2072)</f>
        <v>85.997216182247669</v>
      </c>
      <c r="Y2074" s="41"/>
      <c r="Z2074" s="73"/>
      <c r="AA2074" s="64">
        <f>(AA2068/(N_1*AA$27))*SQRT('Valve Sizing'!$G$6/AA2072)</f>
        <v>358.73639170530043</v>
      </c>
      <c r="AB2074" s="41"/>
      <c r="AC2074" s="73"/>
      <c r="AD2074" s="64" t="e">
        <f>(AD2068/(N_1*AD$27))*SQRT('Valve Sizing'!$G$6/AD2072)</f>
        <v>#NUM!</v>
      </c>
      <c r="AE2074" s="41"/>
      <c r="AF2074" s="73"/>
      <c r="AG2074" s="64" t="e">
        <f>(AG2068/(N_1*AG$27))*SQRT('Valve Sizing'!$G$6/AG2072)</f>
        <v>#NUM!</v>
      </c>
      <c r="AH2074" s="41"/>
      <c r="AI2074" s="73"/>
      <c r="AJ2074" s="64" t="e">
        <f>(AJ2068/(N_1*AJ$27))*SQRT('Valve Sizing'!$G$6/AJ2072)</f>
        <v>#NUM!</v>
      </c>
      <c r="AK2074" s="41"/>
      <c r="AL2074" s="73"/>
      <c r="AM2074" s="64" t="e">
        <f>(AM2068/(N_1*AM$27))*SQRT('Valve Sizing'!$G$6/AM2072)</f>
        <v>#NUM!</v>
      </c>
      <c r="AN2074" s="41"/>
      <c r="AO2074" s="73"/>
      <c r="AP2074" s="64" t="e">
        <f>(AP2068/(N_1*AP$27))*SQRT('Valve Sizing'!$G$6/AP2072)</f>
        <v>#NUM!</v>
      </c>
      <c r="AQ2074" s="41"/>
      <c r="AR2074" s="73"/>
      <c r="AS2074" s="64" t="e">
        <f>(AS2068/(N_1*AS$27))*SQRT('Valve Sizing'!$G$6/AS2072)</f>
        <v>#NUM!</v>
      </c>
      <c r="AT2074" s="41"/>
      <c r="AU2074" s="73"/>
    </row>
    <row r="2075" spans="15:47" ht="13" x14ac:dyDescent="0.3">
      <c r="O2075" s="1" t="s">
        <v>72</v>
      </c>
      <c r="P2075" s="17">
        <v>7</v>
      </c>
      <c r="Q2075" s="65"/>
      <c r="R2075" s="53">
        <f>(R2068/(N_1*F_P_h))*SQRT('Valve Sizing'!$G$6/R2073)</f>
        <v>4.564050970007707</v>
      </c>
      <c r="S2075" s="56"/>
      <c r="T2075" s="72"/>
      <c r="U2075" s="85">
        <f>(U2068/(N_1*U$27))*SQRT('Valve Sizing'!$G$6/U2073)</f>
        <v>26.314517889545666</v>
      </c>
      <c r="V2075" s="44"/>
      <c r="W2075" s="72"/>
      <c r="X2075" s="85">
        <f>(X2068/(N_1*X$27))*SQRT('Valve Sizing'!$G$6/X2073)</f>
        <v>67.200083083902015</v>
      </c>
      <c r="Y2075" s="44"/>
      <c r="Z2075" s="72"/>
      <c r="AA2075" s="85">
        <f>(AA2068/(N_1*AA$27))*SQRT('Valve Sizing'!$G$6/AA2073)</f>
        <v>160.66240322744238</v>
      </c>
      <c r="AB2075" s="44"/>
      <c r="AC2075" s="72"/>
      <c r="AD2075" s="85" t="e">
        <f>(AD2068/(N_1*AD$27))*SQRT('Valve Sizing'!$G$6/AD2073)</f>
        <v>#NUM!</v>
      </c>
      <c r="AE2075" s="44"/>
      <c r="AF2075" s="72"/>
      <c r="AG2075" s="85" t="e">
        <f>(AG2068/(N_1*AG$27))*SQRT('Valve Sizing'!$G$6/AG2073)</f>
        <v>#NUM!</v>
      </c>
      <c r="AH2075" s="44"/>
      <c r="AI2075" s="72"/>
      <c r="AJ2075" s="85" t="e">
        <f>(AJ2068/(N_1*AJ$27))*SQRT('Valve Sizing'!$G$6/AJ2073)</f>
        <v>#NUM!</v>
      </c>
      <c r="AK2075" s="44"/>
      <c r="AL2075" s="72"/>
      <c r="AM2075" s="85" t="e">
        <f>(AM2068/(N_1*AM$27))*SQRT('Valve Sizing'!$G$6/AM2073)</f>
        <v>#NUM!</v>
      </c>
      <c r="AN2075" s="44"/>
      <c r="AO2075" s="72"/>
      <c r="AP2075" s="85" t="e">
        <f>(AP2068/(N_1*AP$27))*SQRT('Valve Sizing'!$G$6/AP2073)</f>
        <v>#NUM!</v>
      </c>
      <c r="AQ2075" s="44"/>
      <c r="AR2075" s="72"/>
      <c r="AS2075" s="85" t="e">
        <f>(AS2068/(N_1*AS$27))*SQRT('Valve Sizing'!$G$6/AS2073)</f>
        <v>#NUM!</v>
      </c>
      <c r="AT2075" s="44"/>
      <c r="AU2075" s="72"/>
    </row>
    <row r="2076" spans="15:47" x14ac:dyDescent="0.25">
      <c r="O2076" s="1" t="s">
        <v>246</v>
      </c>
      <c r="P2076" s="18"/>
      <c r="Q2076" s="65"/>
      <c r="R2076" s="53">
        <f>IF(R2072&lt;R2073,R2074,R2075)</f>
        <v>5.4969655248687417</v>
      </c>
      <c r="S2076" s="49"/>
      <c r="T2076" s="72"/>
      <c r="U2076" s="64">
        <f>IF(U2072&lt;U2073,U2074,U2075)</f>
        <v>32.021322117668383</v>
      </c>
      <c r="V2076" s="44"/>
      <c r="W2076" s="72"/>
      <c r="X2076" s="64">
        <f>IF(X2072&lt;X2073,X2074,X2075)</f>
        <v>85.997216182247669</v>
      </c>
      <c r="Y2076" s="44"/>
      <c r="Z2076" s="72"/>
      <c r="AA2076" s="64">
        <f>IF(AA2072&lt;AA2073,AA2074,AA2075)</f>
        <v>358.73639170530043</v>
      </c>
      <c r="AB2076" s="44"/>
      <c r="AC2076" s="72"/>
      <c r="AD2076" s="64" t="e">
        <f>IF(AD2072&lt;AD2073,AD2074,AD2075)</f>
        <v>#NUM!</v>
      </c>
      <c r="AE2076" s="44"/>
      <c r="AF2076" s="72"/>
      <c r="AG2076" s="64" t="e">
        <f>IF(AG2072&lt;AG2073,AG2074,AG2075)</f>
        <v>#NUM!</v>
      </c>
      <c r="AH2076" s="44"/>
      <c r="AI2076" s="72"/>
      <c r="AJ2076" s="64" t="e">
        <f>IF(AJ2072&lt;AJ2073,AJ2074,AJ2075)</f>
        <v>#NUM!</v>
      </c>
      <c r="AK2076" s="44"/>
      <c r="AL2076" s="72"/>
      <c r="AM2076" s="64" t="e">
        <f>IF(AM2072&lt;AM2073,AM2074,AM2075)</f>
        <v>#NUM!</v>
      </c>
      <c r="AN2076" s="44"/>
      <c r="AO2076" s="72"/>
      <c r="AP2076" s="64" t="e">
        <f>IF(AP2072&lt;AP2073,AP2074,AP2075)</f>
        <v>#NUM!</v>
      </c>
      <c r="AQ2076" s="44"/>
      <c r="AR2076" s="72"/>
      <c r="AS2076" s="64" t="e">
        <f>IF(AS2072&lt;AS2073,AS2074,AS2075)</f>
        <v>#NUM!</v>
      </c>
      <c r="AT2076" s="44"/>
      <c r="AU2076" s="72"/>
    </row>
    <row r="2077" spans="15:47" ht="13" x14ac:dyDescent="0.3">
      <c r="O2077" s="7" t="s">
        <v>264</v>
      </c>
      <c r="Q2077" s="61"/>
      <c r="R2077" s="53"/>
      <c r="S2077" s="69">
        <f>IFERROR(ABS(C_h-R2076),Q_max*10)</f>
        <v>0.49696552486874168</v>
      </c>
      <c r="T2077" s="76">
        <f>R2068</f>
        <v>31.197641483453182</v>
      </c>
      <c r="U2077" s="61"/>
      <c r="V2077" s="69">
        <f>IFERROR(ABS(U$23-U2076),Q_max*10)</f>
        <v>20.021322117668383</v>
      </c>
      <c r="W2077" s="75">
        <f>U2068</f>
        <v>178.06356082405657</v>
      </c>
      <c r="X2077" s="61"/>
      <c r="Y2077" s="69">
        <f>IFERROR(ABS(X$23-X2076),Q_max*10)</f>
        <v>62.997216182247669</v>
      </c>
      <c r="Z2077" s="75">
        <f>X2068</f>
        <v>427.42108930305119</v>
      </c>
      <c r="AA2077" s="61"/>
      <c r="AB2077" s="69">
        <f>IFERROR(ABS(AA$23-AA2076),Q_max*10)</f>
        <v>319.73639170530043</v>
      </c>
      <c r="AC2077" s="75">
        <f>AA2068</f>
        <v>816.10350425422212</v>
      </c>
      <c r="AD2077" s="61"/>
      <c r="AE2077" s="69">
        <f>IFERROR(ABS(AD$23-AD2076),Q_max*10)</f>
        <v>5500</v>
      </c>
      <c r="AF2077" s="75">
        <f>AD2068</f>
        <v>1342.1897930147986</v>
      </c>
      <c r="AG2077" s="61"/>
      <c r="AH2077" s="69">
        <f>IFERROR(ABS(AG$23-AG2076),Q_max*10)</f>
        <v>5500</v>
      </c>
      <c r="AI2077" s="75">
        <f>AG2068</f>
        <v>1998.3377064120136</v>
      </c>
      <c r="AJ2077" s="61"/>
      <c r="AK2077" s="69">
        <f>IFERROR(ABS(AJ$23-AJ2076),Q_max*10)</f>
        <v>5500</v>
      </c>
      <c r="AL2077" s="75">
        <f>AJ2068</f>
        <v>2666.7894158973063</v>
      </c>
      <c r="AM2077" s="61"/>
      <c r="AN2077" s="69">
        <f>IFERROR(ABS(AM$23-AM2076),Q_max*10)</f>
        <v>5500</v>
      </c>
      <c r="AO2077" s="75">
        <f>AM2068</f>
        <v>3253.9898839165503</v>
      </c>
      <c r="AP2077" s="61"/>
      <c r="AQ2077" s="69">
        <f>IFERROR(ABS(AP$23-AP2076),Q_max*10)</f>
        <v>5500</v>
      </c>
      <c r="AR2077" s="75">
        <f>AP2068</f>
        <v>3777.7812363151402</v>
      </c>
      <c r="AS2077" s="61"/>
      <c r="AT2077" s="69">
        <f>IFERROR(ABS(AS$23-AS2076),Q_max*10)</f>
        <v>5500</v>
      </c>
      <c r="AU2077" s="75">
        <f>AS2068</f>
        <v>4299.4674399972273</v>
      </c>
    </row>
    <row r="2078" spans="15:47" ht="14.5" x14ac:dyDescent="0.35">
      <c r="O2078" s="8"/>
      <c r="P2078" s="6"/>
      <c r="Q2078" s="60"/>
      <c r="R2078" s="67"/>
      <c r="S2078" s="58"/>
      <c r="T2078" s="73"/>
      <c r="V2078" s="11"/>
      <c r="W2078" s="38"/>
      <c r="Y2078" s="11"/>
      <c r="Z2078" s="38"/>
      <c r="AB2078" s="11"/>
      <c r="AC2078" s="38"/>
      <c r="AE2078" s="11"/>
      <c r="AF2078" s="38"/>
      <c r="AH2078" s="11"/>
      <c r="AI2078" s="38"/>
      <c r="AK2078" s="11"/>
      <c r="AL2078" s="38"/>
      <c r="AN2078" s="11"/>
      <c r="AO2078" s="38"/>
      <c r="AQ2078" s="11"/>
      <c r="AR2078" s="38"/>
      <c r="AT2078" s="11"/>
      <c r="AU2078" s="38"/>
    </row>
    <row r="2079" spans="15:47" ht="14" x14ac:dyDescent="0.3">
      <c r="O2079" s="8" t="s">
        <v>235</v>
      </c>
      <c r="P2079" s="6"/>
      <c r="Q2079" s="60"/>
      <c r="R2079" s="53">
        <f>R2068*1.02</f>
        <v>31.821594313122247</v>
      </c>
      <c r="S2079" s="58" t="s">
        <v>238</v>
      </c>
      <c r="T2079" s="73" t="s">
        <v>241</v>
      </c>
      <c r="U2079" s="84">
        <f>U2068*1.01</f>
        <v>179.84419643229714</v>
      </c>
      <c r="V2079" s="58" t="s">
        <v>238</v>
      </c>
      <c r="W2079" s="73" t="s">
        <v>241</v>
      </c>
      <c r="X2079" s="84">
        <f>X2068*1.01</f>
        <v>431.69530019608169</v>
      </c>
      <c r="Y2079" s="58" t="s">
        <v>238</v>
      </c>
      <c r="Z2079" s="73" t="s">
        <v>241</v>
      </c>
      <c r="AA2079" s="84">
        <f>AA2068*1.01</f>
        <v>824.26453929676438</v>
      </c>
      <c r="AB2079" s="58" t="s">
        <v>238</v>
      </c>
      <c r="AC2079" s="73" t="s">
        <v>241</v>
      </c>
      <c r="AD2079" s="84">
        <f>AD2068*1.01</f>
        <v>1355.6116909449465</v>
      </c>
      <c r="AE2079" s="58" t="s">
        <v>238</v>
      </c>
      <c r="AF2079" s="73" t="s">
        <v>241</v>
      </c>
      <c r="AG2079" s="84">
        <f>AG2068*1.01</f>
        <v>2018.3210834761337</v>
      </c>
      <c r="AH2079" s="58" t="s">
        <v>238</v>
      </c>
      <c r="AI2079" s="73" t="s">
        <v>241</v>
      </c>
      <c r="AJ2079" s="84">
        <f>AJ2068*1.01</f>
        <v>2693.4573100562793</v>
      </c>
      <c r="AK2079" s="58" t="s">
        <v>238</v>
      </c>
      <c r="AL2079" s="73" t="s">
        <v>241</v>
      </c>
      <c r="AM2079" s="84">
        <f>AM2068*1.01</f>
        <v>3286.529782755716</v>
      </c>
      <c r="AN2079" s="58" t="s">
        <v>238</v>
      </c>
      <c r="AO2079" s="73" t="s">
        <v>241</v>
      </c>
      <c r="AP2079" s="84">
        <f>AP2068*1.01</f>
        <v>3815.5590486782917</v>
      </c>
      <c r="AQ2079" s="58" t="s">
        <v>238</v>
      </c>
      <c r="AR2079" s="73" t="s">
        <v>241</v>
      </c>
      <c r="AS2079" s="84">
        <f>AS2068*1.01</f>
        <v>4342.4621143971999</v>
      </c>
      <c r="AT2079" s="58" t="s">
        <v>238</v>
      </c>
      <c r="AU2079" s="73" t="s">
        <v>241</v>
      </c>
    </row>
    <row r="2080" spans="15:47" ht="13" x14ac:dyDescent="0.25">
      <c r="O2080" s="6"/>
      <c r="P2080" s="6"/>
      <c r="Q2080" s="60"/>
      <c r="R2080" s="70"/>
      <c r="S2080" s="63" t="s">
        <v>250</v>
      </c>
      <c r="T2080" s="71" t="s">
        <v>242</v>
      </c>
      <c r="U2080" s="61"/>
      <c r="V2080" s="63" t="s">
        <v>250</v>
      </c>
      <c r="W2080" s="71" t="s">
        <v>242</v>
      </c>
      <c r="X2080" s="61"/>
      <c r="Y2080" s="63" t="s">
        <v>250</v>
      </c>
      <c r="Z2080" s="71" t="s">
        <v>242</v>
      </c>
      <c r="AA2080" s="61"/>
      <c r="AB2080" s="63" t="s">
        <v>250</v>
      </c>
      <c r="AC2080" s="71" t="s">
        <v>242</v>
      </c>
      <c r="AD2080" s="61"/>
      <c r="AE2080" s="63" t="s">
        <v>250</v>
      </c>
      <c r="AF2080" s="71" t="s">
        <v>242</v>
      </c>
      <c r="AG2080" s="61"/>
      <c r="AH2080" s="63" t="s">
        <v>250</v>
      </c>
      <c r="AI2080" s="71" t="s">
        <v>242</v>
      </c>
      <c r="AJ2080" s="61"/>
      <c r="AK2080" s="63" t="s">
        <v>250</v>
      </c>
      <c r="AL2080" s="71" t="s">
        <v>242</v>
      </c>
      <c r="AM2080" s="61"/>
      <c r="AN2080" s="63" t="s">
        <v>250</v>
      </c>
      <c r="AO2080" s="71" t="s">
        <v>242</v>
      </c>
      <c r="AP2080" s="61"/>
      <c r="AQ2080" s="63" t="s">
        <v>250</v>
      </c>
      <c r="AR2080" s="71" t="s">
        <v>242</v>
      </c>
      <c r="AS2080" s="61"/>
      <c r="AT2080" s="63" t="s">
        <v>250</v>
      </c>
      <c r="AU2080" s="71" t="s">
        <v>242</v>
      </c>
    </row>
    <row r="2081" spans="15:47" ht="13" x14ac:dyDescent="0.3">
      <c r="O2081" s="6" t="s">
        <v>231</v>
      </c>
      <c r="P2081" s="6"/>
      <c r="Q2081" s="60"/>
      <c r="R2081" s="85">
        <f>P_1_minQ-(R2079^2*R_up)+dpup_minQ</f>
        <v>56.881944820512366</v>
      </c>
      <c r="S2081" s="56"/>
      <c r="T2081" s="72"/>
      <c r="U2081" s="53">
        <f>P_1_minQ-(U2079^2*R_up)+dpup_minQ</f>
        <v>55.823811719338785</v>
      </c>
      <c r="V2081" s="44"/>
      <c r="W2081" s="72"/>
      <c r="X2081" s="53">
        <f>P_1_minQ-(X2079^2*R_up)+dpup_minQ</f>
        <v>50.622295433590509</v>
      </c>
      <c r="Y2081" s="44"/>
      <c r="Z2081" s="72"/>
      <c r="AA2081" s="53">
        <f>P_1_minQ-(AA2079^2*R_up)+dpup_minQ</f>
        <v>33.970785858084859</v>
      </c>
      <c r="AB2081" s="44"/>
      <c r="AC2081" s="72"/>
      <c r="AD2081" s="53">
        <f>P_1_minQ-(AD2079^2*R_up)+dpup_minQ</f>
        <v>-5.1467766506794108</v>
      </c>
      <c r="AE2081" s="44"/>
      <c r="AF2081" s="72"/>
      <c r="AG2081" s="53">
        <f>P_1_minQ-(AG2079^2*R_up)+dpup_minQ</f>
        <v>-80.659675650262557</v>
      </c>
      <c r="AH2081" s="44"/>
      <c r="AI2081" s="72"/>
      <c r="AJ2081" s="53">
        <f>P_1_minQ-(AJ2079^2*R_up)+dpup_minQ</f>
        <v>-188.09271466043933</v>
      </c>
      <c r="AK2081" s="44"/>
      <c r="AL2081" s="72"/>
      <c r="AM2081" s="53">
        <f>P_1_minQ-(AM2079^2*R_up)+dpup_minQ</f>
        <v>-307.8686596737702</v>
      </c>
      <c r="AN2081" s="44"/>
      <c r="AO2081" s="72"/>
      <c r="AP2081" s="53">
        <f>P_1_minQ-(AP2079^2*R_up)+dpup_minQ</f>
        <v>-434.75865768155325</v>
      </c>
      <c r="AQ2081" s="44"/>
      <c r="AR2081" s="72"/>
      <c r="AS2081" s="53">
        <f>P_1_minQ-(AS2079^2*R_up)+dpup_minQ</f>
        <v>-579.9287475506585</v>
      </c>
      <c r="AT2081" s="44"/>
      <c r="AU2081" s="72"/>
    </row>
    <row r="2082" spans="15:47" ht="13" x14ac:dyDescent="0.3">
      <c r="O2082" s="6" t="s">
        <v>233</v>
      </c>
      <c r="P2082" s="6"/>
      <c r="Q2082" s="60"/>
      <c r="R2082" s="85">
        <f>P_2_minQ+(R2079^2*R_dn)-dpdn_minQ</f>
        <v>24.663611035897528</v>
      </c>
      <c r="S2082" s="66"/>
      <c r="T2082" s="74"/>
      <c r="U2082" s="53">
        <f>P_2_minQ+(U2079^2*R_dn)-dpdn_minQ</f>
        <v>24.875237656132246</v>
      </c>
      <c r="V2082" s="45"/>
      <c r="W2082" s="74"/>
      <c r="X2082" s="53">
        <f>P_2_minQ+(X2079^2*R_dn)-dpdn_minQ</f>
        <v>25.915540913281898</v>
      </c>
      <c r="Y2082" s="45"/>
      <c r="Z2082" s="74"/>
      <c r="AA2082" s="53">
        <f>P_2_minQ+(AA2079^2*R_dn)-dpdn_minQ</f>
        <v>29.245842828383029</v>
      </c>
      <c r="AB2082" s="45"/>
      <c r="AC2082" s="74"/>
      <c r="AD2082" s="53">
        <f>P_2_minQ+(AD2079^2*R_dn)-dpdn_minQ</f>
        <v>37.069355330135885</v>
      </c>
      <c r="AE2082" s="45"/>
      <c r="AF2082" s="74"/>
      <c r="AG2082" s="53">
        <f>P_2_minQ+(AG2079^2*R_dn)-dpdn_minQ</f>
        <v>52.171935130052518</v>
      </c>
      <c r="AH2082" s="45"/>
      <c r="AI2082" s="74"/>
      <c r="AJ2082" s="53">
        <f>P_2_minQ+(AJ2079^2*R_dn)-dpdn_minQ</f>
        <v>73.658542932087869</v>
      </c>
      <c r="AK2082" s="45"/>
      <c r="AL2082" s="74"/>
      <c r="AM2082" s="53">
        <f>P_2_minQ+(AM2079^2*R_dn)-dpdn_minQ</f>
        <v>97.613731934754028</v>
      </c>
      <c r="AN2082" s="45"/>
      <c r="AO2082" s="74"/>
      <c r="AP2082" s="53">
        <f>P_2_minQ+(AP2079^2*R_dn)-dpdn_minQ</f>
        <v>122.99173153631065</v>
      </c>
      <c r="AQ2082" s="45"/>
      <c r="AR2082" s="74"/>
      <c r="AS2082" s="53">
        <f>P_2_minQ+(AS2079^2*R_dn)-dpdn_minQ</f>
        <v>152.0257495101317</v>
      </c>
      <c r="AT2082" s="45"/>
      <c r="AU2082" s="74"/>
    </row>
    <row r="2083" spans="15:47" x14ac:dyDescent="0.25">
      <c r="O2083" s="6" t="s">
        <v>243</v>
      </c>
      <c r="Q2083" s="60"/>
      <c r="R2083" s="53">
        <f>R2081-R2082</f>
        <v>32.218333784614842</v>
      </c>
      <c r="S2083" s="56"/>
      <c r="T2083" s="72"/>
      <c r="U2083" s="64">
        <f>U2081-U2082</f>
        <v>30.948574063206539</v>
      </c>
      <c r="V2083" s="44"/>
      <c r="W2083" s="72"/>
      <c r="X2083" s="64">
        <f>X2081-X2082</f>
        <v>24.706754520308611</v>
      </c>
      <c r="Y2083" s="44"/>
      <c r="Z2083" s="72"/>
      <c r="AA2083" s="64">
        <f>AA2081-AA2082</f>
        <v>4.72494302970183</v>
      </c>
      <c r="AB2083" s="44"/>
      <c r="AC2083" s="72"/>
      <c r="AD2083" s="64">
        <f>AD2081-AD2082</f>
        <v>-42.216131980815298</v>
      </c>
      <c r="AE2083" s="44"/>
      <c r="AF2083" s="72"/>
      <c r="AG2083" s="64">
        <f>AG2081-AG2082</f>
        <v>-132.83161078031509</v>
      </c>
      <c r="AH2083" s="44"/>
      <c r="AI2083" s="72"/>
      <c r="AJ2083" s="64">
        <f>AJ2081-AJ2082</f>
        <v>-261.75125759252717</v>
      </c>
      <c r="AK2083" s="44"/>
      <c r="AL2083" s="72"/>
      <c r="AM2083" s="64">
        <f>AM2081-AM2082</f>
        <v>-405.48239160852421</v>
      </c>
      <c r="AN2083" s="44"/>
      <c r="AO2083" s="72"/>
      <c r="AP2083" s="64">
        <f>AP2081-AP2082</f>
        <v>-557.75038921786393</v>
      </c>
      <c r="AQ2083" s="44"/>
      <c r="AR2083" s="72"/>
      <c r="AS2083" s="64">
        <f>AS2081-AS2082</f>
        <v>-731.95449706079023</v>
      </c>
      <c r="AT2083" s="44"/>
      <c r="AU2083" s="72"/>
    </row>
    <row r="2084" spans="15:47" ht="13" x14ac:dyDescent="0.3">
      <c r="O2084" s="6" t="s">
        <v>75</v>
      </c>
      <c r="P2084" s="6">
        <v>3</v>
      </c>
      <c r="Q2084" s="65"/>
      <c r="R2084" s="85">
        <f>(F_LP_h/F_P_h)^2*(R2081-('Valve Sizing'!$V$4*'Valve Sizing'!$G$7))</f>
        <v>46.736845192681372</v>
      </c>
      <c r="S2084" s="58"/>
      <c r="T2084" s="73"/>
      <c r="U2084" s="53">
        <f>(U$29/U$27)^2*(U2081-('Valve Sizing'!$V$4*'Valve Sizing'!$G$7))</f>
        <v>45.848155723454447</v>
      </c>
      <c r="V2084" s="41"/>
      <c r="W2084" s="73"/>
      <c r="X2084" s="53">
        <f>(X$29/X$27)^2*(X2081-('Valve Sizing'!$V$4*'Valve Sizing'!$G$7))</f>
        <v>40.60513658133911</v>
      </c>
      <c r="Y2084" s="41"/>
      <c r="Z2084" s="73"/>
      <c r="AA2084" s="53">
        <f>(AA$29/AA$27)^2*(AA2081-('Valve Sizing'!$V$4*'Valve Sizing'!$G$7))</f>
        <v>25.912453574509925</v>
      </c>
      <c r="AB2084" s="41"/>
      <c r="AC2084" s="73"/>
      <c r="AD2084" s="53">
        <f>(AD$29/AD$27)^2*(AD2081-('Valve Sizing'!$V$4*'Valve Sizing'!$G$7))</f>
        <v>-4.0291545573008012</v>
      </c>
      <c r="AE2084" s="41"/>
      <c r="AF2084" s="73"/>
      <c r="AG2084" s="53">
        <f>(AG$29/AG$27)^2*(AG2081-('Valve Sizing'!$V$4*'Valve Sizing'!$G$7))</f>
        <v>-52.231792686807744</v>
      </c>
      <c r="AH2084" s="41"/>
      <c r="AI2084" s="73"/>
      <c r="AJ2084" s="53">
        <f>(AJ$29/AJ$27)^2*(AJ2081-('Valve Sizing'!$V$4*'Valve Sizing'!$G$7))</f>
        <v>-109.04063155550236</v>
      </c>
      <c r="AK2084" s="41"/>
      <c r="AL2084" s="73"/>
      <c r="AM2084" s="53">
        <f>(AM$29/AM$27)^2*(AM2081-('Valve Sizing'!$V$4*'Valve Sizing'!$G$7))</f>
        <v>-147.51713463629545</v>
      </c>
      <c r="AN2084" s="41"/>
      <c r="AO2084" s="73"/>
      <c r="AP2084" s="53">
        <f>(AP$29/AP$27)^2*(AP2081-('Valve Sizing'!$V$4*'Valve Sizing'!$G$7))</f>
        <v>-171.74108830922421</v>
      </c>
      <c r="AQ2084" s="41"/>
      <c r="AR2084" s="73"/>
      <c r="AS2084" s="53">
        <f>(AS$29/AS$27)^2*(AS2081-('Valve Sizing'!$V$4*'Valve Sizing'!$G$7))</f>
        <v>-218.30038326839218</v>
      </c>
      <c r="AT2084" s="41"/>
      <c r="AU2084" s="73"/>
    </row>
    <row r="2085" spans="15:47" ht="13" x14ac:dyDescent="0.25">
      <c r="O2085" s="1" t="s">
        <v>69</v>
      </c>
      <c r="P2085" s="17">
        <v>7</v>
      </c>
      <c r="Q2085" s="65"/>
      <c r="R2085" s="53">
        <f>(R2079/(N_1*F_P_h))*SQRT('Valve Sizing'!$G$6/R2083)</f>
        <v>5.6070434957736772</v>
      </c>
      <c r="S2085" s="58"/>
      <c r="T2085" s="73"/>
      <c r="U2085" s="64">
        <f>(U2079/(N_1*U$27))*SQRT('Valve Sizing'!$G$6/U2083)</f>
        <v>32.355027714258441</v>
      </c>
      <c r="V2085" s="41"/>
      <c r="W2085" s="73"/>
      <c r="X2085" s="64">
        <f>(X2079/(N_1*X$27))*SQRT('Valve Sizing'!$G$6/X2083)</f>
        <v>87.118379435603799</v>
      </c>
      <c r="Y2085" s="41"/>
      <c r="Z2085" s="73"/>
      <c r="AA2085" s="64">
        <f>(AA2079/(N_1*AA$27))*SQRT('Valve Sizing'!$G$6/AA2083)</f>
        <v>382.56036313227162</v>
      </c>
      <c r="AB2085" s="41"/>
      <c r="AC2085" s="73"/>
      <c r="AD2085" s="64" t="e">
        <f>(AD2079/(N_1*AD$27))*SQRT('Valve Sizing'!$G$6/AD2083)</f>
        <v>#NUM!</v>
      </c>
      <c r="AE2085" s="41"/>
      <c r="AF2085" s="73"/>
      <c r="AG2085" s="64" t="e">
        <f>(AG2079/(N_1*AG$27))*SQRT('Valve Sizing'!$G$6/AG2083)</f>
        <v>#NUM!</v>
      </c>
      <c r="AH2085" s="41"/>
      <c r="AI2085" s="73"/>
      <c r="AJ2085" s="64" t="e">
        <f>(AJ2079/(N_1*AJ$27))*SQRT('Valve Sizing'!$G$6/AJ2083)</f>
        <v>#NUM!</v>
      </c>
      <c r="AK2085" s="41"/>
      <c r="AL2085" s="73"/>
      <c r="AM2085" s="64" t="e">
        <f>(AM2079/(N_1*AM$27))*SQRT('Valve Sizing'!$G$6/AM2083)</f>
        <v>#NUM!</v>
      </c>
      <c r="AN2085" s="41"/>
      <c r="AO2085" s="73"/>
      <c r="AP2085" s="64" t="e">
        <f>(AP2079/(N_1*AP$27))*SQRT('Valve Sizing'!$G$6/AP2083)</f>
        <v>#NUM!</v>
      </c>
      <c r="AQ2085" s="41"/>
      <c r="AR2085" s="73"/>
      <c r="AS2085" s="64" t="e">
        <f>(AS2079/(N_1*AS$27))*SQRT('Valve Sizing'!$G$6/AS2083)</f>
        <v>#NUM!</v>
      </c>
      <c r="AT2085" s="41"/>
      <c r="AU2085" s="73"/>
    </row>
    <row r="2086" spans="15:47" ht="13" x14ac:dyDescent="0.3">
      <c r="O2086" s="1" t="s">
        <v>72</v>
      </c>
      <c r="P2086" s="17">
        <v>7</v>
      </c>
      <c r="Q2086" s="65"/>
      <c r="R2086" s="53">
        <f>(R2079/(N_1*F_P_h))*SQRT('Valve Sizing'!$G$6/R2084)</f>
        <v>4.6553867544044518</v>
      </c>
      <c r="S2086" s="56"/>
      <c r="T2086" s="72"/>
      <c r="U2086" s="85">
        <f>(U2079/(N_1*U$27))*SQRT('Valve Sizing'!$G$6/U2084)</f>
        <v>26.582826875132387</v>
      </c>
      <c r="V2086" s="44"/>
      <c r="W2086" s="72"/>
      <c r="X2086" s="85">
        <f>(X2079/(N_1*X$27))*SQRT('Valve Sizing'!$G$6/X2084)</f>
        <v>67.955897157111167</v>
      </c>
      <c r="Y2086" s="44"/>
      <c r="Z2086" s="72"/>
      <c r="AA2086" s="85">
        <f>(AA2079/(N_1*AA$27))*SQRT('Valve Sizing'!$G$6/AA2084)</f>
        <v>163.3593477498685</v>
      </c>
      <c r="AB2086" s="44"/>
      <c r="AC2086" s="72"/>
      <c r="AD2086" s="85" t="e">
        <f>(AD2079/(N_1*AD$27))*SQRT('Valve Sizing'!$G$6/AD2084)</f>
        <v>#NUM!</v>
      </c>
      <c r="AE2086" s="44"/>
      <c r="AF2086" s="72"/>
      <c r="AG2086" s="85" t="e">
        <f>(AG2079/(N_1*AG$27))*SQRT('Valve Sizing'!$G$6/AG2084)</f>
        <v>#NUM!</v>
      </c>
      <c r="AH2086" s="44"/>
      <c r="AI2086" s="72"/>
      <c r="AJ2086" s="85" t="e">
        <f>(AJ2079/(N_1*AJ$27))*SQRT('Valve Sizing'!$G$6/AJ2084)</f>
        <v>#NUM!</v>
      </c>
      <c r="AK2086" s="44"/>
      <c r="AL2086" s="72"/>
      <c r="AM2086" s="85" t="e">
        <f>(AM2079/(N_1*AM$27))*SQRT('Valve Sizing'!$G$6/AM2084)</f>
        <v>#NUM!</v>
      </c>
      <c r="AN2086" s="44"/>
      <c r="AO2086" s="72"/>
      <c r="AP2086" s="85" t="e">
        <f>(AP2079/(N_1*AP$27))*SQRT('Valve Sizing'!$G$6/AP2084)</f>
        <v>#NUM!</v>
      </c>
      <c r="AQ2086" s="44"/>
      <c r="AR2086" s="72"/>
      <c r="AS2086" s="85" t="e">
        <f>(AS2079/(N_1*AS$27))*SQRT('Valve Sizing'!$G$6/AS2084)</f>
        <v>#NUM!</v>
      </c>
      <c r="AT2086" s="44"/>
      <c r="AU2086" s="72"/>
    </row>
    <row r="2087" spans="15:47" x14ac:dyDescent="0.25">
      <c r="O2087" s="1" t="s">
        <v>246</v>
      </c>
      <c r="P2087" s="18"/>
      <c r="Q2087" s="65"/>
      <c r="R2087" s="53">
        <f>IF(R2083&lt;R2084,R2085,R2086)</f>
        <v>5.6070434957736772</v>
      </c>
      <c r="S2087" s="49"/>
      <c r="T2087" s="72"/>
      <c r="U2087" s="64">
        <f>IF(U2083&lt;U2084,U2085,U2086)</f>
        <v>32.355027714258441</v>
      </c>
      <c r="V2087" s="44"/>
      <c r="W2087" s="72"/>
      <c r="X2087" s="64">
        <f>IF(X2083&lt;X2084,X2085,X2086)</f>
        <v>87.118379435603799</v>
      </c>
      <c r="Y2087" s="44"/>
      <c r="Z2087" s="72"/>
      <c r="AA2087" s="64">
        <f>IF(AA2083&lt;AA2084,AA2085,AA2086)</f>
        <v>382.56036313227162</v>
      </c>
      <c r="AB2087" s="44"/>
      <c r="AC2087" s="72"/>
      <c r="AD2087" s="64" t="e">
        <f>IF(AD2083&lt;AD2084,AD2085,AD2086)</f>
        <v>#NUM!</v>
      </c>
      <c r="AE2087" s="44"/>
      <c r="AF2087" s="72"/>
      <c r="AG2087" s="64" t="e">
        <f>IF(AG2083&lt;AG2084,AG2085,AG2086)</f>
        <v>#NUM!</v>
      </c>
      <c r="AH2087" s="44"/>
      <c r="AI2087" s="72"/>
      <c r="AJ2087" s="64" t="e">
        <f>IF(AJ2083&lt;AJ2084,AJ2085,AJ2086)</f>
        <v>#NUM!</v>
      </c>
      <c r="AK2087" s="44"/>
      <c r="AL2087" s="72"/>
      <c r="AM2087" s="64" t="e">
        <f>IF(AM2083&lt;AM2084,AM2085,AM2086)</f>
        <v>#NUM!</v>
      </c>
      <c r="AN2087" s="44"/>
      <c r="AO2087" s="72"/>
      <c r="AP2087" s="64" t="e">
        <f>IF(AP2083&lt;AP2084,AP2085,AP2086)</f>
        <v>#NUM!</v>
      </c>
      <c r="AQ2087" s="44"/>
      <c r="AR2087" s="72"/>
      <c r="AS2087" s="64" t="e">
        <f>IF(AS2083&lt;AS2084,AS2085,AS2086)</f>
        <v>#NUM!</v>
      </c>
      <c r="AT2087" s="44"/>
      <c r="AU2087" s="72"/>
    </row>
    <row r="2088" spans="15:47" ht="13" x14ac:dyDescent="0.3">
      <c r="O2088" s="7" t="s">
        <v>264</v>
      </c>
      <c r="Q2088" s="61"/>
      <c r="R2088" s="53"/>
      <c r="S2088" s="69">
        <f>IFERROR(ABS(C_h-R2087),Q_max*10)</f>
        <v>0.60704349577367722</v>
      </c>
      <c r="T2088" s="76">
        <f>R2079</f>
        <v>31.821594313122247</v>
      </c>
      <c r="U2088" s="61"/>
      <c r="V2088" s="69">
        <f>IFERROR(ABS(U$23-U2087),Q_max*10)</f>
        <v>20.355027714258441</v>
      </c>
      <c r="W2088" s="75">
        <f>U2079</f>
        <v>179.84419643229714</v>
      </c>
      <c r="X2088" s="61"/>
      <c r="Y2088" s="69">
        <f>IFERROR(ABS(X$23-X2087),Q_max*10)</f>
        <v>64.118379435603799</v>
      </c>
      <c r="Z2088" s="75">
        <f>X2079</f>
        <v>431.69530019608169</v>
      </c>
      <c r="AA2088" s="61"/>
      <c r="AB2088" s="69">
        <f>IFERROR(ABS(AA$23-AA2087),Q_max*10)</f>
        <v>343.56036313227162</v>
      </c>
      <c r="AC2088" s="75">
        <f>AA2079</f>
        <v>824.26453929676438</v>
      </c>
      <c r="AD2088" s="61"/>
      <c r="AE2088" s="69">
        <f>IFERROR(ABS(AD$23-AD2087),Q_max*10)</f>
        <v>5500</v>
      </c>
      <c r="AF2088" s="75">
        <f>AD2079</f>
        <v>1355.6116909449465</v>
      </c>
      <c r="AG2088" s="61"/>
      <c r="AH2088" s="69">
        <f>IFERROR(ABS(AG$23-AG2087),Q_max*10)</f>
        <v>5500</v>
      </c>
      <c r="AI2088" s="75">
        <f>AG2079</f>
        <v>2018.3210834761337</v>
      </c>
      <c r="AJ2088" s="61"/>
      <c r="AK2088" s="69">
        <f>IFERROR(ABS(AJ$23-AJ2087),Q_max*10)</f>
        <v>5500</v>
      </c>
      <c r="AL2088" s="75">
        <f>AJ2079</f>
        <v>2693.4573100562793</v>
      </c>
      <c r="AM2088" s="61"/>
      <c r="AN2088" s="69">
        <f>IFERROR(ABS(AM$23-AM2087),Q_max*10)</f>
        <v>5500</v>
      </c>
      <c r="AO2088" s="75">
        <f>AM2079</f>
        <v>3286.529782755716</v>
      </c>
      <c r="AP2088" s="61"/>
      <c r="AQ2088" s="69">
        <f>IFERROR(ABS(AP$23-AP2087),Q_max*10)</f>
        <v>5500</v>
      </c>
      <c r="AR2088" s="75">
        <f>AP2079</f>
        <v>3815.5590486782917</v>
      </c>
      <c r="AS2088" s="61"/>
      <c r="AT2088" s="69">
        <f>IFERROR(ABS(AS$23-AS2087),Q_max*10)</f>
        <v>5500</v>
      </c>
      <c r="AU2088" s="75">
        <f>AS2079</f>
        <v>4342.4621143971999</v>
      </c>
    </row>
    <row r="2089" spans="15:47" ht="14.5" x14ac:dyDescent="0.35">
      <c r="O2089" s="6"/>
      <c r="P2089" s="6"/>
      <c r="Q2089" s="60"/>
      <c r="R2089" s="67"/>
      <c r="S2089" s="56"/>
      <c r="T2089" s="72"/>
      <c r="V2089" s="11"/>
      <c r="W2089" s="38"/>
      <c r="Y2089" s="11"/>
      <c r="Z2089" s="38"/>
      <c r="AB2089" s="11"/>
      <c r="AC2089" s="38"/>
      <c r="AE2089" s="11"/>
      <c r="AF2089" s="38"/>
      <c r="AH2089" s="11"/>
      <c r="AI2089" s="38"/>
      <c r="AK2089" s="11"/>
      <c r="AL2089" s="38"/>
      <c r="AN2089" s="11"/>
      <c r="AO2089" s="38"/>
      <c r="AQ2089" s="11"/>
      <c r="AR2089" s="38"/>
      <c r="AT2089" s="11"/>
      <c r="AU2089" s="38"/>
    </row>
    <row r="2090" spans="15:47" ht="14" x14ac:dyDescent="0.3">
      <c r="O2090" s="8" t="s">
        <v>235</v>
      </c>
      <c r="P2090" s="6"/>
      <c r="Q2090" s="60"/>
      <c r="R2090" s="53">
        <f>R2079*1.02</f>
        <v>32.45802619938469</v>
      </c>
      <c r="S2090" s="58" t="s">
        <v>238</v>
      </c>
      <c r="T2090" s="73" t="s">
        <v>241</v>
      </c>
      <c r="U2090" s="84">
        <f>U2079*1.01</f>
        <v>181.6426383966201</v>
      </c>
      <c r="V2090" s="58" t="s">
        <v>238</v>
      </c>
      <c r="W2090" s="73" t="s">
        <v>241</v>
      </c>
      <c r="X2090" s="84">
        <f>X2079*1.01</f>
        <v>436.01225319804252</v>
      </c>
      <c r="Y2090" s="58" t="s">
        <v>238</v>
      </c>
      <c r="Z2090" s="73" t="s">
        <v>241</v>
      </c>
      <c r="AA2090" s="84">
        <f>AA2079*1.01</f>
        <v>832.50718468973207</v>
      </c>
      <c r="AB2090" s="58" t="s">
        <v>238</v>
      </c>
      <c r="AC2090" s="73" t="s">
        <v>241</v>
      </c>
      <c r="AD2090" s="84">
        <f>AD2079*1.01</f>
        <v>1369.167807854396</v>
      </c>
      <c r="AE2090" s="58" t="s">
        <v>238</v>
      </c>
      <c r="AF2090" s="73" t="s">
        <v>241</v>
      </c>
      <c r="AG2090" s="84">
        <f>AG2079*1.01</f>
        <v>2038.5042943108951</v>
      </c>
      <c r="AH2090" s="58" t="s">
        <v>238</v>
      </c>
      <c r="AI2090" s="73" t="s">
        <v>241</v>
      </c>
      <c r="AJ2090" s="84">
        <f>AJ2079*1.01</f>
        <v>2720.3918831568421</v>
      </c>
      <c r="AK2090" s="58" t="s">
        <v>238</v>
      </c>
      <c r="AL2090" s="73" t="s">
        <v>241</v>
      </c>
      <c r="AM2090" s="84">
        <f>AM2079*1.01</f>
        <v>3319.3950805832733</v>
      </c>
      <c r="AN2090" s="58" t="s">
        <v>238</v>
      </c>
      <c r="AO2090" s="73" t="s">
        <v>241</v>
      </c>
      <c r="AP2090" s="84">
        <f>AP2079*1.01</f>
        <v>3853.7146391650745</v>
      </c>
      <c r="AQ2090" s="58" t="s">
        <v>238</v>
      </c>
      <c r="AR2090" s="73" t="s">
        <v>241</v>
      </c>
      <c r="AS2090" s="84">
        <f>AS2079*1.01</f>
        <v>4385.8867355411721</v>
      </c>
      <c r="AT2090" s="58" t="s">
        <v>238</v>
      </c>
      <c r="AU2090" s="73" t="s">
        <v>241</v>
      </c>
    </row>
    <row r="2091" spans="15:47" ht="13" x14ac:dyDescent="0.25">
      <c r="O2091" s="6"/>
      <c r="P2091" s="6"/>
      <c r="Q2091" s="60"/>
      <c r="R2091" s="70"/>
      <c r="S2091" s="63" t="s">
        <v>250</v>
      </c>
      <c r="T2091" s="71" t="s">
        <v>242</v>
      </c>
      <c r="U2091" s="61"/>
      <c r="V2091" s="63" t="s">
        <v>250</v>
      </c>
      <c r="W2091" s="71" t="s">
        <v>242</v>
      </c>
      <c r="X2091" s="61"/>
      <c r="Y2091" s="63" t="s">
        <v>250</v>
      </c>
      <c r="Z2091" s="71" t="s">
        <v>242</v>
      </c>
      <c r="AA2091" s="61"/>
      <c r="AB2091" s="63" t="s">
        <v>250</v>
      </c>
      <c r="AC2091" s="71" t="s">
        <v>242</v>
      </c>
      <c r="AD2091" s="61"/>
      <c r="AE2091" s="63" t="s">
        <v>250</v>
      </c>
      <c r="AF2091" s="71" t="s">
        <v>242</v>
      </c>
      <c r="AG2091" s="61"/>
      <c r="AH2091" s="63" t="s">
        <v>250</v>
      </c>
      <c r="AI2091" s="71" t="s">
        <v>242</v>
      </c>
      <c r="AJ2091" s="61"/>
      <c r="AK2091" s="63" t="s">
        <v>250</v>
      </c>
      <c r="AL2091" s="71" t="s">
        <v>242</v>
      </c>
      <c r="AM2091" s="61"/>
      <c r="AN2091" s="63" t="s">
        <v>250</v>
      </c>
      <c r="AO2091" s="71" t="s">
        <v>242</v>
      </c>
      <c r="AP2091" s="61"/>
      <c r="AQ2091" s="63" t="s">
        <v>250</v>
      </c>
      <c r="AR2091" s="71" t="s">
        <v>242</v>
      </c>
      <c r="AS2091" s="61"/>
      <c r="AT2091" s="63" t="s">
        <v>250</v>
      </c>
      <c r="AU2091" s="71" t="s">
        <v>242</v>
      </c>
    </row>
    <row r="2092" spans="15:47" ht="13" x14ac:dyDescent="0.3">
      <c r="O2092" s="6" t="s">
        <v>231</v>
      </c>
      <c r="P2092" s="6"/>
      <c r="Q2092" s="60"/>
      <c r="R2092" s="85">
        <f>P_1_minQ-(R2090^2*R_up)+dpup_minQ</f>
        <v>56.880563206188455</v>
      </c>
      <c r="S2092" s="56"/>
      <c r="T2092" s="72"/>
      <c r="U2092" s="53">
        <f>P_1_minQ-(U2090^2*R_up)+dpup_minQ</f>
        <v>55.801855856680675</v>
      </c>
      <c r="V2092" s="44"/>
      <c r="W2092" s="72"/>
      <c r="X2092" s="53">
        <f>P_1_minQ-(X2090^2*R_up)+dpup_minQ</f>
        <v>50.495789093588854</v>
      </c>
      <c r="Y2092" s="44"/>
      <c r="Z2092" s="72"/>
      <c r="AA2092" s="53">
        <f>P_1_minQ-(AA2090^2*R_up)+dpup_minQ</f>
        <v>33.509584175615551</v>
      </c>
      <c r="AB2092" s="44"/>
      <c r="AC2092" s="72"/>
      <c r="AD2092" s="53">
        <f>P_1_minQ-(AD2090^2*R_up)+dpup_minQ</f>
        <v>-6.3942413395748803</v>
      </c>
      <c r="AE2092" s="44"/>
      <c r="AF2092" s="72"/>
      <c r="AG2092" s="53">
        <f>P_1_minQ-(AG2090^2*R_up)+dpup_minQ</f>
        <v>-83.424949609049662</v>
      </c>
      <c r="AH2092" s="44"/>
      <c r="AI2092" s="72"/>
      <c r="AJ2092" s="53">
        <f>P_1_minQ-(AJ2090^2*R_up)+dpup_minQ</f>
        <v>-193.01739270333101</v>
      </c>
      <c r="AK2092" s="44"/>
      <c r="AL2092" s="72"/>
      <c r="AM2092" s="53">
        <f>P_1_minQ-(AM2090^2*R_up)+dpup_minQ</f>
        <v>-315.20083421142976</v>
      </c>
      <c r="AN2092" s="44"/>
      <c r="AO2092" s="72"/>
      <c r="AP2092" s="53">
        <f>P_1_minQ-(AP2090^2*R_up)+dpup_minQ</f>
        <v>-444.64132117916927</v>
      </c>
      <c r="AQ2092" s="44"/>
      <c r="AR2092" s="72"/>
      <c r="AS2092" s="53">
        <f>P_1_minQ-(AS2090^2*R_up)+dpup_minQ</f>
        <v>-592.72932985464377</v>
      </c>
      <c r="AT2092" s="44"/>
      <c r="AU2092" s="72"/>
    </row>
    <row r="2093" spans="15:47" ht="13" x14ac:dyDescent="0.3">
      <c r="O2093" s="6" t="s">
        <v>233</v>
      </c>
      <c r="P2093" s="6"/>
      <c r="Q2093" s="60"/>
      <c r="R2093" s="85">
        <f>P_2_minQ+(R2090^2*R_dn)-dpdn_minQ</f>
        <v>24.66388735876231</v>
      </c>
      <c r="S2093" s="66"/>
      <c r="T2093" s="74"/>
      <c r="U2093" s="53">
        <f>P_2_minQ+(U2090^2*R_dn)-dpdn_minQ</f>
        <v>24.879628828663868</v>
      </c>
      <c r="V2093" s="45"/>
      <c r="W2093" s="74"/>
      <c r="X2093" s="53">
        <f>P_2_minQ+(X2090^2*R_dn)-dpdn_minQ</f>
        <v>25.940842181282228</v>
      </c>
      <c r="Y2093" s="45"/>
      <c r="Z2093" s="74"/>
      <c r="AA2093" s="53">
        <f>P_2_minQ+(AA2090^2*R_dn)-dpdn_minQ</f>
        <v>29.338083164876892</v>
      </c>
      <c r="AB2093" s="45"/>
      <c r="AC2093" s="74"/>
      <c r="AD2093" s="53">
        <f>P_2_minQ+(AD2090^2*R_dn)-dpdn_minQ</f>
        <v>37.31884826791498</v>
      </c>
      <c r="AE2093" s="45"/>
      <c r="AF2093" s="74"/>
      <c r="AG2093" s="53">
        <f>P_2_minQ+(AG2090^2*R_dn)-dpdn_minQ</f>
        <v>52.724989921809936</v>
      </c>
      <c r="AH2093" s="45"/>
      <c r="AI2093" s="74"/>
      <c r="AJ2093" s="53">
        <f>P_2_minQ+(AJ2090^2*R_dn)-dpdn_minQ</f>
        <v>74.643478540666194</v>
      </c>
      <c r="AK2093" s="45"/>
      <c r="AL2093" s="74"/>
      <c r="AM2093" s="53">
        <f>P_2_minQ+(AM2090^2*R_dn)-dpdn_minQ</f>
        <v>99.080166842285948</v>
      </c>
      <c r="AN2093" s="45"/>
      <c r="AO2093" s="74"/>
      <c r="AP2093" s="53">
        <f>P_2_minQ+(AP2090^2*R_dn)-dpdn_minQ</f>
        <v>124.96826423583384</v>
      </c>
      <c r="AQ2093" s="45"/>
      <c r="AR2093" s="74"/>
      <c r="AS2093" s="53">
        <f>P_2_minQ+(AS2090^2*R_dn)-dpdn_minQ</f>
        <v>154.58586597092872</v>
      </c>
      <c r="AT2093" s="45"/>
      <c r="AU2093" s="74"/>
    </row>
    <row r="2094" spans="15:47" x14ac:dyDescent="0.25">
      <c r="O2094" s="6" t="s">
        <v>243</v>
      </c>
      <c r="Q2094" s="60"/>
      <c r="R2094" s="53">
        <f>R2092-R2093</f>
        <v>32.216675847426146</v>
      </c>
      <c r="S2094" s="56"/>
      <c r="T2094" s="72"/>
      <c r="U2094" s="64">
        <f>U2092-U2093</f>
        <v>30.922227028016806</v>
      </c>
      <c r="V2094" s="44"/>
      <c r="W2094" s="72"/>
      <c r="X2094" s="64">
        <f>X2092-X2093</f>
        <v>24.554946912306626</v>
      </c>
      <c r="Y2094" s="44"/>
      <c r="Z2094" s="72"/>
      <c r="AA2094" s="64">
        <f>AA2092-AA2093</f>
        <v>4.171501010738659</v>
      </c>
      <c r="AB2094" s="44"/>
      <c r="AC2094" s="72"/>
      <c r="AD2094" s="64">
        <f>AD2092-AD2093</f>
        <v>-43.713089607489863</v>
      </c>
      <c r="AE2094" s="44"/>
      <c r="AF2094" s="72"/>
      <c r="AG2094" s="64">
        <f>AG2092-AG2093</f>
        <v>-136.1499395308596</v>
      </c>
      <c r="AH2094" s="44"/>
      <c r="AI2094" s="72"/>
      <c r="AJ2094" s="64">
        <f>AJ2092-AJ2093</f>
        <v>-267.66087124399724</v>
      </c>
      <c r="AK2094" s="44"/>
      <c r="AL2094" s="72"/>
      <c r="AM2094" s="64">
        <f>AM2092-AM2093</f>
        <v>-414.28100105371573</v>
      </c>
      <c r="AN2094" s="44"/>
      <c r="AO2094" s="72"/>
      <c r="AP2094" s="64">
        <f>AP2092-AP2093</f>
        <v>-569.60958541500315</v>
      </c>
      <c r="AQ2094" s="44"/>
      <c r="AR2094" s="72"/>
      <c r="AS2094" s="64">
        <f>AS2092-AS2093</f>
        <v>-747.31519582557246</v>
      </c>
      <c r="AT2094" s="44"/>
      <c r="AU2094" s="72"/>
    </row>
    <row r="2095" spans="15:47" ht="13" x14ac:dyDescent="0.3">
      <c r="O2095" s="6" t="s">
        <v>75</v>
      </c>
      <c r="P2095" s="6">
        <v>3</v>
      </c>
      <c r="Q2095" s="65"/>
      <c r="R2095" s="85">
        <f>(F_LP_h/F_P_h)^2*(R2092-('Valve Sizing'!$V$4*'Valve Sizing'!$G$7))</f>
        <v>46.735701143500322</v>
      </c>
      <c r="S2095" s="58"/>
      <c r="T2095" s="73"/>
      <c r="U2095" s="53">
        <f>(U$29/U$27)^2*(U2092-('Valve Sizing'!$V$4*'Valve Sizing'!$G$7))</f>
        <v>45.82998007199398</v>
      </c>
      <c r="V2095" s="41"/>
      <c r="W2095" s="73"/>
      <c r="X2095" s="53">
        <f>(X$29/X$27)^2*(X2092-('Valve Sizing'!$V$4*'Valve Sizing'!$G$7))</f>
        <v>40.502773525345759</v>
      </c>
      <c r="Y2095" s="41"/>
      <c r="Z2095" s="73"/>
      <c r="AA2095" s="53">
        <f>(AA$29/AA$27)^2*(AA2092-('Valve Sizing'!$V$4*'Valve Sizing'!$G$7))</f>
        <v>25.556038195814157</v>
      </c>
      <c r="AB2095" s="41"/>
      <c r="AC2095" s="73"/>
      <c r="AD2095" s="53">
        <f>(AD$29/AD$27)^2*(AD2092-('Valve Sizing'!$V$4*'Valve Sizing'!$G$7))</f>
        <v>-4.928810381828554</v>
      </c>
      <c r="AE2095" s="41"/>
      <c r="AF2095" s="73"/>
      <c r="AG2095" s="53">
        <f>(AG$29/AG$27)^2*(AG2092-('Valve Sizing'!$V$4*'Valve Sizing'!$G$7))</f>
        <v>-54.012750653328723</v>
      </c>
      <c r="AH2095" s="41"/>
      <c r="AI2095" s="73"/>
      <c r="AJ2095" s="53">
        <f>(AJ$29/AJ$27)^2*(AJ2092-('Valve Sizing'!$V$4*'Valve Sizing'!$G$7))</f>
        <v>-111.88888969847504</v>
      </c>
      <c r="AK2095" s="41"/>
      <c r="AL2095" s="73"/>
      <c r="AM2095" s="53">
        <f>(AM$29/AM$27)^2*(AM2092-('Valve Sizing'!$V$4*'Valve Sizing'!$G$7))</f>
        <v>-151.02537594640529</v>
      </c>
      <c r="AN2095" s="41"/>
      <c r="AO2095" s="73"/>
      <c r="AP2095" s="53">
        <f>(AP$29/AP$27)^2*(AP2092-('Valve Sizing'!$V$4*'Valve Sizing'!$G$7))</f>
        <v>-175.64105245113907</v>
      </c>
      <c r="AQ2095" s="41"/>
      <c r="AR2095" s="73"/>
      <c r="AS2095" s="53">
        <f>(AS$29/AS$27)^2*(AS2092-('Valve Sizing'!$V$4*'Valve Sizing'!$G$7))</f>
        <v>-223.11520446120448</v>
      </c>
      <c r="AT2095" s="41"/>
      <c r="AU2095" s="73"/>
    </row>
    <row r="2096" spans="15:47" ht="13" x14ac:dyDescent="0.25">
      <c r="O2096" s="1" t="s">
        <v>69</v>
      </c>
      <c r="P2096" s="17">
        <v>7</v>
      </c>
      <c r="Q2096" s="65"/>
      <c r="R2096" s="53">
        <f>(R2090/(N_1*F_P_h))*SQRT('Valve Sizing'!$G$6/R2094)</f>
        <v>5.7193315243610359</v>
      </c>
      <c r="S2096" s="58"/>
      <c r="T2096" s="73"/>
      <c r="U2096" s="64">
        <f>(U2090/(N_1*U$27))*SQRT('Valve Sizing'!$G$6/U2094)</f>
        <v>32.69249678714381</v>
      </c>
      <c r="V2096" s="41"/>
      <c r="W2096" s="73"/>
      <c r="X2096" s="64">
        <f>(X2090/(N_1*X$27))*SQRT('Valve Sizing'!$G$6/X2094)</f>
        <v>88.261135869397549</v>
      </c>
      <c r="Y2096" s="41"/>
      <c r="Z2096" s="73"/>
      <c r="AA2096" s="64">
        <f>(AA2090/(N_1*AA$27))*SQRT('Valve Sizing'!$G$6/AA2094)</f>
        <v>411.21926872575358</v>
      </c>
      <c r="AB2096" s="41"/>
      <c r="AC2096" s="73"/>
      <c r="AD2096" s="64" t="e">
        <f>(AD2090/(N_1*AD$27))*SQRT('Valve Sizing'!$G$6/AD2094)</f>
        <v>#NUM!</v>
      </c>
      <c r="AE2096" s="41"/>
      <c r="AF2096" s="73"/>
      <c r="AG2096" s="64" t="e">
        <f>(AG2090/(N_1*AG$27))*SQRT('Valve Sizing'!$G$6/AG2094)</f>
        <v>#NUM!</v>
      </c>
      <c r="AH2096" s="41"/>
      <c r="AI2096" s="73"/>
      <c r="AJ2096" s="64" t="e">
        <f>(AJ2090/(N_1*AJ$27))*SQRT('Valve Sizing'!$G$6/AJ2094)</f>
        <v>#NUM!</v>
      </c>
      <c r="AK2096" s="41"/>
      <c r="AL2096" s="73"/>
      <c r="AM2096" s="64" t="e">
        <f>(AM2090/(N_1*AM$27))*SQRT('Valve Sizing'!$G$6/AM2094)</f>
        <v>#NUM!</v>
      </c>
      <c r="AN2096" s="41"/>
      <c r="AO2096" s="73"/>
      <c r="AP2096" s="64" t="e">
        <f>(AP2090/(N_1*AP$27))*SQRT('Valve Sizing'!$G$6/AP2094)</f>
        <v>#NUM!</v>
      </c>
      <c r="AQ2096" s="41"/>
      <c r="AR2096" s="73"/>
      <c r="AS2096" s="64" t="e">
        <f>(AS2090/(N_1*AS$27))*SQRT('Valve Sizing'!$G$6/AS2094)</f>
        <v>#NUM!</v>
      </c>
      <c r="AT2096" s="41"/>
      <c r="AU2096" s="73"/>
    </row>
    <row r="2097" spans="15:47" ht="13" x14ac:dyDescent="0.3">
      <c r="O2097" s="1" t="s">
        <v>72</v>
      </c>
      <c r="P2097" s="17">
        <v>7</v>
      </c>
      <c r="Q2097" s="65"/>
      <c r="R2097" s="53">
        <f>(R2090/(N_1*F_P_h))*SQRT('Valve Sizing'!$G$6/R2095)</f>
        <v>4.7485526086375804</v>
      </c>
      <c r="S2097" s="56"/>
      <c r="T2097" s="72"/>
      <c r="U2097" s="85">
        <f>(U2090/(N_1*U$27))*SQRT('Valve Sizing'!$G$6/U2095)</f>
        <v>26.853978552533423</v>
      </c>
      <c r="V2097" s="44"/>
      <c r="W2097" s="72"/>
      <c r="X2097" s="85">
        <f>(X2090/(N_1*X$27))*SQRT('Valve Sizing'!$G$6/X2095)</f>
        <v>68.722132928516587</v>
      </c>
      <c r="Y2097" s="44"/>
      <c r="Z2097" s="72"/>
      <c r="AA2097" s="85">
        <f>(AA2090/(N_1*AA$27))*SQRT('Valve Sizing'!$G$6/AA2095)</f>
        <v>166.13948837863097</v>
      </c>
      <c r="AB2097" s="44"/>
      <c r="AC2097" s="72"/>
      <c r="AD2097" s="85" t="e">
        <f>(AD2090/(N_1*AD$27))*SQRT('Valve Sizing'!$G$6/AD2095)</f>
        <v>#NUM!</v>
      </c>
      <c r="AE2097" s="44"/>
      <c r="AF2097" s="72"/>
      <c r="AG2097" s="85" t="e">
        <f>(AG2090/(N_1*AG$27))*SQRT('Valve Sizing'!$G$6/AG2095)</f>
        <v>#NUM!</v>
      </c>
      <c r="AH2097" s="44"/>
      <c r="AI2097" s="72"/>
      <c r="AJ2097" s="85" t="e">
        <f>(AJ2090/(N_1*AJ$27))*SQRT('Valve Sizing'!$G$6/AJ2095)</f>
        <v>#NUM!</v>
      </c>
      <c r="AK2097" s="44"/>
      <c r="AL2097" s="72"/>
      <c r="AM2097" s="85" t="e">
        <f>(AM2090/(N_1*AM$27))*SQRT('Valve Sizing'!$G$6/AM2095)</f>
        <v>#NUM!</v>
      </c>
      <c r="AN2097" s="44"/>
      <c r="AO2097" s="72"/>
      <c r="AP2097" s="85" t="e">
        <f>(AP2090/(N_1*AP$27))*SQRT('Valve Sizing'!$G$6/AP2095)</f>
        <v>#NUM!</v>
      </c>
      <c r="AQ2097" s="44"/>
      <c r="AR2097" s="72"/>
      <c r="AS2097" s="85" t="e">
        <f>(AS2090/(N_1*AS$27))*SQRT('Valve Sizing'!$G$6/AS2095)</f>
        <v>#NUM!</v>
      </c>
      <c r="AT2097" s="44"/>
      <c r="AU2097" s="72"/>
    </row>
    <row r="2098" spans="15:47" x14ac:dyDescent="0.25">
      <c r="O2098" s="1" t="s">
        <v>246</v>
      </c>
      <c r="P2098" s="18"/>
      <c r="Q2098" s="65"/>
      <c r="R2098" s="53">
        <f>IF(R2094&lt;R2095,R2096,R2097)</f>
        <v>5.7193315243610359</v>
      </c>
      <c r="S2098" s="49"/>
      <c r="T2098" s="72"/>
      <c r="U2098" s="64">
        <f>IF(U2094&lt;U2095,U2096,U2097)</f>
        <v>32.69249678714381</v>
      </c>
      <c r="V2098" s="44"/>
      <c r="W2098" s="72"/>
      <c r="X2098" s="64">
        <f>IF(X2094&lt;X2095,X2096,X2097)</f>
        <v>88.261135869397549</v>
      </c>
      <c r="Y2098" s="44"/>
      <c r="Z2098" s="72"/>
      <c r="AA2098" s="64">
        <f>IF(AA2094&lt;AA2095,AA2096,AA2097)</f>
        <v>411.21926872575358</v>
      </c>
      <c r="AB2098" s="44"/>
      <c r="AC2098" s="72"/>
      <c r="AD2098" s="64" t="e">
        <f>IF(AD2094&lt;AD2095,AD2096,AD2097)</f>
        <v>#NUM!</v>
      </c>
      <c r="AE2098" s="44"/>
      <c r="AF2098" s="72"/>
      <c r="AG2098" s="64" t="e">
        <f>IF(AG2094&lt;AG2095,AG2096,AG2097)</f>
        <v>#NUM!</v>
      </c>
      <c r="AH2098" s="44"/>
      <c r="AI2098" s="72"/>
      <c r="AJ2098" s="64" t="e">
        <f>IF(AJ2094&lt;AJ2095,AJ2096,AJ2097)</f>
        <v>#NUM!</v>
      </c>
      <c r="AK2098" s="44"/>
      <c r="AL2098" s="72"/>
      <c r="AM2098" s="64" t="e">
        <f>IF(AM2094&lt;AM2095,AM2096,AM2097)</f>
        <v>#NUM!</v>
      </c>
      <c r="AN2098" s="44"/>
      <c r="AO2098" s="72"/>
      <c r="AP2098" s="64" t="e">
        <f>IF(AP2094&lt;AP2095,AP2096,AP2097)</f>
        <v>#NUM!</v>
      </c>
      <c r="AQ2098" s="44"/>
      <c r="AR2098" s="72"/>
      <c r="AS2098" s="64" t="e">
        <f>IF(AS2094&lt;AS2095,AS2096,AS2097)</f>
        <v>#NUM!</v>
      </c>
      <c r="AT2098" s="44"/>
      <c r="AU2098" s="72"/>
    </row>
    <row r="2099" spans="15:47" ht="13" x14ac:dyDescent="0.3">
      <c r="O2099" s="7" t="s">
        <v>264</v>
      </c>
      <c r="Q2099" s="61"/>
      <c r="R2099" s="53"/>
      <c r="S2099" s="69">
        <f>IFERROR(ABS(C_h-R2098),Q_max*10)</f>
        <v>0.71933152436103587</v>
      </c>
      <c r="T2099" s="76">
        <f>R2090</f>
        <v>32.45802619938469</v>
      </c>
      <c r="U2099" s="61"/>
      <c r="V2099" s="69">
        <f>IFERROR(ABS(U$23-U2098),Q_max*10)</f>
        <v>20.69249678714381</v>
      </c>
      <c r="W2099" s="75">
        <f>U2090</f>
        <v>181.6426383966201</v>
      </c>
      <c r="X2099" s="61"/>
      <c r="Y2099" s="69">
        <f>IFERROR(ABS(X$23-X2098),Q_max*10)</f>
        <v>65.261135869397549</v>
      </c>
      <c r="Z2099" s="75">
        <f>X2090</f>
        <v>436.01225319804252</v>
      </c>
      <c r="AA2099" s="61"/>
      <c r="AB2099" s="69">
        <f>IFERROR(ABS(AA$23-AA2098),Q_max*10)</f>
        <v>372.21926872575358</v>
      </c>
      <c r="AC2099" s="75">
        <f>AA2090</f>
        <v>832.50718468973207</v>
      </c>
      <c r="AD2099" s="61"/>
      <c r="AE2099" s="69">
        <f>IFERROR(ABS(AD$23-AD2098),Q_max*10)</f>
        <v>5500</v>
      </c>
      <c r="AF2099" s="75">
        <f>AD2090</f>
        <v>1369.167807854396</v>
      </c>
      <c r="AG2099" s="61"/>
      <c r="AH2099" s="69">
        <f>IFERROR(ABS(AG$23-AG2098),Q_max*10)</f>
        <v>5500</v>
      </c>
      <c r="AI2099" s="75">
        <f>AG2090</f>
        <v>2038.5042943108951</v>
      </c>
      <c r="AJ2099" s="61"/>
      <c r="AK2099" s="69">
        <f>IFERROR(ABS(AJ$23-AJ2098),Q_max*10)</f>
        <v>5500</v>
      </c>
      <c r="AL2099" s="75">
        <f>AJ2090</f>
        <v>2720.3918831568421</v>
      </c>
      <c r="AM2099" s="61"/>
      <c r="AN2099" s="69">
        <f>IFERROR(ABS(AM$23-AM2098),Q_max*10)</f>
        <v>5500</v>
      </c>
      <c r="AO2099" s="75">
        <f>AM2090</f>
        <v>3319.3950805832733</v>
      </c>
      <c r="AP2099" s="61"/>
      <c r="AQ2099" s="69">
        <f>IFERROR(ABS(AP$23-AP2098),Q_max*10)</f>
        <v>5500</v>
      </c>
      <c r="AR2099" s="75">
        <f>AP2090</f>
        <v>3853.7146391650745</v>
      </c>
      <c r="AS2099" s="61"/>
      <c r="AT2099" s="69">
        <f>IFERROR(ABS(AS$23-AS2098),Q_max*10)</f>
        <v>5500</v>
      </c>
      <c r="AU2099" s="75">
        <f>AS2090</f>
        <v>4385.8867355411721</v>
      </c>
    </row>
    <row r="2100" spans="15:47" ht="14.5" x14ac:dyDescent="0.35">
      <c r="O2100" s="8"/>
      <c r="P2100" s="6"/>
      <c r="Q2100" s="60"/>
      <c r="R2100" s="67"/>
      <c r="S2100" s="66"/>
      <c r="T2100" s="74"/>
      <c r="V2100" s="11"/>
      <c r="W2100" s="38"/>
      <c r="Y2100" s="11"/>
      <c r="Z2100" s="38"/>
      <c r="AB2100" s="11"/>
      <c r="AC2100" s="38"/>
      <c r="AE2100" s="11"/>
      <c r="AF2100" s="38"/>
      <c r="AH2100" s="11"/>
      <c r="AI2100" s="38"/>
      <c r="AK2100" s="11"/>
      <c r="AL2100" s="38"/>
      <c r="AN2100" s="11"/>
      <c r="AO2100" s="38"/>
      <c r="AQ2100" s="11"/>
      <c r="AR2100" s="38"/>
      <c r="AT2100" s="11"/>
      <c r="AU2100" s="38"/>
    </row>
    <row r="2101" spans="15:47" ht="14" x14ac:dyDescent="0.3">
      <c r="O2101" s="8" t="s">
        <v>235</v>
      </c>
      <c r="P2101" s="6"/>
      <c r="Q2101" s="60"/>
      <c r="R2101" s="53">
        <f>R2090*1.02</f>
        <v>33.107186723372386</v>
      </c>
      <c r="S2101" s="58" t="s">
        <v>238</v>
      </c>
      <c r="T2101" s="73" t="s">
        <v>241</v>
      </c>
      <c r="U2101" s="84">
        <f>U2090*1.01</f>
        <v>183.45906478058629</v>
      </c>
      <c r="V2101" s="58" t="s">
        <v>238</v>
      </c>
      <c r="W2101" s="73" t="s">
        <v>241</v>
      </c>
      <c r="X2101" s="84">
        <f>X2090*1.01</f>
        <v>440.37237573002295</v>
      </c>
      <c r="Y2101" s="58" t="s">
        <v>238</v>
      </c>
      <c r="Z2101" s="73" t="s">
        <v>241</v>
      </c>
      <c r="AA2101" s="84">
        <f>AA2090*1.01</f>
        <v>840.83225653662942</v>
      </c>
      <c r="AB2101" s="58" t="s">
        <v>238</v>
      </c>
      <c r="AC2101" s="73" t="s">
        <v>241</v>
      </c>
      <c r="AD2101" s="84">
        <f>AD2090*1.01</f>
        <v>1382.8594859329398</v>
      </c>
      <c r="AE2101" s="58" t="s">
        <v>238</v>
      </c>
      <c r="AF2101" s="73" t="s">
        <v>241</v>
      </c>
      <c r="AG2101" s="84">
        <f>AG2090*1.01</f>
        <v>2058.8893372540042</v>
      </c>
      <c r="AH2101" s="58" t="s">
        <v>238</v>
      </c>
      <c r="AI2101" s="73" t="s">
        <v>241</v>
      </c>
      <c r="AJ2101" s="84">
        <f>AJ2090*1.01</f>
        <v>2747.5958019884106</v>
      </c>
      <c r="AK2101" s="58" t="s">
        <v>238</v>
      </c>
      <c r="AL2101" s="73" t="s">
        <v>241</v>
      </c>
      <c r="AM2101" s="84">
        <f>AM2090*1.01</f>
        <v>3352.5890313891059</v>
      </c>
      <c r="AN2101" s="58" t="s">
        <v>238</v>
      </c>
      <c r="AO2101" s="73" t="s">
        <v>241</v>
      </c>
      <c r="AP2101" s="84">
        <f>AP2090*1.01</f>
        <v>3892.2517855567253</v>
      </c>
      <c r="AQ2101" s="58" t="s">
        <v>238</v>
      </c>
      <c r="AR2101" s="73" t="s">
        <v>241</v>
      </c>
      <c r="AS2101" s="84">
        <f>AS2090*1.01</f>
        <v>4429.7456028965835</v>
      </c>
      <c r="AT2101" s="58" t="s">
        <v>238</v>
      </c>
      <c r="AU2101" s="73" t="s">
        <v>241</v>
      </c>
    </row>
    <row r="2102" spans="15:47" ht="13" x14ac:dyDescent="0.25">
      <c r="O2102" s="6"/>
      <c r="P2102" s="6"/>
      <c r="Q2102" s="60"/>
      <c r="R2102" s="70"/>
      <c r="S2102" s="63" t="s">
        <v>250</v>
      </c>
      <c r="T2102" s="71" t="s">
        <v>242</v>
      </c>
      <c r="U2102" s="61"/>
      <c r="V2102" s="63" t="s">
        <v>250</v>
      </c>
      <c r="W2102" s="71" t="s">
        <v>242</v>
      </c>
      <c r="X2102" s="61"/>
      <c r="Y2102" s="63" t="s">
        <v>250</v>
      </c>
      <c r="Z2102" s="71" t="s">
        <v>242</v>
      </c>
      <c r="AA2102" s="61"/>
      <c r="AB2102" s="63" t="s">
        <v>250</v>
      </c>
      <c r="AC2102" s="71" t="s">
        <v>242</v>
      </c>
      <c r="AD2102" s="61"/>
      <c r="AE2102" s="63" t="s">
        <v>250</v>
      </c>
      <c r="AF2102" s="71" t="s">
        <v>242</v>
      </c>
      <c r="AG2102" s="61"/>
      <c r="AH2102" s="63" t="s">
        <v>250</v>
      </c>
      <c r="AI2102" s="71" t="s">
        <v>242</v>
      </c>
      <c r="AJ2102" s="61"/>
      <c r="AK2102" s="63" t="s">
        <v>250</v>
      </c>
      <c r="AL2102" s="71" t="s">
        <v>242</v>
      </c>
      <c r="AM2102" s="61"/>
      <c r="AN2102" s="63" t="s">
        <v>250</v>
      </c>
      <c r="AO2102" s="71" t="s">
        <v>242</v>
      </c>
      <c r="AP2102" s="61"/>
      <c r="AQ2102" s="63" t="s">
        <v>250</v>
      </c>
      <c r="AR2102" s="71" t="s">
        <v>242</v>
      </c>
      <c r="AS2102" s="61"/>
      <c r="AT2102" s="63" t="s">
        <v>250</v>
      </c>
      <c r="AU2102" s="71" t="s">
        <v>242</v>
      </c>
    </row>
    <row r="2103" spans="15:47" ht="13" x14ac:dyDescent="0.3">
      <c r="O2103" s="6" t="s">
        <v>231</v>
      </c>
      <c r="P2103" s="6"/>
      <c r="Q2103" s="60"/>
      <c r="R2103" s="85">
        <f>P_1_minQ-(R2101^2*R_up)+dpup_minQ</f>
        <v>56.879125774645857</v>
      </c>
      <c r="S2103" s="56"/>
      <c r="T2103" s="72"/>
      <c r="U2103" s="53">
        <f>P_1_minQ-(U2101^2*R_up)+dpup_minQ</f>
        <v>55.779458681183137</v>
      </c>
      <c r="V2103" s="44"/>
      <c r="W2103" s="72"/>
      <c r="X2103" s="53">
        <f>P_1_minQ-(X2101^2*R_up)+dpup_minQ</f>
        <v>50.366739976153177</v>
      </c>
      <c r="Y2103" s="44"/>
      <c r="Z2103" s="72"/>
      <c r="AA2103" s="53">
        <f>P_1_minQ-(AA2101^2*R_up)+dpup_minQ</f>
        <v>33.039112339328597</v>
      </c>
      <c r="AB2103" s="44"/>
      <c r="AC2103" s="72"/>
      <c r="AD2103" s="53">
        <f>P_1_minQ-(AD2101^2*R_up)+dpup_minQ</f>
        <v>-7.6667800687171495</v>
      </c>
      <c r="AE2103" s="44"/>
      <c r="AF2103" s="72"/>
      <c r="AG2103" s="53">
        <f>P_1_minQ-(AG2101^2*R_up)+dpup_minQ</f>
        <v>-86.245805574408422</v>
      </c>
      <c r="AH2103" s="44"/>
      <c r="AI2103" s="72"/>
      <c r="AJ2103" s="53">
        <f>P_1_minQ-(AJ2101^2*R_up)+dpup_minQ</f>
        <v>-198.04105677488477</v>
      </c>
      <c r="AK2103" s="44"/>
      <c r="AL2103" s="72"/>
      <c r="AM2103" s="53">
        <f>P_1_minQ-(AM2101^2*R_up)+dpup_minQ</f>
        <v>-322.68038545729632</v>
      </c>
      <c r="AN2103" s="44"/>
      <c r="AO2103" s="72"/>
      <c r="AP2103" s="53">
        <f>P_1_minQ-(AP2101^2*R_up)+dpup_minQ</f>
        <v>-454.72262621308738</v>
      </c>
      <c r="AQ2103" s="44"/>
      <c r="AR2103" s="72"/>
      <c r="AS2103" s="53">
        <f>P_1_minQ-(AS2101^2*R_up)+dpup_minQ</f>
        <v>-605.78720386293878</v>
      </c>
      <c r="AT2103" s="44"/>
      <c r="AU2103" s="72"/>
    </row>
    <row r="2104" spans="15:47" ht="13" x14ac:dyDescent="0.3">
      <c r="O2104" s="6" t="s">
        <v>233</v>
      </c>
      <c r="P2104" s="6"/>
      <c r="Q2104" s="60"/>
      <c r="R2104" s="85">
        <f>P_2_minQ+(R2101^2*R_dn)-dpdn_minQ</f>
        <v>24.664174845070832</v>
      </c>
      <c r="S2104" s="66"/>
      <c r="T2104" s="74"/>
      <c r="U2104" s="53">
        <f>P_2_minQ+(U2101^2*R_dn)-dpdn_minQ</f>
        <v>24.884108263763373</v>
      </c>
      <c r="V2104" s="45"/>
      <c r="W2104" s="74"/>
      <c r="X2104" s="53">
        <f>P_2_minQ+(X2101^2*R_dn)-dpdn_minQ</f>
        <v>25.966652004769365</v>
      </c>
      <c r="Y2104" s="45"/>
      <c r="Z2104" s="74"/>
      <c r="AA2104" s="53">
        <f>P_2_minQ+(AA2101^2*R_dn)-dpdn_minQ</f>
        <v>29.432177532134279</v>
      </c>
      <c r="AB2104" s="45"/>
      <c r="AC2104" s="74"/>
      <c r="AD2104" s="53">
        <f>P_2_minQ+(AD2101^2*R_dn)-dpdn_minQ</f>
        <v>37.573356013743435</v>
      </c>
      <c r="AE2104" s="45"/>
      <c r="AF2104" s="74"/>
      <c r="AG2104" s="53">
        <f>P_2_minQ+(AG2101^2*R_dn)-dpdn_minQ</f>
        <v>53.289161114881686</v>
      </c>
      <c r="AH2104" s="45"/>
      <c r="AI2104" s="74"/>
      <c r="AJ2104" s="53">
        <f>P_2_minQ+(AJ2101^2*R_dn)-dpdn_minQ</f>
        <v>75.648211354976951</v>
      </c>
      <c r="AK2104" s="45"/>
      <c r="AL2104" s="74"/>
      <c r="AM2104" s="53">
        <f>P_2_minQ+(AM2101^2*R_dn)-dpdn_minQ</f>
        <v>100.57607709145927</v>
      </c>
      <c r="AN2104" s="45"/>
      <c r="AO2104" s="74"/>
      <c r="AP2104" s="53">
        <f>P_2_minQ+(AP2101^2*R_dn)-dpdn_minQ</f>
        <v>126.98452524261748</v>
      </c>
      <c r="AQ2104" s="45"/>
      <c r="AR2104" s="74"/>
      <c r="AS2104" s="53">
        <f>P_2_minQ+(AS2101^2*R_dn)-dpdn_minQ</f>
        <v>157.19744077258778</v>
      </c>
      <c r="AT2104" s="45"/>
      <c r="AU2104" s="74"/>
    </row>
    <row r="2105" spans="15:47" x14ac:dyDescent="0.25">
      <c r="O2105" s="6" t="s">
        <v>243</v>
      </c>
      <c r="Q2105" s="60"/>
      <c r="R2105" s="53">
        <f>R2103-R2104</f>
        <v>32.214950929575025</v>
      </c>
      <c r="S2105" s="56"/>
      <c r="T2105" s="72"/>
      <c r="U2105" s="64">
        <f>U2103-U2104</f>
        <v>30.895350417419763</v>
      </c>
      <c r="V2105" s="44"/>
      <c r="W2105" s="72"/>
      <c r="X2105" s="64">
        <f>X2103-X2104</f>
        <v>24.400087971383812</v>
      </c>
      <c r="Y2105" s="44"/>
      <c r="Z2105" s="72"/>
      <c r="AA2105" s="64">
        <f>AA2103-AA2104</f>
        <v>3.6069348071943175</v>
      </c>
      <c r="AB2105" s="44"/>
      <c r="AC2105" s="72"/>
      <c r="AD2105" s="64">
        <f>AD2103-AD2104</f>
        <v>-45.240136082460587</v>
      </c>
      <c r="AE2105" s="44"/>
      <c r="AF2105" s="72"/>
      <c r="AG2105" s="64">
        <f>AG2103-AG2104</f>
        <v>-139.53496668929012</v>
      </c>
      <c r="AH2105" s="44"/>
      <c r="AI2105" s="72"/>
      <c r="AJ2105" s="64">
        <f>AJ2103-AJ2104</f>
        <v>-273.68926812986172</v>
      </c>
      <c r="AK2105" s="44"/>
      <c r="AL2105" s="72"/>
      <c r="AM2105" s="64">
        <f>AM2103-AM2104</f>
        <v>-423.25646254875562</v>
      </c>
      <c r="AN2105" s="44"/>
      <c r="AO2105" s="72"/>
      <c r="AP2105" s="64">
        <f>AP2103-AP2104</f>
        <v>-581.70715145570489</v>
      </c>
      <c r="AQ2105" s="44"/>
      <c r="AR2105" s="72"/>
      <c r="AS2105" s="64">
        <f>AS2103-AS2104</f>
        <v>-762.98464463552659</v>
      </c>
      <c r="AT2105" s="44"/>
      <c r="AU2105" s="72"/>
    </row>
    <row r="2106" spans="15:47" ht="13" x14ac:dyDescent="0.3">
      <c r="O2106" s="6" t="s">
        <v>75</v>
      </c>
      <c r="P2106" s="6">
        <v>3</v>
      </c>
      <c r="Q2106" s="65"/>
      <c r="R2106" s="85">
        <f>(F_LP_h/F_P_h)^2*(R2103-('Valve Sizing'!$V$4*'Valve Sizing'!$G$7))</f>
        <v>46.734510874732358</v>
      </c>
      <c r="S2106" s="58"/>
      <c r="T2106" s="73"/>
      <c r="U2106" s="53">
        <f>(U$29/U$27)^2*(U2103-('Valve Sizing'!$V$4*'Valve Sizing'!$G$7))</f>
        <v>45.811439089939164</v>
      </c>
      <c r="V2106" s="41"/>
      <c r="W2106" s="73"/>
      <c r="X2106" s="53">
        <f>(X$29/X$27)^2*(X2103-('Valve Sizing'!$V$4*'Valve Sizing'!$G$7))</f>
        <v>40.398352971926954</v>
      </c>
      <c r="Y2106" s="41"/>
      <c r="Z2106" s="73"/>
      <c r="AA2106" s="53">
        <f>(AA$29/AA$27)^2*(AA2103-('Valve Sizing'!$V$4*'Valve Sizing'!$G$7))</f>
        <v>25.192458868006597</v>
      </c>
      <c r="AB2106" s="41"/>
      <c r="AC2106" s="73"/>
      <c r="AD2106" s="53">
        <f>(AD$29/AD$27)^2*(AD2103-('Valve Sizing'!$V$4*'Valve Sizing'!$G$7))</f>
        <v>-5.8465492884293155</v>
      </c>
      <c r="AE2106" s="41"/>
      <c r="AF2106" s="73"/>
      <c r="AG2106" s="53">
        <f>(AG$29/AG$27)^2*(AG2103-('Valve Sizing'!$V$4*'Valve Sizing'!$G$7))</f>
        <v>-55.829505874976796</v>
      </c>
      <c r="AH2106" s="41"/>
      <c r="AI2106" s="73"/>
      <c r="AJ2106" s="53">
        <f>(AJ$29/AJ$27)^2*(AJ2103-('Valve Sizing'!$V$4*'Valve Sizing'!$G$7))</f>
        <v>-114.79439783012144</v>
      </c>
      <c r="AK2106" s="41"/>
      <c r="AL2106" s="73"/>
      <c r="AM2106" s="53">
        <f>(AM$29/AM$27)^2*(AM2103-('Valve Sizing'!$V$4*'Valve Sizing'!$G$7))</f>
        <v>-154.60413290684838</v>
      </c>
      <c r="AN2106" s="41"/>
      <c r="AO2106" s="73"/>
      <c r="AP2106" s="53">
        <f>(AP$29/AP$27)^2*(AP2103-('Valve Sizing'!$V$4*'Valve Sizing'!$G$7))</f>
        <v>-179.61940587230646</v>
      </c>
      <c r="AQ2106" s="41"/>
      <c r="AR2106" s="73"/>
      <c r="AS2106" s="53">
        <f>(AS$29/AS$27)^2*(AS2103-('Valve Sizing'!$V$4*'Valve Sizing'!$G$7))</f>
        <v>-228.0268035599922</v>
      </c>
      <c r="AT2106" s="41"/>
      <c r="AU2106" s="73"/>
    </row>
    <row r="2107" spans="15:47" ht="13" x14ac:dyDescent="0.25">
      <c r="O2107" s="1" t="s">
        <v>69</v>
      </c>
      <c r="P2107" s="17">
        <v>7</v>
      </c>
      <c r="Q2107" s="65"/>
      <c r="R2107" s="53">
        <f>(R2101/(N_1*F_P_h))*SQRT('Valve Sizing'!$G$6/R2105)</f>
        <v>5.8338743331070733</v>
      </c>
      <c r="S2107" s="58"/>
      <c r="T2107" s="73"/>
      <c r="U2107" s="64">
        <f>(U2101/(N_1*U$27))*SQRT('Valve Sizing'!$G$6/U2105)</f>
        <v>33.033780828613601</v>
      </c>
      <c r="V2107" s="41"/>
      <c r="W2107" s="73"/>
      <c r="X2107" s="64">
        <f>(X2101/(N_1*X$27))*SQRT('Valve Sizing'!$G$6/X2105)</f>
        <v>89.426182113304392</v>
      </c>
      <c r="Y2107" s="41"/>
      <c r="Z2107" s="73"/>
      <c r="AA2107" s="64">
        <f>(AA2101/(N_1*AA$27))*SQRT('Valve Sizing'!$G$6/AA2105)</f>
        <v>446.6546507331675</v>
      </c>
      <c r="AB2107" s="41"/>
      <c r="AC2107" s="73"/>
      <c r="AD2107" s="64" t="e">
        <f>(AD2101/(N_1*AD$27))*SQRT('Valve Sizing'!$G$6/AD2105)</f>
        <v>#NUM!</v>
      </c>
      <c r="AE2107" s="41"/>
      <c r="AF2107" s="73"/>
      <c r="AG2107" s="64" t="e">
        <f>(AG2101/(N_1*AG$27))*SQRT('Valve Sizing'!$G$6/AG2105)</f>
        <v>#NUM!</v>
      </c>
      <c r="AH2107" s="41"/>
      <c r="AI2107" s="73"/>
      <c r="AJ2107" s="64" t="e">
        <f>(AJ2101/(N_1*AJ$27))*SQRT('Valve Sizing'!$G$6/AJ2105)</f>
        <v>#NUM!</v>
      </c>
      <c r="AK2107" s="41"/>
      <c r="AL2107" s="73"/>
      <c r="AM2107" s="64" t="e">
        <f>(AM2101/(N_1*AM$27))*SQRT('Valve Sizing'!$G$6/AM2105)</f>
        <v>#NUM!</v>
      </c>
      <c r="AN2107" s="41"/>
      <c r="AO2107" s="73"/>
      <c r="AP2107" s="64" t="e">
        <f>(AP2101/(N_1*AP$27))*SQRT('Valve Sizing'!$G$6/AP2105)</f>
        <v>#NUM!</v>
      </c>
      <c r="AQ2107" s="41"/>
      <c r="AR2107" s="73"/>
      <c r="AS2107" s="64" t="e">
        <f>(AS2101/(N_1*AS$27))*SQRT('Valve Sizing'!$G$6/AS2105)</f>
        <v>#NUM!</v>
      </c>
      <c r="AT2107" s="41"/>
      <c r="AU2107" s="73"/>
    </row>
    <row r="2108" spans="15:47" ht="13" x14ac:dyDescent="0.3">
      <c r="O2108" s="1" t="s">
        <v>72</v>
      </c>
      <c r="P2108" s="17">
        <v>7</v>
      </c>
      <c r="Q2108" s="65"/>
      <c r="R2108" s="53">
        <f>(R2101/(N_1*F_P_h))*SQRT('Valve Sizing'!$G$6/R2106)</f>
        <v>4.8435853396224724</v>
      </c>
      <c r="S2108" s="56"/>
      <c r="T2108" s="72"/>
      <c r="U2108" s="85">
        <f>(U2101/(N_1*U$27))*SQRT('Valve Sizing'!$G$6/U2106)</f>
        <v>27.128006347870027</v>
      </c>
      <c r="V2108" s="44"/>
      <c r="W2108" s="72"/>
      <c r="X2108" s="85">
        <f>(X2101/(N_1*X$27))*SQRT('Valve Sizing'!$G$6/X2106)</f>
        <v>69.499000063131163</v>
      </c>
      <c r="Y2108" s="44"/>
      <c r="Z2108" s="72"/>
      <c r="AA2108" s="85">
        <f>(AA2101/(N_1*AA$27))*SQRT('Valve Sizing'!$G$6/AA2106)</f>
        <v>169.00740275273276</v>
      </c>
      <c r="AB2108" s="44"/>
      <c r="AC2108" s="72"/>
      <c r="AD2108" s="85" t="e">
        <f>(AD2101/(N_1*AD$27))*SQRT('Valve Sizing'!$G$6/AD2106)</f>
        <v>#NUM!</v>
      </c>
      <c r="AE2108" s="44"/>
      <c r="AF2108" s="72"/>
      <c r="AG2108" s="85" t="e">
        <f>(AG2101/(N_1*AG$27))*SQRT('Valve Sizing'!$G$6/AG2106)</f>
        <v>#NUM!</v>
      </c>
      <c r="AH2108" s="44"/>
      <c r="AI2108" s="72"/>
      <c r="AJ2108" s="85" t="e">
        <f>(AJ2101/(N_1*AJ$27))*SQRT('Valve Sizing'!$G$6/AJ2106)</f>
        <v>#NUM!</v>
      </c>
      <c r="AK2108" s="44"/>
      <c r="AL2108" s="72"/>
      <c r="AM2108" s="85" t="e">
        <f>(AM2101/(N_1*AM$27))*SQRT('Valve Sizing'!$G$6/AM2106)</f>
        <v>#NUM!</v>
      </c>
      <c r="AN2108" s="44"/>
      <c r="AO2108" s="72"/>
      <c r="AP2108" s="85" t="e">
        <f>(AP2101/(N_1*AP$27))*SQRT('Valve Sizing'!$G$6/AP2106)</f>
        <v>#NUM!</v>
      </c>
      <c r="AQ2108" s="44"/>
      <c r="AR2108" s="72"/>
      <c r="AS2108" s="85" t="e">
        <f>(AS2101/(N_1*AS$27))*SQRT('Valve Sizing'!$G$6/AS2106)</f>
        <v>#NUM!</v>
      </c>
      <c r="AT2108" s="44"/>
      <c r="AU2108" s="72"/>
    </row>
    <row r="2109" spans="15:47" x14ac:dyDescent="0.25">
      <c r="O2109" s="1" t="s">
        <v>246</v>
      </c>
      <c r="P2109" s="18"/>
      <c r="Q2109" s="65"/>
      <c r="R2109" s="53">
        <f>IF(R2105&lt;R2106,R2107,R2108)</f>
        <v>5.8338743331070733</v>
      </c>
      <c r="S2109" s="49"/>
      <c r="T2109" s="72"/>
      <c r="U2109" s="64">
        <f>IF(U2105&lt;U2106,U2107,U2108)</f>
        <v>33.033780828613601</v>
      </c>
      <c r="V2109" s="44"/>
      <c r="W2109" s="72"/>
      <c r="X2109" s="64">
        <f>IF(X2105&lt;X2106,X2107,X2108)</f>
        <v>89.426182113304392</v>
      </c>
      <c r="Y2109" s="44"/>
      <c r="Z2109" s="72"/>
      <c r="AA2109" s="64">
        <f>IF(AA2105&lt;AA2106,AA2107,AA2108)</f>
        <v>446.6546507331675</v>
      </c>
      <c r="AB2109" s="44"/>
      <c r="AC2109" s="72"/>
      <c r="AD2109" s="64" t="e">
        <f>IF(AD2105&lt;AD2106,AD2107,AD2108)</f>
        <v>#NUM!</v>
      </c>
      <c r="AE2109" s="44"/>
      <c r="AF2109" s="72"/>
      <c r="AG2109" s="64" t="e">
        <f>IF(AG2105&lt;AG2106,AG2107,AG2108)</f>
        <v>#NUM!</v>
      </c>
      <c r="AH2109" s="44"/>
      <c r="AI2109" s="72"/>
      <c r="AJ2109" s="64" t="e">
        <f>IF(AJ2105&lt;AJ2106,AJ2107,AJ2108)</f>
        <v>#NUM!</v>
      </c>
      <c r="AK2109" s="44"/>
      <c r="AL2109" s="72"/>
      <c r="AM2109" s="64" t="e">
        <f>IF(AM2105&lt;AM2106,AM2107,AM2108)</f>
        <v>#NUM!</v>
      </c>
      <c r="AN2109" s="44"/>
      <c r="AO2109" s="72"/>
      <c r="AP2109" s="64" t="e">
        <f>IF(AP2105&lt;AP2106,AP2107,AP2108)</f>
        <v>#NUM!</v>
      </c>
      <c r="AQ2109" s="44"/>
      <c r="AR2109" s="72"/>
      <c r="AS2109" s="64" t="e">
        <f>IF(AS2105&lt;AS2106,AS2107,AS2108)</f>
        <v>#NUM!</v>
      </c>
      <c r="AT2109" s="44"/>
      <c r="AU2109" s="72"/>
    </row>
    <row r="2110" spans="15:47" ht="13" x14ac:dyDescent="0.3">
      <c r="O2110" s="7" t="s">
        <v>264</v>
      </c>
      <c r="Q2110" s="61"/>
      <c r="R2110" s="53"/>
      <c r="S2110" s="69">
        <f>IFERROR(ABS(C_h-R2109),Q_max*10)</f>
        <v>0.83387433310707326</v>
      </c>
      <c r="T2110" s="76">
        <f>R2101</f>
        <v>33.107186723372386</v>
      </c>
      <c r="U2110" s="61"/>
      <c r="V2110" s="69">
        <f>IFERROR(ABS(U$23-U2109),Q_max*10)</f>
        <v>21.033780828613601</v>
      </c>
      <c r="W2110" s="75">
        <f>U2101</f>
        <v>183.45906478058629</v>
      </c>
      <c r="X2110" s="61"/>
      <c r="Y2110" s="69">
        <f>IFERROR(ABS(X$23-X2109),Q_max*10)</f>
        <v>66.426182113304392</v>
      </c>
      <c r="Z2110" s="75">
        <f>X2101</f>
        <v>440.37237573002295</v>
      </c>
      <c r="AA2110" s="61"/>
      <c r="AB2110" s="69">
        <f>IFERROR(ABS(AA$23-AA2109),Q_max*10)</f>
        <v>407.6546507331675</v>
      </c>
      <c r="AC2110" s="75">
        <f>AA2101</f>
        <v>840.83225653662942</v>
      </c>
      <c r="AD2110" s="61"/>
      <c r="AE2110" s="69">
        <f>IFERROR(ABS(AD$23-AD2109),Q_max*10)</f>
        <v>5500</v>
      </c>
      <c r="AF2110" s="75">
        <f>AD2101</f>
        <v>1382.8594859329398</v>
      </c>
      <c r="AG2110" s="61"/>
      <c r="AH2110" s="69">
        <f>IFERROR(ABS(AG$23-AG2109),Q_max*10)</f>
        <v>5500</v>
      </c>
      <c r="AI2110" s="75">
        <f>AG2101</f>
        <v>2058.8893372540042</v>
      </c>
      <c r="AJ2110" s="61"/>
      <c r="AK2110" s="69">
        <f>IFERROR(ABS(AJ$23-AJ2109),Q_max*10)</f>
        <v>5500</v>
      </c>
      <c r="AL2110" s="75">
        <f>AJ2101</f>
        <v>2747.5958019884106</v>
      </c>
      <c r="AM2110" s="61"/>
      <c r="AN2110" s="69">
        <f>IFERROR(ABS(AM$23-AM2109),Q_max*10)</f>
        <v>5500</v>
      </c>
      <c r="AO2110" s="75">
        <f>AM2101</f>
        <v>3352.5890313891059</v>
      </c>
      <c r="AP2110" s="61"/>
      <c r="AQ2110" s="69">
        <f>IFERROR(ABS(AP$23-AP2109),Q_max*10)</f>
        <v>5500</v>
      </c>
      <c r="AR2110" s="75">
        <f>AP2101</f>
        <v>3892.2517855567253</v>
      </c>
      <c r="AS2110" s="61"/>
      <c r="AT2110" s="69">
        <f>IFERROR(ABS(AS$23-AS2109),Q_max*10)</f>
        <v>5500</v>
      </c>
      <c r="AU2110" s="75">
        <f>AS2101</f>
        <v>4429.7456028965835</v>
      </c>
    </row>
    <row r="2111" spans="15:47" ht="14.5" x14ac:dyDescent="0.35">
      <c r="O2111" s="6"/>
      <c r="P2111" s="6"/>
      <c r="Q2111" s="60"/>
      <c r="R2111" s="67"/>
      <c r="S2111" s="58"/>
      <c r="T2111" s="73"/>
      <c r="V2111" s="11"/>
      <c r="W2111" s="38"/>
      <c r="Y2111" s="11"/>
      <c r="Z2111" s="38"/>
      <c r="AB2111" s="11"/>
      <c r="AC2111" s="38"/>
      <c r="AE2111" s="11"/>
      <c r="AF2111" s="38"/>
      <c r="AH2111" s="11"/>
      <c r="AI2111" s="38"/>
      <c r="AK2111" s="11"/>
      <c r="AL2111" s="38"/>
      <c r="AN2111" s="11"/>
      <c r="AO2111" s="38"/>
      <c r="AQ2111" s="11"/>
      <c r="AR2111" s="38"/>
      <c r="AT2111" s="11"/>
      <c r="AU2111" s="38"/>
    </row>
    <row r="2112" spans="15:47" ht="14" x14ac:dyDescent="0.3">
      <c r="O2112" s="8" t="s">
        <v>235</v>
      </c>
      <c r="P2112" s="6"/>
      <c r="Q2112" s="60"/>
      <c r="R2112" s="53">
        <f>R2101*1.02</f>
        <v>33.769330457839835</v>
      </c>
      <c r="S2112" s="58" t="s">
        <v>238</v>
      </c>
      <c r="T2112" s="73" t="s">
        <v>241</v>
      </c>
      <c r="U2112" s="84">
        <f>U2101*1.01</f>
        <v>185.29365542839216</v>
      </c>
      <c r="V2112" s="58" t="s">
        <v>238</v>
      </c>
      <c r="W2112" s="73" t="s">
        <v>241</v>
      </c>
      <c r="X2112" s="84">
        <f>X2101*1.01</f>
        <v>444.77609948732317</v>
      </c>
      <c r="Y2112" s="58" t="s">
        <v>238</v>
      </c>
      <c r="Z2112" s="73" t="s">
        <v>241</v>
      </c>
      <c r="AA2112" s="84">
        <f>AA2101*1.01</f>
        <v>849.24057910199576</v>
      </c>
      <c r="AB2112" s="58" t="s">
        <v>238</v>
      </c>
      <c r="AC2112" s="73" t="s">
        <v>241</v>
      </c>
      <c r="AD2112" s="84">
        <f>AD2101*1.01</f>
        <v>1396.6880807922691</v>
      </c>
      <c r="AE2112" s="58" t="s">
        <v>238</v>
      </c>
      <c r="AF2112" s="73" t="s">
        <v>241</v>
      </c>
      <c r="AG2112" s="84">
        <f>AG2101*1.01</f>
        <v>2079.4782306265442</v>
      </c>
      <c r="AH2112" s="58" t="s">
        <v>238</v>
      </c>
      <c r="AI2112" s="73" t="s">
        <v>241</v>
      </c>
      <c r="AJ2112" s="84">
        <f>AJ2101*1.01</f>
        <v>2775.0717600082949</v>
      </c>
      <c r="AK2112" s="58" t="s">
        <v>238</v>
      </c>
      <c r="AL2112" s="73" t="s">
        <v>241</v>
      </c>
      <c r="AM2112" s="84">
        <f>AM2101*1.01</f>
        <v>3386.114921702997</v>
      </c>
      <c r="AN2112" s="58" t="s">
        <v>238</v>
      </c>
      <c r="AO2112" s="73" t="s">
        <v>241</v>
      </c>
      <c r="AP2112" s="84">
        <f>AP2101*1.01</f>
        <v>3931.1743034122924</v>
      </c>
      <c r="AQ2112" s="58" t="s">
        <v>238</v>
      </c>
      <c r="AR2112" s="73" t="s">
        <v>241</v>
      </c>
      <c r="AS2112" s="84">
        <f>AS2101*1.01</f>
        <v>4474.0430589255493</v>
      </c>
      <c r="AT2112" s="58" t="s">
        <v>238</v>
      </c>
      <c r="AU2112" s="73" t="s">
        <v>241</v>
      </c>
    </row>
    <row r="2113" spans="15:47" ht="13" x14ac:dyDescent="0.25">
      <c r="O2113" s="6"/>
      <c r="P2113" s="6"/>
      <c r="Q2113" s="60"/>
      <c r="R2113" s="70"/>
      <c r="S2113" s="63" t="s">
        <v>250</v>
      </c>
      <c r="T2113" s="71" t="s">
        <v>242</v>
      </c>
      <c r="U2113" s="61"/>
      <c r="V2113" s="63" t="s">
        <v>250</v>
      </c>
      <c r="W2113" s="71" t="s">
        <v>242</v>
      </c>
      <c r="X2113" s="61"/>
      <c r="Y2113" s="63" t="s">
        <v>250</v>
      </c>
      <c r="Z2113" s="71" t="s">
        <v>242</v>
      </c>
      <c r="AA2113" s="61"/>
      <c r="AB2113" s="63" t="s">
        <v>250</v>
      </c>
      <c r="AC2113" s="71" t="s">
        <v>242</v>
      </c>
      <c r="AD2113" s="61"/>
      <c r="AE2113" s="63" t="s">
        <v>250</v>
      </c>
      <c r="AF2113" s="71" t="s">
        <v>242</v>
      </c>
      <c r="AG2113" s="61"/>
      <c r="AH2113" s="63" t="s">
        <v>250</v>
      </c>
      <c r="AI2113" s="71" t="s">
        <v>242</v>
      </c>
      <c r="AJ2113" s="61"/>
      <c r="AK2113" s="63" t="s">
        <v>250</v>
      </c>
      <c r="AL2113" s="71" t="s">
        <v>242</v>
      </c>
      <c r="AM2113" s="61"/>
      <c r="AN2113" s="63" t="s">
        <v>250</v>
      </c>
      <c r="AO2113" s="71" t="s">
        <v>242</v>
      </c>
      <c r="AP2113" s="61"/>
      <c r="AQ2113" s="63" t="s">
        <v>250</v>
      </c>
      <c r="AR2113" s="71" t="s">
        <v>242</v>
      </c>
      <c r="AS2113" s="61"/>
      <c r="AT2113" s="63" t="s">
        <v>250</v>
      </c>
      <c r="AU2113" s="71" t="s">
        <v>242</v>
      </c>
    </row>
    <row r="2114" spans="15:47" ht="13" x14ac:dyDescent="0.3">
      <c r="O2114" s="6" t="s">
        <v>231</v>
      </c>
      <c r="P2114" s="6"/>
      <c r="Q2114" s="60"/>
      <c r="R2114" s="85">
        <f>P_1_minQ-(R2112^2*R_up)+dpup_minQ</f>
        <v>56.877630270868934</v>
      </c>
      <c r="S2114" s="56"/>
      <c r="T2114" s="72"/>
      <c r="U2114" s="53">
        <f>P_1_minQ-(U2112^2*R_up)+dpup_minQ</f>
        <v>55.756611322458099</v>
      </c>
      <c r="V2114" s="44"/>
      <c r="W2114" s="72"/>
      <c r="X2114" s="53">
        <f>P_1_minQ-(X2112^2*R_up)+dpup_minQ</f>
        <v>50.235096971457033</v>
      </c>
      <c r="Y2114" s="44"/>
      <c r="Z2114" s="72"/>
      <c r="AA2114" s="53">
        <f>P_1_minQ-(AA2112^2*R_up)+dpup_minQ</f>
        <v>32.559184019132282</v>
      </c>
      <c r="AB2114" s="44"/>
      <c r="AC2114" s="72"/>
      <c r="AD2114" s="53">
        <f>P_1_minQ-(AD2112^2*R_up)+dpup_minQ</f>
        <v>-8.9648968263151723</v>
      </c>
      <c r="AE2114" s="44"/>
      <c r="AF2114" s="72"/>
      <c r="AG2114" s="53">
        <f>P_1_minQ-(AG2112^2*R_up)+dpup_minQ</f>
        <v>-89.123360744670805</v>
      </c>
      <c r="AH2114" s="44"/>
      <c r="AI2114" s="72"/>
      <c r="AJ2114" s="53">
        <f>P_1_minQ-(AJ2112^2*R_up)+dpup_minQ</f>
        <v>-203.16569649427683</v>
      </c>
      <c r="AK2114" s="44"/>
      <c r="AL2114" s="72"/>
      <c r="AM2114" s="53">
        <f>P_1_minQ-(AM2112^2*R_up)+dpup_minQ</f>
        <v>-330.31027568320479</v>
      </c>
      <c r="AN2114" s="44"/>
      <c r="AO2114" s="72"/>
      <c r="AP2114" s="53">
        <f>P_1_minQ-(AP2112^2*R_up)+dpup_minQ</f>
        <v>-465.00656547818727</v>
      </c>
      <c r="AQ2114" s="44"/>
      <c r="AR2114" s="72"/>
      <c r="AS2114" s="53">
        <f>P_1_minQ-(AS2112^2*R_up)+dpup_minQ</f>
        <v>-619.10754113880057</v>
      </c>
      <c r="AT2114" s="44"/>
      <c r="AU2114" s="72"/>
    </row>
    <row r="2115" spans="15:47" ht="13" x14ac:dyDescent="0.3">
      <c r="O2115" s="6" t="s">
        <v>233</v>
      </c>
      <c r="P2115" s="6"/>
      <c r="Q2115" s="60"/>
      <c r="R2115" s="85">
        <f>P_2_minQ+(R2112^2*R_dn)-dpdn_minQ</f>
        <v>24.664473945826213</v>
      </c>
      <c r="S2115" s="66"/>
      <c r="T2115" s="74"/>
      <c r="U2115" s="53">
        <f>P_2_minQ+(U2112^2*R_dn)-dpdn_minQ</f>
        <v>24.888677735508381</v>
      </c>
      <c r="V2115" s="45"/>
      <c r="W2115" s="74"/>
      <c r="X2115" s="53">
        <f>P_2_minQ+(X2112^2*R_dn)-dpdn_minQ</f>
        <v>25.992980605708595</v>
      </c>
      <c r="Y2115" s="45"/>
      <c r="Z2115" s="74"/>
      <c r="AA2115" s="53">
        <f>P_2_minQ+(AA2112^2*R_dn)-dpdn_minQ</f>
        <v>29.528163196173544</v>
      </c>
      <c r="AB2115" s="45"/>
      <c r="AC2115" s="74"/>
      <c r="AD2115" s="53">
        <f>P_2_minQ+(AD2112^2*R_dn)-dpdn_minQ</f>
        <v>37.832979365263043</v>
      </c>
      <c r="AE2115" s="45"/>
      <c r="AF2115" s="74"/>
      <c r="AG2115" s="53">
        <f>P_2_minQ+(AG2112^2*R_dn)-dpdn_minQ</f>
        <v>53.864672148934169</v>
      </c>
      <c r="AH2115" s="45"/>
      <c r="AI2115" s="74"/>
      <c r="AJ2115" s="53">
        <f>P_2_minQ+(AJ2112^2*R_dn)-dpdn_minQ</f>
        <v>76.673139298855347</v>
      </c>
      <c r="AK2115" s="45"/>
      <c r="AL2115" s="74"/>
      <c r="AM2115" s="53">
        <f>P_2_minQ+(AM2112^2*R_dn)-dpdn_minQ</f>
        <v>102.10205513664096</v>
      </c>
      <c r="AN2115" s="45"/>
      <c r="AO2115" s="74"/>
      <c r="AP2115" s="53">
        <f>P_2_minQ+(AP2112^2*R_dn)-dpdn_minQ</f>
        <v>129.04131309563743</v>
      </c>
      <c r="AQ2115" s="45"/>
      <c r="AR2115" s="74"/>
      <c r="AS2115" s="53">
        <f>P_2_minQ+(AS2112^2*R_dn)-dpdn_minQ</f>
        <v>159.86150822776014</v>
      </c>
      <c r="AT2115" s="45"/>
      <c r="AU2115" s="74"/>
    </row>
    <row r="2116" spans="15:47" x14ac:dyDescent="0.25">
      <c r="O2116" s="6" t="s">
        <v>243</v>
      </c>
      <c r="Q2116" s="60"/>
      <c r="R2116" s="53">
        <f>R2114-R2115</f>
        <v>32.213156325042718</v>
      </c>
      <c r="S2116" s="56"/>
      <c r="T2116" s="72"/>
      <c r="U2116" s="64">
        <f>U2114-U2115</f>
        <v>30.867933586949718</v>
      </c>
      <c r="V2116" s="44"/>
      <c r="W2116" s="72"/>
      <c r="X2116" s="64">
        <f>X2114-X2115</f>
        <v>24.242116365748437</v>
      </c>
      <c r="Y2116" s="44"/>
      <c r="Z2116" s="72"/>
      <c r="AA2116" s="64">
        <f>AA2114-AA2115</f>
        <v>3.0310208229587374</v>
      </c>
      <c r="AB2116" s="44"/>
      <c r="AC2116" s="72"/>
      <c r="AD2116" s="64">
        <f>AD2114-AD2115</f>
        <v>-46.797876191578212</v>
      </c>
      <c r="AE2116" s="44"/>
      <c r="AF2116" s="72"/>
      <c r="AG2116" s="64">
        <f>AG2114-AG2115</f>
        <v>-142.98803289360498</v>
      </c>
      <c r="AH2116" s="44"/>
      <c r="AI2116" s="72"/>
      <c r="AJ2116" s="64">
        <f>AJ2114-AJ2115</f>
        <v>-279.83883579313215</v>
      </c>
      <c r="AK2116" s="44"/>
      <c r="AL2116" s="72"/>
      <c r="AM2116" s="64">
        <f>AM2114-AM2115</f>
        <v>-432.41233081984575</v>
      </c>
      <c r="AN2116" s="44"/>
      <c r="AO2116" s="72"/>
      <c r="AP2116" s="64">
        <f>AP2114-AP2115</f>
        <v>-594.04787857382473</v>
      </c>
      <c r="AQ2116" s="44"/>
      <c r="AR2116" s="72"/>
      <c r="AS2116" s="64">
        <f>AS2114-AS2115</f>
        <v>-778.96904936656074</v>
      </c>
      <c r="AT2116" s="44"/>
      <c r="AU2116" s="72"/>
    </row>
    <row r="2117" spans="15:47" ht="13" x14ac:dyDescent="0.3">
      <c r="O2117" s="6" t="s">
        <v>75</v>
      </c>
      <c r="P2117" s="6">
        <v>3</v>
      </c>
      <c r="Q2117" s="65"/>
      <c r="R2117" s="85">
        <f>(F_LP_h/F_P_h)^2*(R2114-('Valve Sizing'!$V$4*'Valve Sizing'!$G$7))</f>
        <v>46.733272519106166</v>
      </c>
      <c r="S2117" s="58"/>
      <c r="T2117" s="73"/>
      <c r="U2117" s="53">
        <f>(U$29/U$27)^2*(U2114-('Valve Sizing'!$V$4*'Valve Sizing'!$G$7))</f>
        <v>45.792525434145041</v>
      </c>
      <c r="V2117" s="41"/>
      <c r="W2117" s="73"/>
      <c r="X2117" s="53">
        <f>(X$29/X$27)^2*(X2114-('Valve Sizing'!$V$4*'Valve Sizing'!$G$7))</f>
        <v>40.291833565384422</v>
      </c>
      <c r="Y2117" s="41"/>
      <c r="Z2117" s="73"/>
      <c r="AA2117" s="53">
        <f>(AA$29/AA$27)^2*(AA2114-('Valve Sizing'!$V$4*'Valve Sizing'!$G$7))</f>
        <v>24.821571595710108</v>
      </c>
      <c r="AB2117" s="41"/>
      <c r="AC2117" s="73"/>
      <c r="AD2117" s="53">
        <f>(AD$29/AD$27)^2*(AD2114-('Valve Sizing'!$V$4*'Valve Sizing'!$G$7))</f>
        <v>-6.7827347470527464</v>
      </c>
      <c r="AE2117" s="41"/>
      <c r="AF2117" s="73"/>
      <c r="AG2117" s="53">
        <f>(AG$29/AG$27)^2*(AG2114-('Valve Sizing'!$V$4*'Valve Sizing'!$G$7))</f>
        <v>-57.682777876579941</v>
      </c>
      <c r="AH2117" s="41"/>
      <c r="AI2117" s="73"/>
      <c r="AJ2117" s="53">
        <f>(AJ$29/AJ$27)^2*(AJ2114-('Valve Sizing'!$V$4*'Valve Sizing'!$G$7))</f>
        <v>-117.75830667521397</v>
      </c>
      <c r="AK2117" s="41"/>
      <c r="AL2117" s="73"/>
      <c r="AM2117" s="53">
        <f>(AM$29/AM$27)^2*(AM2114-('Valve Sizing'!$V$4*'Valve Sizing'!$G$7))</f>
        <v>-158.25482288219632</v>
      </c>
      <c r="AN2117" s="41"/>
      <c r="AO2117" s="73"/>
      <c r="AP2117" s="53">
        <f>(AP$29/AP$27)^2*(AP2114-('Valve Sizing'!$V$4*'Valve Sizing'!$G$7))</f>
        <v>-183.67772419723929</v>
      </c>
      <c r="AQ2117" s="41"/>
      <c r="AR2117" s="73"/>
      <c r="AS2117" s="53">
        <f>(AS$29/AS$27)^2*(AS2114-('Valve Sizing'!$V$4*'Valve Sizing'!$G$7))</f>
        <v>-233.03712580066556</v>
      </c>
      <c r="AT2117" s="41"/>
      <c r="AU2117" s="73"/>
    </row>
    <row r="2118" spans="15:47" ht="13" x14ac:dyDescent="0.25">
      <c r="O2118" s="1" t="s">
        <v>69</v>
      </c>
      <c r="P2118" s="17">
        <v>7</v>
      </c>
      <c r="Q2118" s="65"/>
      <c r="R2118" s="53">
        <f>(R2112/(N_1*F_P_h))*SQRT('Valve Sizing'!$G$6/R2116)</f>
        <v>5.950717570967746</v>
      </c>
      <c r="S2118" s="58"/>
      <c r="T2118" s="73"/>
      <c r="U2118" s="64">
        <f>(U2112/(N_1*U$27))*SQRT('Valve Sizing'!$G$6/U2116)</f>
        <v>33.378932316520938</v>
      </c>
      <c r="V2118" s="41"/>
      <c r="W2118" s="73"/>
      <c r="X2118" s="64">
        <f>(X2112/(N_1*X$27))*SQRT('Valve Sizing'!$G$6/X2116)</f>
        <v>90.614248662863304</v>
      </c>
      <c r="Y2118" s="41"/>
      <c r="Z2118" s="73"/>
      <c r="AA2118" s="64">
        <f>(AA2112/(N_1*AA$27))*SQRT('Valve Sizing'!$G$6/AA2116)</f>
        <v>492.11649321604875</v>
      </c>
      <c r="AB2118" s="41"/>
      <c r="AC2118" s="73"/>
      <c r="AD2118" s="64" t="e">
        <f>(AD2112/(N_1*AD$27))*SQRT('Valve Sizing'!$G$6/AD2116)</f>
        <v>#NUM!</v>
      </c>
      <c r="AE2118" s="41"/>
      <c r="AF2118" s="73"/>
      <c r="AG2118" s="64" t="e">
        <f>(AG2112/(N_1*AG$27))*SQRT('Valve Sizing'!$G$6/AG2116)</f>
        <v>#NUM!</v>
      </c>
      <c r="AH2118" s="41"/>
      <c r="AI2118" s="73"/>
      <c r="AJ2118" s="64" t="e">
        <f>(AJ2112/(N_1*AJ$27))*SQRT('Valve Sizing'!$G$6/AJ2116)</f>
        <v>#NUM!</v>
      </c>
      <c r="AK2118" s="41"/>
      <c r="AL2118" s="73"/>
      <c r="AM2118" s="64" t="e">
        <f>(AM2112/(N_1*AM$27))*SQRT('Valve Sizing'!$G$6/AM2116)</f>
        <v>#NUM!</v>
      </c>
      <c r="AN2118" s="41"/>
      <c r="AO2118" s="73"/>
      <c r="AP2118" s="64" t="e">
        <f>(AP2112/(N_1*AP$27))*SQRT('Valve Sizing'!$G$6/AP2116)</f>
        <v>#NUM!</v>
      </c>
      <c r="AQ2118" s="41"/>
      <c r="AR2118" s="73"/>
      <c r="AS2118" s="64" t="e">
        <f>(AS2112/(N_1*AS$27))*SQRT('Valve Sizing'!$G$6/AS2116)</f>
        <v>#NUM!</v>
      </c>
      <c r="AT2118" s="41"/>
      <c r="AU2118" s="73"/>
    </row>
    <row r="2119" spans="15:47" ht="13" x14ac:dyDescent="0.3">
      <c r="O2119" s="1" t="s">
        <v>72</v>
      </c>
      <c r="P2119" s="17">
        <v>7</v>
      </c>
      <c r="Q2119" s="65"/>
      <c r="R2119" s="53">
        <f>(R2112/(N_1*F_P_h))*SQRT('Valve Sizing'!$G$6/R2117)</f>
        <v>4.9405225030149058</v>
      </c>
      <c r="S2119" s="56"/>
      <c r="T2119" s="72"/>
      <c r="U2119" s="85">
        <f>(U2112/(N_1*U$27))*SQRT('Valve Sizing'!$G$6/U2117)</f>
        <v>27.404944181566041</v>
      </c>
      <c r="V2119" s="44"/>
      <c r="W2119" s="72"/>
      <c r="X2119" s="85">
        <f>(X2112/(N_1*X$27))*SQRT('Valve Sizing'!$G$6/X2117)</f>
        <v>70.286714646874245</v>
      </c>
      <c r="Y2119" s="44"/>
      <c r="Z2119" s="72"/>
      <c r="AA2119" s="85">
        <f>(AA2112/(N_1*AA$27))*SQRT('Valve Sizing'!$G$6/AA2117)</f>
        <v>171.96804051135464</v>
      </c>
      <c r="AB2119" s="44"/>
      <c r="AC2119" s="72"/>
      <c r="AD2119" s="85" t="e">
        <f>(AD2112/(N_1*AD$27))*SQRT('Valve Sizing'!$G$6/AD2117)</f>
        <v>#NUM!</v>
      </c>
      <c r="AE2119" s="44"/>
      <c r="AF2119" s="72"/>
      <c r="AG2119" s="85" t="e">
        <f>(AG2112/(N_1*AG$27))*SQRT('Valve Sizing'!$G$6/AG2117)</f>
        <v>#NUM!</v>
      </c>
      <c r="AH2119" s="44"/>
      <c r="AI2119" s="72"/>
      <c r="AJ2119" s="85" t="e">
        <f>(AJ2112/(N_1*AJ$27))*SQRT('Valve Sizing'!$G$6/AJ2117)</f>
        <v>#NUM!</v>
      </c>
      <c r="AK2119" s="44"/>
      <c r="AL2119" s="72"/>
      <c r="AM2119" s="85" t="e">
        <f>(AM2112/(N_1*AM$27))*SQRT('Valve Sizing'!$G$6/AM2117)</f>
        <v>#NUM!</v>
      </c>
      <c r="AN2119" s="44"/>
      <c r="AO2119" s="72"/>
      <c r="AP2119" s="85" t="e">
        <f>(AP2112/(N_1*AP$27))*SQRT('Valve Sizing'!$G$6/AP2117)</f>
        <v>#NUM!</v>
      </c>
      <c r="AQ2119" s="44"/>
      <c r="AR2119" s="72"/>
      <c r="AS2119" s="85" t="e">
        <f>(AS2112/(N_1*AS$27))*SQRT('Valve Sizing'!$G$6/AS2117)</f>
        <v>#NUM!</v>
      </c>
      <c r="AT2119" s="44"/>
      <c r="AU2119" s="72"/>
    </row>
    <row r="2120" spans="15:47" x14ac:dyDescent="0.25">
      <c r="O2120" s="1" t="s">
        <v>246</v>
      </c>
      <c r="P2120" s="18"/>
      <c r="Q2120" s="65"/>
      <c r="R2120" s="53">
        <f>IF(R2116&lt;R2117,R2118,R2119)</f>
        <v>5.950717570967746</v>
      </c>
      <c r="S2120" s="49"/>
      <c r="T2120" s="72"/>
      <c r="U2120" s="64">
        <f>IF(U2116&lt;U2117,U2118,U2119)</f>
        <v>33.378932316520938</v>
      </c>
      <c r="V2120" s="44"/>
      <c r="W2120" s="72"/>
      <c r="X2120" s="64">
        <f>IF(X2116&lt;X2117,X2118,X2119)</f>
        <v>90.614248662863304</v>
      </c>
      <c r="Y2120" s="44"/>
      <c r="Z2120" s="72"/>
      <c r="AA2120" s="64">
        <f>IF(AA2116&lt;AA2117,AA2118,AA2119)</f>
        <v>492.11649321604875</v>
      </c>
      <c r="AB2120" s="44"/>
      <c r="AC2120" s="72"/>
      <c r="AD2120" s="64" t="e">
        <f>IF(AD2116&lt;AD2117,AD2118,AD2119)</f>
        <v>#NUM!</v>
      </c>
      <c r="AE2120" s="44"/>
      <c r="AF2120" s="72"/>
      <c r="AG2120" s="64" t="e">
        <f>IF(AG2116&lt;AG2117,AG2118,AG2119)</f>
        <v>#NUM!</v>
      </c>
      <c r="AH2120" s="44"/>
      <c r="AI2120" s="72"/>
      <c r="AJ2120" s="64" t="e">
        <f>IF(AJ2116&lt;AJ2117,AJ2118,AJ2119)</f>
        <v>#NUM!</v>
      </c>
      <c r="AK2120" s="44"/>
      <c r="AL2120" s="72"/>
      <c r="AM2120" s="64" t="e">
        <f>IF(AM2116&lt;AM2117,AM2118,AM2119)</f>
        <v>#NUM!</v>
      </c>
      <c r="AN2120" s="44"/>
      <c r="AO2120" s="72"/>
      <c r="AP2120" s="64" t="e">
        <f>IF(AP2116&lt;AP2117,AP2118,AP2119)</f>
        <v>#NUM!</v>
      </c>
      <c r="AQ2120" s="44"/>
      <c r="AR2120" s="72"/>
      <c r="AS2120" s="64" t="e">
        <f>IF(AS2116&lt;AS2117,AS2118,AS2119)</f>
        <v>#NUM!</v>
      </c>
      <c r="AT2120" s="44"/>
      <c r="AU2120" s="72"/>
    </row>
    <row r="2121" spans="15:47" ht="13" x14ac:dyDescent="0.3">
      <c r="O2121" s="7" t="s">
        <v>264</v>
      </c>
      <c r="Q2121" s="61"/>
      <c r="R2121" s="53"/>
      <c r="S2121" s="69">
        <f>IFERROR(ABS(C_h-R2120),Q_max*10)</f>
        <v>0.95071757096774601</v>
      </c>
      <c r="T2121" s="76">
        <f>R2112</f>
        <v>33.769330457839835</v>
      </c>
      <c r="U2121" s="61"/>
      <c r="V2121" s="69">
        <f>IFERROR(ABS(U$23-U2120),Q_max*10)</f>
        <v>21.378932316520938</v>
      </c>
      <c r="W2121" s="75">
        <f>U2112</f>
        <v>185.29365542839216</v>
      </c>
      <c r="X2121" s="61"/>
      <c r="Y2121" s="69">
        <f>IFERROR(ABS(X$23-X2120),Q_max*10)</f>
        <v>67.614248662863304</v>
      </c>
      <c r="Z2121" s="75">
        <f>X2112</f>
        <v>444.77609948732317</v>
      </c>
      <c r="AA2121" s="61"/>
      <c r="AB2121" s="69">
        <f>IFERROR(ABS(AA$23-AA2120),Q_max*10)</f>
        <v>453.11649321604875</v>
      </c>
      <c r="AC2121" s="75">
        <f>AA2112</f>
        <v>849.24057910199576</v>
      </c>
      <c r="AD2121" s="61"/>
      <c r="AE2121" s="69">
        <f>IFERROR(ABS(AD$23-AD2120),Q_max*10)</f>
        <v>5500</v>
      </c>
      <c r="AF2121" s="75">
        <f>AD2112</f>
        <v>1396.6880807922691</v>
      </c>
      <c r="AG2121" s="61"/>
      <c r="AH2121" s="69">
        <f>IFERROR(ABS(AG$23-AG2120),Q_max*10)</f>
        <v>5500</v>
      </c>
      <c r="AI2121" s="75">
        <f>AG2112</f>
        <v>2079.4782306265442</v>
      </c>
      <c r="AJ2121" s="61"/>
      <c r="AK2121" s="69">
        <f>IFERROR(ABS(AJ$23-AJ2120),Q_max*10)</f>
        <v>5500</v>
      </c>
      <c r="AL2121" s="75">
        <f>AJ2112</f>
        <v>2775.0717600082949</v>
      </c>
      <c r="AM2121" s="61"/>
      <c r="AN2121" s="69">
        <f>IFERROR(ABS(AM$23-AM2120),Q_max*10)</f>
        <v>5500</v>
      </c>
      <c r="AO2121" s="75">
        <f>AM2112</f>
        <v>3386.114921702997</v>
      </c>
      <c r="AP2121" s="61"/>
      <c r="AQ2121" s="69">
        <f>IFERROR(ABS(AP$23-AP2120),Q_max*10)</f>
        <v>5500</v>
      </c>
      <c r="AR2121" s="75">
        <f>AP2112</f>
        <v>3931.1743034122924</v>
      </c>
      <c r="AS2121" s="61"/>
      <c r="AT2121" s="69">
        <f>IFERROR(ABS(AS$23-AS2120),Q_max*10)</f>
        <v>5500</v>
      </c>
      <c r="AU2121" s="75">
        <f>AS2112</f>
        <v>4474.0430589255493</v>
      </c>
    </row>
    <row r="2122" spans="15:47" ht="14.5" x14ac:dyDescent="0.35">
      <c r="O2122" s="8"/>
      <c r="P2122" s="6"/>
      <c r="Q2122" s="60"/>
      <c r="R2122" s="67"/>
      <c r="S2122" s="56"/>
      <c r="T2122" s="72"/>
      <c r="V2122" s="11"/>
      <c r="W2122" s="38"/>
      <c r="Y2122" s="11"/>
      <c r="Z2122" s="38"/>
      <c r="AB2122" s="11"/>
      <c r="AC2122" s="38"/>
      <c r="AE2122" s="11"/>
      <c r="AF2122" s="38"/>
      <c r="AH2122" s="11"/>
      <c r="AI2122" s="38"/>
      <c r="AK2122" s="11"/>
      <c r="AL2122" s="38"/>
      <c r="AN2122" s="11"/>
      <c r="AO2122" s="38"/>
      <c r="AQ2122" s="11"/>
      <c r="AR2122" s="38"/>
      <c r="AT2122" s="11"/>
      <c r="AU2122" s="38"/>
    </row>
    <row r="2123" spans="15:47" ht="14" x14ac:dyDescent="0.3">
      <c r="O2123" s="8" t="s">
        <v>235</v>
      </c>
      <c r="P2123" s="6"/>
      <c r="Q2123" s="60"/>
      <c r="R2123" s="53">
        <f>R2112*1.02</f>
        <v>34.444717066996631</v>
      </c>
      <c r="S2123" s="58" t="s">
        <v>238</v>
      </c>
      <c r="T2123" s="73" t="s">
        <v>241</v>
      </c>
      <c r="U2123" s="84">
        <f>U2112*1.01</f>
        <v>187.14659198267609</v>
      </c>
      <c r="V2123" s="58" t="s">
        <v>238</v>
      </c>
      <c r="W2123" s="73" t="s">
        <v>241</v>
      </c>
      <c r="X2123" s="84">
        <f>X2112*1.01</f>
        <v>449.22386048219641</v>
      </c>
      <c r="Y2123" s="58" t="s">
        <v>238</v>
      </c>
      <c r="Z2123" s="73" t="s">
        <v>241</v>
      </c>
      <c r="AA2123" s="84">
        <f>AA2112*1.01</f>
        <v>857.73298489301578</v>
      </c>
      <c r="AB2123" s="58" t="s">
        <v>238</v>
      </c>
      <c r="AC2123" s="73" t="s">
        <v>241</v>
      </c>
      <c r="AD2123" s="84">
        <f>AD2112*1.01</f>
        <v>1410.6549616001919</v>
      </c>
      <c r="AE2123" s="58" t="s">
        <v>238</v>
      </c>
      <c r="AF2123" s="73" t="s">
        <v>241</v>
      </c>
      <c r="AG2123" s="84">
        <f>AG2112*1.01</f>
        <v>2100.2730129328097</v>
      </c>
      <c r="AH2123" s="58" t="s">
        <v>238</v>
      </c>
      <c r="AI2123" s="73" t="s">
        <v>241</v>
      </c>
      <c r="AJ2123" s="84">
        <f>AJ2112*1.01</f>
        <v>2802.822477608378</v>
      </c>
      <c r="AK2123" s="58" t="s">
        <v>238</v>
      </c>
      <c r="AL2123" s="73" t="s">
        <v>241</v>
      </c>
      <c r="AM2123" s="84">
        <f>AM2112*1.01</f>
        <v>3419.9760709200268</v>
      </c>
      <c r="AN2123" s="58" t="s">
        <v>238</v>
      </c>
      <c r="AO2123" s="73" t="s">
        <v>241</v>
      </c>
      <c r="AP2123" s="84">
        <f>AP2112*1.01</f>
        <v>3970.4860464464155</v>
      </c>
      <c r="AQ2123" s="58" t="s">
        <v>238</v>
      </c>
      <c r="AR2123" s="73" t="s">
        <v>241</v>
      </c>
      <c r="AS2123" s="84">
        <f>AS2112*1.01</f>
        <v>4518.7834895148044</v>
      </c>
      <c r="AT2123" s="58" t="s">
        <v>238</v>
      </c>
      <c r="AU2123" s="73" t="s">
        <v>241</v>
      </c>
    </row>
    <row r="2124" spans="15:47" ht="13" x14ac:dyDescent="0.25">
      <c r="O2124" s="6"/>
      <c r="P2124" s="6"/>
      <c r="Q2124" s="60"/>
      <c r="R2124" s="70"/>
      <c r="S2124" s="63" t="s">
        <v>250</v>
      </c>
      <c r="T2124" s="71" t="s">
        <v>242</v>
      </c>
      <c r="U2124" s="61"/>
      <c r="V2124" s="63" t="s">
        <v>250</v>
      </c>
      <c r="W2124" s="71" t="s">
        <v>242</v>
      </c>
      <c r="X2124" s="61"/>
      <c r="Y2124" s="63" t="s">
        <v>250</v>
      </c>
      <c r="Z2124" s="71" t="s">
        <v>242</v>
      </c>
      <c r="AA2124" s="61"/>
      <c r="AB2124" s="63" t="s">
        <v>250</v>
      </c>
      <c r="AC2124" s="71" t="s">
        <v>242</v>
      </c>
      <c r="AD2124" s="61"/>
      <c r="AE2124" s="63" t="s">
        <v>250</v>
      </c>
      <c r="AF2124" s="71" t="s">
        <v>242</v>
      </c>
      <c r="AG2124" s="61"/>
      <c r="AH2124" s="63" t="s">
        <v>250</v>
      </c>
      <c r="AI2124" s="71" t="s">
        <v>242</v>
      </c>
      <c r="AJ2124" s="61"/>
      <c r="AK2124" s="63" t="s">
        <v>250</v>
      </c>
      <c r="AL2124" s="71" t="s">
        <v>242</v>
      </c>
      <c r="AM2124" s="61"/>
      <c r="AN2124" s="63" t="s">
        <v>250</v>
      </c>
      <c r="AO2124" s="71" t="s">
        <v>242</v>
      </c>
      <c r="AP2124" s="61"/>
      <c r="AQ2124" s="63" t="s">
        <v>250</v>
      </c>
      <c r="AR2124" s="71" t="s">
        <v>242</v>
      </c>
      <c r="AS2124" s="61"/>
      <c r="AT2124" s="63" t="s">
        <v>250</v>
      </c>
      <c r="AU2124" s="71" t="s">
        <v>242</v>
      </c>
    </row>
    <row r="2125" spans="15:47" ht="13" x14ac:dyDescent="0.3">
      <c r="O2125" s="6" t="s">
        <v>231</v>
      </c>
      <c r="P2125" s="6"/>
      <c r="Q2125" s="60"/>
      <c r="R2125" s="85">
        <f>P_1_minQ-(R2123^2*R_up)+dpup_minQ</f>
        <v>56.876074348739429</v>
      </c>
      <c r="S2125" s="56"/>
      <c r="T2125" s="72"/>
      <c r="U2125" s="53">
        <f>P_1_minQ-(U2123^2*R_up)+dpup_minQ</f>
        <v>55.733304731822685</v>
      </c>
      <c r="V2125" s="44"/>
      <c r="W2125" s="72"/>
      <c r="X2125" s="53">
        <f>P_1_minQ-(X2123^2*R_up)+dpup_minQ</f>
        <v>50.100807942366501</v>
      </c>
      <c r="Y2125" s="44"/>
      <c r="Z2125" s="72"/>
      <c r="AA2125" s="53">
        <f>P_1_minQ-(AA2123^2*R_up)+dpup_minQ</f>
        <v>32.06960913970002</v>
      </c>
      <c r="AB2125" s="44"/>
      <c r="AC2125" s="72"/>
      <c r="AD2125" s="53">
        <f>P_1_minQ-(AD2123^2*R_up)+dpup_minQ</f>
        <v>-10.289105730740932</v>
      </c>
      <c r="AE2125" s="44"/>
      <c r="AF2125" s="72"/>
      <c r="AG2125" s="53">
        <f>P_1_minQ-(AG2123^2*R_up)+dpup_minQ</f>
        <v>-92.058754773855526</v>
      </c>
      <c r="AH2125" s="44"/>
      <c r="AI2125" s="72"/>
      <c r="AJ2125" s="53">
        <f>P_1_minQ-(AJ2123^2*R_up)+dpup_minQ</f>
        <v>-208.39334147202865</v>
      </c>
      <c r="AK2125" s="44"/>
      <c r="AL2125" s="72"/>
      <c r="AM2125" s="53">
        <f>P_1_minQ-(AM2123^2*R_up)+dpup_minQ</f>
        <v>-338.093526702654</v>
      </c>
      <c r="AN2125" s="44"/>
      <c r="AO2125" s="72"/>
      <c r="AP2125" s="53">
        <f>P_1_minQ-(AP2123^2*R_up)+dpup_minQ</f>
        <v>-475.49721192251565</v>
      </c>
      <c r="AQ2125" s="44"/>
      <c r="AR2125" s="72"/>
      <c r="AS2125" s="53">
        <f>P_1_minQ-(AS2123^2*R_up)+dpup_minQ</f>
        <v>-632.6956171939072</v>
      </c>
      <c r="AT2125" s="44"/>
      <c r="AU2125" s="72"/>
    </row>
    <row r="2126" spans="15:47" ht="13" x14ac:dyDescent="0.3">
      <c r="O2126" s="6" t="s">
        <v>233</v>
      </c>
      <c r="P2126" s="6"/>
      <c r="Q2126" s="60"/>
      <c r="R2126" s="85">
        <f>P_2_minQ+(R2123^2*R_dn)-dpdn_minQ</f>
        <v>24.664785130252117</v>
      </c>
      <c r="S2126" s="66"/>
      <c r="T2126" s="74"/>
      <c r="U2126" s="53">
        <f>P_2_minQ+(U2123^2*R_dn)-dpdn_minQ</f>
        <v>24.893339053635465</v>
      </c>
      <c r="V2126" s="45"/>
      <c r="W2126" s="74"/>
      <c r="X2126" s="53">
        <f>P_2_minQ+(X2123^2*R_dn)-dpdn_minQ</f>
        <v>26.019838411526703</v>
      </c>
      <c r="Y2126" s="45"/>
      <c r="Z2126" s="74"/>
      <c r="AA2126" s="53">
        <f>P_2_minQ+(AA2123^2*R_dn)-dpdn_minQ</f>
        <v>29.626078172059998</v>
      </c>
      <c r="AB2126" s="45"/>
      <c r="AC2126" s="74"/>
      <c r="AD2126" s="53">
        <f>P_2_minQ+(AD2123^2*R_dn)-dpdn_minQ</f>
        <v>38.097821146148192</v>
      </c>
      <c r="AE2126" s="45"/>
      <c r="AF2126" s="74"/>
      <c r="AG2126" s="53">
        <f>P_2_minQ+(AG2123^2*R_dn)-dpdn_minQ</f>
        <v>54.451750954771107</v>
      </c>
      <c r="AH2126" s="45"/>
      <c r="AI2126" s="74"/>
      <c r="AJ2126" s="53">
        <f>P_2_minQ+(AJ2123^2*R_dn)-dpdn_minQ</f>
        <v>77.718668294405717</v>
      </c>
      <c r="AK2126" s="45"/>
      <c r="AL2126" s="74"/>
      <c r="AM2126" s="53">
        <f>P_2_minQ+(AM2123^2*R_dn)-dpdn_minQ</f>
        <v>103.6587053405308</v>
      </c>
      <c r="AN2126" s="45"/>
      <c r="AO2126" s="74"/>
      <c r="AP2126" s="53">
        <f>P_2_minQ+(AP2123^2*R_dn)-dpdn_minQ</f>
        <v>131.1394423845031</v>
      </c>
      <c r="AQ2126" s="45"/>
      <c r="AR2126" s="74"/>
      <c r="AS2126" s="53">
        <f>P_2_minQ+(AS2123^2*R_dn)-dpdn_minQ</f>
        <v>162.57912343878147</v>
      </c>
      <c r="AT2126" s="45"/>
      <c r="AU2126" s="74"/>
    </row>
    <row r="2127" spans="15:47" x14ac:dyDescent="0.25">
      <c r="O2127" s="6" t="s">
        <v>243</v>
      </c>
      <c r="Q2127" s="60"/>
      <c r="R2127" s="53">
        <f>R2125-R2126</f>
        <v>32.211289218487309</v>
      </c>
      <c r="S2127" s="56"/>
      <c r="T2127" s="72"/>
      <c r="U2127" s="64">
        <f>U2125-U2126</f>
        <v>30.83996567818722</v>
      </c>
      <c r="V2127" s="44"/>
      <c r="W2127" s="72"/>
      <c r="X2127" s="64">
        <f>X2125-X2126</f>
        <v>24.080969530839798</v>
      </c>
      <c r="Y2127" s="44"/>
      <c r="Z2127" s="72"/>
      <c r="AA2127" s="64">
        <f>AA2125-AA2126</f>
        <v>2.4435309676400223</v>
      </c>
      <c r="AB2127" s="44"/>
      <c r="AC2127" s="72"/>
      <c r="AD2127" s="64">
        <f>AD2125-AD2126</f>
        <v>-48.38692687688912</v>
      </c>
      <c r="AE2127" s="44"/>
      <c r="AF2127" s="72"/>
      <c r="AG2127" s="64">
        <f>AG2125-AG2126</f>
        <v>-146.51050572862664</v>
      </c>
      <c r="AH2127" s="44"/>
      <c r="AI2127" s="72"/>
      <c r="AJ2127" s="64">
        <f>AJ2125-AJ2126</f>
        <v>-286.11200976643437</v>
      </c>
      <c r="AK2127" s="44"/>
      <c r="AL2127" s="72"/>
      <c r="AM2127" s="64">
        <f>AM2125-AM2126</f>
        <v>-441.75223204318479</v>
      </c>
      <c r="AN2127" s="44"/>
      <c r="AO2127" s="72"/>
      <c r="AP2127" s="64">
        <f>AP2125-AP2126</f>
        <v>-606.63665430701872</v>
      </c>
      <c r="AQ2127" s="44"/>
      <c r="AR2127" s="72"/>
      <c r="AS2127" s="64">
        <f>AS2125-AS2126</f>
        <v>-795.27474063268869</v>
      </c>
      <c r="AT2127" s="44"/>
      <c r="AU2127" s="72"/>
    </row>
    <row r="2128" spans="15:47" ht="13" x14ac:dyDescent="0.3">
      <c r="O2128" s="6" t="s">
        <v>75</v>
      </c>
      <c r="P2128" s="6">
        <v>3</v>
      </c>
      <c r="Q2128" s="65"/>
      <c r="R2128" s="85">
        <f>(F_LP_h/F_P_h)^2*(R2125-('Valve Sizing'!$V$4*'Valve Sizing'!$G$7))</f>
        <v>46.731984133912682</v>
      </c>
      <c r="S2128" s="58"/>
      <c r="T2128" s="73"/>
      <c r="U2128" s="53">
        <f>(U$29/U$27)^2*(U2125-('Valve Sizing'!$V$4*'Valve Sizing'!$G$7))</f>
        <v>45.773231613869456</v>
      </c>
      <c r="V2128" s="41"/>
      <c r="W2128" s="73"/>
      <c r="X2128" s="53">
        <f>(X$29/X$27)^2*(X2125-('Valve Sizing'!$V$4*'Valve Sizing'!$G$7))</f>
        <v>40.183173118770384</v>
      </c>
      <c r="Y2128" s="41"/>
      <c r="Z2128" s="73"/>
      <c r="AA2128" s="53">
        <f>(AA$29/AA$27)^2*(AA2125-('Valve Sizing'!$V$4*'Valve Sizing'!$G$7))</f>
        <v>24.443229489240458</v>
      </c>
      <c r="AB2128" s="41"/>
      <c r="AC2128" s="73"/>
      <c r="AD2128" s="53">
        <f>(AD$29/AD$27)^2*(AD2125-('Valve Sizing'!$V$4*'Valve Sizing'!$G$7))</f>
        <v>-7.7377375333945215</v>
      </c>
      <c r="AE2128" s="41"/>
      <c r="AF2128" s="73"/>
      <c r="AG2128" s="53">
        <f>(AG$29/AG$27)^2*(AG2125-('Valve Sizing'!$V$4*'Valve Sizing'!$G$7))</f>
        <v>-59.573300645415351</v>
      </c>
      <c r="AH2128" s="41"/>
      <c r="AI2128" s="73"/>
      <c r="AJ2128" s="53">
        <f>(AJ$29/AJ$27)^2*(AJ2125-('Valve Sizing'!$V$4*'Valve Sizing'!$G$7))</f>
        <v>-120.78179008809285</v>
      </c>
      <c r="AK2128" s="41"/>
      <c r="AL2128" s="73"/>
      <c r="AM2128" s="53">
        <f>(AM$29/AM$27)^2*(AM2125-('Valve Sizing'!$V$4*'Valve Sizing'!$G$7))</f>
        <v>-161.97889172604877</v>
      </c>
      <c r="AN2128" s="41"/>
      <c r="AO2128" s="73"/>
      <c r="AP2128" s="53">
        <f>(AP$29/AP$27)^2*(AP2125-('Valve Sizing'!$V$4*'Valve Sizing'!$G$7))</f>
        <v>-187.81761472050326</v>
      </c>
      <c r="AQ2128" s="41"/>
      <c r="AR2128" s="73"/>
      <c r="AS2128" s="53">
        <f>(AS$29/AS$27)^2*(AS2125-('Valve Sizing'!$V$4*'Valve Sizing'!$G$7))</f>
        <v>-238.14815551837646</v>
      </c>
      <c r="AT2128" s="41"/>
      <c r="AU2128" s="73"/>
    </row>
    <row r="2129" spans="15:47" ht="13" x14ac:dyDescent="0.25">
      <c r="O2129" s="1" t="s">
        <v>69</v>
      </c>
      <c r="P2129" s="17">
        <v>7</v>
      </c>
      <c r="Q2129" s="65"/>
      <c r="R2129" s="53">
        <f>(R2123/(N_1*F_P_h))*SQRT('Valve Sizing'!$G$6/R2127)</f>
        <v>6.0699078338814321</v>
      </c>
      <c r="S2129" s="58"/>
      <c r="T2129" s="73"/>
      <c r="U2129" s="64">
        <f>(U2123/(N_1*U$27))*SQRT('Valve Sizing'!$G$6/U2127)</f>
        <v>33.728004741214669</v>
      </c>
      <c r="V2129" s="41"/>
      <c r="W2129" s="73"/>
      <c r="X2129" s="64">
        <f>(X2123/(N_1*X$27))*SQRT('Valve Sizing'!$G$6/X2127)</f>
        <v>91.826102060408246</v>
      </c>
      <c r="Y2129" s="41"/>
      <c r="Z2129" s="73"/>
      <c r="AA2129" s="64">
        <f>(AA2123/(N_1*AA$27))*SQRT('Valve Sizing'!$G$6/AA2127)</f>
        <v>553.57291207729679</v>
      </c>
      <c r="AB2129" s="41"/>
      <c r="AC2129" s="73"/>
      <c r="AD2129" s="64" t="e">
        <f>(AD2123/(N_1*AD$27))*SQRT('Valve Sizing'!$G$6/AD2127)</f>
        <v>#NUM!</v>
      </c>
      <c r="AE2129" s="41"/>
      <c r="AF2129" s="73"/>
      <c r="AG2129" s="64" t="e">
        <f>(AG2123/(N_1*AG$27))*SQRT('Valve Sizing'!$G$6/AG2127)</f>
        <v>#NUM!</v>
      </c>
      <c r="AH2129" s="41"/>
      <c r="AI2129" s="73"/>
      <c r="AJ2129" s="64" t="e">
        <f>(AJ2123/(N_1*AJ$27))*SQRT('Valve Sizing'!$G$6/AJ2127)</f>
        <v>#NUM!</v>
      </c>
      <c r="AK2129" s="41"/>
      <c r="AL2129" s="73"/>
      <c r="AM2129" s="64" t="e">
        <f>(AM2123/(N_1*AM$27))*SQRT('Valve Sizing'!$G$6/AM2127)</f>
        <v>#NUM!</v>
      </c>
      <c r="AN2129" s="41"/>
      <c r="AO2129" s="73"/>
      <c r="AP2129" s="64" t="e">
        <f>(AP2123/(N_1*AP$27))*SQRT('Valve Sizing'!$G$6/AP2127)</f>
        <v>#NUM!</v>
      </c>
      <c r="AQ2129" s="41"/>
      <c r="AR2129" s="73"/>
      <c r="AS2129" s="64" t="e">
        <f>(AS2123/(N_1*AS$27))*SQRT('Valve Sizing'!$G$6/AS2127)</f>
        <v>#NUM!</v>
      </c>
      <c r="AT2129" s="41"/>
      <c r="AU2129" s="73"/>
    </row>
    <row r="2130" spans="15:47" ht="13" x14ac:dyDescent="0.3">
      <c r="O2130" s="1" t="s">
        <v>72</v>
      </c>
      <c r="P2130" s="17">
        <v>7</v>
      </c>
      <c r="Q2130" s="65"/>
      <c r="R2130" s="53">
        <f>(R2123/(N_1*F_P_h))*SQRT('Valve Sizing'!$G$6/R2128)</f>
        <v>5.0394024189595763</v>
      </c>
      <c r="S2130" s="56"/>
      <c r="T2130" s="72"/>
      <c r="U2130" s="85">
        <f>(U2123/(N_1*U$27))*SQRT('Valve Sizing'!$G$6/U2128)</f>
        <v>27.684826478594779</v>
      </c>
      <c r="V2130" s="44"/>
      <c r="W2130" s="72"/>
      <c r="X2130" s="85">
        <f>(X2123/(N_1*X$27))*SQRT('Valve Sizing'!$G$6/X2128)</f>
        <v>71.085499454326168</v>
      </c>
      <c r="Y2130" s="44"/>
      <c r="Z2130" s="72"/>
      <c r="AA2130" s="85">
        <f>(AA2123/(N_1*AA$27))*SQRT('Valve Sizing'!$G$6/AA2128)</f>
        <v>175.0267633463782</v>
      </c>
      <c r="AB2130" s="44"/>
      <c r="AC2130" s="72"/>
      <c r="AD2130" s="85" t="e">
        <f>(AD2123/(N_1*AD$27))*SQRT('Valve Sizing'!$G$6/AD2128)</f>
        <v>#NUM!</v>
      </c>
      <c r="AE2130" s="44"/>
      <c r="AF2130" s="72"/>
      <c r="AG2130" s="85" t="e">
        <f>(AG2123/(N_1*AG$27))*SQRT('Valve Sizing'!$G$6/AG2128)</f>
        <v>#NUM!</v>
      </c>
      <c r="AH2130" s="44"/>
      <c r="AI2130" s="72"/>
      <c r="AJ2130" s="85" t="e">
        <f>(AJ2123/(N_1*AJ$27))*SQRT('Valve Sizing'!$G$6/AJ2128)</f>
        <v>#NUM!</v>
      </c>
      <c r="AK2130" s="44"/>
      <c r="AL2130" s="72"/>
      <c r="AM2130" s="85" t="e">
        <f>(AM2123/(N_1*AM$27))*SQRT('Valve Sizing'!$G$6/AM2128)</f>
        <v>#NUM!</v>
      </c>
      <c r="AN2130" s="44"/>
      <c r="AO2130" s="72"/>
      <c r="AP2130" s="85" t="e">
        <f>(AP2123/(N_1*AP$27))*SQRT('Valve Sizing'!$G$6/AP2128)</f>
        <v>#NUM!</v>
      </c>
      <c r="AQ2130" s="44"/>
      <c r="AR2130" s="72"/>
      <c r="AS2130" s="85" t="e">
        <f>(AS2123/(N_1*AS$27))*SQRT('Valve Sizing'!$G$6/AS2128)</f>
        <v>#NUM!</v>
      </c>
      <c r="AT2130" s="44"/>
      <c r="AU2130" s="72"/>
    </row>
    <row r="2131" spans="15:47" x14ac:dyDescent="0.25">
      <c r="O2131" s="1" t="s">
        <v>246</v>
      </c>
      <c r="P2131" s="18"/>
      <c r="Q2131" s="65"/>
      <c r="R2131" s="53">
        <f>IF(R2127&lt;R2128,R2129,R2130)</f>
        <v>6.0699078338814321</v>
      </c>
      <c r="S2131" s="49"/>
      <c r="T2131" s="72"/>
      <c r="U2131" s="64">
        <f>IF(U2127&lt;U2128,U2129,U2130)</f>
        <v>33.728004741214669</v>
      </c>
      <c r="V2131" s="44"/>
      <c r="W2131" s="72"/>
      <c r="X2131" s="64">
        <f>IF(X2127&lt;X2128,X2129,X2130)</f>
        <v>91.826102060408246</v>
      </c>
      <c r="Y2131" s="44"/>
      <c r="Z2131" s="72"/>
      <c r="AA2131" s="64">
        <f>IF(AA2127&lt;AA2128,AA2129,AA2130)</f>
        <v>553.57291207729679</v>
      </c>
      <c r="AB2131" s="44"/>
      <c r="AC2131" s="72"/>
      <c r="AD2131" s="64" t="e">
        <f>IF(AD2127&lt;AD2128,AD2129,AD2130)</f>
        <v>#NUM!</v>
      </c>
      <c r="AE2131" s="44"/>
      <c r="AF2131" s="72"/>
      <c r="AG2131" s="64" t="e">
        <f>IF(AG2127&lt;AG2128,AG2129,AG2130)</f>
        <v>#NUM!</v>
      </c>
      <c r="AH2131" s="44"/>
      <c r="AI2131" s="72"/>
      <c r="AJ2131" s="64" t="e">
        <f>IF(AJ2127&lt;AJ2128,AJ2129,AJ2130)</f>
        <v>#NUM!</v>
      </c>
      <c r="AK2131" s="44"/>
      <c r="AL2131" s="72"/>
      <c r="AM2131" s="64" t="e">
        <f>IF(AM2127&lt;AM2128,AM2129,AM2130)</f>
        <v>#NUM!</v>
      </c>
      <c r="AN2131" s="44"/>
      <c r="AO2131" s="72"/>
      <c r="AP2131" s="64" t="e">
        <f>IF(AP2127&lt;AP2128,AP2129,AP2130)</f>
        <v>#NUM!</v>
      </c>
      <c r="AQ2131" s="44"/>
      <c r="AR2131" s="72"/>
      <c r="AS2131" s="64" t="e">
        <f>IF(AS2127&lt;AS2128,AS2129,AS2130)</f>
        <v>#NUM!</v>
      </c>
      <c r="AT2131" s="44"/>
      <c r="AU2131" s="72"/>
    </row>
    <row r="2132" spans="15:47" ht="13" x14ac:dyDescent="0.3">
      <c r="O2132" s="7" t="s">
        <v>264</v>
      </c>
      <c r="Q2132" s="61"/>
      <c r="R2132" s="53"/>
      <c r="S2132" s="69">
        <f>IFERROR(ABS(C_h-R2131),Q_max*10)</f>
        <v>1.0699078338814321</v>
      </c>
      <c r="T2132" s="76">
        <f>R2123</f>
        <v>34.444717066996631</v>
      </c>
      <c r="U2132" s="61"/>
      <c r="V2132" s="69">
        <f>IFERROR(ABS(U$23-U2131),Q_max*10)</f>
        <v>21.728004741214669</v>
      </c>
      <c r="W2132" s="75">
        <f>U2123</f>
        <v>187.14659198267609</v>
      </c>
      <c r="X2132" s="61"/>
      <c r="Y2132" s="69">
        <f>IFERROR(ABS(X$23-X2131),Q_max*10)</f>
        <v>68.826102060408246</v>
      </c>
      <c r="Z2132" s="75">
        <f>X2123</f>
        <v>449.22386048219641</v>
      </c>
      <c r="AA2132" s="61"/>
      <c r="AB2132" s="69">
        <f>IFERROR(ABS(AA$23-AA2131),Q_max*10)</f>
        <v>514.57291207729679</v>
      </c>
      <c r="AC2132" s="75">
        <f>AA2123</f>
        <v>857.73298489301578</v>
      </c>
      <c r="AD2132" s="61"/>
      <c r="AE2132" s="69">
        <f>IFERROR(ABS(AD$23-AD2131),Q_max*10)</f>
        <v>5500</v>
      </c>
      <c r="AF2132" s="75">
        <f>AD2123</f>
        <v>1410.6549616001919</v>
      </c>
      <c r="AG2132" s="61"/>
      <c r="AH2132" s="69">
        <f>IFERROR(ABS(AG$23-AG2131),Q_max*10)</f>
        <v>5500</v>
      </c>
      <c r="AI2132" s="75">
        <f>AG2123</f>
        <v>2100.2730129328097</v>
      </c>
      <c r="AJ2132" s="61"/>
      <c r="AK2132" s="69">
        <f>IFERROR(ABS(AJ$23-AJ2131),Q_max*10)</f>
        <v>5500</v>
      </c>
      <c r="AL2132" s="75">
        <f>AJ2123</f>
        <v>2802.822477608378</v>
      </c>
      <c r="AM2132" s="61"/>
      <c r="AN2132" s="69">
        <f>IFERROR(ABS(AM$23-AM2131),Q_max*10)</f>
        <v>5500</v>
      </c>
      <c r="AO2132" s="75">
        <f>AM2123</f>
        <v>3419.9760709200268</v>
      </c>
      <c r="AP2132" s="61"/>
      <c r="AQ2132" s="69">
        <f>IFERROR(ABS(AP$23-AP2131),Q_max*10)</f>
        <v>5500</v>
      </c>
      <c r="AR2132" s="75">
        <f>AP2123</f>
        <v>3970.4860464464155</v>
      </c>
      <c r="AS2132" s="61"/>
      <c r="AT2132" s="69">
        <f>IFERROR(ABS(AS$23-AS2131),Q_max*10)</f>
        <v>5500</v>
      </c>
      <c r="AU2132" s="75">
        <f>AS2123</f>
        <v>4518.7834895148044</v>
      </c>
    </row>
    <row r="2133" spans="15:47" ht="14.5" x14ac:dyDescent="0.35">
      <c r="O2133" s="6"/>
      <c r="P2133" s="6"/>
      <c r="Q2133" s="60"/>
      <c r="R2133" s="67"/>
      <c r="S2133" s="66"/>
      <c r="T2133" s="74"/>
      <c r="V2133" s="11"/>
      <c r="W2133" s="38"/>
      <c r="Y2133" s="11"/>
      <c r="Z2133" s="38"/>
      <c r="AB2133" s="11"/>
      <c r="AC2133" s="38"/>
      <c r="AE2133" s="11"/>
      <c r="AF2133" s="38"/>
      <c r="AH2133" s="11"/>
      <c r="AI2133" s="38"/>
      <c r="AK2133" s="11"/>
      <c r="AL2133" s="38"/>
      <c r="AN2133" s="11"/>
      <c r="AO2133" s="38"/>
      <c r="AQ2133" s="11"/>
      <c r="AR2133" s="38"/>
      <c r="AT2133" s="11"/>
      <c r="AU2133" s="38"/>
    </row>
    <row r="2134" spans="15:47" ht="14" x14ac:dyDescent="0.3">
      <c r="O2134" s="8" t="s">
        <v>235</v>
      </c>
      <c r="P2134" s="6"/>
      <c r="Q2134" s="60"/>
      <c r="R2134" s="53">
        <f>R2123*1.02</f>
        <v>35.133611408336563</v>
      </c>
      <c r="S2134" s="58" t="s">
        <v>238</v>
      </c>
      <c r="T2134" s="73" t="s">
        <v>241</v>
      </c>
      <c r="U2134" s="84">
        <f>U2123*1.01</f>
        <v>189.01805790250285</v>
      </c>
      <c r="V2134" s="58" t="s">
        <v>238</v>
      </c>
      <c r="W2134" s="73" t="s">
        <v>241</v>
      </c>
      <c r="X2134" s="84">
        <f>X2123*1.01</f>
        <v>453.71609908701839</v>
      </c>
      <c r="Y2134" s="58" t="s">
        <v>238</v>
      </c>
      <c r="Z2134" s="73" t="s">
        <v>241</v>
      </c>
      <c r="AA2134" s="84">
        <f>AA2123*1.01</f>
        <v>866.31031474194594</v>
      </c>
      <c r="AB2134" s="58" t="s">
        <v>238</v>
      </c>
      <c r="AC2134" s="73" t="s">
        <v>241</v>
      </c>
      <c r="AD2134" s="84">
        <f>AD2123*1.01</f>
        <v>1424.7615112161939</v>
      </c>
      <c r="AE2134" s="58" t="s">
        <v>238</v>
      </c>
      <c r="AF2134" s="73" t="s">
        <v>241</v>
      </c>
      <c r="AG2134" s="84">
        <f>AG2123*1.01</f>
        <v>2121.2757430621377</v>
      </c>
      <c r="AH2134" s="58" t="s">
        <v>238</v>
      </c>
      <c r="AI2134" s="73" t="s">
        <v>241</v>
      </c>
      <c r="AJ2134" s="84">
        <f>AJ2123*1.01</f>
        <v>2830.8507023844618</v>
      </c>
      <c r="AK2134" s="58" t="s">
        <v>238</v>
      </c>
      <c r="AL2134" s="73" t="s">
        <v>241</v>
      </c>
      <c r="AM2134" s="84">
        <f>AM2123*1.01</f>
        <v>3454.1758316292271</v>
      </c>
      <c r="AN2134" s="58" t="s">
        <v>238</v>
      </c>
      <c r="AO2134" s="73" t="s">
        <v>241</v>
      </c>
      <c r="AP2134" s="84">
        <f>AP2123*1.01</f>
        <v>4010.1909069108797</v>
      </c>
      <c r="AQ2134" s="58" t="s">
        <v>238</v>
      </c>
      <c r="AR2134" s="73" t="s">
        <v>241</v>
      </c>
      <c r="AS2134" s="84">
        <f>AS2123*1.01</f>
        <v>4563.9713244099521</v>
      </c>
      <c r="AT2134" s="58" t="s">
        <v>238</v>
      </c>
      <c r="AU2134" s="73" t="s">
        <v>241</v>
      </c>
    </row>
    <row r="2135" spans="15:47" ht="13" x14ac:dyDescent="0.25">
      <c r="O2135" s="6"/>
      <c r="P2135" s="6"/>
      <c r="Q2135" s="60"/>
      <c r="R2135" s="70"/>
      <c r="S2135" s="63" t="s">
        <v>250</v>
      </c>
      <c r="T2135" s="71" t="s">
        <v>242</v>
      </c>
      <c r="U2135" s="61"/>
      <c r="V2135" s="63" t="s">
        <v>250</v>
      </c>
      <c r="W2135" s="71" t="s">
        <v>242</v>
      </c>
      <c r="X2135" s="61"/>
      <c r="Y2135" s="63" t="s">
        <v>250</v>
      </c>
      <c r="Z2135" s="71" t="s">
        <v>242</v>
      </c>
      <c r="AA2135" s="61"/>
      <c r="AB2135" s="63" t="s">
        <v>250</v>
      </c>
      <c r="AC2135" s="71" t="s">
        <v>242</v>
      </c>
      <c r="AD2135" s="61"/>
      <c r="AE2135" s="63" t="s">
        <v>250</v>
      </c>
      <c r="AF2135" s="71" t="s">
        <v>242</v>
      </c>
      <c r="AG2135" s="61"/>
      <c r="AH2135" s="63" t="s">
        <v>250</v>
      </c>
      <c r="AI2135" s="71" t="s">
        <v>242</v>
      </c>
      <c r="AJ2135" s="61"/>
      <c r="AK2135" s="63" t="s">
        <v>250</v>
      </c>
      <c r="AL2135" s="71" t="s">
        <v>242</v>
      </c>
      <c r="AM2135" s="61"/>
      <c r="AN2135" s="63" t="s">
        <v>250</v>
      </c>
      <c r="AO2135" s="71" t="s">
        <v>242</v>
      </c>
      <c r="AP2135" s="61"/>
      <c r="AQ2135" s="63" t="s">
        <v>250</v>
      </c>
      <c r="AR2135" s="71" t="s">
        <v>242</v>
      </c>
      <c r="AS2135" s="61"/>
      <c r="AT2135" s="63" t="s">
        <v>250</v>
      </c>
      <c r="AU2135" s="71" t="s">
        <v>242</v>
      </c>
    </row>
    <row r="2136" spans="15:47" ht="13" x14ac:dyDescent="0.3">
      <c r="O2136" s="6" t="s">
        <v>231</v>
      </c>
      <c r="P2136" s="6"/>
      <c r="Q2136" s="60"/>
      <c r="R2136" s="85">
        <f>P_1_minQ-(R2134^2*R_up)+dpup_minQ</f>
        <v>56.874455567355895</v>
      </c>
      <c r="S2136" s="56"/>
      <c r="T2136" s="72"/>
      <c r="U2136" s="53">
        <f>P_1_minQ-(U2134^2*R_up)+dpup_minQ</f>
        <v>55.709529678715505</v>
      </c>
      <c r="V2136" s="44"/>
      <c r="W2136" s="72"/>
      <c r="X2136" s="53">
        <f>P_1_minQ-(X2134^2*R_up)+dpup_minQ</f>
        <v>49.963819703791252</v>
      </c>
      <c r="Y2136" s="44"/>
      <c r="Z2136" s="72"/>
      <c r="AA2136" s="53">
        <f>P_1_minQ-(AA2134^2*R_up)+dpup_minQ</f>
        <v>31.570193805191174</v>
      </c>
      <c r="AB2136" s="44"/>
      <c r="AC2136" s="72"/>
      <c r="AD2136" s="53">
        <f>P_1_minQ-(AD2134^2*R_up)+dpup_minQ</f>
        <v>-11.639931234145639</v>
      </c>
      <c r="AE2136" s="44"/>
      <c r="AF2136" s="72"/>
      <c r="AG2136" s="53">
        <f>P_1_minQ-(AG2134^2*R_up)+dpup_minQ</f>
        <v>-95.053150223026847</v>
      </c>
      <c r="AH2136" s="44"/>
      <c r="AI2136" s="72"/>
      <c r="AJ2136" s="53">
        <f>P_1_minQ-(AJ2134^2*R_up)+dpup_minQ</f>
        <v>-213.72606211383325</v>
      </c>
      <c r="AK2136" s="44"/>
      <c r="AL2136" s="72"/>
      <c r="AM2136" s="53">
        <f>P_1_minQ-(AM2134^2*R_up)+dpup_minQ</f>
        <v>-346.03322106759413</v>
      </c>
      <c r="AN2136" s="44"/>
      <c r="AO2136" s="72"/>
      <c r="AP2136" s="53">
        <f>P_1_minQ-(AP2134^2*R_up)+dpup_minQ</f>
        <v>-486.19872036037503</v>
      </c>
      <c r="AQ2136" s="44"/>
      <c r="AR2136" s="72"/>
      <c r="AS2136" s="53">
        <f>P_1_minQ-(AS2134^2*R_up)+dpup_minQ</f>
        <v>-646.55681357772141</v>
      </c>
      <c r="AT2136" s="44"/>
      <c r="AU2136" s="72"/>
    </row>
    <row r="2137" spans="15:47" ht="13" x14ac:dyDescent="0.3">
      <c r="O2137" s="6" t="s">
        <v>233</v>
      </c>
      <c r="P2137" s="6"/>
      <c r="Q2137" s="60"/>
      <c r="R2137" s="85">
        <f>P_2_minQ+(R2134^2*R_dn)-dpdn_minQ</f>
        <v>24.665108886528824</v>
      </c>
      <c r="S2137" s="66"/>
      <c r="T2137" s="74"/>
      <c r="U2137" s="53">
        <f>P_2_minQ+(U2134^2*R_dn)-dpdn_minQ</f>
        <v>24.898094064256899</v>
      </c>
      <c r="V2137" s="45"/>
      <c r="W2137" s="74"/>
      <c r="X2137" s="53">
        <f>P_2_minQ+(X2134^2*R_dn)-dpdn_minQ</f>
        <v>26.047236059241751</v>
      </c>
      <c r="Y2137" s="45"/>
      <c r="Z2137" s="74"/>
      <c r="AA2137" s="53">
        <f>P_2_minQ+(AA2134^2*R_dn)-dpdn_minQ</f>
        <v>29.725961238961766</v>
      </c>
      <c r="AB2137" s="45"/>
      <c r="AC2137" s="74"/>
      <c r="AD2137" s="53">
        <f>P_2_minQ+(AD2134^2*R_dn)-dpdn_minQ</f>
        <v>38.367986246829133</v>
      </c>
      <c r="AE2137" s="45"/>
      <c r="AF2137" s="74"/>
      <c r="AG2137" s="53">
        <f>P_2_minQ+(AG2134^2*R_dn)-dpdn_minQ</f>
        <v>55.05063004460537</v>
      </c>
      <c r="AH2137" s="45"/>
      <c r="AI2137" s="74"/>
      <c r="AJ2137" s="53">
        <f>P_2_minQ+(AJ2134^2*R_dn)-dpdn_minQ</f>
        <v>78.785212422766648</v>
      </c>
      <c r="AK2137" s="45"/>
      <c r="AL2137" s="74"/>
      <c r="AM2137" s="53">
        <f>P_2_minQ+(AM2134^2*R_dn)-dpdn_minQ</f>
        <v>105.24664421351883</v>
      </c>
      <c r="AN2137" s="45"/>
      <c r="AO2137" s="74"/>
      <c r="AP2137" s="53">
        <f>P_2_minQ+(AP2134^2*R_dn)-dpdn_minQ</f>
        <v>133.279744072075</v>
      </c>
      <c r="AQ2137" s="45"/>
      <c r="AR2137" s="74"/>
      <c r="AS2137" s="53">
        <f>P_2_minQ+(AS2134^2*R_dn)-dpdn_minQ</f>
        <v>165.3513627155443</v>
      </c>
      <c r="AT2137" s="45"/>
      <c r="AU2137" s="74"/>
    </row>
    <row r="2138" spans="15:47" x14ac:dyDescent="0.25">
      <c r="O2138" s="6" t="s">
        <v>243</v>
      </c>
      <c r="Q2138" s="60"/>
      <c r="R2138" s="53">
        <f>R2136-R2137</f>
        <v>32.209346680827068</v>
      </c>
      <c r="S2138" s="56"/>
      <c r="T2138" s="72"/>
      <c r="U2138" s="64">
        <f>U2136-U2137</f>
        <v>30.811435614458606</v>
      </c>
      <c r="V2138" s="44"/>
      <c r="W2138" s="72"/>
      <c r="X2138" s="64">
        <f>X2136-X2137</f>
        <v>23.916583644549501</v>
      </c>
      <c r="Y2138" s="44"/>
      <c r="Z2138" s="72"/>
      <c r="AA2138" s="64">
        <f>AA2136-AA2137</f>
        <v>1.8442325662294081</v>
      </c>
      <c r="AB2138" s="44"/>
      <c r="AC2138" s="72"/>
      <c r="AD2138" s="64">
        <f>AD2136-AD2137</f>
        <v>-50.007917480974768</v>
      </c>
      <c r="AE2138" s="44"/>
      <c r="AF2138" s="72"/>
      <c r="AG2138" s="64">
        <f>AG2136-AG2137</f>
        <v>-150.1037802676322</v>
      </c>
      <c r="AH2138" s="44"/>
      <c r="AI2138" s="72"/>
      <c r="AJ2138" s="64">
        <f>AJ2136-AJ2137</f>
        <v>-292.5112745365999</v>
      </c>
      <c r="AK2138" s="44"/>
      <c r="AL2138" s="72"/>
      <c r="AM2138" s="64">
        <f>AM2136-AM2137</f>
        <v>-451.27986528111296</v>
      </c>
      <c r="AN2138" s="44"/>
      <c r="AO2138" s="72"/>
      <c r="AP2138" s="64">
        <f>AP2136-AP2137</f>
        <v>-619.47846443244998</v>
      </c>
      <c r="AQ2138" s="44"/>
      <c r="AR2138" s="72"/>
      <c r="AS2138" s="64">
        <f>AS2136-AS2137</f>
        <v>-811.90817629326568</v>
      </c>
      <c r="AT2138" s="44"/>
      <c r="AU2138" s="72"/>
    </row>
    <row r="2139" spans="15:47" ht="13" x14ac:dyDescent="0.3">
      <c r="O2139" s="6" t="s">
        <v>75</v>
      </c>
      <c r="P2139" s="6">
        <v>3</v>
      </c>
      <c r="Q2139" s="65"/>
      <c r="R2139" s="85">
        <f>(F_LP_h/F_P_h)^2*(R2136-('Valve Sizing'!$V$4*'Valve Sizing'!$G$7))</f>
        <v>46.730643697957376</v>
      </c>
      <c r="S2139" s="58"/>
      <c r="T2139" s="73"/>
      <c r="U2139" s="53">
        <f>(U$29/U$27)^2*(U2136-('Valve Sizing'!$V$4*'Valve Sizing'!$G$7))</f>
        <v>45.753549987806331</v>
      </c>
      <c r="V2139" s="41"/>
      <c r="W2139" s="73"/>
      <c r="X2139" s="53">
        <f>(X$29/X$27)^2*(X2136-('Valve Sizing'!$V$4*'Valve Sizing'!$G$7))</f>
        <v>40.072328597179407</v>
      </c>
      <c r="Y2139" s="41"/>
      <c r="Z2139" s="73"/>
      <c r="AA2139" s="53">
        <f>(AA$29/AA$27)^2*(AA2136-('Valve Sizing'!$V$4*'Valve Sizing'!$G$7))</f>
        <v>24.057282706430772</v>
      </c>
      <c r="AB2139" s="41"/>
      <c r="AC2139" s="73"/>
      <c r="AD2139" s="53">
        <f>(AD$29/AD$27)^2*(AD2136-('Valve Sizing'!$V$4*'Valve Sizing'!$G$7))</f>
        <v>-8.7119358757417587</v>
      </c>
      <c r="AE2139" s="41"/>
      <c r="AF2139" s="73"/>
      <c r="AG2139" s="53">
        <f>(AG$29/AG$27)^2*(AG2136-('Valve Sizing'!$V$4*'Valve Sizing'!$G$7))</f>
        <v>-61.501822921904342</v>
      </c>
      <c r="AH2139" s="41"/>
      <c r="AI2139" s="73"/>
      <c r="AJ2139" s="53">
        <f>(AJ$29/AJ$27)^2*(AJ2136-('Valve Sizing'!$V$4*'Valve Sizing'!$G$7))</f>
        <v>-123.86604551757057</v>
      </c>
      <c r="AK2139" s="41"/>
      <c r="AL2139" s="73"/>
      <c r="AM2139" s="53">
        <f>(AM$29/AM$27)^2*(AM2136-('Valve Sizing'!$V$4*'Valve Sizing'!$G$7))</f>
        <v>-165.77781435366268</v>
      </c>
      <c r="AN2139" s="41"/>
      <c r="AO2139" s="73"/>
      <c r="AP2139" s="53">
        <f>(AP$29/AP$27)^2*(AP2136-('Valve Sizing'!$V$4*'Valve Sizing'!$G$7))</f>
        <v>-192.04071704328487</v>
      </c>
      <c r="AQ2139" s="41"/>
      <c r="AR2139" s="73"/>
      <c r="AS2139" s="53">
        <f>(AS$29/AS$27)^2*(AS2136-('Valve Sizing'!$V$4*'Valve Sizing'!$G$7))</f>
        <v>-243.36191693341334</v>
      </c>
      <c r="AT2139" s="41"/>
      <c r="AU2139" s="73"/>
    </row>
    <row r="2140" spans="15:47" ht="13" x14ac:dyDescent="0.25">
      <c r="O2140" s="1" t="s">
        <v>69</v>
      </c>
      <c r="P2140" s="17">
        <v>7</v>
      </c>
      <c r="Q2140" s="65"/>
      <c r="R2140" s="53">
        <f>(R2134/(N_1*F_P_h))*SQRT('Valve Sizing'!$G$6/R2138)</f>
        <v>6.1914926858038193</v>
      </c>
      <c r="S2140" s="58"/>
      <c r="T2140" s="73"/>
      <c r="U2140" s="64">
        <f>(U2134/(N_1*U$27))*SQRT('Valve Sizing'!$G$6/U2138)</f>
        <v>34.081052633419041</v>
      </c>
      <c r="V2140" s="41"/>
      <c r="W2140" s="73"/>
      <c r="X2140" s="64">
        <f>(X2134/(N_1*X$27))*SQRT('Valve Sizing'!$G$6/X2138)</f>
        <v>93.062547250646432</v>
      </c>
      <c r="Y2140" s="41"/>
      <c r="Z2140" s="73"/>
      <c r="AA2140" s="64">
        <f>(AA2134/(N_1*AA$27))*SQRT('Valve Sizing'!$G$6/AA2138)</f>
        <v>643.5722132077284</v>
      </c>
      <c r="AB2140" s="41"/>
      <c r="AC2140" s="73"/>
      <c r="AD2140" s="64" t="e">
        <f>(AD2134/(N_1*AD$27))*SQRT('Valve Sizing'!$G$6/AD2138)</f>
        <v>#NUM!</v>
      </c>
      <c r="AE2140" s="41"/>
      <c r="AF2140" s="73"/>
      <c r="AG2140" s="64" t="e">
        <f>(AG2134/(N_1*AG$27))*SQRT('Valve Sizing'!$G$6/AG2138)</f>
        <v>#NUM!</v>
      </c>
      <c r="AH2140" s="41"/>
      <c r="AI2140" s="73"/>
      <c r="AJ2140" s="64" t="e">
        <f>(AJ2134/(N_1*AJ$27))*SQRT('Valve Sizing'!$G$6/AJ2138)</f>
        <v>#NUM!</v>
      </c>
      <c r="AK2140" s="41"/>
      <c r="AL2140" s="73"/>
      <c r="AM2140" s="64" t="e">
        <f>(AM2134/(N_1*AM$27))*SQRT('Valve Sizing'!$G$6/AM2138)</f>
        <v>#NUM!</v>
      </c>
      <c r="AN2140" s="41"/>
      <c r="AO2140" s="73"/>
      <c r="AP2140" s="64" t="e">
        <f>(AP2134/(N_1*AP$27))*SQRT('Valve Sizing'!$G$6/AP2138)</f>
        <v>#NUM!</v>
      </c>
      <c r="AQ2140" s="41"/>
      <c r="AR2140" s="73"/>
      <c r="AS2140" s="64" t="e">
        <f>(AS2134/(N_1*AS$27))*SQRT('Valve Sizing'!$G$6/AS2138)</f>
        <v>#NUM!</v>
      </c>
      <c r="AT2140" s="41"/>
      <c r="AU2140" s="73"/>
    </row>
    <row r="2141" spans="15:47" ht="13" x14ac:dyDescent="0.3">
      <c r="O2141" s="1" t="s">
        <v>72</v>
      </c>
      <c r="P2141" s="17">
        <v>7</v>
      </c>
      <c r="Q2141" s="65"/>
      <c r="R2141" s="53">
        <f>(R2134/(N_1*F_P_h))*SQRT('Valve Sizing'!$G$6/R2139)</f>
        <v>5.1402641882011997</v>
      </c>
      <c r="S2141" s="56"/>
      <c r="T2141" s="72"/>
      <c r="U2141" s="85">
        <f>(U2134/(N_1*U$27))*SQRT('Valve Sizing'!$G$6/U2139)</f>
        <v>27.967688179013717</v>
      </c>
      <c r="V2141" s="44"/>
      <c r="W2141" s="72"/>
      <c r="X2141" s="85">
        <f>(X2134/(N_1*X$27))*SQRT('Valve Sizing'!$G$6/X2139)</f>
        <v>71.895584230345449</v>
      </c>
      <c r="Y2141" s="44"/>
      <c r="Z2141" s="72"/>
      <c r="AA2141" s="85">
        <f>(AA2134/(N_1*AA$27))*SQRT('Valve Sizing'!$G$6/AA2139)</f>
        <v>178.18939046860856</v>
      </c>
      <c r="AB2141" s="44"/>
      <c r="AC2141" s="72"/>
      <c r="AD2141" s="85" t="e">
        <f>(AD2134/(N_1*AD$27))*SQRT('Valve Sizing'!$G$6/AD2139)</f>
        <v>#NUM!</v>
      </c>
      <c r="AE2141" s="44"/>
      <c r="AF2141" s="72"/>
      <c r="AG2141" s="85" t="e">
        <f>(AG2134/(N_1*AG$27))*SQRT('Valve Sizing'!$G$6/AG2139)</f>
        <v>#NUM!</v>
      </c>
      <c r="AH2141" s="44"/>
      <c r="AI2141" s="72"/>
      <c r="AJ2141" s="85" t="e">
        <f>(AJ2134/(N_1*AJ$27))*SQRT('Valve Sizing'!$G$6/AJ2139)</f>
        <v>#NUM!</v>
      </c>
      <c r="AK2141" s="44"/>
      <c r="AL2141" s="72"/>
      <c r="AM2141" s="85" t="e">
        <f>(AM2134/(N_1*AM$27))*SQRT('Valve Sizing'!$G$6/AM2139)</f>
        <v>#NUM!</v>
      </c>
      <c r="AN2141" s="44"/>
      <c r="AO2141" s="72"/>
      <c r="AP2141" s="85" t="e">
        <f>(AP2134/(N_1*AP$27))*SQRT('Valve Sizing'!$G$6/AP2139)</f>
        <v>#NUM!</v>
      </c>
      <c r="AQ2141" s="44"/>
      <c r="AR2141" s="72"/>
      <c r="AS2141" s="85" t="e">
        <f>(AS2134/(N_1*AS$27))*SQRT('Valve Sizing'!$G$6/AS2139)</f>
        <v>#NUM!</v>
      </c>
      <c r="AT2141" s="44"/>
      <c r="AU2141" s="72"/>
    </row>
    <row r="2142" spans="15:47" x14ac:dyDescent="0.25">
      <c r="O2142" s="1" t="s">
        <v>246</v>
      </c>
      <c r="P2142" s="18"/>
      <c r="Q2142" s="65"/>
      <c r="R2142" s="53">
        <f>IF(R2138&lt;R2139,R2140,R2141)</f>
        <v>6.1914926858038193</v>
      </c>
      <c r="S2142" s="49"/>
      <c r="T2142" s="72"/>
      <c r="U2142" s="64">
        <f>IF(U2138&lt;U2139,U2140,U2141)</f>
        <v>34.081052633419041</v>
      </c>
      <c r="V2142" s="44"/>
      <c r="W2142" s="72"/>
      <c r="X2142" s="64">
        <f>IF(X2138&lt;X2139,X2140,X2141)</f>
        <v>93.062547250646432</v>
      </c>
      <c r="Y2142" s="44"/>
      <c r="Z2142" s="72"/>
      <c r="AA2142" s="64">
        <f>IF(AA2138&lt;AA2139,AA2140,AA2141)</f>
        <v>643.5722132077284</v>
      </c>
      <c r="AB2142" s="44"/>
      <c r="AC2142" s="72"/>
      <c r="AD2142" s="64" t="e">
        <f>IF(AD2138&lt;AD2139,AD2140,AD2141)</f>
        <v>#NUM!</v>
      </c>
      <c r="AE2142" s="44"/>
      <c r="AF2142" s="72"/>
      <c r="AG2142" s="64" t="e">
        <f>IF(AG2138&lt;AG2139,AG2140,AG2141)</f>
        <v>#NUM!</v>
      </c>
      <c r="AH2142" s="44"/>
      <c r="AI2142" s="72"/>
      <c r="AJ2142" s="64" t="e">
        <f>IF(AJ2138&lt;AJ2139,AJ2140,AJ2141)</f>
        <v>#NUM!</v>
      </c>
      <c r="AK2142" s="44"/>
      <c r="AL2142" s="72"/>
      <c r="AM2142" s="64" t="e">
        <f>IF(AM2138&lt;AM2139,AM2140,AM2141)</f>
        <v>#NUM!</v>
      </c>
      <c r="AN2142" s="44"/>
      <c r="AO2142" s="72"/>
      <c r="AP2142" s="64" t="e">
        <f>IF(AP2138&lt;AP2139,AP2140,AP2141)</f>
        <v>#NUM!</v>
      </c>
      <c r="AQ2142" s="44"/>
      <c r="AR2142" s="72"/>
      <c r="AS2142" s="64" t="e">
        <f>IF(AS2138&lt;AS2139,AS2140,AS2141)</f>
        <v>#NUM!</v>
      </c>
      <c r="AT2142" s="44"/>
      <c r="AU2142" s="72"/>
    </row>
    <row r="2143" spans="15:47" ht="13" x14ac:dyDescent="0.3">
      <c r="O2143" s="7" t="s">
        <v>264</v>
      </c>
      <c r="Q2143" s="61"/>
      <c r="R2143" s="53"/>
      <c r="S2143" s="69">
        <f>IFERROR(ABS(C_h-R2142),Q_max*10)</f>
        <v>1.1914926858038193</v>
      </c>
      <c r="T2143" s="76">
        <f>R2134</f>
        <v>35.133611408336563</v>
      </c>
      <c r="U2143" s="61"/>
      <c r="V2143" s="69">
        <f>IFERROR(ABS(U$23-U2142),Q_max*10)</f>
        <v>22.081052633419041</v>
      </c>
      <c r="W2143" s="75">
        <f>U2134</f>
        <v>189.01805790250285</v>
      </c>
      <c r="X2143" s="61"/>
      <c r="Y2143" s="69">
        <f>IFERROR(ABS(X$23-X2142),Q_max*10)</f>
        <v>70.062547250646432</v>
      </c>
      <c r="Z2143" s="75">
        <f>X2134</f>
        <v>453.71609908701839</v>
      </c>
      <c r="AA2143" s="61"/>
      <c r="AB2143" s="69">
        <f>IFERROR(ABS(AA$23-AA2142),Q_max*10)</f>
        <v>604.5722132077284</v>
      </c>
      <c r="AC2143" s="75">
        <f>AA2134</f>
        <v>866.31031474194594</v>
      </c>
      <c r="AD2143" s="61"/>
      <c r="AE2143" s="69">
        <f>IFERROR(ABS(AD$23-AD2142),Q_max*10)</f>
        <v>5500</v>
      </c>
      <c r="AF2143" s="75">
        <f>AD2134</f>
        <v>1424.7615112161939</v>
      </c>
      <c r="AG2143" s="61"/>
      <c r="AH2143" s="69">
        <f>IFERROR(ABS(AG$23-AG2142),Q_max*10)</f>
        <v>5500</v>
      </c>
      <c r="AI2143" s="75">
        <f>AG2134</f>
        <v>2121.2757430621377</v>
      </c>
      <c r="AJ2143" s="61"/>
      <c r="AK2143" s="69">
        <f>IFERROR(ABS(AJ$23-AJ2142),Q_max*10)</f>
        <v>5500</v>
      </c>
      <c r="AL2143" s="75">
        <f>AJ2134</f>
        <v>2830.8507023844618</v>
      </c>
      <c r="AM2143" s="61"/>
      <c r="AN2143" s="69">
        <f>IFERROR(ABS(AM$23-AM2142),Q_max*10)</f>
        <v>5500</v>
      </c>
      <c r="AO2143" s="75">
        <f>AM2134</f>
        <v>3454.1758316292271</v>
      </c>
      <c r="AP2143" s="61"/>
      <c r="AQ2143" s="69">
        <f>IFERROR(ABS(AP$23-AP2142),Q_max*10)</f>
        <v>5500</v>
      </c>
      <c r="AR2143" s="75">
        <f>AP2134</f>
        <v>4010.1909069108797</v>
      </c>
      <c r="AS2143" s="61"/>
      <c r="AT2143" s="69">
        <f>IFERROR(ABS(AS$23-AS2142),Q_max*10)</f>
        <v>5500</v>
      </c>
      <c r="AU2143" s="75">
        <f>AS2134</f>
        <v>4563.9713244099521</v>
      </c>
    </row>
    <row r="2144" spans="15:47" ht="14.5" x14ac:dyDescent="0.35">
      <c r="O2144" s="6"/>
      <c r="P2144" s="6"/>
      <c r="Q2144" s="60"/>
      <c r="R2144" s="67"/>
      <c r="S2144" s="56"/>
      <c r="T2144" s="72"/>
      <c r="V2144" s="11"/>
      <c r="W2144" s="38"/>
      <c r="Y2144" s="11"/>
      <c r="Z2144" s="38"/>
      <c r="AB2144" s="11"/>
      <c r="AC2144" s="38"/>
      <c r="AE2144" s="11"/>
      <c r="AF2144" s="38"/>
      <c r="AH2144" s="11"/>
      <c r="AI2144" s="38"/>
      <c r="AK2144" s="11"/>
      <c r="AL2144" s="38"/>
      <c r="AN2144" s="11"/>
      <c r="AO2144" s="38"/>
      <c r="AQ2144" s="11"/>
      <c r="AR2144" s="38"/>
      <c r="AT2144" s="11"/>
      <c r="AU2144" s="38"/>
    </row>
    <row r="2145" spans="15:47" ht="14" x14ac:dyDescent="0.3">
      <c r="O2145" s="8" t="s">
        <v>235</v>
      </c>
      <c r="P2145" s="6"/>
      <c r="Q2145" s="60"/>
      <c r="R2145" s="53">
        <f>R2134*1.02</f>
        <v>35.836283636503296</v>
      </c>
      <c r="S2145" s="58" t="s">
        <v>238</v>
      </c>
      <c r="T2145" s="73" t="s">
        <v>241</v>
      </c>
      <c r="U2145" s="84">
        <f>U2134*1.01</f>
        <v>190.90823848152789</v>
      </c>
      <c r="V2145" s="58" t="s">
        <v>238</v>
      </c>
      <c r="W2145" s="73" t="s">
        <v>241</v>
      </c>
      <c r="X2145" s="84">
        <f>X2134*1.01</f>
        <v>458.25326007788857</v>
      </c>
      <c r="Y2145" s="58" t="s">
        <v>238</v>
      </c>
      <c r="Z2145" s="73" t="s">
        <v>241</v>
      </c>
      <c r="AA2145" s="84">
        <f>AA2134*1.01</f>
        <v>874.97341788936546</v>
      </c>
      <c r="AB2145" s="58" t="s">
        <v>238</v>
      </c>
      <c r="AC2145" s="73" t="s">
        <v>241</v>
      </c>
      <c r="AD2145" s="84">
        <f>AD2134*1.01</f>
        <v>1439.0091263283557</v>
      </c>
      <c r="AE2145" s="58" t="s">
        <v>238</v>
      </c>
      <c r="AF2145" s="73" t="s">
        <v>241</v>
      </c>
      <c r="AG2145" s="84">
        <f>AG2134*1.01</f>
        <v>2142.4885004927592</v>
      </c>
      <c r="AH2145" s="58" t="s">
        <v>238</v>
      </c>
      <c r="AI2145" s="73" t="s">
        <v>241</v>
      </c>
      <c r="AJ2145" s="84">
        <f>AJ2134*1.01</f>
        <v>2859.1592094083067</v>
      </c>
      <c r="AK2145" s="58" t="s">
        <v>238</v>
      </c>
      <c r="AL2145" s="73" t="s">
        <v>241</v>
      </c>
      <c r="AM2145" s="84">
        <f>AM2134*1.01</f>
        <v>3488.7175899455192</v>
      </c>
      <c r="AN2145" s="58" t="s">
        <v>238</v>
      </c>
      <c r="AO2145" s="73" t="s">
        <v>241</v>
      </c>
      <c r="AP2145" s="84">
        <f>AP2134*1.01</f>
        <v>4050.2928159799885</v>
      </c>
      <c r="AQ2145" s="58" t="s">
        <v>238</v>
      </c>
      <c r="AR2145" s="73" t="s">
        <v>241</v>
      </c>
      <c r="AS2145" s="84">
        <f>AS2134*1.01</f>
        <v>4609.6110376540519</v>
      </c>
      <c r="AT2145" s="58" t="s">
        <v>238</v>
      </c>
      <c r="AU2145" s="73" t="s">
        <v>241</v>
      </c>
    </row>
    <row r="2146" spans="15:47" ht="13" x14ac:dyDescent="0.25">
      <c r="O2146" s="6"/>
      <c r="P2146" s="6"/>
      <c r="Q2146" s="60"/>
      <c r="R2146" s="70"/>
      <c r="S2146" s="63" t="s">
        <v>250</v>
      </c>
      <c r="T2146" s="71" t="s">
        <v>242</v>
      </c>
      <c r="U2146" s="61"/>
      <c r="V2146" s="63" t="s">
        <v>250</v>
      </c>
      <c r="W2146" s="71" t="s">
        <v>242</v>
      </c>
      <c r="X2146" s="61"/>
      <c r="Y2146" s="63" t="s">
        <v>250</v>
      </c>
      <c r="Z2146" s="71" t="s">
        <v>242</v>
      </c>
      <c r="AA2146" s="61"/>
      <c r="AB2146" s="63" t="s">
        <v>250</v>
      </c>
      <c r="AC2146" s="71" t="s">
        <v>242</v>
      </c>
      <c r="AD2146" s="61"/>
      <c r="AE2146" s="63" t="s">
        <v>250</v>
      </c>
      <c r="AF2146" s="71" t="s">
        <v>242</v>
      </c>
      <c r="AG2146" s="61"/>
      <c r="AH2146" s="63" t="s">
        <v>250</v>
      </c>
      <c r="AI2146" s="71" t="s">
        <v>242</v>
      </c>
      <c r="AJ2146" s="61"/>
      <c r="AK2146" s="63" t="s">
        <v>250</v>
      </c>
      <c r="AL2146" s="71" t="s">
        <v>242</v>
      </c>
      <c r="AM2146" s="61"/>
      <c r="AN2146" s="63" t="s">
        <v>250</v>
      </c>
      <c r="AO2146" s="71" t="s">
        <v>242</v>
      </c>
      <c r="AP2146" s="61"/>
      <c r="AQ2146" s="63" t="s">
        <v>250</v>
      </c>
      <c r="AR2146" s="71" t="s">
        <v>242</v>
      </c>
      <c r="AS2146" s="61"/>
      <c r="AT2146" s="63" t="s">
        <v>250</v>
      </c>
      <c r="AU2146" s="71" t="s">
        <v>242</v>
      </c>
    </row>
    <row r="2147" spans="15:47" ht="13" x14ac:dyDescent="0.3">
      <c r="O2147" s="6" t="s">
        <v>231</v>
      </c>
      <c r="P2147" s="6"/>
      <c r="Q2147" s="60"/>
      <c r="R2147" s="85">
        <f>P_1_minQ-(R2145^2*R_up)+dpup_minQ</f>
        <v>56.872771387204459</v>
      </c>
      <c r="S2147" s="56"/>
      <c r="T2147" s="72"/>
      <c r="U2147" s="53">
        <f>P_1_minQ-(U2145^2*R_up)+dpup_minQ</f>
        <v>55.685276747040866</v>
      </c>
      <c r="V2147" s="44"/>
      <c r="W2147" s="72"/>
      <c r="X2147" s="53">
        <f>P_1_minQ-(X2145^2*R_up)+dpup_minQ</f>
        <v>49.824078001620634</v>
      </c>
      <c r="Y2147" s="44"/>
      <c r="Z2147" s="72"/>
      <c r="AA2147" s="53">
        <f>P_1_minQ-(AA2145^2*R_up)+dpup_minQ</f>
        <v>31.060740222458691</v>
      </c>
      <c r="AB2147" s="44"/>
      <c r="AC2147" s="72"/>
      <c r="AD2147" s="53">
        <f>P_1_minQ-(AD2145^2*R_up)+dpup_minQ</f>
        <v>-13.017908330168783</v>
      </c>
      <c r="AE2147" s="44"/>
      <c r="AF2147" s="72"/>
      <c r="AG2147" s="53">
        <f>P_1_minQ-(AG2145^2*R_up)+dpup_minQ</f>
        <v>-98.107733020726499</v>
      </c>
      <c r="AH2147" s="44"/>
      <c r="AI2147" s="72"/>
      <c r="AJ2147" s="53">
        <f>P_1_minQ-(AJ2145^2*R_up)+dpup_minQ</f>
        <v>-219.16597044053813</v>
      </c>
      <c r="AK2147" s="44"/>
      <c r="AL2147" s="72"/>
      <c r="AM2147" s="53">
        <f>P_1_minQ-(AM2145^2*R_up)+dpup_minQ</f>
        <v>-354.13250328926961</v>
      </c>
      <c r="AN2147" s="44"/>
      <c r="AO2147" s="72"/>
      <c r="AP2147" s="53">
        <f>P_1_minQ-(AP2145^2*R_up)+dpup_minQ</f>
        <v>-497.11532911783542</v>
      </c>
      <c r="AQ2147" s="44"/>
      <c r="AR2147" s="72"/>
      <c r="AS2147" s="53">
        <f>P_1_minQ-(AS2145^2*R_up)+dpup_minQ</f>
        <v>-660.69662000885046</v>
      </c>
      <c r="AT2147" s="44"/>
      <c r="AU2147" s="72"/>
    </row>
    <row r="2148" spans="15:47" ht="13" x14ac:dyDescent="0.3">
      <c r="O2148" s="6" t="s">
        <v>233</v>
      </c>
      <c r="P2148" s="6"/>
      <c r="Q2148" s="60"/>
      <c r="R2148" s="85">
        <f>P_2_minQ+(R2145^2*R_dn)-dpdn_minQ</f>
        <v>24.665445722559109</v>
      </c>
      <c r="S2148" s="66"/>
      <c r="T2148" s="74"/>
      <c r="U2148" s="53">
        <f>P_2_minQ+(U2145^2*R_dn)-dpdn_minQ</f>
        <v>24.902944650591827</v>
      </c>
      <c r="V2148" s="45"/>
      <c r="W2148" s="74"/>
      <c r="X2148" s="53">
        <f>P_2_minQ+(X2145^2*R_dn)-dpdn_minQ</f>
        <v>26.075184399675873</v>
      </c>
      <c r="Y2148" s="45"/>
      <c r="Z2148" s="74"/>
      <c r="AA2148" s="53">
        <f>P_2_minQ+(AA2145^2*R_dn)-dpdn_minQ</f>
        <v>29.827851955508262</v>
      </c>
      <c r="AB2148" s="45"/>
      <c r="AC2148" s="74"/>
      <c r="AD2148" s="53">
        <f>P_2_minQ+(AD2145^2*R_dn)-dpdn_minQ</f>
        <v>38.643581666033761</v>
      </c>
      <c r="AE2148" s="45"/>
      <c r="AF2148" s="74"/>
      <c r="AG2148" s="53">
        <f>P_2_minQ+(AG2145^2*R_dn)-dpdn_minQ</f>
        <v>55.6615466041453</v>
      </c>
      <c r="AH2148" s="45"/>
      <c r="AI2148" s="74"/>
      <c r="AJ2148" s="53">
        <f>P_2_minQ+(AJ2145^2*R_dn)-dpdn_minQ</f>
        <v>79.873194088107624</v>
      </c>
      <c r="AK2148" s="45"/>
      <c r="AL2148" s="74"/>
      <c r="AM2148" s="53">
        <f>P_2_minQ+(AM2145^2*R_dn)-dpdn_minQ</f>
        <v>106.86650065785392</v>
      </c>
      <c r="AN2148" s="45"/>
      <c r="AO2148" s="74"/>
      <c r="AP2148" s="53">
        <f>P_2_minQ+(AP2145^2*R_dn)-dpdn_minQ</f>
        <v>135.46306582356706</v>
      </c>
      <c r="AQ2148" s="45"/>
      <c r="AR2148" s="74"/>
      <c r="AS2148" s="53">
        <f>P_2_minQ+(AS2145^2*R_dn)-dpdn_minQ</f>
        <v>168.17932400177008</v>
      </c>
      <c r="AT2148" s="45"/>
      <c r="AU2148" s="74"/>
    </row>
    <row r="2149" spans="15:47" x14ac:dyDescent="0.25">
      <c r="O2149" s="6" t="s">
        <v>243</v>
      </c>
      <c r="Q2149" s="60"/>
      <c r="R2149" s="53">
        <f>R2147-R2148</f>
        <v>32.207325664645353</v>
      </c>
      <c r="S2149" s="56"/>
      <c r="T2149" s="72"/>
      <c r="U2149" s="64">
        <f>U2147-U2148</f>
        <v>30.782332096449039</v>
      </c>
      <c r="V2149" s="44"/>
      <c r="W2149" s="72"/>
      <c r="X2149" s="64">
        <f>X2147-X2148</f>
        <v>23.748893601944761</v>
      </c>
      <c r="Y2149" s="44"/>
      <c r="Z2149" s="72"/>
      <c r="AA2149" s="64">
        <f>AA2147-AA2148</f>
        <v>1.2328882669504289</v>
      </c>
      <c r="AB2149" s="44"/>
      <c r="AC2149" s="72"/>
      <c r="AD2149" s="64">
        <f>AD2147-AD2148</f>
        <v>-51.661489996202548</v>
      </c>
      <c r="AE2149" s="44"/>
      <c r="AF2149" s="72"/>
      <c r="AG2149" s="64">
        <f>AG2147-AG2148</f>
        <v>-153.76927962487179</v>
      </c>
      <c r="AH2149" s="44"/>
      <c r="AI2149" s="72"/>
      <c r="AJ2149" s="64">
        <f>AJ2147-AJ2148</f>
        <v>-299.03916452864576</v>
      </c>
      <c r="AK2149" s="44"/>
      <c r="AL2149" s="72"/>
      <c r="AM2149" s="64">
        <f>AM2147-AM2148</f>
        <v>-460.99900394712353</v>
      </c>
      <c r="AN2149" s="44"/>
      <c r="AO2149" s="72"/>
      <c r="AP2149" s="64">
        <f>AP2147-AP2148</f>
        <v>-632.57839494140251</v>
      </c>
      <c r="AQ2149" s="44"/>
      <c r="AR2149" s="72"/>
      <c r="AS2149" s="64">
        <f>AS2147-AS2148</f>
        <v>-828.87594401062051</v>
      </c>
      <c r="AT2149" s="44"/>
      <c r="AU2149" s="72"/>
    </row>
    <row r="2150" spans="15:47" ht="13" x14ac:dyDescent="0.3">
      <c r="O2150" s="6" t="s">
        <v>75</v>
      </c>
      <c r="P2150" s="6">
        <v>3</v>
      </c>
      <c r="Q2150" s="65"/>
      <c r="R2150" s="85">
        <f>(F_LP_h/F_P_h)^2*(R2147-('Valve Sizing'!$V$4*'Valve Sizing'!$G$7))</f>
        <v>46.729249108389475</v>
      </c>
      <c r="S2150" s="58"/>
      <c r="T2150" s="73"/>
      <c r="U2150" s="53">
        <f>(U$29/U$27)^2*(U2147-('Valve Sizing'!$V$4*'Valve Sizing'!$G$7))</f>
        <v>45.733472761059339</v>
      </c>
      <c r="V2150" s="41"/>
      <c r="W2150" s="73"/>
      <c r="X2150" s="53">
        <f>(X$29/X$27)^2*(X2147-('Valve Sizing'!$V$4*'Valve Sizing'!$G$7))</f>
        <v>39.959256100704451</v>
      </c>
      <c r="Y2150" s="41"/>
      <c r="Z2150" s="73"/>
      <c r="AA2150" s="53">
        <f>(AA$29/AA$27)^2*(AA2147-('Valve Sizing'!$V$4*'Valve Sizing'!$G$7))</f>
        <v>23.663578393286606</v>
      </c>
      <c r="AB2150" s="41"/>
      <c r="AC2150" s="73"/>
      <c r="AD2150" s="53">
        <f>(AD$29/AD$27)^2*(AD2147-('Valve Sizing'!$V$4*'Valve Sizing'!$G$7))</f>
        <v>-9.7057156047701785</v>
      </c>
      <c r="AE2150" s="41"/>
      <c r="AF2150" s="73"/>
      <c r="AG2150" s="53">
        <f>(AG$29/AG$27)^2*(AG2147-('Valve Sizing'!$V$4*'Valve Sizing'!$G$7))</f>
        <v>-63.469108496150753</v>
      </c>
      <c r="AH2150" s="41"/>
      <c r="AI2150" s="73"/>
      <c r="AJ2150" s="53">
        <f>(AJ$29/AJ$27)^2*(AJ2147-('Valve Sizing'!$V$4*'Valve Sizing'!$G$7))</f>
        <v>-127.0122944811808</v>
      </c>
      <c r="AK2150" s="41"/>
      <c r="AL2150" s="73"/>
      <c r="AM2150" s="53">
        <f>(AM$29/AM$27)^2*(AM2147-('Valve Sizing'!$V$4*'Valve Sizing'!$G$7))</f>
        <v>-169.6530953260916</v>
      </c>
      <c r="AN2150" s="41"/>
      <c r="AO2150" s="73"/>
      <c r="AP2150" s="53">
        <f>(AP$29/AP$27)^2*(AP2147-('Valve Sizing'!$V$4*'Valve Sizing'!$G$7))</f>
        <v>-196.34870372275438</v>
      </c>
      <c r="AQ2150" s="41"/>
      <c r="AR2150" s="73"/>
      <c r="AS2150" s="53">
        <f>(AS$29/AS$27)^2*(AS2147-('Valve Sizing'!$V$4*'Valve Sizing'!$G$7))</f>
        <v>-248.6804749528925</v>
      </c>
      <c r="AT2150" s="41"/>
      <c r="AU2150" s="73"/>
    </row>
    <row r="2151" spans="15:47" ht="13" x14ac:dyDescent="0.25">
      <c r="O2151" s="1" t="s">
        <v>69</v>
      </c>
      <c r="P2151" s="17">
        <v>7</v>
      </c>
      <c r="Q2151" s="65"/>
      <c r="R2151" s="53">
        <f>(R2145/(N_1*F_P_h))*SQRT('Valve Sizing'!$G$6/R2149)</f>
        <v>6.315520680293182</v>
      </c>
      <c r="S2151" s="58"/>
      <c r="T2151" s="73"/>
      <c r="U2151" s="64">
        <f>(U2145/(N_1*U$27))*SQRT('Valve Sizing'!$G$6/U2149)</f>
        <v>34.438131593101005</v>
      </c>
      <c r="V2151" s="41"/>
      <c r="W2151" s="73"/>
      <c r="X2151" s="64">
        <f>(X2145/(N_1*X$27))*SQRT('Valve Sizing'!$G$6/X2149)</f>
        <v>94.32443012768799</v>
      </c>
      <c r="Y2151" s="41"/>
      <c r="Z2151" s="73"/>
      <c r="AA2151" s="64">
        <f>(AA2145/(N_1*AA$27))*SQRT('Valve Sizing'!$G$6/AA2149)</f>
        <v>794.99544833140055</v>
      </c>
      <c r="AB2151" s="41"/>
      <c r="AC2151" s="73"/>
      <c r="AD2151" s="64" t="e">
        <f>(AD2145/(N_1*AD$27))*SQRT('Valve Sizing'!$G$6/AD2149)</f>
        <v>#NUM!</v>
      </c>
      <c r="AE2151" s="41"/>
      <c r="AF2151" s="73"/>
      <c r="AG2151" s="64" t="e">
        <f>(AG2145/(N_1*AG$27))*SQRT('Valve Sizing'!$G$6/AG2149)</f>
        <v>#NUM!</v>
      </c>
      <c r="AH2151" s="41"/>
      <c r="AI2151" s="73"/>
      <c r="AJ2151" s="64" t="e">
        <f>(AJ2145/(N_1*AJ$27))*SQRT('Valve Sizing'!$G$6/AJ2149)</f>
        <v>#NUM!</v>
      </c>
      <c r="AK2151" s="41"/>
      <c r="AL2151" s="73"/>
      <c r="AM2151" s="64" t="e">
        <f>(AM2145/(N_1*AM$27))*SQRT('Valve Sizing'!$G$6/AM2149)</f>
        <v>#NUM!</v>
      </c>
      <c r="AN2151" s="41"/>
      <c r="AO2151" s="73"/>
      <c r="AP2151" s="64" t="e">
        <f>(AP2145/(N_1*AP$27))*SQRT('Valve Sizing'!$G$6/AP2149)</f>
        <v>#NUM!</v>
      </c>
      <c r="AQ2151" s="41"/>
      <c r="AR2151" s="73"/>
      <c r="AS2151" s="64" t="e">
        <f>(AS2145/(N_1*AS$27))*SQRT('Valve Sizing'!$G$6/AS2149)</f>
        <v>#NUM!</v>
      </c>
      <c r="AT2151" s="41"/>
      <c r="AU2151" s="73"/>
    </row>
    <row r="2152" spans="15:47" ht="13" x14ac:dyDescent="0.3">
      <c r="O2152" s="1" t="s">
        <v>72</v>
      </c>
      <c r="P2152" s="17">
        <v>7</v>
      </c>
      <c r="Q2152" s="65"/>
      <c r="R2152" s="53">
        <f>(R2145/(N_1*F_P_h))*SQRT('Valve Sizing'!$G$6/R2150)</f>
        <v>5.2431477085683715</v>
      </c>
      <c r="S2152" s="56"/>
      <c r="T2152" s="72"/>
      <c r="U2152" s="85">
        <f>(U2145/(N_1*U$27))*SQRT('Valve Sizing'!$G$6/U2150)</f>
        <v>28.25356474879662</v>
      </c>
      <c r="V2152" s="44"/>
      <c r="W2152" s="72"/>
      <c r="X2152" s="85">
        <f>(X2145/(N_1*X$27))*SQRT('Valve Sizing'!$G$6/X2150)</f>
        <v>72.717205986404466</v>
      </c>
      <c r="Y2152" s="44"/>
      <c r="Z2152" s="72"/>
      <c r="AA2152" s="85">
        <f>(AA2145/(N_1*AA$27))*SQRT('Valve Sizing'!$G$6/AA2150)</f>
        <v>181.46225037564469</v>
      </c>
      <c r="AB2152" s="44"/>
      <c r="AC2152" s="72"/>
      <c r="AD2152" s="85" t="e">
        <f>(AD2145/(N_1*AD$27))*SQRT('Valve Sizing'!$G$6/AD2150)</f>
        <v>#NUM!</v>
      </c>
      <c r="AE2152" s="44"/>
      <c r="AF2152" s="72"/>
      <c r="AG2152" s="85" t="e">
        <f>(AG2145/(N_1*AG$27))*SQRT('Valve Sizing'!$G$6/AG2150)</f>
        <v>#NUM!</v>
      </c>
      <c r="AH2152" s="44"/>
      <c r="AI2152" s="72"/>
      <c r="AJ2152" s="85" t="e">
        <f>(AJ2145/(N_1*AJ$27))*SQRT('Valve Sizing'!$G$6/AJ2150)</f>
        <v>#NUM!</v>
      </c>
      <c r="AK2152" s="44"/>
      <c r="AL2152" s="72"/>
      <c r="AM2152" s="85" t="e">
        <f>(AM2145/(N_1*AM$27))*SQRT('Valve Sizing'!$G$6/AM2150)</f>
        <v>#NUM!</v>
      </c>
      <c r="AN2152" s="44"/>
      <c r="AO2152" s="72"/>
      <c r="AP2152" s="85" t="e">
        <f>(AP2145/(N_1*AP$27))*SQRT('Valve Sizing'!$G$6/AP2150)</f>
        <v>#NUM!</v>
      </c>
      <c r="AQ2152" s="44"/>
      <c r="AR2152" s="72"/>
      <c r="AS2152" s="85" t="e">
        <f>(AS2145/(N_1*AS$27))*SQRT('Valve Sizing'!$G$6/AS2150)</f>
        <v>#NUM!</v>
      </c>
      <c r="AT2152" s="44"/>
      <c r="AU2152" s="72"/>
    </row>
    <row r="2153" spans="15:47" x14ac:dyDescent="0.25">
      <c r="O2153" s="1" t="s">
        <v>246</v>
      </c>
      <c r="P2153" s="18"/>
      <c r="Q2153" s="65"/>
      <c r="R2153" s="53">
        <f>IF(R2149&lt;R2150,R2151,R2152)</f>
        <v>6.315520680293182</v>
      </c>
      <c r="S2153" s="49"/>
      <c r="T2153" s="72"/>
      <c r="U2153" s="64">
        <f>IF(U2149&lt;U2150,U2151,U2152)</f>
        <v>34.438131593101005</v>
      </c>
      <c r="V2153" s="44"/>
      <c r="W2153" s="72"/>
      <c r="X2153" s="64">
        <f>IF(X2149&lt;X2150,X2151,X2152)</f>
        <v>94.32443012768799</v>
      </c>
      <c r="Y2153" s="44"/>
      <c r="Z2153" s="72"/>
      <c r="AA2153" s="64">
        <f>IF(AA2149&lt;AA2150,AA2151,AA2152)</f>
        <v>794.99544833140055</v>
      </c>
      <c r="AB2153" s="44"/>
      <c r="AC2153" s="72"/>
      <c r="AD2153" s="64" t="e">
        <f>IF(AD2149&lt;AD2150,AD2151,AD2152)</f>
        <v>#NUM!</v>
      </c>
      <c r="AE2153" s="44"/>
      <c r="AF2153" s="72"/>
      <c r="AG2153" s="64" t="e">
        <f>IF(AG2149&lt;AG2150,AG2151,AG2152)</f>
        <v>#NUM!</v>
      </c>
      <c r="AH2153" s="44"/>
      <c r="AI2153" s="72"/>
      <c r="AJ2153" s="64" t="e">
        <f>IF(AJ2149&lt;AJ2150,AJ2151,AJ2152)</f>
        <v>#NUM!</v>
      </c>
      <c r="AK2153" s="44"/>
      <c r="AL2153" s="72"/>
      <c r="AM2153" s="64" t="e">
        <f>IF(AM2149&lt;AM2150,AM2151,AM2152)</f>
        <v>#NUM!</v>
      </c>
      <c r="AN2153" s="44"/>
      <c r="AO2153" s="72"/>
      <c r="AP2153" s="64" t="e">
        <f>IF(AP2149&lt;AP2150,AP2151,AP2152)</f>
        <v>#NUM!</v>
      </c>
      <c r="AQ2153" s="44"/>
      <c r="AR2153" s="72"/>
      <c r="AS2153" s="64" t="e">
        <f>IF(AS2149&lt;AS2150,AS2151,AS2152)</f>
        <v>#NUM!</v>
      </c>
      <c r="AT2153" s="44"/>
      <c r="AU2153" s="72"/>
    </row>
    <row r="2154" spans="15:47" ht="13" x14ac:dyDescent="0.3">
      <c r="O2154" s="7" t="s">
        <v>264</v>
      </c>
      <c r="Q2154" s="61"/>
      <c r="R2154" s="53"/>
      <c r="S2154" s="69">
        <f>IFERROR(ABS(C_h-R2153),Q_max*10)</f>
        <v>1.315520680293182</v>
      </c>
      <c r="T2154" s="76">
        <f>R2145</f>
        <v>35.836283636503296</v>
      </c>
      <c r="U2154" s="61"/>
      <c r="V2154" s="69">
        <f>IFERROR(ABS(U$23-U2153),Q_max*10)</f>
        <v>22.438131593101005</v>
      </c>
      <c r="W2154" s="75">
        <f>U2145</f>
        <v>190.90823848152789</v>
      </c>
      <c r="X2154" s="61"/>
      <c r="Y2154" s="69">
        <f>IFERROR(ABS(X$23-X2153),Q_max*10)</f>
        <v>71.32443012768799</v>
      </c>
      <c r="Z2154" s="75">
        <f>X2145</f>
        <v>458.25326007788857</v>
      </c>
      <c r="AA2154" s="61"/>
      <c r="AB2154" s="69">
        <f>IFERROR(ABS(AA$23-AA2153),Q_max*10)</f>
        <v>755.99544833140055</v>
      </c>
      <c r="AC2154" s="75">
        <f>AA2145</f>
        <v>874.97341788936546</v>
      </c>
      <c r="AD2154" s="61"/>
      <c r="AE2154" s="69">
        <f>IFERROR(ABS(AD$23-AD2153),Q_max*10)</f>
        <v>5500</v>
      </c>
      <c r="AF2154" s="75">
        <f>AD2145</f>
        <v>1439.0091263283557</v>
      </c>
      <c r="AG2154" s="61"/>
      <c r="AH2154" s="69">
        <f>IFERROR(ABS(AG$23-AG2153),Q_max*10)</f>
        <v>5500</v>
      </c>
      <c r="AI2154" s="75">
        <f>AG2145</f>
        <v>2142.4885004927592</v>
      </c>
      <c r="AJ2154" s="61"/>
      <c r="AK2154" s="69">
        <f>IFERROR(ABS(AJ$23-AJ2153),Q_max*10)</f>
        <v>5500</v>
      </c>
      <c r="AL2154" s="75">
        <f>AJ2145</f>
        <v>2859.1592094083067</v>
      </c>
      <c r="AM2154" s="61"/>
      <c r="AN2154" s="69">
        <f>IFERROR(ABS(AM$23-AM2153),Q_max*10)</f>
        <v>5500</v>
      </c>
      <c r="AO2154" s="75">
        <f>AM2145</f>
        <v>3488.7175899455192</v>
      </c>
      <c r="AP2154" s="61"/>
      <c r="AQ2154" s="69">
        <f>IFERROR(ABS(AP$23-AP2153),Q_max*10)</f>
        <v>5500</v>
      </c>
      <c r="AR2154" s="75">
        <f>AP2145</f>
        <v>4050.2928159799885</v>
      </c>
      <c r="AS2154" s="61"/>
      <c r="AT2154" s="69">
        <f>IFERROR(ABS(AS$23-AS2153),Q_max*10)</f>
        <v>5500</v>
      </c>
      <c r="AU2154" s="75">
        <f>AS2145</f>
        <v>4609.6110376540519</v>
      </c>
    </row>
    <row r="2155" spans="15:47" ht="14.5" x14ac:dyDescent="0.35">
      <c r="O2155" s="6"/>
      <c r="P2155" s="6"/>
      <c r="Q2155" s="60"/>
      <c r="R2155" s="67"/>
      <c r="S2155" s="58"/>
      <c r="T2155" s="73"/>
      <c r="V2155" s="11"/>
      <c r="W2155" s="38"/>
      <c r="Y2155" s="11"/>
      <c r="Z2155" s="38"/>
      <c r="AB2155" s="11"/>
      <c r="AC2155" s="38"/>
      <c r="AE2155" s="11"/>
      <c r="AF2155" s="38"/>
      <c r="AH2155" s="11"/>
      <c r="AI2155" s="38"/>
      <c r="AK2155" s="11"/>
      <c r="AL2155" s="38"/>
      <c r="AN2155" s="11"/>
      <c r="AO2155" s="38"/>
      <c r="AQ2155" s="11"/>
      <c r="AR2155" s="38"/>
      <c r="AT2155" s="11"/>
      <c r="AU2155" s="38"/>
    </row>
    <row r="2156" spans="15:47" ht="14" x14ac:dyDescent="0.3">
      <c r="O2156" s="8" t="s">
        <v>235</v>
      </c>
      <c r="P2156" s="6"/>
      <c r="Q2156" s="60"/>
      <c r="R2156" s="53">
        <f>R2145*1.02</f>
        <v>36.55300930923336</v>
      </c>
      <c r="S2156" s="58" t="s">
        <v>238</v>
      </c>
      <c r="T2156" s="73" t="s">
        <v>241</v>
      </c>
      <c r="U2156" s="84">
        <f>U2145*1.01</f>
        <v>192.81732086634318</v>
      </c>
      <c r="V2156" s="58" t="s">
        <v>238</v>
      </c>
      <c r="W2156" s="73" t="s">
        <v>241</v>
      </c>
      <c r="X2156" s="84">
        <f>X2145*1.01</f>
        <v>462.83579267866747</v>
      </c>
      <c r="Y2156" s="58" t="s">
        <v>238</v>
      </c>
      <c r="Z2156" s="73" t="s">
        <v>241</v>
      </c>
      <c r="AA2156" s="84">
        <f>AA2145*1.01</f>
        <v>883.72315206825908</v>
      </c>
      <c r="AB2156" s="58" t="s">
        <v>238</v>
      </c>
      <c r="AC2156" s="73" t="s">
        <v>241</v>
      </c>
      <c r="AD2156" s="84">
        <f>AD2145*1.01</f>
        <v>1453.3992175916392</v>
      </c>
      <c r="AE2156" s="58" t="s">
        <v>238</v>
      </c>
      <c r="AF2156" s="73" t="s">
        <v>241</v>
      </c>
      <c r="AG2156" s="84">
        <f>AG2145*1.01</f>
        <v>2163.9133854976867</v>
      </c>
      <c r="AH2156" s="58" t="s">
        <v>238</v>
      </c>
      <c r="AI2156" s="73" t="s">
        <v>241</v>
      </c>
      <c r="AJ2156" s="84">
        <f>AJ2145*1.01</f>
        <v>2887.7508015023895</v>
      </c>
      <c r="AK2156" s="58" t="s">
        <v>238</v>
      </c>
      <c r="AL2156" s="73" t="s">
        <v>241</v>
      </c>
      <c r="AM2156" s="84">
        <f>AM2145*1.01</f>
        <v>3523.6047658449743</v>
      </c>
      <c r="AN2156" s="58" t="s">
        <v>238</v>
      </c>
      <c r="AO2156" s="73" t="s">
        <v>241</v>
      </c>
      <c r="AP2156" s="84">
        <f>AP2145*1.01</f>
        <v>4090.7957441397884</v>
      </c>
      <c r="AQ2156" s="58" t="s">
        <v>238</v>
      </c>
      <c r="AR2156" s="73" t="s">
        <v>241</v>
      </c>
      <c r="AS2156" s="84">
        <f>AS2145*1.01</f>
        <v>4655.7071480305922</v>
      </c>
      <c r="AT2156" s="58" t="s">
        <v>238</v>
      </c>
      <c r="AU2156" s="73" t="s">
        <v>241</v>
      </c>
    </row>
    <row r="2157" spans="15:47" ht="13" x14ac:dyDescent="0.25">
      <c r="O2157" s="6"/>
      <c r="P2157" s="6"/>
      <c r="Q2157" s="60"/>
      <c r="R2157" s="70"/>
      <c r="S2157" s="63" t="s">
        <v>250</v>
      </c>
      <c r="T2157" s="71" t="s">
        <v>242</v>
      </c>
      <c r="U2157" s="61"/>
      <c r="V2157" s="63" t="s">
        <v>250</v>
      </c>
      <c r="W2157" s="71" t="s">
        <v>242</v>
      </c>
      <c r="X2157" s="61"/>
      <c r="Y2157" s="63" t="s">
        <v>250</v>
      </c>
      <c r="Z2157" s="71" t="s">
        <v>242</v>
      </c>
      <c r="AA2157" s="61"/>
      <c r="AB2157" s="63" t="s">
        <v>250</v>
      </c>
      <c r="AC2157" s="71" t="s">
        <v>242</v>
      </c>
      <c r="AD2157" s="61"/>
      <c r="AE2157" s="63" t="s">
        <v>250</v>
      </c>
      <c r="AF2157" s="71" t="s">
        <v>242</v>
      </c>
      <c r="AG2157" s="61"/>
      <c r="AH2157" s="63" t="s">
        <v>250</v>
      </c>
      <c r="AI2157" s="71" t="s">
        <v>242</v>
      </c>
      <c r="AJ2157" s="61"/>
      <c r="AK2157" s="63" t="s">
        <v>250</v>
      </c>
      <c r="AL2157" s="71" t="s">
        <v>242</v>
      </c>
      <c r="AM2157" s="61"/>
      <c r="AN2157" s="63" t="s">
        <v>250</v>
      </c>
      <c r="AO2157" s="71" t="s">
        <v>242</v>
      </c>
      <c r="AP2157" s="61"/>
      <c r="AQ2157" s="63" t="s">
        <v>250</v>
      </c>
      <c r="AR2157" s="71" t="s">
        <v>242</v>
      </c>
      <c r="AS2157" s="61"/>
      <c r="AT2157" s="63" t="s">
        <v>250</v>
      </c>
      <c r="AU2157" s="71" t="s">
        <v>242</v>
      </c>
    </row>
    <row r="2158" spans="15:47" ht="13" x14ac:dyDescent="0.3">
      <c r="O2158" s="6" t="s">
        <v>231</v>
      </c>
      <c r="P2158" s="6"/>
      <c r="Q2158" s="60"/>
      <c r="R2158" s="85">
        <f>P_1_minQ-(R2156^2*R_up)+dpup_minQ</f>
        <v>56.871019166174911</v>
      </c>
      <c r="S2158" s="56"/>
      <c r="T2158" s="72"/>
      <c r="U2158" s="53">
        <f>P_1_minQ-(U2156^2*R_up)+dpup_minQ</f>
        <v>55.660536331439566</v>
      </c>
      <c r="V2158" s="44"/>
      <c r="W2158" s="72"/>
      <c r="X2158" s="53">
        <f>P_1_minQ-(X2156^2*R_up)+dpup_minQ</f>
        <v>49.681527491236388</v>
      </c>
      <c r="Y2158" s="44"/>
      <c r="Z2158" s="72"/>
      <c r="AA2158" s="53">
        <f>P_1_minQ-(AA2156^2*R_up)+dpup_minQ</f>
        <v>30.541046622713296</v>
      </c>
      <c r="AB2158" s="44"/>
      <c r="AC2158" s="72"/>
      <c r="AD2158" s="53">
        <f>P_1_minQ-(AD2156^2*R_up)+dpup_minQ</f>
        <v>-14.42358276582198</v>
      </c>
      <c r="AE2158" s="44"/>
      <c r="AF2158" s="72"/>
      <c r="AG2158" s="53">
        <f>P_1_minQ-(AG2156^2*R_up)+dpup_minQ</f>
        <v>-101.22371293265991</v>
      </c>
      <c r="AH2158" s="44"/>
      <c r="AI2158" s="72"/>
      <c r="AJ2158" s="53">
        <f>P_1_minQ-(AJ2156^2*R_up)+dpup_minQ</f>
        <v>-224.71522092460972</v>
      </c>
      <c r="AK2158" s="44"/>
      <c r="AL2158" s="72"/>
      <c r="AM2158" s="53">
        <f>P_1_minQ-(AM2156^2*R_up)+dpup_minQ</f>
        <v>-362.39458108360071</v>
      </c>
      <c r="AN2158" s="44"/>
      <c r="AO2158" s="72"/>
      <c r="AP2158" s="53">
        <f>P_1_minQ-(AP2156^2*R_up)+dpup_minQ</f>
        <v>-508.25136171132073</v>
      </c>
      <c r="AQ2158" s="44"/>
      <c r="AR2158" s="72"/>
      <c r="AS2158" s="53">
        <f>P_1_minQ-(AS2156^2*R_up)+dpup_minQ</f>
        <v>-675.12063654924509</v>
      </c>
      <c r="AT2158" s="44"/>
      <c r="AU2158" s="72"/>
    </row>
    <row r="2159" spans="15:47" ht="13" x14ac:dyDescent="0.3">
      <c r="O2159" s="6" t="s">
        <v>233</v>
      </c>
      <c r="P2159" s="6"/>
      <c r="Q2159" s="60"/>
      <c r="R2159" s="85">
        <f>P_2_minQ+(R2156^2*R_dn)-dpdn_minQ</f>
        <v>24.66579616676502</v>
      </c>
      <c r="S2159" s="66"/>
      <c r="T2159" s="74"/>
      <c r="U2159" s="53">
        <f>P_2_minQ+(U2156^2*R_dn)-dpdn_minQ</f>
        <v>24.907892733712089</v>
      </c>
      <c r="V2159" s="45"/>
      <c r="W2159" s="74"/>
      <c r="X2159" s="53">
        <f>P_2_minQ+(X2156^2*R_dn)-dpdn_minQ</f>
        <v>26.103694501752724</v>
      </c>
      <c r="Y2159" s="45"/>
      <c r="Z2159" s="74"/>
      <c r="AA2159" s="53">
        <f>P_2_minQ+(AA2156^2*R_dn)-dpdn_minQ</f>
        <v>29.931790675457343</v>
      </c>
      <c r="AB2159" s="45"/>
      <c r="AC2159" s="74"/>
      <c r="AD2159" s="53">
        <f>P_2_minQ+(AD2156^2*R_dn)-dpdn_minQ</f>
        <v>38.924716553164401</v>
      </c>
      <c r="AE2159" s="45"/>
      <c r="AF2159" s="74"/>
      <c r="AG2159" s="53">
        <f>P_2_minQ+(AG2156^2*R_dn)-dpdn_minQ</f>
        <v>56.284742586531983</v>
      </c>
      <c r="AH2159" s="45"/>
      <c r="AI2159" s="74"/>
      <c r="AJ2159" s="53">
        <f>P_2_minQ+(AJ2156^2*R_dn)-dpdn_minQ</f>
        <v>80.983044184921937</v>
      </c>
      <c r="AK2159" s="45"/>
      <c r="AL2159" s="74"/>
      <c r="AM2159" s="53">
        <f>P_2_minQ+(AM2156^2*R_dn)-dpdn_minQ</f>
        <v>108.51891621672013</v>
      </c>
      <c r="AN2159" s="45"/>
      <c r="AO2159" s="74"/>
      <c r="AP2159" s="53">
        <f>P_2_minQ+(AP2156^2*R_dn)-dpdn_minQ</f>
        <v>137.69027234226414</v>
      </c>
      <c r="AQ2159" s="45"/>
      <c r="AR2159" s="74"/>
      <c r="AS2159" s="53">
        <f>P_2_minQ+(AS2156^2*R_dn)-dpdn_minQ</f>
        <v>171.06412730984906</v>
      </c>
      <c r="AT2159" s="45"/>
      <c r="AU2159" s="74"/>
    </row>
    <row r="2160" spans="15:47" x14ac:dyDescent="0.25">
      <c r="O2160" s="6" t="s">
        <v>243</v>
      </c>
      <c r="Q2160" s="60"/>
      <c r="R2160" s="53">
        <f>R2158-R2159</f>
        <v>32.205222999409891</v>
      </c>
      <c r="S2160" s="56"/>
      <c r="T2160" s="72"/>
      <c r="U2160" s="64">
        <f>U2158-U2159</f>
        <v>30.752643597727477</v>
      </c>
      <c r="V2160" s="44"/>
      <c r="W2160" s="72"/>
      <c r="X2160" s="64">
        <f>X2158-X2159</f>
        <v>23.577832989483664</v>
      </c>
      <c r="Y2160" s="44"/>
      <c r="Z2160" s="72"/>
      <c r="AA2160" s="64">
        <f>AA2158-AA2159</f>
        <v>0.60925594725595289</v>
      </c>
      <c r="AB2160" s="44"/>
      <c r="AC2160" s="72"/>
      <c r="AD2160" s="64">
        <f>AD2158-AD2159</f>
        <v>-53.348299318986378</v>
      </c>
      <c r="AE2160" s="44"/>
      <c r="AF2160" s="72"/>
      <c r="AG2160" s="64">
        <f>AG2158-AG2159</f>
        <v>-157.5084555191919</v>
      </c>
      <c r="AH2160" s="44"/>
      <c r="AI2160" s="72"/>
      <c r="AJ2160" s="64">
        <f>AJ2158-AJ2159</f>
        <v>-305.69826510953169</v>
      </c>
      <c r="AK2160" s="44"/>
      <c r="AL2160" s="72"/>
      <c r="AM2160" s="64">
        <f>AM2158-AM2159</f>
        <v>-470.91349730032084</v>
      </c>
      <c r="AN2160" s="44"/>
      <c r="AO2160" s="72"/>
      <c r="AP2160" s="64">
        <f>AP2158-AP2159</f>
        <v>-645.94163405358483</v>
      </c>
      <c r="AQ2160" s="44"/>
      <c r="AR2160" s="72"/>
      <c r="AS2160" s="64">
        <f>AS2158-AS2159</f>
        <v>-846.18476385909412</v>
      </c>
      <c r="AT2160" s="44"/>
      <c r="AU2160" s="72"/>
    </row>
    <row r="2161" spans="15:47" ht="13" x14ac:dyDescent="0.3">
      <c r="O2161" s="6" t="s">
        <v>75</v>
      </c>
      <c r="P2161" s="6">
        <v>3</v>
      </c>
      <c r="Q2161" s="65"/>
      <c r="R2161" s="85">
        <f>(F_LP_h/F_P_h)^2*(R2158-('Valve Sizing'!$V$4*'Valve Sizing'!$G$7))</f>
        <v>46.727798177403038</v>
      </c>
      <c r="S2161" s="58"/>
      <c r="T2161" s="73"/>
      <c r="U2161" s="53">
        <f>(U$29/U$27)^2*(U2158-('Valve Sizing'!$V$4*'Valve Sizing'!$G$7))</f>
        <v>45.712991982054731</v>
      </c>
      <c r="V2161" s="41"/>
      <c r="W2161" s="73"/>
      <c r="X2161" s="53">
        <f>(X$29/X$27)^2*(X2158-('Valve Sizing'!$V$4*'Valve Sizing'!$G$7))</f>
        <v>39.843910847050346</v>
      </c>
      <c r="Y2161" s="41"/>
      <c r="Z2161" s="73"/>
      <c r="AA2161" s="53">
        <f>(AA$29/AA$27)^2*(AA2158-('Valve Sizing'!$V$4*'Valve Sizing'!$G$7))</f>
        <v>23.26196062344825</v>
      </c>
      <c r="AB2161" s="41"/>
      <c r="AC2161" s="73"/>
      <c r="AD2161" s="53">
        <f>(AD$29/AD$27)^2*(AD2158-('Valve Sizing'!$V$4*'Valve Sizing'!$G$7))</f>
        <v>-10.719470306352058</v>
      </c>
      <c r="AE2161" s="41"/>
      <c r="AF2161" s="73"/>
      <c r="AG2161" s="53">
        <f>(AG$29/AG$27)^2*(AG2158-('Valve Sizing'!$V$4*'Valve Sizing'!$G$7))</f>
        <v>-65.47593651043951</v>
      </c>
      <c r="AH2161" s="41"/>
      <c r="AI2161" s="73"/>
      <c r="AJ2161" s="53">
        <f>(AJ$29/AJ$27)^2*(AJ2158-('Valve Sizing'!$V$4*'Valve Sizing'!$G$7))</f>
        <v>-130.22178304895957</v>
      </c>
      <c r="AK2161" s="41"/>
      <c r="AL2161" s="73"/>
      <c r="AM2161" s="53">
        <f>(AM$29/AM$27)^2*(AM2158-('Valve Sizing'!$V$4*'Valve Sizing'!$G$7))</f>
        <v>-173.60626944606636</v>
      </c>
      <c r="AN2161" s="41"/>
      <c r="AO2161" s="73"/>
      <c r="AP2161" s="53">
        <f>(AP$29/AP$27)^2*(AP2158-('Valve Sizing'!$V$4*'Valve Sizing'!$G$7))</f>
        <v>-200.74328093448122</v>
      </c>
      <c r="AQ2161" s="41"/>
      <c r="AR2161" s="73"/>
      <c r="AS2161" s="53">
        <f>(AS$29/AS$27)^2*(AS2158-('Valve Sizing'!$V$4*'Valve Sizing'!$G$7))</f>
        <v>-254.10593598856317</v>
      </c>
      <c r="AT2161" s="41"/>
      <c r="AU2161" s="73"/>
    </row>
    <row r="2162" spans="15:47" ht="13" x14ac:dyDescent="0.25">
      <c r="O2162" s="1" t="s">
        <v>69</v>
      </c>
      <c r="P2162" s="17">
        <v>7</v>
      </c>
      <c r="Q2162" s="65"/>
      <c r="R2162" s="53">
        <f>(R2156/(N_1*F_P_h))*SQRT('Valve Sizing'!$G$6/R2160)</f>
        <v>6.4420413826651624</v>
      </c>
      <c r="S2162" s="58"/>
      <c r="T2162" s="73"/>
      <c r="U2162" s="64">
        <f>(U2156/(N_1*U$27))*SQRT('Valve Sizing'!$G$6/U2160)</f>
        <v>34.799298319366621</v>
      </c>
      <c r="V2162" s="41"/>
      <c r="W2162" s="73"/>
      <c r="X2162" s="64">
        <f>(X2156/(N_1*X$27))*SQRT('Valve Sizing'!$G$6/X2160)</f>
        <v>95.612640292228718</v>
      </c>
      <c r="Y2162" s="41"/>
      <c r="Z2162" s="73"/>
      <c r="AA2162" s="64">
        <f>(AA2156/(N_1*AA$27))*SQRT('Valve Sizing'!$G$6/AA2160)</f>
        <v>1142.2153363793129</v>
      </c>
      <c r="AB2162" s="41"/>
      <c r="AC2162" s="73"/>
      <c r="AD2162" s="64" t="e">
        <f>(AD2156/(N_1*AD$27))*SQRT('Valve Sizing'!$G$6/AD2160)</f>
        <v>#NUM!</v>
      </c>
      <c r="AE2162" s="41"/>
      <c r="AF2162" s="73"/>
      <c r="AG2162" s="64" t="e">
        <f>(AG2156/(N_1*AG$27))*SQRT('Valve Sizing'!$G$6/AG2160)</f>
        <v>#NUM!</v>
      </c>
      <c r="AH2162" s="41"/>
      <c r="AI2162" s="73"/>
      <c r="AJ2162" s="64" t="e">
        <f>(AJ2156/(N_1*AJ$27))*SQRT('Valve Sizing'!$G$6/AJ2160)</f>
        <v>#NUM!</v>
      </c>
      <c r="AK2162" s="41"/>
      <c r="AL2162" s="73"/>
      <c r="AM2162" s="64" t="e">
        <f>(AM2156/(N_1*AM$27))*SQRT('Valve Sizing'!$G$6/AM2160)</f>
        <v>#NUM!</v>
      </c>
      <c r="AN2162" s="41"/>
      <c r="AO2162" s="73"/>
      <c r="AP2162" s="64" t="e">
        <f>(AP2156/(N_1*AP$27))*SQRT('Valve Sizing'!$G$6/AP2160)</f>
        <v>#NUM!</v>
      </c>
      <c r="AQ2162" s="41"/>
      <c r="AR2162" s="73"/>
      <c r="AS2162" s="64" t="e">
        <f>(AS2156/(N_1*AS$27))*SQRT('Valve Sizing'!$G$6/AS2160)</f>
        <v>#NUM!</v>
      </c>
      <c r="AT2162" s="41"/>
      <c r="AU2162" s="73"/>
    </row>
    <row r="2163" spans="15:47" ht="13" x14ac:dyDescent="0.3">
      <c r="O2163" s="1" t="s">
        <v>72</v>
      </c>
      <c r="P2163" s="17">
        <v>7</v>
      </c>
      <c r="Q2163" s="65"/>
      <c r="R2163" s="53">
        <f>(R2156/(N_1*F_P_h))*SQRT('Valve Sizing'!$G$6/R2161)</f>
        <v>5.3480936918407744</v>
      </c>
      <c r="S2163" s="56"/>
      <c r="T2163" s="72"/>
      <c r="U2163" s="85">
        <f>(U2156/(N_1*U$27))*SQRT('Valve Sizing'!$G$6/U2161)</f>
        <v>28.542492190973523</v>
      </c>
      <c r="V2163" s="44"/>
      <c r="W2163" s="72"/>
      <c r="X2163" s="85">
        <f>(X2156/(N_1*X$27))*SQRT('Valve Sizing'!$G$6/X2161)</f>
        <v>73.550609312561235</v>
      </c>
      <c r="Y2163" s="44"/>
      <c r="Z2163" s="72"/>
      <c r="AA2163" s="85">
        <f>(AA2156/(N_1*AA$27))*SQRT('Valve Sizing'!$G$6/AA2161)</f>
        <v>184.85223998190847</v>
      </c>
      <c r="AB2163" s="44"/>
      <c r="AC2163" s="72"/>
      <c r="AD2163" s="85" t="e">
        <f>(AD2156/(N_1*AD$27))*SQRT('Valve Sizing'!$G$6/AD2161)</f>
        <v>#NUM!</v>
      </c>
      <c r="AE2163" s="44"/>
      <c r="AF2163" s="72"/>
      <c r="AG2163" s="85" t="e">
        <f>(AG2156/(N_1*AG$27))*SQRT('Valve Sizing'!$G$6/AG2161)</f>
        <v>#NUM!</v>
      </c>
      <c r="AH2163" s="44"/>
      <c r="AI2163" s="72"/>
      <c r="AJ2163" s="85" t="e">
        <f>(AJ2156/(N_1*AJ$27))*SQRT('Valve Sizing'!$G$6/AJ2161)</f>
        <v>#NUM!</v>
      </c>
      <c r="AK2163" s="44"/>
      <c r="AL2163" s="72"/>
      <c r="AM2163" s="85" t="e">
        <f>(AM2156/(N_1*AM$27))*SQRT('Valve Sizing'!$G$6/AM2161)</f>
        <v>#NUM!</v>
      </c>
      <c r="AN2163" s="44"/>
      <c r="AO2163" s="72"/>
      <c r="AP2163" s="85" t="e">
        <f>(AP2156/(N_1*AP$27))*SQRT('Valve Sizing'!$G$6/AP2161)</f>
        <v>#NUM!</v>
      </c>
      <c r="AQ2163" s="44"/>
      <c r="AR2163" s="72"/>
      <c r="AS2163" s="85" t="e">
        <f>(AS2156/(N_1*AS$27))*SQRT('Valve Sizing'!$G$6/AS2161)</f>
        <v>#NUM!</v>
      </c>
      <c r="AT2163" s="44"/>
      <c r="AU2163" s="72"/>
    </row>
    <row r="2164" spans="15:47" x14ac:dyDescent="0.25">
      <c r="O2164" s="1" t="s">
        <v>246</v>
      </c>
      <c r="P2164" s="18"/>
      <c r="Q2164" s="65"/>
      <c r="R2164" s="53">
        <f>IF(R2160&lt;R2161,R2162,R2163)</f>
        <v>6.4420413826651624</v>
      </c>
      <c r="S2164" s="49"/>
      <c r="T2164" s="72"/>
      <c r="U2164" s="64">
        <f>IF(U2160&lt;U2161,U2162,U2163)</f>
        <v>34.799298319366621</v>
      </c>
      <c r="V2164" s="44"/>
      <c r="W2164" s="72"/>
      <c r="X2164" s="64">
        <f>IF(X2160&lt;X2161,X2162,X2163)</f>
        <v>95.612640292228718</v>
      </c>
      <c r="Y2164" s="44"/>
      <c r="Z2164" s="72"/>
      <c r="AA2164" s="64">
        <f>IF(AA2160&lt;AA2161,AA2162,AA2163)</f>
        <v>1142.2153363793129</v>
      </c>
      <c r="AB2164" s="44"/>
      <c r="AC2164" s="72"/>
      <c r="AD2164" s="64" t="e">
        <f>IF(AD2160&lt;AD2161,AD2162,AD2163)</f>
        <v>#NUM!</v>
      </c>
      <c r="AE2164" s="44"/>
      <c r="AF2164" s="72"/>
      <c r="AG2164" s="64" t="e">
        <f>IF(AG2160&lt;AG2161,AG2162,AG2163)</f>
        <v>#NUM!</v>
      </c>
      <c r="AH2164" s="44"/>
      <c r="AI2164" s="72"/>
      <c r="AJ2164" s="64" t="e">
        <f>IF(AJ2160&lt;AJ2161,AJ2162,AJ2163)</f>
        <v>#NUM!</v>
      </c>
      <c r="AK2164" s="44"/>
      <c r="AL2164" s="72"/>
      <c r="AM2164" s="64" t="e">
        <f>IF(AM2160&lt;AM2161,AM2162,AM2163)</f>
        <v>#NUM!</v>
      </c>
      <c r="AN2164" s="44"/>
      <c r="AO2164" s="72"/>
      <c r="AP2164" s="64" t="e">
        <f>IF(AP2160&lt;AP2161,AP2162,AP2163)</f>
        <v>#NUM!</v>
      </c>
      <c r="AQ2164" s="44"/>
      <c r="AR2164" s="72"/>
      <c r="AS2164" s="64" t="e">
        <f>IF(AS2160&lt;AS2161,AS2162,AS2163)</f>
        <v>#NUM!</v>
      </c>
      <c r="AT2164" s="44"/>
      <c r="AU2164" s="72"/>
    </row>
    <row r="2165" spans="15:47" ht="13" x14ac:dyDescent="0.3">
      <c r="O2165" s="7" t="s">
        <v>264</v>
      </c>
      <c r="Q2165" s="61"/>
      <c r="R2165" s="53"/>
      <c r="S2165" s="69">
        <f>IFERROR(ABS(C_h-R2164),Q_max*10)</f>
        <v>1.4420413826651624</v>
      </c>
      <c r="T2165" s="76">
        <f>R2156</f>
        <v>36.55300930923336</v>
      </c>
      <c r="U2165" s="61"/>
      <c r="V2165" s="69">
        <f>IFERROR(ABS(U$23-U2164),Q_max*10)</f>
        <v>22.799298319366621</v>
      </c>
      <c r="W2165" s="75">
        <f>U2156</f>
        <v>192.81732086634318</v>
      </c>
      <c r="X2165" s="61"/>
      <c r="Y2165" s="69">
        <f>IFERROR(ABS(X$23-X2164),Q_max*10)</f>
        <v>72.612640292228718</v>
      </c>
      <c r="Z2165" s="75">
        <f>X2156</f>
        <v>462.83579267866747</v>
      </c>
      <c r="AA2165" s="61"/>
      <c r="AB2165" s="69">
        <f>IFERROR(ABS(AA$23-AA2164),Q_max*10)</f>
        <v>1103.2153363793129</v>
      </c>
      <c r="AC2165" s="75">
        <f>AA2156</f>
        <v>883.72315206825908</v>
      </c>
      <c r="AD2165" s="61"/>
      <c r="AE2165" s="69">
        <f>IFERROR(ABS(AD$23-AD2164),Q_max*10)</f>
        <v>5500</v>
      </c>
      <c r="AF2165" s="75">
        <f>AD2156</f>
        <v>1453.3992175916392</v>
      </c>
      <c r="AG2165" s="61"/>
      <c r="AH2165" s="69">
        <f>IFERROR(ABS(AG$23-AG2164),Q_max*10)</f>
        <v>5500</v>
      </c>
      <c r="AI2165" s="75">
        <f>AG2156</f>
        <v>2163.9133854976867</v>
      </c>
      <c r="AJ2165" s="61"/>
      <c r="AK2165" s="69">
        <f>IFERROR(ABS(AJ$23-AJ2164),Q_max*10)</f>
        <v>5500</v>
      </c>
      <c r="AL2165" s="75">
        <f>AJ2156</f>
        <v>2887.7508015023895</v>
      </c>
      <c r="AM2165" s="61"/>
      <c r="AN2165" s="69">
        <f>IFERROR(ABS(AM$23-AM2164),Q_max*10)</f>
        <v>5500</v>
      </c>
      <c r="AO2165" s="75">
        <f>AM2156</f>
        <v>3523.6047658449743</v>
      </c>
      <c r="AP2165" s="61"/>
      <c r="AQ2165" s="69">
        <f>IFERROR(ABS(AP$23-AP2164),Q_max*10)</f>
        <v>5500</v>
      </c>
      <c r="AR2165" s="75">
        <f>AP2156</f>
        <v>4090.7957441397884</v>
      </c>
      <c r="AS2165" s="61"/>
      <c r="AT2165" s="69">
        <f>IFERROR(ABS(AS$23-AS2164),Q_max*10)</f>
        <v>5500</v>
      </c>
      <c r="AU2165" s="75">
        <f>AS2156</f>
        <v>4655.7071480305922</v>
      </c>
    </row>
    <row r="2166" spans="15:47" ht="14.5" x14ac:dyDescent="0.35">
      <c r="O2166" s="8"/>
      <c r="P2166" s="6"/>
      <c r="Q2166" s="60"/>
      <c r="R2166" s="67"/>
      <c r="S2166" s="56"/>
      <c r="T2166" s="72"/>
      <c r="V2166" s="11"/>
      <c r="W2166" s="38"/>
      <c r="Y2166" s="11"/>
      <c r="Z2166" s="38"/>
      <c r="AB2166" s="11"/>
      <c r="AC2166" s="38"/>
      <c r="AE2166" s="11"/>
      <c r="AF2166" s="38"/>
      <c r="AH2166" s="11"/>
      <c r="AI2166" s="38"/>
      <c r="AK2166" s="11"/>
      <c r="AL2166" s="38"/>
      <c r="AN2166" s="11"/>
      <c r="AO2166" s="38"/>
      <c r="AQ2166" s="11"/>
      <c r="AR2166" s="38"/>
      <c r="AT2166" s="11"/>
      <c r="AU2166" s="38"/>
    </row>
    <row r="2167" spans="15:47" ht="14" x14ac:dyDescent="0.3">
      <c r="O2167" s="8" t="s">
        <v>235</v>
      </c>
      <c r="P2167" s="6"/>
      <c r="Q2167" s="60"/>
      <c r="R2167" s="53">
        <f>R2156*1.02</f>
        <v>37.284069495418031</v>
      </c>
      <c r="S2167" s="58" t="s">
        <v>238</v>
      </c>
      <c r="T2167" s="73" t="s">
        <v>241</v>
      </c>
      <c r="U2167" s="84">
        <f>U2156*1.01</f>
        <v>194.7454940750066</v>
      </c>
      <c r="V2167" s="58" t="s">
        <v>238</v>
      </c>
      <c r="W2167" s="73" t="s">
        <v>241</v>
      </c>
      <c r="X2167" s="84">
        <f>X2156*1.01</f>
        <v>467.46415060545417</v>
      </c>
      <c r="Y2167" s="58" t="s">
        <v>238</v>
      </c>
      <c r="Z2167" s="73" t="s">
        <v>241</v>
      </c>
      <c r="AA2167" s="84">
        <f>AA2156*1.01</f>
        <v>892.5603835889417</v>
      </c>
      <c r="AB2167" s="58" t="s">
        <v>238</v>
      </c>
      <c r="AC2167" s="73" t="s">
        <v>241</v>
      </c>
      <c r="AD2167" s="84">
        <f>AD2156*1.01</f>
        <v>1467.9332097675556</v>
      </c>
      <c r="AE2167" s="58" t="s">
        <v>238</v>
      </c>
      <c r="AF2167" s="73" t="s">
        <v>241</v>
      </c>
      <c r="AG2167" s="84">
        <f>AG2156*1.01</f>
        <v>2185.5525193526637</v>
      </c>
      <c r="AH2167" s="58" t="s">
        <v>238</v>
      </c>
      <c r="AI2167" s="73" t="s">
        <v>241</v>
      </c>
      <c r="AJ2167" s="84">
        <f>AJ2156*1.01</f>
        <v>2916.6283095174135</v>
      </c>
      <c r="AK2167" s="58" t="s">
        <v>238</v>
      </c>
      <c r="AL2167" s="73" t="s">
        <v>241</v>
      </c>
      <c r="AM2167" s="84">
        <f>AM2156*1.01</f>
        <v>3558.8408135034242</v>
      </c>
      <c r="AN2167" s="58" t="s">
        <v>238</v>
      </c>
      <c r="AO2167" s="73" t="s">
        <v>241</v>
      </c>
      <c r="AP2167" s="84">
        <f>AP2156*1.01</f>
        <v>4131.7037015811866</v>
      </c>
      <c r="AQ2167" s="58" t="s">
        <v>238</v>
      </c>
      <c r="AR2167" s="73" t="s">
        <v>241</v>
      </c>
      <c r="AS2167" s="84">
        <f>AS2156*1.01</f>
        <v>4702.2642195108983</v>
      </c>
      <c r="AT2167" s="58" t="s">
        <v>238</v>
      </c>
      <c r="AU2167" s="73" t="s">
        <v>241</v>
      </c>
    </row>
    <row r="2168" spans="15:47" ht="13" x14ac:dyDescent="0.25">
      <c r="O2168" s="6"/>
      <c r="P2168" s="6"/>
      <c r="Q2168" s="60"/>
      <c r="R2168" s="70"/>
      <c r="S2168" s="63" t="s">
        <v>250</v>
      </c>
      <c r="T2168" s="71" t="s">
        <v>242</v>
      </c>
      <c r="U2168" s="61"/>
      <c r="V2168" s="63" t="s">
        <v>250</v>
      </c>
      <c r="W2168" s="71" t="s">
        <v>242</v>
      </c>
      <c r="X2168" s="61"/>
      <c r="Y2168" s="63" t="s">
        <v>250</v>
      </c>
      <c r="Z2168" s="71" t="s">
        <v>242</v>
      </c>
      <c r="AA2168" s="61"/>
      <c r="AB2168" s="63" t="s">
        <v>250</v>
      </c>
      <c r="AC2168" s="71" t="s">
        <v>242</v>
      </c>
      <c r="AD2168" s="61"/>
      <c r="AE2168" s="63" t="s">
        <v>250</v>
      </c>
      <c r="AF2168" s="71" t="s">
        <v>242</v>
      </c>
      <c r="AG2168" s="61"/>
      <c r="AH2168" s="63" t="s">
        <v>250</v>
      </c>
      <c r="AI2168" s="71" t="s">
        <v>242</v>
      </c>
      <c r="AJ2168" s="61"/>
      <c r="AK2168" s="63" t="s">
        <v>250</v>
      </c>
      <c r="AL2168" s="71" t="s">
        <v>242</v>
      </c>
      <c r="AM2168" s="61"/>
      <c r="AN2168" s="63" t="s">
        <v>250</v>
      </c>
      <c r="AO2168" s="71" t="s">
        <v>242</v>
      </c>
      <c r="AP2168" s="61"/>
      <c r="AQ2168" s="63" t="s">
        <v>250</v>
      </c>
      <c r="AR2168" s="71" t="s">
        <v>242</v>
      </c>
      <c r="AS2168" s="61"/>
      <c r="AT2168" s="63" t="s">
        <v>250</v>
      </c>
      <c r="AU2168" s="71" t="s">
        <v>242</v>
      </c>
    </row>
    <row r="2169" spans="15:47" ht="13" x14ac:dyDescent="0.3">
      <c r="O2169" s="6" t="s">
        <v>231</v>
      </c>
      <c r="P2169" s="6"/>
      <c r="Q2169" s="60"/>
      <c r="R2169" s="85">
        <f>P_1_minQ-(R2167^2*R_up)+dpup_minQ</f>
        <v>56.869196155415764</v>
      </c>
      <c r="S2169" s="56"/>
      <c r="T2169" s="72"/>
      <c r="U2169" s="53">
        <f>P_1_minQ-(U2167^2*R_up)+dpup_minQ</f>
        <v>55.635298633484688</v>
      </c>
      <c r="V2169" s="44"/>
      <c r="W2169" s="72"/>
      <c r="X2169" s="53">
        <f>P_1_minQ-(X2167^2*R_up)+dpup_minQ</f>
        <v>49.536111715593421</v>
      </c>
      <c r="Y2169" s="44"/>
      <c r="Z2169" s="72"/>
      <c r="AA2169" s="53">
        <f>P_1_minQ-(AA2167^2*R_up)+dpup_minQ</f>
        <v>30.010907181613014</v>
      </c>
      <c r="AB2169" s="44"/>
      <c r="AC2169" s="72"/>
      <c r="AD2169" s="53">
        <f>P_1_minQ-(AD2167^2*R_up)+dpup_minQ</f>
        <v>-15.857511257631831</v>
      </c>
      <c r="AE2169" s="44"/>
      <c r="AF2169" s="72"/>
      <c r="AG2169" s="53">
        <f>P_1_minQ-(AG2167^2*R_up)+dpup_minQ</f>
        <v>-104.4023240408232</v>
      </c>
      <c r="AH2169" s="44"/>
      <c r="AI2169" s="72"/>
      <c r="AJ2169" s="53">
        <f>P_1_minQ-(AJ2167^2*R_up)+dpup_minQ</f>
        <v>-230.37601134341125</v>
      </c>
      <c r="AK2169" s="44"/>
      <c r="AL2169" s="72"/>
      <c r="AM2169" s="53">
        <f>P_1_minQ-(AM2167^2*R_up)+dpup_minQ</f>
        <v>-370.82272664159797</v>
      </c>
      <c r="AN2169" s="44"/>
      <c r="AO2169" s="72"/>
      <c r="AP2169" s="53">
        <f>P_1_minQ-(AP2167^2*R_up)+dpup_minQ</f>
        <v>-519.61122855993517</v>
      </c>
      <c r="AQ2169" s="44"/>
      <c r="AR2169" s="72"/>
      <c r="AS2169" s="53">
        <f>P_1_minQ-(AS2167^2*R_up)+dpup_minQ</f>
        <v>-689.8345758221019</v>
      </c>
      <c r="AT2169" s="44"/>
      <c r="AU2169" s="72"/>
    </row>
    <row r="2170" spans="15:47" ht="13" x14ac:dyDescent="0.3">
      <c r="O2170" s="6" t="s">
        <v>233</v>
      </c>
      <c r="P2170" s="6"/>
      <c r="Q2170" s="60"/>
      <c r="R2170" s="85">
        <f>P_2_minQ+(R2167^2*R_dn)-dpdn_minQ</f>
        <v>24.666160768916846</v>
      </c>
      <c r="S2170" s="66"/>
      <c r="T2170" s="74"/>
      <c r="U2170" s="53">
        <f>P_2_minQ+(U2167^2*R_dn)-dpdn_minQ</f>
        <v>24.912940273303064</v>
      </c>
      <c r="V2170" s="45"/>
      <c r="W2170" s="74"/>
      <c r="X2170" s="53">
        <f>P_2_minQ+(X2167^2*R_dn)-dpdn_minQ</f>
        <v>26.132777656881316</v>
      </c>
      <c r="Y2170" s="45"/>
      <c r="Z2170" s="74"/>
      <c r="AA2170" s="53">
        <f>P_2_minQ+(AA2167^2*R_dn)-dpdn_minQ</f>
        <v>30.037818563677398</v>
      </c>
      <c r="AB2170" s="45"/>
      <c r="AC2170" s="74"/>
      <c r="AD2170" s="53">
        <f>P_2_minQ+(AD2167^2*R_dn)-dpdn_minQ</f>
        <v>39.211502251526369</v>
      </c>
      <c r="AE2170" s="45"/>
      <c r="AF2170" s="74"/>
      <c r="AG2170" s="53">
        <f>P_2_minQ+(AG2167^2*R_dn)-dpdn_minQ</f>
        <v>56.920464808164645</v>
      </c>
      <c r="AH2170" s="45"/>
      <c r="AI2170" s="74"/>
      <c r="AJ2170" s="53">
        <f>P_2_minQ+(AJ2167^2*R_dn)-dpdn_minQ</f>
        <v>82.115202268682239</v>
      </c>
      <c r="AK2170" s="45"/>
      <c r="AL2170" s="74"/>
      <c r="AM2170" s="53">
        <f>P_2_minQ+(AM2167^2*R_dn)-dpdn_minQ</f>
        <v>110.2045453283196</v>
      </c>
      <c r="AN2170" s="45"/>
      <c r="AO2170" s="74"/>
      <c r="AP2170" s="53">
        <f>P_2_minQ+(AP2167^2*R_dn)-dpdn_minQ</f>
        <v>139.96224571198704</v>
      </c>
      <c r="AQ2170" s="45"/>
      <c r="AR2170" s="74"/>
      <c r="AS2170" s="53">
        <f>P_2_minQ+(AS2167^2*R_dn)-dpdn_minQ</f>
        <v>174.00691516442041</v>
      </c>
      <c r="AT2170" s="45"/>
      <c r="AU2170" s="74"/>
    </row>
    <row r="2171" spans="15:47" x14ac:dyDescent="0.25">
      <c r="O2171" s="6" t="s">
        <v>243</v>
      </c>
      <c r="Q2171" s="60"/>
      <c r="R2171" s="53">
        <f>R2169-R2170</f>
        <v>32.203035386498918</v>
      </c>
      <c r="S2171" s="56"/>
      <c r="T2171" s="72"/>
      <c r="U2171" s="64">
        <f>U2169-U2170</f>
        <v>30.722358360181623</v>
      </c>
      <c r="V2171" s="44"/>
      <c r="W2171" s="72"/>
      <c r="X2171" s="64">
        <f>X2169-X2170</f>
        <v>23.403334058712105</v>
      </c>
      <c r="Y2171" s="44"/>
      <c r="Z2171" s="72"/>
      <c r="AA2171" s="64">
        <f>AA2169-AA2170</f>
        <v>-2.6911382064383815E-2</v>
      </c>
      <c r="AB2171" s="44"/>
      <c r="AC2171" s="72"/>
      <c r="AD2171" s="64">
        <f>AD2169-AD2170</f>
        <v>-55.069013509158196</v>
      </c>
      <c r="AE2171" s="44"/>
      <c r="AF2171" s="72"/>
      <c r="AG2171" s="64">
        <f>AG2169-AG2170</f>
        <v>-161.32278884898784</v>
      </c>
      <c r="AH2171" s="44"/>
      <c r="AI2171" s="72"/>
      <c r="AJ2171" s="64">
        <f>AJ2169-AJ2170</f>
        <v>-312.49121361209347</v>
      </c>
      <c r="AK2171" s="44"/>
      <c r="AL2171" s="72"/>
      <c r="AM2171" s="64">
        <f>AM2169-AM2170</f>
        <v>-481.02727196991759</v>
      </c>
      <c r="AN2171" s="44"/>
      <c r="AO2171" s="72"/>
      <c r="AP2171" s="64">
        <f>AP2169-AP2170</f>
        <v>-659.57347427192224</v>
      </c>
      <c r="AQ2171" s="44"/>
      <c r="AR2171" s="72"/>
      <c r="AS2171" s="64">
        <f>AS2169-AS2170</f>
        <v>-863.84149098652233</v>
      </c>
      <c r="AT2171" s="44"/>
      <c r="AU2171" s="72"/>
    </row>
    <row r="2172" spans="15:47" ht="13" x14ac:dyDescent="0.3">
      <c r="O2172" s="6" t="s">
        <v>75</v>
      </c>
      <c r="P2172" s="6">
        <v>3</v>
      </c>
      <c r="Q2172" s="65"/>
      <c r="R2172" s="85">
        <f>(F_LP_h/F_P_h)^2*(R2169-('Valve Sizing'!$V$4*'Valve Sizing'!$G$7))</f>
        <v>46.726288628804738</v>
      </c>
      <c r="S2172" s="58"/>
      <c r="T2172" s="73"/>
      <c r="U2172" s="53">
        <f>(U$29/U$27)^2*(U2169-('Valve Sizing'!$V$4*'Valve Sizing'!$G$7))</f>
        <v>45.692099539392139</v>
      </c>
      <c r="V2172" s="41"/>
      <c r="W2172" s="73"/>
      <c r="X2172" s="53">
        <f>(X$29/X$27)^2*(X2169-('Valve Sizing'!$V$4*'Valve Sizing'!$G$7))</f>
        <v>39.726247153797793</v>
      </c>
      <c r="Y2172" s="41"/>
      <c r="Z2172" s="73"/>
      <c r="AA2172" s="53">
        <f>(AA$29/AA$27)^2*(AA2169-('Valve Sizing'!$V$4*'Valve Sizing'!$G$7))</f>
        <v>22.852270336436138</v>
      </c>
      <c r="AB2172" s="41"/>
      <c r="AC2172" s="73"/>
      <c r="AD2172" s="53">
        <f>(AD$29/AD$27)^2*(AD2169-('Valve Sizing'!$V$4*'Valve Sizing'!$G$7))</f>
        <v>-11.753601477435755</v>
      </c>
      <c r="AE2172" s="41"/>
      <c r="AF2172" s="73"/>
      <c r="AG2172" s="53">
        <f>(AG$29/AG$27)^2*(AG2169-('Valve Sizing'!$V$4*'Valve Sizing'!$G$7))</f>
        <v>-67.523101767815504</v>
      </c>
      <c r="AH2172" s="41"/>
      <c r="AI2172" s="73"/>
      <c r="AJ2172" s="53">
        <f>(AJ$29/AJ$27)^2*(AJ2169-('Valve Sizing'!$V$4*'Valve Sizing'!$G$7))</f>
        <v>-133.49578233695075</v>
      </c>
      <c r="AK2172" s="41"/>
      <c r="AL2172" s="73"/>
      <c r="AM2172" s="53">
        <f>(AM$29/AM$27)^2*(AM2169-('Valve Sizing'!$V$4*'Valve Sizing'!$G$7))</f>
        <v>-177.63890236585263</v>
      </c>
      <c r="AN2172" s="41"/>
      <c r="AO2172" s="73"/>
      <c r="AP2172" s="53">
        <f>(AP$29/AP$27)^2*(AP2169-('Valve Sizing'!$V$4*'Valve Sizing'!$G$7))</f>
        <v>-205.2261891481638</v>
      </c>
      <c r="AQ2172" s="41"/>
      <c r="AR2172" s="73"/>
      <c r="AS2172" s="53">
        <f>(AS$29/AS$27)^2*(AS2169-('Valve Sizing'!$V$4*'Valve Sizing'!$G$7))</f>
        <v>-259.64044879105091</v>
      </c>
      <c r="AT2172" s="41"/>
      <c r="AU2172" s="73"/>
    </row>
    <row r="2173" spans="15:47" ht="13" x14ac:dyDescent="0.25">
      <c r="O2173" s="1" t="s">
        <v>69</v>
      </c>
      <c r="P2173" s="17">
        <v>7</v>
      </c>
      <c r="Q2173" s="65"/>
      <c r="R2173" s="53">
        <f>(R2167/(N_1*F_P_h))*SQRT('Valve Sizing'!$G$6/R2171)</f>
        <v>6.5711053927370333</v>
      </c>
      <c r="S2173" s="58"/>
      <c r="T2173" s="73"/>
      <c r="U2173" s="64">
        <f>(U2167/(N_1*U$27))*SQRT('Valve Sizing'!$G$6/U2171)</f>
        <v>35.164610641430201</v>
      </c>
      <c r="V2173" s="41"/>
      <c r="W2173" s="73"/>
      <c r="X2173" s="64">
        <f>(X2167/(N_1*X$27))*SQRT('Valve Sizing'!$G$6/X2171)</f>
        <v>96.928114039730858</v>
      </c>
      <c r="Y2173" s="41"/>
      <c r="Z2173" s="73"/>
      <c r="AA2173" s="64" t="e">
        <f>(AA2167/(N_1*AA$27))*SQRT('Valve Sizing'!$G$6/AA2171)</f>
        <v>#NUM!</v>
      </c>
      <c r="AB2173" s="41"/>
      <c r="AC2173" s="73"/>
      <c r="AD2173" s="64" t="e">
        <f>(AD2167/(N_1*AD$27))*SQRT('Valve Sizing'!$G$6/AD2171)</f>
        <v>#NUM!</v>
      </c>
      <c r="AE2173" s="41"/>
      <c r="AF2173" s="73"/>
      <c r="AG2173" s="64" t="e">
        <f>(AG2167/(N_1*AG$27))*SQRT('Valve Sizing'!$G$6/AG2171)</f>
        <v>#NUM!</v>
      </c>
      <c r="AH2173" s="41"/>
      <c r="AI2173" s="73"/>
      <c r="AJ2173" s="64" t="e">
        <f>(AJ2167/(N_1*AJ$27))*SQRT('Valve Sizing'!$G$6/AJ2171)</f>
        <v>#NUM!</v>
      </c>
      <c r="AK2173" s="41"/>
      <c r="AL2173" s="73"/>
      <c r="AM2173" s="64" t="e">
        <f>(AM2167/(N_1*AM$27))*SQRT('Valve Sizing'!$G$6/AM2171)</f>
        <v>#NUM!</v>
      </c>
      <c r="AN2173" s="41"/>
      <c r="AO2173" s="73"/>
      <c r="AP2173" s="64" t="e">
        <f>(AP2167/(N_1*AP$27))*SQRT('Valve Sizing'!$G$6/AP2171)</f>
        <v>#NUM!</v>
      </c>
      <c r="AQ2173" s="41"/>
      <c r="AR2173" s="73"/>
      <c r="AS2173" s="64" t="e">
        <f>(AS2167/(N_1*AS$27))*SQRT('Valve Sizing'!$G$6/AS2171)</f>
        <v>#NUM!</v>
      </c>
      <c r="AT2173" s="41"/>
      <c r="AU2173" s="73"/>
    </row>
    <row r="2174" spans="15:47" ht="13" x14ac:dyDescent="0.3">
      <c r="O2174" s="1" t="s">
        <v>72</v>
      </c>
      <c r="P2174" s="17">
        <v>7</v>
      </c>
      <c r="Q2174" s="65"/>
      <c r="R2174" s="53">
        <f>(R2167/(N_1*F_P_h))*SQRT('Valve Sizing'!$G$6/R2172)</f>
        <v>5.4551436810107132</v>
      </c>
      <c r="S2174" s="56"/>
      <c r="T2174" s="72"/>
      <c r="U2174" s="85">
        <f>(U2167/(N_1*U$27))*SQRT('Valve Sizing'!$G$6/U2172)</f>
        <v>28.834507057088992</v>
      </c>
      <c r="V2174" s="44"/>
      <c r="W2174" s="72"/>
      <c r="X2174" s="85">
        <f>(X2167/(N_1*X$27))*SQRT('Valve Sizing'!$G$6/X2172)</f>
        <v>74.396046706051763</v>
      </c>
      <c r="Y2174" s="44"/>
      <c r="Z2174" s="72"/>
      <c r="AA2174" s="85">
        <f>(AA2167/(N_1*AA$27))*SQRT('Valve Sizing'!$G$6/AA2172)</f>
        <v>188.36689238295139</v>
      </c>
      <c r="AB2174" s="44"/>
      <c r="AC2174" s="72"/>
      <c r="AD2174" s="85" t="e">
        <f>(AD2167/(N_1*AD$27))*SQRT('Valve Sizing'!$G$6/AD2172)</f>
        <v>#NUM!</v>
      </c>
      <c r="AE2174" s="44"/>
      <c r="AF2174" s="72"/>
      <c r="AG2174" s="85" t="e">
        <f>(AG2167/(N_1*AG$27))*SQRT('Valve Sizing'!$G$6/AG2172)</f>
        <v>#NUM!</v>
      </c>
      <c r="AH2174" s="44"/>
      <c r="AI2174" s="72"/>
      <c r="AJ2174" s="85" t="e">
        <f>(AJ2167/(N_1*AJ$27))*SQRT('Valve Sizing'!$G$6/AJ2172)</f>
        <v>#NUM!</v>
      </c>
      <c r="AK2174" s="44"/>
      <c r="AL2174" s="72"/>
      <c r="AM2174" s="85" t="e">
        <f>(AM2167/(N_1*AM$27))*SQRT('Valve Sizing'!$G$6/AM2172)</f>
        <v>#NUM!</v>
      </c>
      <c r="AN2174" s="44"/>
      <c r="AO2174" s="72"/>
      <c r="AP2174" s="85" t="e">
        <f>(AP2167/(N_1*AP$27))*SQRT('Valve Sizing'!$G$6/AP2172)</f>
        <v>#NUM!</v>
      </c>
      <c r="AQ2174" s="44"/>
      <c r="AR2174" s="72"/>
      <c r="AS2174" s="85" t="e">
        <f>(AS2167/(N_1*AS$27))*SQRT('Valve Sizing'!$G$6/AS2172)</f>
        <v>#NUM!</v>
      </c>
      <c r="AT2174" s="44"/>
      <c r="AU2174" s="72"/>
    </row>
    <row r="2175" spans="15:47" x14ac:dyDescent="0.25">
      <c r="O2175" s="1" t="s">
        <v>246</v>
      </c>
      <c r="P2175" s="18"/>
      <c r="Q2175" s="65"/>
      <c r="R2175" s="53">
        <f>IF(R2171&lt;R2172,R2173,R2174)</f>
        <v>6.5711053927370333</v>
      </c>
      <c r="S2175" s="49"/>
      <c r="T2175" s="72"/>
      <c r="U2175" s="64">
        <f>IF(U2171&lt;U2172,U2173,U2174)</f>
        <v>35.164610641430201</v>
      </c>
      <c r="V2175" s="44"/>
      <c r="W2175" s="72"/>
      <c r="X2175" s="64">
        <f>IF(X2171&lt;X2172,X2173,X2174)</f>
        <v>96.928114039730858</v>
      </c>
      <c r="Y2175" s="44"/>
      <c r="Z2175" s="72"/>
      <c r="AA2175" s="64" t="e">
        <f>IF(AA2171&lt;AA2172,AA2173,AA2174)</f>
        <v>#NUM!</v>
      </c>
      <c r="AB2175" s="44"/>
      <c r="AC2175" s="72"/>
      <c r="AD2175" s="64" t="e">
        <f>IF(AD2171&lt;AD2172,AD2173,AD2174)</f>
        <v>#NUM!</v>
      </c>
      <c r="AE2175" s="44"/>
      <c r="AF2175" s="72"/>
      <c r="AG2175" s="64" t="e">
        <f>IF(AG2171&lt;AG2172,AG2173,AG2174)</f>
        <v>#NUM!</v>
      </c>
      <c r="AH2175" s="44"/>
      <c r="AI2175" s="72"/>
      <c r="AJ2175" s="64" t="e">
        <f>IF(AJ2171&lt;AJ2172,AJ2173,AJ2174)</f>
        <v>#NUM!</v>
      </c>
      <c r="AK2175" s="44"/>
      <c r="AL2175" s="72"/>
      <c r="AM2175" s="64" t="e">
        <f>IF(AM2171&lt;AM2172,AM2173,AM2174)</f>
        <v>#NUM!</v>
      </c>
      <c r="AN2175" s="44"/>
      <c r="AO2175" s="72"/>
      <c r="AP2175" s="64" t="e">
        <f>IF(AP2171&lt;AP2172,AP2173,AP2174)</f>
        <v>#NUM!</v>
      </c>
      <c r="AQ2175" s="44"/>
      <c r="AR2175" s="72"/>
      <c r="AS2175" s="64" t="e">
        <f>IF(AS2171&lt;AS2172,AS2173,AS2174)</f>
        <v>#NUM!</v>
      </c>
      <c r="AT2175" s="44"/>
      <c r="AU2175" s="72"/>
    </row>
    <row r="2176" spans="15:47" ht="13" x14ac:dyDescent="0.3">
      <c r="O2176" s="7" t="s">
        <v>264</v>
      </c>
      <c r="Q2176" s="61"/>
      <c r="R2176" s="53"/>
      <c r="S2176" s="69">
        <f>IFERROR(ABS(C_h-R2175),Q_max*10)</f>
        <v>1.5711053927370333</v>
      </c>
      <c r="T2176" s="76">
        <f>R2167</f>
        <v>37.284069495418031</v>
      </c>
      <c r="U2176" s="61"/>
      <c r="V2176" s="69">
        <f>IFERROR(ABS(U$23-U2175),Q_max*10)</f>
        <v>23.164610641430201</v>
      </c>
      <c r="W2176" s="75">
        <f>U2167</f>
        <v>194.7454940750066</v>
      </c>
      <c r="X2176" s="61"/>
      <c r="Y2176" s="69">
        <f>IFERROR(ABS(X$23-X2175),Q_max*10)</f>
        <v>73.928114039730858</v>
      </c>
      <c r="Z2176" s="75">
        <f>X2167</f>
        <v>467.46415060545417</v>
      </c>
      <c r="AA2176" s="61"/>
      <c r="AB2176" s="69">
        <f>IFERROR(ABS(AA$23-AA2175),Q_max*10)</f>
        <v>5500</v>
      </c>
      <c r="AC2176" s="75">
        <f>AA2167</f>
        <v>892.5603835889417</v>
      </c>
      <c r="AD2176" s="61"/>
      <c r="AE2176" s="69">
        <f>IFERROR(ABS(AD$23-AD2175),Q_max*10)</f>
        <v>5500</v>
      </c>
      <c r="AF2176" s="75">
        <f>AD2167</f>
        <v>1467.9332097675556</v>
      </c>
      <c r="AG2176" s="61"/>
      <c r="AH2176" s="69">
        <f>IFERROR(ABS(AG$23-AG2175),Q_max*10)</f>
        <v>5500</v>
      </c>
      <c r="AI2176" s="75">
        <f>AG2167</f>
        <v>2185.5525193526637</v>
      </c>
      <c r="AJ2176" s="61"/>
      <c r="AK2176" s="69">
        <f>IFERROR(ABS(AJ$23-AJ2175),Q_max*10)</f>
        <v>5500</v>
      </c>
      <c r="AL2176" s="75">
        <f>AJ2167</f>
        <v>2916.6283095174135</v>
      </c>
      <c r="AM2176" s="61"/>
      <c r="AN2176" s="69">
        <f>IFERROR(ABS(AM$23-AM2175),Q_max*10)</f>
        <v>5500</v>
      </c>
      <c r="AO2176" s="75">
        <f>AM2167</f>
        <v>3558.8408135034242</v>
      </c>
      <c r="AP2176" s="61"/>
      <c r="AQ2176" s="69">
        <f>IFERROR(ABS(AP$23-AP2175),Q_max*10)</f>
        <v>5500</v>
      </c>
      <c r="AR2176" s="75">
        <f>AP2167</f>
        <v>4131.7037015811866</v>
      </c>
      <c r="AS2176" s="61"/>
      <c r="AT2176" s="69">
        <f>IFERROR(ABS(AS$23-AS2175),Q_max*10)</f>
        <v>5500</v>
      </c>
      <c r="AU2176" s="75">
        <f>AS2167</f>
        <v>4702.2642195108983</v>
      </c>
    </row>
    <row r="2177" spans="15:47" ht="14.5" x14ac:dyDescent="0.35">
      <c r="O2177" s="6"/>
      <c r="P2177" s="6"/>
      <c r="Q2177" s="60"/>
      <c r="R2177" s="67"/>
      <c r="S2177" s="56"/>
      <c r="T2177" s="72"/>
      <c r="V2177" s="11"/>
      <c r="W2177" s="38"/>
      <c r="Y2177" s="11"/>
      <c r="Z2177" s="38"/>
      <c r="AB2177" s="11"/>
      <c r="AC2177" s="38"/>
      <c r="AE2177" s="11"/>
      <c r="AF2177" s="38"/>
      <c r="AH2177" s="11"/>
      <c r="AI2177" s="38"/>
      <c r="AK2177" s="11"/>
      <c r="AL2177" s="38"/>
      <c r="AN2177" s="11"/>
      <c r="AO2177" s="38"/>
      <c r="AQ2177" s="11"/>
      <c r="AR2177" s="38"/>
      <c r="AT2177" s="11"/>
      <c r="AU2177" s="38"/>
    </row>
    <row r="2178" spans="15:47" ht="14" x14ac:dyDescent="0.3">
      <c r="O2178" s="8" t="s">
        <v>235</v>
      </c>
      <c r="P2178" s="6"/>
      <c r="Q2178" s="60"/>
      <c r="R2178" s="53">
        <f>R2167*1.02</f>
        <v>38.029750885326393</v>
      </c>
      <c r="S2178" s="58" t="s">
        <v>238</v>
      </c>
      <c r="T2178" s="73" t="s">
        <v>241</v>
      </c>
      <c r="U2178" s="84">
        <f>U2167*1.01</f>
        <v>196.69294901575668</v>
      </c>
      <c r="V2178" s="58" t="s">
        <v>238</v>
      </c>
      <c r="W2178" s="73" t="s">
        <v>241</v>
      </c>
      <c r="X2178" s="84">
        <f>X2167*1.01</f>
        <v>472.13879211150874</v>
      </c>
      <c r="Y2178" s="58" t="s">
        <v>238</v>
      </c>
      <c r="Z2178" s="73" t="s">
        <v>241</v>
      </c>
      <c r="AA2178" s="84">
        <f>AA2167*1.01</f>
        <v>901.48598742483114</v>
      </c>
      <c r="AB2178" s="58" t="s">
        <v>238</v>
      </c>
      <c r="AC2178" s="73" t="s">
        <v>241</v>
      </c>
      <c r="AD2178" s="84">
        <f>AD2167*1.01</f>
        <v>1482.6125418652312</v>
      </c>
      <c r="AE2178" s="58" t="s">
        <v>238</v>
      </c>
      <c r="AF2178" s="73" t="s">
        <v>241</v>
      </c>
      <c r="AG2178" s="84">
        <f>AG2167*1.01</f>
        <v>2207.4080445461905</v>
      </c>
      <c r="AH2178" s="58" t="s">
        <v>238</v>
      </c>
      <c r="AI2178" s="73" t="s">
        <v>241</v>
      </c>
      <c r="AJ2178" s="84">
        <f>AJ2167*1.01</f>
        <v>2945.7945926125876</v>
      </c>
      <c r="AK2178" s="58" t="s">
        <v>238</v>
      </c>
      <c r="AL2178" s="73" t="s">
        <v>241</v>
      </c>
      <c r="AM2178" s="84">
        <f>AM2167*1.01</f>
        <v>3594.4292216384583</v>
      </c>
      <c r="AN2178" s="58" t="s">
        <v>238</v>
      </c>
      <c r="AO2178" s="73" t="s">
        <v>241</v>
      </c>
      <c r="AP2178" s="84">
        <f>AP2167*1.01</f>
        <v>4173.0207385969989</v>
      </c>
      <c r="AQ2178" s="58" t="s">
        <v>238</v>
      </c>
      <c r="AR2178" s="73" t="s">
        <v>241</v>
      </c>
      <c r="AS2178" s="84">
        <f>AS2167*1.01</f>
        <v>4749.2868617060076</v>
      </c>
      <c r="AT2178" s="58" t="s">
        <v>238</v>
      </c>
      <c r="AU2178" s="73" t="s">
        <v>241</v>
      </c>
    </row>
    <row r="2179" spans="15:47" ht="13" x14ac:dyDescent="0.25">
      <c r="O2179" s="6"/>
      <c r="P2179" s="6"/>
      <c r="Q2179" s="60"/>
      <c r="R2179" s="70"/>
      <c r="S2179" s="63" t="s">
        <v>250</v>
      </c>
      <c r="T2179" s="71" t="s">
        <v>242</v>
      </c>
      <c r="U2179" s="61"/>
      <c r="V2179" s="63" t="s">
        <v>250</v>
      </c>
      <c r="W2179" s="71" t="s">
        <v>242</v>
      </c>
      <c r="X2179" s="61"/>
      <c r="Y2179" s="63" t="s">
        <v>250</v>
      </c>
      <c r="Z2179" s="71" t="s">
        <v>242</v>
      </c>
      <c r="AA2179" s="61"/>
      <c r="AB2179" s="63" t="s">
        <v>250</v>
      </c>
      <c r="AC2179" s="71" t="s">
        <v>242</v>
      </c>
      <c r="AD2179" s="61"/>
      <c r="AE2179" s="63" t="s">
        <v>250</v>
      </c>
      <c r="AF2179" s="71" t="s">
        <v>242</v>
      </c>
      <c r="AG2179" s="61"/>
      <c r="AH2179" s="63" t="s">
        <v>250</v>
      </c>
      <c r="AI2179" s="71" t="s">
        <v>242</v>
      </c>
      <c r="AJ2179" s="61"/>
      <c r="AK2179" s="63" t="s">
        <v>250</v>
      </c>
      <c r="AL2179" s="71" t="s">
        <v>242</v>
      </c>
      <c r="AM2179" s="61"/>
      <c r="AN2179" s="63" t="s">
        <v>250</v>
      </c>
      <c r="AO2179" s="71" t="s">
        <v>242</v>
      </c>
      <c r="AP2179" s="61"/>
      <c r="AQ2179" s="63" t="s">
        <v>250</v>
      </c>
      <c r="AR2179" s="71" t="s">
        <v>242</v>
      </c>
      <c r="AS2179" s="61"/>
      <c r="AT2179" s="63" t="s">
        <v>250</v>
      </c>
      <c r="AU2179" s="71" t="s">
        <v>242</v>
      </c>
    </row>
    <row r="2180" spans="15:47" ht="13" x14ac:dyDescent="0.3">
      <c r="O2180" s="6" t="s">
        <v>231</v>
      </c>
      <c r="P2180" s="6"/>
      <c r="Q2180" s="60"/>
      <c r="R2180" s="85">
        <f>P_1_minQ-(R2178^2*R_up)+dpup_minQ</f>
        <v>56.867299495021953</v>
      </c>
      <c r="S2180" s="56"/>
      <c r="T2180" s="72"/>
      <c r="U2180" s="53">
        <f>P_1_minQ-(U2178^2*R_up)+dpup_minQ</f>
        <v>55.609553657800909</v>
      </c>
      <c r="V2180" s="44"/>
      <c r="W2180" s="72"/>
      <c r="X2180" s="53">
        <f>P_1_minQ-(X2178^2*R_up)+dpup_minQ</f>
        <v>49.387773082860029</v>
      </c>
      <c r="Y2180" s="44"/>
      <c r="Z2180" s="72"/>
      <c r="AA2180" s="53">
        <f>P_1_minQ-(AA2178^2*R_up)+dpup_minQ</f>
        <v>29.470111937746612</v>
      </c>
      <c r="AB2180" s="44"/>
      <c r="AC2180" s="72"/>
      <c r="AD2180" s="53">
        <f>P_1_minQ-(AD2178^2*R_up)+dpup_minQ</f>
        <v>-17.320261712127053</v>
      </c>
      <c r="AE2180" s="44"/>
      <c r="AF2180" s="72"/>
      <c r="AG2180" s="53">
        <f>P_1_minQ-(AG2178^2*R_up)+dpup_minQ</f>
        <v>-107.64482523226062</v>
      </c>
      <c r="AH2180" s="44"/>
      <c r="AI2180" s="72"/>
      <c r="AJ2180" s="53">
        <f>P_1_minQ-(AJ2178^2*R_up)+dpup_minQ</f>
        <v>-236.15058364963059</v>
      </c>
      <c r="AK2180" s="44"/>
      <c r="AL2180" s="72"/>
      <c r="AM2180" s="53">
        <f>P_1_minQ-(AM2178^2*R_up)+dpup_minQ</f>
        <v>-379.42027792531081</v>
      </c>
      <c r="AN2180" s="44"/>
      <c r="AO2180" s="72"/>
      <c r="AP2180" s="53">
        <f>P_1_minQ-(AP2178^2*R_up)+dpup_minQ</f>
        <v>-531.1994287322068</v>
      </c>
      <c r="AQ2180" s="44"/>
      <c r="AR2180" s="72"/>
      <c r="AS2180" s="53">
        <f>P_1_minQ-(AS2178^2*R_up)+dpup_minQ</f>
        <v>-704.844265274343</v>
      </c>
      <c r="AT2180" s="44"/>
      <c r="AU2180" s="72"/>
    </row>
    <row r="2181" spans="15:47" ht="13" x14ac:dyDescent="0.3">
      <c r="O2181" s="6" t="s">
        <v>233</v>
      </c>
      <c r="P2181" s="6"/>
      <c r="Q2181" s="60"/>
      <c r="R2181" s="85">
        <f>P_2_minQ+(R2178^2*R_dn)-dpdn_minQ</f>
        <v>24.666540100995611</v>
      </c>
      <c r="S2181" s="66"/>
      <c r="T2181" s="74"/>
      <c r="U2181" s="53">
        <f>P_2_minQ+(U2178^2*R_dn)-dpdn_minQ</f>
        <v>24.918089268439818</v>
      </c>
      <c r="V2181" s="45"/>
      <c r="W2181" s="74"/>
      <c r="X2181" s="53">
        <f>P_2_minQ+(X2178^2*R_dn)-dpdn_minQ</f>
        <v>26.162445383427993</v>
      </c>
      <c r="Y2181" s="45"/>
      <c r="Z2181" s="74"/>
      <c r="AA2181" s="53">
        <f>P_2_minQ+(AA2178^2*R_dn)-dpdn_minQ</f>
        <v>30.145977612450679</v>
      </c>
      <c r="AB2181" s="45"/>
      <c r="AC2181" s="74"/>
      <c r="AD2181" s="53">
        <f>P_2_minQ+(AD2178^2*R_dn)-dpdn_minQ</f>
        <v>39.50405234242541</v>
      </c>
      <c r="AE2181" s="45"/>
      <c r="AF2181" s="74"/>
      <c r="AG2181" s="53">
        <f>P_2_minQ+(AG2178^2*R_dn)-dpdn_minQ</f>
        <v>57.568965046452128</v>
      </c>
      <c r="AH2181" s="45"/>
      <c r="AI2181" s="74"/>
      <c r="AJ2181" s="53">
        <f>P_2_minQ+(AJ2178^2*R_dn)-dpdn_minQ</f>
        <v>83.270116729926116</v>
      </c>
      <c r="AK2181" s="45"/>
      <c r="AL2181" s="74"/>
      <c r="AM2181" s="53">
        <f>P_2_minQ+(AM2178^2*R_dn)-dpdn_minQ</f>
        <v>111.92405558506216</v>
      </c>
      <c r="AN2181" s="45"/>
      <c r="AO2181" s="74"/>
      <c r="AP2181" s="53">
        <f>P_2_minQ+(AP2178^2*R_dn)-dpdn_minQ</f>
        <v>142.27988574644135</v>
      </c>
      <c r="AQ2181" s="45"/>
      <c r="AR2181" s="74"/>
      <c r="AS2181" s="53">
        <f>P_2_minQ+(AS2178^2*R_dn)-dpdn_minQ</f>
        <v>177.00885305486864</v>
      </c>
      <c r="AT2181" s="45"/>
      <c r="AU2181" s="74"/>
    </row>
    <row r="2182" spans="15:47" x14ac:dyDescent="0.25">
      <c r="O2182" s="6" t="s">
        <v>243</v>
      </c>
      <c r="Q2182" s="60"/>
      <c r="R2182" s="53">
        <f>R2180-R2181</f>
        <v>32.200759394026342</v>
      </c>
      <c r="S2182" s="56"/>
      <c r="T2182" s="72"/>
      <c r="U2182" s="64">
        <f>U2180-U2181</f>
        <v>30.691464389361091</v>
      </c>
      <c r="V2182" s="44"/>
      <c r="W2182" s="72"/>
      <c r="X2182" s="64">
        <f>X2180-X2181</f>
        <v>23.225327699432036</v>
      </c>
      <c r="Y2182" s="44"/>
      <c r="Z2182" s="72"/>
      <c r="AA2182" s="64">
        <f>AA2180-AA2181</f>
        <v>-0.67586567470406678</v>
      </c>
      <c r="AB2182" s="44"/>
      <c r="AC2182" s="72"/>
      <c r="AD2182" s="64">
        <f>AD2180-AD2181</f>
        <v>-56.82431405455246</v>
      </c>
      <c r="AE2182" s="44"/>
      <c r="AF2182" s="72"/>
      <c r="AG2182" s="64">
        <f>AG2180-AG2181</f>
        <v>-165.21379027871274</v>
      </c>
      <c r="AH2182" s="44"/>
      <c r="AI2182" s="72"/>
      <c r="AJ2182" s="64">
        <f>AJ2180-AJ2181</f>
        <v>-319.42070037955671</v>
      </c>
      <c r="AK2182" s="44"/>
      <c r="AL2182" s="72"/>
      <c r="AM2182" s="64">
        <f>AM2180-AM2181</f>
        <v>-491.34433351037296</v>
      </c>
      <c r="AN2182" s="44"/>
      <c r="AO2182" s="72"/>
      <c r="AP2182" s="64">
        <f>AP2180-AP2181</f>
        <v>-673.47931447864812</v>
      </c>
      <c r="AQ2182" s="44"/>
      <c r="AR2182" s="72"/>
      <c r="AS2182" s="64">
        <f>AS2180-AS2181</f>
        <v>-881.85311832921161</v>
      </c>
      <c r="AT2182" s="44"/>
      <c r="AU2182" s="72"/>
    </row>
    <row r="2183" spans="15:47" ht="13" x14ac:dyDescent="0.3">
      <c r="O2183" s="6" t="s">
        <v>75</v>
      </c>
      <c r="P2183" s="6">
        <v>3</v>
      </c>
      <c r="Q2183" s="65"/>
      <c r="R2183" s="85">
        <f>(F_LP_h/F_P_h)^2*(R2180-('Valve Sizing'!$V$4*'Valve Sizing'!$G$7))</f>
        <v>46.724718094443077</v>
      </c>
      <c r="S2183" s="58"/>
      <c r="T2183" s="73"/>
      <c r="U2183" s="53">
        <f>(U$29/U$27)^2*(U2180-('Valve Sizing'!$V$4*'Valve Sizing'!$G$7))</f>
        <v>45.670787158632017</v>
      </c>
      <c r="V2183" s="41"/>
      <c r="W2183" s="73"/>
      <c r="X2183" s="53">
        <f>(X$29/X$27)^2*(X2180-('Valve Sizing'!$V$4*'Valve Sizing'!$G$7))</f>
        <v>39.606218420310867</v>
      </c>
      <c r="Y2183" s="41"/>
      <c r="Z2183" s="73"/>
      <c r="AA2183" s="53">
        <f>(AA$29/AA$27)^2*(AA2180-('Valve Sizing'!$V$4*'Valve Sizing'!$G$7))</f>
        <v>22.434345274655083</v>
      </c>
      <c r="AB2183" s="41"/>
      <c r="AC2183" s="73"/>
      <c r="AD2183" s="53">
        <f>(AD$29/AD$27)^2*(AD2180-('Valve Sizing'!$V$4*'Valve Sizing'!$G$7))</f>
        <v>-12.808518685058226</v>
      </c>
      <c r="AE2183" s="41"/>
      <c r="AF2183" s="73"/>
      <c r="AG2183" s="53">
        <f>(AG$29/AG$27)^2*(AG2180-('Valve Sizing'!$V$4*'Valve Sizing'!$G$7))</f>
        <v>-69.611415046864764</v>
      </c>
      <c r="AH2183" s="41"/>
      <c r="AI2183" s="73"/>
      <c r="AJ2183" s="53">
        <f>(AJ$29/AJ$27)^2*(AJ2180-('Valve Sizing'!$V$4*'Valve Sizing'!$G$7))</f>
        <v>-136.83558901063049</v>
      </c>
      <c r="AK2183" s="41"/>
      <c r="AL2183" s="73"/>
      <c r="AM2183" s="53">
        <f>(AM$29/AM$27)^2*(AM2180-('Valve Sizing'!$V$4*'Valve Sizing'!$G$7))</f>
        <v>-181.75259120732653</v>
      </c>
      <c r="AN2183" s="41"/>
      <c r="AO2183" s="73"/>
      <c r="AP2183" s="53">
        <f>(AP$29/AP$27)^2*(AP2180-('Valve Sizing'!$V$4*'Valve Sizing'!$G$7))</f>
        <v>-209.7992038169414</v>
      </c>
      <c r="AQ2183" s="41"/>
      <c r="AR2183" s="73"/>
      <c r="AS2183" s="53">
        <f>(AS$29/AS$27)^2*(AS2180-('Valve Sizing'!$V$4*'Valve Sizing'!$G$7))</f>
        <v>-265.28620530086857</v>
      </c>
      <c r="AT2183" s="41"/>
      <c r="AU2183" s="73"/>
    </row>
    <row r="2184" spans="15:47" ht="13" x14ac:dyDescent="0.25">
      <c r="O2184" s="1" t="s">
        <v>69</v>
      </c>
      <c r="P2184" s="17">
        <v>7</v>
      </c>
      <c r="Q2184" s="65"/>
      <c r="R2184" s="53">
        <f>(R2178/(N_1*F_P_h))*SQRT('Valve Sizing'!$G$6/R2182)</f>
        <v>6.7027643681824145</v>
      </c>
      <c r="S2184" s="58"/>
      <c r="T2184" s="73"/>
      <c r="U2184" s="64">
        <f>(U2178/(N_1*U$27))*SQRT('Valve Sizing'!$G$6/U2182)</f>
        <v>35.534127550702067</v>
      </c>
      <c r="V2184" s="41"/>
      <c r="W2184" s="73"/>
      <c r="X2184" s="64">
        <f>(X2178/(N_1*X$27))*SQRT('Valve Sizing'!$G$6/X2182)</f>
        <v>98.271837602872921</v>
      </c>
      <c r="Y2184" s="41"/>
      <c r="Z2184" s="73"/>
      <c r="AA2184" s="64" t="e">
        <f>(AA2178/(N_1*AA$27))*SQRT('Valve Sizing'!$G$6/AA2182)</f>
        <v>#NUM!</v>
      </c>
      <c r="AB2184" s="41"/>
      <c r="AC2184" s="73"/>
      <c r="AD2184" s="64" t="e">
        <f>(AD2178/(N_1*AD$27))*SQRT('Valve Sizing'!$G$6/AD2182)</f>
        <v>#NUM!</v>
      </c>
      <c r="AE2184" s="41"/>
      <c r="AF2184" s="73"/>
      <c r="AG2184" s="64" t="e">
        <f>(AG2178/(N_1*AG$27))*SQRT('Valve Sizing'!$G$6/AG2182)</f>
        <v>#NUM!</v>
      </c>
      <c r="AH2184" s="41"/>
      <c r="AI2184" s="73"/>
      <c r="AJ2184" s="64" t="e">
        <f>(AJ2178/(N_1*AJ$27))*SQRT('Valve Sizing'!$G$6/AJ2182)</f>
        <v>#NUM!</v>
      </c>
      <c r="AK2184" s="41"/>
      <c r="AL2184" s="73"/>
      <c r="AM2184" s="64" t="e">
        <f>(AM2178/(N_1*AM$27))*SQRT('Valve Sizing'!$G$6/AM2182)</f>
        <v>#NUM!</v>
      </c>
      <c r="AN2184" s="41"/>
      <c r="AO2184" s="73"/>
      <c r="AP2184" s="64" t="e">
        <f>(AP2178/(N_1*AP$27))*SQRT('Valve Sizing'!$G$6/AP2182)</f>
        <v>#NUM!</v>
      </c>
      <c r="AQ2184" s="41"/>
      <c r="AR2184" s="73"/>
      <c r="AS2184" s="64" t="e">
        <f>(AS2178/(N_1*AS$27))*SQRT('Valve Sizing'!$G$6/AS2182)</f>
        <v>#NUM!</v>
      </c>
      <c r="AT2184" s="41"/>
      <c r="AU2184" s="73"/>
    </row>
    <row r="2185" spans="15:47" ht="13" x14ac:dyDescent="0.3">
      <c r="O2185" s="1" t="s">
        <v>72</v>
      </c>
      <c r="P2185" s="17">
        <v>7</v>
      </c>
      <c r="Q2185" s="65"/>
      <c r="R2185" s="53">
        <f>(R2178/(N_1*F_P_h))*SQRT('Valve Sizing'!$G$6/R2183)</f>
        <v>5.5643400679503738</v>
      </c>
      <c r="S2185" s="56"/>
      <c r="T2185" s="72"/>
      <c r="U2185" s="85">
        <f>(U2178/(N_1*U$27))*SQRT('Valve Sizing'!$G$6/U2183)</f>
        <v>29.129646458989949</v>
      </c>
      <c r="V2185" s="44"/>
      <c r="W2185" s="72"/>
      <c r="X2185" s="85">
        <f>(X2178/(N_1*X$27))*SQRT('Valve Sizing'!$G$6/X2183)</f>
        <v>75.253778917559529</v>
      </c>
      <c r="Y2185" s="44"/>
      <c r="Z2185" s="72"/>
      <c r="AA2185" s="85">
        <f>(AA2178/(N_1*AA$27))*SQRT('Valve Sizing'!$G$6/AA2183)</f>
        <v>192.01445478695513</v>
      </c>
      <c r="AB2185" s="44"/>
      <c r="AC2185" s="72"/>
      <c r="AD2185" s="85" t="e">
        <f>(AD2178/(N_1*AD$27))*SQRT('Valve Sizing'!$G$6/AD2183)</f>
        <v>#NUM!</v>
      </c>
      <c r="AE2185" s="44"/>
      <c r="AF2185" s="72"/>
      <c r="AG2185" s="85" t="e">
        <f>(AG2178/(N_1*AG$27))*SQRT('Valve Sizing'!$G$6/AG2183)</f>
        <v>#NUM!</v>
      </c>
      <c r="AH2185" s="44"/>
      <c r="AI2185" s="72"/>
      <c r="AJ2185" s="85" t="e">
        <f>(AJ2178/(N_1*AJ$27))*SQRT('Valve Sizing'!$G$6/AJ2183)</f>
        <v>#NUM!</v>
      </c>
      <c r="AK2185" s="44"/>
      <c r="AL2185" s="72"/>
      <c r="AM2185" s="85" t="e">
        <f>(AM2178/(N_1*AM$27))*SQRT('Valve Sizing'!$G$6/AM2183)</f>
        <v>#NUM!</v>
      </c>
      <c r="AN2185" s="44"/>
      <c r="AO2185" s="72"/>
      <c r="AP2185" s="85" t="e">
        <f>(AP2178/(N_1*AP$27))*SQRT('Valve Sizing'!$G$6/AP2183)</f>
        <v>#NUM!</v>
      </c>
      <c r="AQ2185" s="44"/>
      <c r="AR2185" s="72"/>
      <c r="AS2185" s="85" t="e">
        <f>(AS2178/(N_1*AS$27))*SQRT('Valve Sizing'!$G$6/AS2183)</f>
        <v>#NUM!</v>
      </c>
      <c r="AT2185" s="44"/>
      <c r="AU2185" s="72"/>
    </row>
    <row r="2186" spans="15:47" x14ac:dyDescent="0.25">
      <c r="O2186" s="1" t="s">
        <v>246</v>
      </c>
      <c r="P2186" s="18"/>
      <c r="Q2186" s="65"/>
      <c r="R2186" s="53">
        <f>IF(R2182&lt;R2183,R2184,R2185)</f>
        <v>6.7027643681824145</v>
      </c>
      <c r="S2186" s="49"/>
      <c r="T2186" s="72"/>
      <c r="U2186" s="64">
        <f>IF(U2182&lt;U2183,U2184,U2185)</f>
        <v>35.534127550702067</v>
      </c>
      <c r="V2186" s="44"/>
      <c r="W2186" s="72"/>
      <c r="X2186" s="64">
        <f>IF(X2182&lt;X2183,X2184,X2185)</f>
        <v>98.271837602872921</v>
      </c>
      <c r="Y2186" s="44"/>
      <c r="Z2186" s="72"/>
      <c r="AA2186" s="64" t="e">
        <f>IF(AA2182&lt;AA2183,AA2184,AA2185)</f>
        <v>#NUM!</v>
      </c>
      <c r="AB2186" s="44"/>
      <c r="AC2186" s="72"/>
      <c r="AD2186" s="64" t="e">
        <f>IF(AD2182&lt;AD2183,AD2184,AD2185)</f>
        <v>#NUM!</v>
      </c>
      <c r="AE2186" s="44"/>
      <c r="AF2186" s="72"/>
      <c r="AG2186" s="64" t="e">
        <f>IF(AG2182&lt;AG2183,AG2184,AG2185)</f>
        <v>#NUM!</v>
      </c>
      <c r="AH2186" s="44"/>
      <c r="AI2186" s="72"/>
      <c r="AJ2186" s="64" t="e">
        <f>IF(AJ2182&lt;AJ2183,AJ2184,AJ2185)</f>
        <v>#NUM!</v>
      </c>
      <c r="AK2186" s="44"/>
      <c r="AL2186" s="72"/>
      <c r="AM2186" s="64" t="e">
        <f>IF(AM2182&lt;AM2183,AM2184,AM2185)</f>
        <v>#NUM!</v>
      </c>
      <c r="AN2186" s="44"/>
      <c r="AO2186" s="72"/>
      <c r="AP2186" s="64" t="e">
        <f>IF(AP2182&lt;AP2183,AP2184,AP2185)</f>
        <v>#NUM!</v>
      </c>
      <c r="AQ2186" s="44"/>
      <c r="AR2186" s="72"/>
      <c r="AS2186" s="64" t="e">
        <f>IF(AS2182&lt;AS2183,AS2184,AS2185)</f>
        <v>#NUM!</v>
      </c>
      <c r="AT2186" s="44"/>
      <c r="AU2186" s="72"/>
    </row>
    <row r="2187" spans="15:47" ht="13" x14ac:dyDescent="0.3">
      <c r="O2187" s="7" t="s">
        <v>264</v>
      </c>
      <c r="Q2187" s="61"/>
      <c r="R2187" s="53"/>
      <c r="S2187" s="69">
        <f>IFERROR(ABS(C_h-R2186),Q_max*10)</f>
        <v>1.7027643681824145</v>
      </c>
      <c r="T2187" s="76">
        <f>R2178</f>
        <v>38.029750885326393</v>
      </c>
      <c r="U2187" s="61"/>
      <c r="V2187" s="69">
        <f>IFERROR(ABS(U$23-U2186),Q_max*10)</f>
        <v>23.534127550702067</v>
      </c>
      <c r="W2187" s="75">
        <f>U2178</f>
        <v>196.69294901575668</v>
      </c>
      <c r="X2187" s="61"/>
      <c r="Y2187" s="69">
        <f>IFERROR(ABS(X$23-X2186),Q_max*10)</f>
        <v>75.271837602872921</v>
      </c>
      <c r="Z2187" s="75">
        <f>X2178</f>
        <v>472.13879211150874</v>
      </c>
      <c r="AA2187" s="61"/>
      <c r="AB2187" s="69">
        <f>IFERROR(ABS(AA$23-AA2186),Q_max*10)</f>
        <v>5500</v>
      </c>
      <c r="AC2187" s="75">
        <f>AA2178</f>
        <v>901.48598742483114</v>
      </c>
      <c r="AD2187" s="61"/>
      <c r="AE2187" s="69">
        <f>IFERROR(ABS(AD$23-AD2186),Q_max*10)</f>
        <v>5500</v>
      </c>
      <c r="AF2187" s="75">
        <f>AD2178</f>
        <v>1482.6125418652312</v>
      </c>
      <c r="AG2187" s="61"/>
      <c r="AH2187" s="69">
        <f>IFERROR(ABS(AG$23-AG2186),Q_max*10)</f>
        <v>5500</v>
      </c>
      <c r="AI2187" s="75">
        <f>AG2178</f>
        <v>2207.4080445461905</v>
      </c>
      <c r="AJ2187" s="61"/>
      <c r="AK2187" s="69">
        <f>IFERROR(ABS(AJ$23-AJ2186),Q_max*10)</f>
        <v>5500</v>
      </c>
      <c r="AL2187" s="75">
        <f>AJ2178</f>
        <v>2945.7945926125876</v>
      </c>
      <c r="AM2187" s="61"/>
      <c r="AN2187" s="69">
        <f>IFERROR(ABS(AM$23-AM2186),Q_max*10)</f>
        <v>5500</v>
      </c>
      <c r="AO2187" s="75">
        <f>AM2178</f>
        <v>3594.4292216384583</v>
      </c>
      <c r="AP2187" s="61"/>
      <c r="AQ2187" s="69">
        <f>IFERROR(ABS(AP$23-AP2186),Q_max*10)</f>
        <v>5500</v>
      </c>
      <c r="AR2187" s="75">
        <f>AP2178</f>
        <v>4173.0207385969989</v>
      </c>
      <c r="AS2187" s="61"/>
      <c r="AT2187" s="69">
        <f>IFERROR(ABS(AS$23-AS2186),Q_max*10)</f>
        <v>5500</v>
      </c>
      <c r="AU2187" s="75">
        <f>AS2178</f>
        <v>4749.2868617060076</v>
      </c>
    </row>
    <row r="2188" spans="15:47" ht="14.5" x14ac:dyDescent="0.35">
      <c r="O2188" s="8"/>
      <c r="P2188" s="6"/>
      <c r="Q2188" s="60"/>
      <c r="R2188" s="67"/>
      <c r="S2188" s="56"/>
      <c r="T2188" s="72"/>
      <c r="V2188" s="11"/>
      <c r="W2188" s="38"/>
      <c r="Y2188" s="11"/>
      <c r="Z2188" s="38"/>
      <c r="AB2188" s="11"/>
      <c r="AC2188" s="38"/>
      <c r="AE2188" s="11"/>
      <c r="AF2188" s="38"/>
      <c r="AH2188" s="11"/>
      <c r="AI2188" s="38"/>
      <c r="AK2188" s="11"/>
      <c r="AL2188" s="38"/>
      <c r="AN2188" s="11"/>
      <c r="AO2188" s="38"/>
      <c r="AQ2188" s="11"/>
      <c r="AR2188" s="38"/>
      <c r="AT2188" s="11"/>
      <c r="AU2188" s="38"/>
    </row>
    <row r="2189" spans="15:47" ht="14" x14ac:dyDescent="0.3">
      <c r="O2189" s="8" t="s">
        <v>235</v>
      </c>
      <c r="P2189" s="6"/>
      <c r="Q2189" s="60"/>
      <c r="R2189" s="53">
        <f>R2178*1.02</f>
        <v>38.790345903032922</v>
      </c>
      <c r="S2189" s="58" t="s">
        <v>238</v>
      </c>
      <c r="T2189" s="73" t="s">
        <v>241</v>
      </c>
      <c r="U2189" s="84">
        <f>U2178*1.01</f>
        <v>198.65987850591426</v>
      </c>
      <c r="V2189" s="58" t="s">
        <v>238</v>
      </c>
      <c r="W2189" s="73" t="s">
        <v>241</v>
      </c>
      <c r="X2189" s="84">
        <f>X2178*1.01</f>
        <v>476.86018003262382</v>
      </c>
      <c r="Y2189" s="58" t="s">
        <v>238</v>
      </c>
      <c r="Z2189" s="73" t="s">
        <v>241</v>
      </c>
      <c r="AA2189" s="84">
        <f>AA2178*1.01</f>
        <v>910.50084729907951</v>
      </c>
      <c r="AB2189" s="58" t="s">
        <v>238</v>
      </c>
      <c r="AC2189" s="73" t="s">
        <v>241</v>
      </c>
      <c r="AD2189" s="84">
        <f>AD2178*1.01</f>
        <v>1497.4386672838834</v>
      </c>
      <c r="AE2189" s="58" t="s">
        <v>238</v>
      </c>
      <c r="AF2189" s="73" t="s">
        <v>241</v>
      </c>
      <c r="AG2189" s="84">
        <f>AG2178*1.01</f>
        <v>2229.4821249916522</v>
      </c>
      <c r="AH2189" s="58" t="s">
        <v>238</v>
      </c>
      <c r="AI2189" s="73" t="s">
        <v>241</v>
      </c>
      <c r="AJ2189" s="84">
        <f>AJ2178*1.01</f>
        <v>2975.2525385387135</v>
      </c>
      <c r="AK2189" s="58" t="s">
        <v>238</v>
      </c>
      <c r="AL2189" s="73" t="s">
        <v>241</v>
      </c>
      <c r="AM2189" s="84">
        <f>AM2178*1.01</f>
        <v>3630.3735138548432</v>
      </c>
      <c r="AN2189" s="58" t="s">
        <v>238</v>
      </c>
      <c r="AO2189" s="73" t="s">
        <v>241</v>
      </c>
      <c r="AP2189" s="84">
        <f>AP2178*1.01</f>
        <v>4214.7509459829689</v>
      </c>
      <c r="AQ2189" s="58" t="s">
        <v>238</v>
      </c>
      <c r="AR2189" s="73" t="s">
        <v>241</v>
      </c>
      <c r="AS2189" s="84">
        <f>AS2178*1.01</f>
        <v>4796.7797303230673</v>
      </c>
      <c r="AT2189" s="58" t="s">
        <v>238</v>
      </c>
      <c r="AU2189" s="73" t="s">
        <v>241</v>
      </c>
    </row>
    <row r="2190" spans="15:47" ht="13" x14ac:dyDescent="0.25">
      <c r="O2190" s="6"/>
      <c r="P2190" s="6"/>
      <c r="Q2190" s="60"/>
      <c r="R2190" s="70"/>
      <c r="S2190" s="63" t="s">
        <v>250</v>
      </c>
      <c r="T2190" s="71" t="s">
        <v>242</v>
      </c>
      <c r="U2190" s="61"/>
      <c r="V2190" s="63" t="s">
        <v>250</v>
      </c>
      <c r="W2190" s="71" t="s">
        <v>242</v>
      </c>
      <c r="X2190" s="61"/>
      <c r="Y2190" s="63" t="s">
        <v>250</v>
      </c>
      <c r="Z2190" s="71" t="s">
        <v>242</v>
      </c>
      <c r="AA2190" s="61"/>
      <c r="AB2190" s="63" t="s">
        <v>250</v>
      </c>
      <c r="AC2190" s="71" t="s">
        <v>242</v>
      </c>
      <c r="AD2190" s="61"/>
      <c r="AE2190" s="63" t="s">
        <v>250</v>
      </c>
      <c r="AF2190" s="71" t="s">
        <v>242</v>
      </c>
      <c r="AG2190" s="61"/>
      <c r="AH2190" s="63" t="s">
        <v>250</v>
      </c>
      <c r="AI2190" s="71" t="s">
        <v>242</v>
      </c>
      <c r="AJ2190" s="61"/>
      <c r="AK2190" s="63" t="s">
        <v>250</v>
      </c>
      <c r="AL2190" s="71" t="s">
        <v>242</v>
      </c>
      <c r="AM2190" s="61"/>
      <c r="AN2190" s="63" t="s">
        <v>250</v>
      </c>
      <c r="AO2190" s="71" t="s">
        <v>242</v>
      </c>
      <c r="AP2190" s="61"/>
      <c r="AQ2190" s="63" t="s">
        <v>250</v>
      </c>
      <c r="AR2190" s="71" t="s">
        <v>242</v>
      </c>
      <c r="AS2190" s="61"/>
      <c r="AT2190" s="63" t="s">
        <v>250</v>
      </c>
      <c r="AU2190" s="71" t="s">
        <v>242</v>
      </c>
    </row>
    <row r="2191" spans="15:47" ht="13" x14ac:dyDescent="0.3">
      <c r="O2191" s="6" t="s">
        <v>231</v>
      </c>
      <c r="P2191" s="6"/>
      <c r="Q2191" s="60"/>
      <c r="R2191" s="85">
        <f>P_1_minQ-(R2189^2*R_up)+dpup_minQ</f>
        <v>56.865326209548229</v>
      </c>
      <c r="S2191" s="56"/>
      <c r="T2191" s="72"/>
      <c r="U2191" s="53">
        <f>P_1_minQ-(U2189^2*R_up)+dpup_minQ</f>
        <v>55.583291208105891</v>
      </c>
      <c r="V2191" s="44"/>
      <c r="W2191" s="72"/>
      <c r="X2191" s="53">
        <f>P_1_minQ-(X2189^2*R_up)+dpup_minQ</f>
        <v>49.236452843608696</v>
      </c>
      <c r="Y2191" s="44"/>
      <c r="Z2191" s="72"/>
      <c r="AA2191" s="53">
        <f>P_1_minQ-(AA2189^2*R_up)+dpup_minQ</f>
        <v>28.918446709478498</v>
      </c>
      <c r="AB2191" s="44"/>
      <c r="AC2191" s="72"/>
      <c r="AD2191" s="53">
        <f>P_1_minQ-(AD2189^2*R_up)+dpup_minQ</f>
        <v>-18.812413450757607</v>
      </c>
      <c r="AE2191" s="44"/>
      <c r="AF2191" s="72"/>
      <c r="AG2191" s="53">
        <f>P_1_minQ-(AG2189^2*R_up)+dpup_minQ</f>
        <v>-110.95250069764583</v>
      </c>
      <c r="AH2191" s="44"/>
      <c r="AI2191" s="72"/>
      <c r="AJ2191" s="53">
        <f>P_1_minQ-(AJ2189^2*R_up)+dpup_minQ</f>
        <v>-242.04122485920496</v>
      </c>
      <c r="AK2191" s="44"/>
      <c r="AL2191" s="72"/>
      <c r="AM2191" s="53">
        <f>P_1_minQ-(AM2189^2*R_up)+dpup_minQ</f>
        <v>-388.19063998982648</v>
      </c>
      <c r="AN2191" s="44"/>
      <c r="AO2191" s="72"/>
      <c r="AP2191" s="53">
        <f>P_1_minQ-(AP2189^2*R_up)+dpup_minQ</f>
        <v>-543.02055172794098</v>
      </c>
      <c r="AQ2191" s="44"/>
      <c r="AR2191" s="72"/>
      <c r="AS2191" s="53">
        <f>P_1_minQ-(AS2189^2*R_up)+dpup_minQ</f>
        <v>-720.15564948457404</v>
      </c>
      <c r="AT2191" s="44"/>
      <c r="AU2191" s="72"/>
    </row>
    <row r="2192" spans="15:47" ht="13" x14ac:dyDescent="0.3">
      <c r="O2192" s="6" t="s">
        <v>233</v>
      </c>
      <c r="P2192" s="6"/>
      <c r="Q2192" s="60"/>
      <c r="R2192" s="85">
        <f>P_2_minQ+(R2189^2*R_dn)-dpdn_minQ</f>
        <v>24.666934758090356</v>
      </c>
      <c r="S2192" s="66"/>
      <c r="T2192" s="74"/>
      <c r="U2192" s="53">
        <f>P_2_minQ+(U2189^2*R_dn)-dpdn_minQ</f>
        <v>24.923341758378822</v>
      </c>
      <c r="V2192" s="45"/>
      <c r="W2192" s="74"/>
      <c r="X2192" s="53">
        <f>P_2_minQ+(X2189^2*R_dn)-dpdn_minQ</f>
        <v>26.19270943127826</v>
      </c>
      <c r="Y2192" s="45"/>
      <c r="Z2192" s="74"/>
      <c r="AA2192" s="53">
        <f>P_2_minQ+(AA2189^2*R_dn)-dpdn_minQ</f>
        <v>30.256310658104301</v>
      </c>
      <c r="AB2192" s="45"/>
      <c r="AC2192" s="74"/>
      <c r="AD2192" s="53">
        <f>P_2_minQ+(AD2189^2*R_dn)-dpdn_minQ</f>
        <v>39.802482690151528</v>
      </c>
      <c r="AE2192" s="45"/>
      <c r="AF2192" s="74"/>
      <c r="AG2192" s="53">
        <f>P_2_minQ+(AG2189^2*R_dn)-dpdn_minQ</f>
        <v>58.23050013952917</v>
      </c>
      <c r="AH2192" s="45"/>
      <c r="AI2192" s="74"/>
      <c r="AJ2192" s="53">
        <f>P_2_minQ+(AJ2189^2*R_dn)-dpdn_minQ</f>
        <v>84.448244971840992</v>
      </c>
      <c r="AK2192" s="45"/>
      <c r="AL2192" s="74"/>
      <c r="AM2192" s="53">
        <f>P_2_minQ+(AM2189^2*R_dn)-dpdn_minQ</f>
        <v>113.67812799796529</v>
      </c>
      <c r="AN2192" s="45"/>
      <c r="AO2192" s="74"/>
      <c r="AP2192" s="53">
        <f>P_2_minQ+(AP2189^2*R_dn)-dpdn_minQ</f>
        <v>144.64411034558819</v>
      </c>
      <c r="AQ2192" s="45"/>
      <c r="AR2192" s="74"/>
      <c r="AS2192" s="53">
        <f>P_2_minQ+(AS2189^2*R_dn)-dpdn_minQ</f>
        <v>180.07112989691481</v>
      </c>
      <c r="AT2192" s="45"/>
      <c r="AU2192" s="74"/>
    </row>
    <row r="2193" spans="15:47" x14ac:dyDescent="0.25">
      <c r="O2193" s="6" t="s">
        <v>243</v>
      </c>
      <c r="Q2193" s="60"/>
      <c r="R2193" s="53">
        <f>R2191-R2192</f>
        <v>32.198391451457873</v>
      </c>
      <c r="S2193" s="56"/>
      <c r="T2193" s="72"/>
      <c r="U2193" s="64">
        <f>U2191-U2192</f>
        <v>30.659949449727069</v>
      </c>
      <c r="V2193" s="44"/>
      <c r="W2193" s="72"/>
      <c r="X2193" s="64">
        <f>X2191-X2192</f>
        <v>23.043743412330436</v>
      </c>
      <c r="Y2193" s="44"/>
      <c r="Z2193" s="72"/>
      <c r="AA2193" s="64">
        <f>AA2191-AA2192</f>
        <v>-1.3378639486258024</v>
      </c>
      <c r="AB2193" s="44"/>
      <c r="AC2193" s="72"/>
      <c r="AD2193" s="64">
        <f>AD2191-AD2192</f>
        <v>-58.614896140909138</v>
      </c>
      <c r="AE2193" s="44"/>
      <c r="AF2193" s="72"/>
      <c r="AG2193" s="64">
        <f>AG2191-AG2192</f>
        <v>-169.183000837175</v>
      </c>
      <c r="AH2193" s="44"/>
      <c r="AI2193" s="72"/>
      <c r="AJ2193" s="64">
        <f>AJ2191-AJ2192</f>
        <v>-326.48946983104594</v>
      </c>
      <c r="AK2193" s="44"/>
      <c r="AL2193" s="72"/>
      <c r="AM2193" s="64">
        <f>AM2191-AM2192</f>
        <v>-501.86876798779178</v>
      </c>
      <c r="AN2193" s="44"/>
      <c r="AO2193" s="72"/>
      <c r="AP2193" s="64">
        <f>AP2191-AP2192</f>
        <v>-687.66466207352914</v>
      </c>
      <c r="AQ2193" s="44"/>
      <c r="AR2193" s="72"/>
      <c r="AS2193" s="64">
        <f>AS2191-AS2192</f>
        <v>-900.22677938148888</v>
      </c>
      <c r="AT2193" s="44"/>
      <c r="AU2193" s="72"/>
    </row>
    <row r="2194" spans="15:47" ht="13" x14ac:dyDescent="0.3">
      <c r="O2194" s="6" t="s">
        <v>75</v>
      </c>
      <c r="P2194" s="6">
        <v>3</v>
      </c>
      <c r="Q2194" s="65"/>
      <c r="R2194" s="85">
        <f>(F_LP_h/F_P_h)^2*(R2191-('Valve Sizing'!$V$4*'Valve Sizing'!$G$7))</f>
        <v>46.723084110493197</v>
      </c>
      <c r="S2194" s="58"/>
      <c r="T2194" s="73"/>
      <c r="U2194" s="53">
        <f>(U$29/U$27)^2*(U2191-('Valve Sizing'!$V$4*'Valve Sizing'!$G$7))</f>
        <v>45.649046399018623</v>
      </c>
      <c r="V2194" s="41"/>
      <c r="W2194" s="73"/>
      <c r="X2194" s="53">
        <f>(X$29/X$27)^2*(X2191-('Valve Sizing'!$V$4*'Valve Sizing'!$G$7))</f>
        <v>39.483777109280851</v>
      </c>
      <c r="Y2194" s="41"/>
      <c r="Z2194" s="73"/>
      <c r="AA2194" s="53">
        <f>(AA$29/AA$27)^2*(AA2191-('Valve Sizing'!$V$4*'Valve Sizing'!$G$7))</f>
        <v>22.008019919132227</v>
      </c>
      <c r="AB2194" s="41"/>
      <c r="AC2194" s="73"/>
      <c r="AD2194" s="53">
        <f>(AD$29/AD$27)^2*(AD2191-('Valve Sizing'!$V$4*'Valve Sizing'!$G$7))</f>
        <v>-13.884639728553893</v>
      </c>
      <c r="AE2194" s="41"/>
      <c r="AF2194" s="73"/>
      <c r="AG2194" s="53">
        <f>(AG$29/AG$27)^2*(AG2191-('Valve Sizing'!$V$4*'Valve Sizing'!$G$7))</f>
        <v>-71.741703422822852</v>
      </c>
      <c r="AH2194" s="41"/>
      <c r="AI2194" s="73"/>
      <c r="AJ2194" s="53">
        <f>(AJ$29/AJ$27)^2*(AJ2191-('Valve Sizing'!$V$4*'Valve Sizing'!$G$7))</f>
        <v>-140.2425257984512</v>
      </c>
      <c r="AK2194" s="41"/>
      <c r="AL2194" s="73"/>
      <c r="AM2194" s="53">
        <f>(AM$29/AM$27)^2*(AM2191-('Valve Sizing'!$V$4*'Valve Sizing'!$G$7))</f>
        <v>-185.94896519451419</v>
      </c>
      <c r="AN2194" s="41"/>
      <c r="AO2194" s="73"/>
      <c r="AP2194" s="53">
        <f>(AP$29/AP$27)^2*(AP2191-('Valve Sizing'!$V$4*'Valve Sizing'!$G$7))</f>
        <v>-214.46413608056139</v>
      </c>
      <c r="AQ2194" s="41"/>
      <c r="AR2194" s="73"/>
      <c r="AS2194" s="53">
        <f>(AS$29/AS$27)^2*(AS2191-('Valve Sizing'!$V$4*'Valve Sizing'!$G$7))</f>
        <v>-271.04544151653357</v>
      </c>
      <c r="AT2194" s="41"/>
      <c r="AU2194" s="73"/>
    </row>
    <row r="2195" spans="15:47" ht="13" x14ac:dyDescent="0.25">
      <c r="O2195" s="1" t="s">
        <v>69</v>
      </c>
      <c r="P2195" s="17">
        <v>7</v>
      </c>
      <c r="Q2195" s="65"/>
      <c r="R2195" s="53">
        <f>(R2189/(N_1*F_P_h))*SQRT('Valve Sizing'!$G$6/R2193)</f>
        <v>6.8370710485183341</v>
      </c>
      <c r="S2195" s="58"/>
      <c r="T2195" s="73"/>
      <c r="U2195" s="64">
        <f>(U2189/(N_1*U$27))*SQRT('Valve Sizing'!$G$6/U2193)</f>
        <v>35.90790923404262</v>
      </c>
      <c r="V2195" s="41"/>
      <c r="W2195" s="73"/>
      <c r="X2195" s="64">
        <f>(X2189/(N_1*X$27))*SQRT('Valve Sizing'!$G$6/X2193)</f>
        <v>99.644850674290367</v>
      </c>
      <c r="Y2195" s="41"/>
      <c r="Z2195" s="73"/>
      <c r="AA2195" s="64" t="e">
        <f>(AA2189/(N_1*AA$27))*SQRT('Valve Sizing'!$G$6/AA2193)</f>
        <v>#NUM!</v>
      </c>
      <c r="AB2195" s="41"/>
      <c r="AC2195" s="73"/>
      <c r="AD2195" s="64" t="e">
        <f>(AD2189/(N_1*AD$27))*SQRT('Valve Sizing'!$G$6/AD2193)</f>
        <v>#NUM!</v>
      </c>
      <c r="AE2195" s="41"/>
      <c r="AF2195" s="73"/>
      <c r="AG2195" s="64" t="e">
        <f>(AG2189/(N_1*AG$27))*SQRT('Valve Sizing'!$G$6/AG2193)</f>
        <v>#NUM!</v>
      </c>
      <c r="AH2195" s="41"/>
      <c r="AI2195" s="73"/>
      <c r="AJ2195" s="64" t="e">
        <f>(AJ2189/(N_1*AJ$27))*SQRT('Valve Sizing'!$G$6/AJ2193)</f>
        <v>#NUM!</v>
      </c>
      <c r="AK2195" s="41"/>
      <c r="AL2195" s="73"/>
      <c r="AM2195" s="64" t="e">
        <f>(AM2189/(N_1*AM$27))*SQRT('Valve Sizing'!$G$6/AM2193)</f>
        <v>#NUM!</v>
      </c>
      <c r="AN2195" s="41"/>
      <c r="AO2195" s="73"/>
      <c r="AP2195" s="64" t="e">
        <f>(AP2189/(N_1*AP$27))*SQRT('Valve Sizing'!$G$6/AP2193)</f>
        <v>#NUM!</v>
      </c>
      <c r="AQ2195" s="41"/>
      <c r="AR2195" s="73"/>
      <c r="AS2195" s="64" t="e">
        <f>(AS2189/(N_1*AS$27))*SQRT('Valve Sizing'!$G$6/AS2193)</f>
        <v>#NUM!</v>
      </c>
      <c r="AT2195" s="41"/>
      <c r="AU2195" s="73"/>
    </row>
    <row r="2196" spans="15:47" ht="13" x14ac:dyDescent="0.3">
      <c r="O2196" s="1" t="s">
        <v>72</v>
      </c>
      <c r="P2196" s="17">
        <v>7</v>
      </c>
      <c r="Q2196" s="65"/>
      <c r="R2196" s="53">
        <f>(R2189/(N_1*F_P_h))*SQRT('Valve Sizing'!$G$6/R2194)</f>
        <v>5.6757261114966973</v>
      </c>
      <c r="S2196" s="56"/>
      <c r="T2196" s="72"/>
      <c r="U2196" s="85">
        <f>(U2189/(N_1*U$27))*SQRT('Valve Sizing'!$G$6/U2194)</f>
        <v>29.427948080954376</v>
      </c>
      <c r="V2196" s="44"/>
      <c r="W2196" s="72"/>
      <c r="X2196" s="85">
        <f>(X2189/(N_1*X$27))*SQRT('Valve Sizing'!$G$6/X2194)</f>
        <v>76.124075316297152</v>
      </c>
      <c r="Y2196" s="44"/>
      <c r="Z2196" s="72"/>
      <c r="AA2196" s="85">
        <f>(AA2189/(N_1*AA$27))*SQRT('Valve Sizing'!$G$6/AA2194)</f>
        <v>195.80397846947895</v>
      </c>
      <c r="AB2196" s="44"/>
      <c r="AC2196" s="72"/>
      <c r="AD2196" s="85" t="e">
        <f>(AD2189/(N_1*AD$27))*SQRT('Valve Sizing'!$G$6/AD2194)</f>
        <v>#NUM!</v>
      </c>
      <c r="AE2196" s="44"/>
      <c r="AF2196" s="72"/>
      <c r="AG2196" s="85" t="e">
        <f>(AG2189/(N_1*AG$27))*SQRT('Valve Sizing'!$G$6/AG2194)</f>
        <v>#NUM!</v>
      </c>
      <c r="AH2196" s="44"/>
      <c r="AI2196" s="72"/>
      <c r="AJ2196" s="85" t="e">
        <f>(AJ2189/(N_1*AJ$27))*SQRT('Valve Sizing'!$G$6/AJ2194)</f>
        <v>#NUM!</v>
      </c>
      <c r="AK2196" s="44"/>
      <c r="AL2196" s="72"/>
      <c r="AM2196" s="85" t="e">
        <f>(AM2189/(N_1*AM$27))*SQRT('Valve Sizing'!$G$6/AM2194)</f>
        <v>#NUM!</v>
      </c>
      <c r="AN2196" s="44"/>
      <c r="AO2196" s="72"/>
      <c r="AP2196" s="85" t="e">
        <f>(AP2189/(N_1*AP$27))*SQRT('Valve Sizing'!$G$6/AP2194)</f>
        <v>#NUM!</v>
      </c>
      <c r="AQ2196" s="44"/>
      <c r="AR2196" s="72"/>
      <c r="AS2196" s="85" t="e">
        <f>(AS2189/(N_1*AS$27))*SQRT('Valve Sizing'!$G$6/AS2194)</f>
        <v>#NUM!</v>
      </c>
      <c r="AT2196" s="44"/>
      <c r="AU2196" s="72"/>
    </row>
    <row r="2197" spans="15:47" x14ac:dyDescent="0.25">
      <c r="O2197" s="1" t="s">
        <v>246</v>
      </c>
      <c r="P2197" s="18"/>
      <c r="Q2197" s="65"/>
      <c r="R2197" s="53">
        <f>IF(R2193&lt;R2194,R2195,R2196)</f>
        <v>6.8370710485183341</v>
      </c>
      <c r="S2197" s="49"/>
      <c r="T2197" s="72"/>
      <c r="U2197" s="64">
        <f>IF(U2193&lt;U2194,U2195,U2196)</f>
        <v>35.90790923404262</v>
      </c>
      <c r="V2197" s="44"/>
      <c r="W2197" s="72"/>
      <c r="X2197" s="64">
        <f>IF(X2193&lt;X2194,X2195,X2196)</f>
        <v>99.644850674290367</v>
      </c>
      <c r="Y2197" s="44"/>
      <c r="Z2197" s="72"/>
      <c r="AA2197" s="64" t="e">
        <f>IF(AA2193&lt;AA2194,AA2195,AA2196)</f>
        <v>#NUM!</v>
      </c>
      <c r="AB2197" s="44"/>
      <c r="AC2197" s="72"/>
      <c r="AD2197" s="64" t="e">
        <f>IF(AD2193&lt;AD2194,AD2195,AD2196)</f>
        <v>#NUM!</v>
      </c>
      <c r="AE2197" s="44"/>
      <c r="AF2197" s="72"/>
      <c r="AG2197" s="64" t="e">
        <f>IF(AG2193&lt;AG2194,AG2195,AG2196)</f>
        <v>#NUM!</v>
      </c>
      <c r="AH2197" s="44"/>
      <c r="AI2197" s="72"/>
      <c r="AJ2197" s="64" t="e">
        <f>IF(AJ2193&lt;AJ2194,AJ2195,AJ2196)</f>
        <v>#NUM!</v>
      </c>
      <c r="AK2197" s="44"/>
      <c r="AL2197" s="72"/>
      <c r="AM2197" s="64" t="e">
        <f>IF(AM2193&lt;AM2194,AM2195,AM2196)</f>
        <v>#NUM!</v>
      </c>
      <c r="AN2197" s="44"/>
      <c r="AO2197" s="72"/>
      <c r="AP2197" s="64" t="e">
        <f>IF(AP2193&lt;AP2194,AP2195,AP2196)</f>
        <v>#NUM!</v>
      </c>
      <c r="AQ2197" s="44"/>
      <c r="AR2197" s="72"/>
      <c r="AS2197" s="64" t="e">
        <f>IF(AS2193&lt;AS2194,AS2195,AS2196)</f>
        <v>#NUM!</v>
      </c>
      <c r="AT2197" s="44"/>
      <c r="AU2197" s="72"/>
    </row>
    <row r="2198" spans="15:47" ht="13" x14ac:dyDescent="0.3">
      <c r="O2198" s="7" t="s">
        <v>264</v>
      </c>
      <c r="Q2198" s="61"/>
      <c r="R2198" s="53"/>
      <c r="S2198" s="69">
        <f>IFERROR(ABS(C_h-R2197),Q_max*10)</f>
        <v>1.8370710485183341</v>
      </c>
      <c r="T2198" s="76">
        <f>R2189</f>
        <v>38.790345903032922</v>
      </c>
      <c r="U2198" s="61"/>
      <c r="V2198" s="69">
        <f>IFERROR(ABS(U$23-U2197),Q_max*10)</f>
        <v>23.90790923404262</v>
      </c>
      <c r="W2198" s="75">
        <f>U2189</f>
        <v>198.65987850591426</v>
      </c>
      <c r="X2198" s="61"/>
      <c r="Y2198" s="69">
        <f>IFERROR(ABS(X$23-X2197),Q_max*10)</f>
        <v>76.644850674290367</v>
      </c>
      <c r="Z2198" s="75">
        <f>X2189</f>
        <v>476.86018003262382</v>
      </c>
      <c r="AA2198" s="61"/>
      <c r="AB2198" s="69">
        <f>IFERROR(ABS(AA$23-AA2197),Q_max*10)</f>
        <v>5500</v>
      </c>
      <c r="AC2198" s="75">
        <f>AA2189</f>
        <v>910.50084729907951</v>
      </c>
      <c r="AD2198" s="61"/>
      <c r="AE2198" s="69">
        <f>IFERROR(ABS(AD$23-AD2197),Q_max*10)</f>
        <v>5500</v>
      </c>
      <c r="AF2198" s="75">
        <f>AD2189</f>
        <v>1497.4386672838834</v>
      </c>
      <c r="AG2198" s="61"/>
      <c r="AH2198" s="69">
        <f>IFERROR(ABS(AG$23-AG2197),Q_max*10)</f>
        <v>5500</v>
      </c>
      <c r="AI2198" s="75">
        <f>AG2189</f>
        <v>2229.4821249916522</v>
      </c>
      <c r="AJ2198" s="61"/>
      <c r="AK2198" s="69">
        <f>IFERROR(ABS(AJ$23-AJ2197),Q_max*10)</f>
        <v>5500</v>
      </c>
      <c r="AL2198" s="75">
        <f>AJ2189</f>
        <v>2975.2525385387135</v>
      </c>
      <c r="AM2198" s="61"/>
      <c r="AN2198" s="69">
        <f>IFERROR(ABS(AM$23-AM2197),Q_max*10)</f>
        <v>5500</v>
      </c>
      <c r="AO2198" s="75">
        <f>AM2189</f>
        <v>3630.3735138548432</v>
      </c>
      <c r="AP2198" s="61"/>
      <c r="AQ2198" s="69">
        <f>IFERROR(ABS(AP$23-AP2197),Q_max*10)</f>
        <v>5500</v>
      </c>
      <c r="AR2198" s="75">
        <f>AP2189</f>
        <v>4214.7509459829689</v>
      </c>
      <c r="AS2198" s="61"/>
      <c r="AT2198" s="69">
        <f>IFERROR(ABS(AS$23-AS2197),Q_max*10)</f>
        <v>5500</v>
      </c>
      <c r="AU2198" s="75">
        <f>AS2189</f>
        <v>4796.7797303230673</v>
      </c>
    </row>
    <row r="2199" spans="15:47" ht="14.5" x14ac:dyDescent="0.35">
      <c r="O2199" s="6"/>
      <c r="P2199" s="6"/>
      <c r="Q2199" s="60"/>
      <c r="R2199" s="67"/>
      <c r="S2199" s="58"/>
      <c r="T2199" s="73"/>
      <c r="V2199" s="11"/>
      <c r="W2199" s="38"/>
      <c r="Y2199" s="11"/>
      <c r="Z2199" s="38"/>
      <c r="AB2199" s="11"/>
      <c r="AC2199" s="38"/>
      <c r="AE2199" s="11"/>
      <c r="AF2199" s="38"/>
      <c r="AH2199" s="11"/>
      <c r="AI2199" s="38"/>
      <c r="AK2199" s="11"/>
      <c r="AL2199" s="38"/>
      <c r="AN2199" s="11"/>
      <c r="AO2199" s="38"/>
      <c r="AQ2199" s="11"/>
      <c r="AR2199" s="38"/>
      <c r="AT2199" s="11"/>
      <c r="AU2199" s="38"/>
    </row>
    <row r="2200" spans="15:47" ht="14" x14ac:dyDescent="0.3">
      <c r="O2200" s="8" t="s">
        <v>235</v>
      </c>
      <c r="P2200" s="6"/>
      <c r="Q2200" s="60"/>
      <c r="R2200" s="53">
        <f>R2189*1.02</f>
        <v>39.566152821093581</v>
      </c>
      <c r="S2200" s="58" t="s">
        <v>238</v>
      </c>
      <c r="T2200" s="73" t="s">
        <v>241</v>
      </c>
      <c r="U2200" s="84">
        <f>U2189*1.01</f>
        <v>200.64647729097342</v>
      </c>
      <c r="V2200" s="58" t="s">
        <v>238</v>
      </c>
      <c r="W2200" s="73" t="s">
        <v>241</v>
      </c>
      <c r="X2200" s="84">
        <f>X2189*1.01</f>
        <v>481.62878183295004</v>
      </c>
      <c r="Y2200" s="58" t="s">
        <v>238</v>
      </c>
      <c r="Z2200" s="73" t="s">
        <v>241</v>
      </c>
      <c r="AA2200" s="84">
        <f>AA2189*1.01</f>
        <v>919.6058557720703</v>
      </c>
      <c r="AB2200" s="58" t="s">
        <v>238</v>
      </c>
      <c r="AC2200" s="73" t="s">
        <v>241</v>
      </c>
      <c r="AD2200" s="84">
        <f>AD2189*1.01</f>
        <v>1512.4130539567223</v>
      </c>
      <c r="AE2200" s="58" t="s">
        <v>238</v>
      </c>
      <c r="AF2200" s="73" t="s">
        <v>241</v>
      </c>
      <c r="AG2200" s="84">
        <f>AG2189*1.01</f>
        <v>2251.7769462415686</v>
      </c>
      <c r="AH2200" s="58" t="s">
        <v>238</v>
      </c>
      <c r="AI2200" s="73" t="s">
        <v>241</v>
      </c>
      <c r="AJ2200" s="84">
        <f>AJ2189*1.01</f>
        <v>3005.0050639241008</v>
      </c>
      <c r="AK2200" s="58" t="s">
        <v>238</v>
      </c>
      <c r="AL2200" s="73" t="s">
        <v>241</v>
      </c>
      <c r="AM2200" s="84">
        <f>AM2189*1.01</f>
        <v>3666.6772489933915</v>
      </c>
      <c r="AN2200" s="58" t="s">
        <v>238</v>
      </c>
      <c r="AO2200" s="73" t="s">
        <v>241</v>
      </c>
      <c r="AP2200" s="84">
        <f>AP2189*1.01</f>
        <v>4256.8984554427989</v>
      </c>
      <c r="AQ2200" s="58" t="s">
        <v>238</v>
      </c>
      <c r="AR2200" s="73" t="s">
        <v>241</v>
      </c>
      <c r="AS2200" s="84">
        <f>AS2189*1.01</f>
        <v>4844.7475276262976</v>
      </c>
      <c r="AT2200" s="58" t="s">
        <v>238</v>
      </c>
      <c r="AU2200" s="73" t="s">
        <v>241</v>
      </c>
    </row>
    <row r="2201" spans="15:47" ht="13" x14ac:dyDescent="0.25">
      <c r="O2201" s="6"/>
      <c r="P2201" s="6"/>
      <c r="Q2201" s="60"/>
      <c r="R2201" s="70"/>
      <c r="S2201" s="63" t="s">
        <v>250</v>
      </c>
      <c r="T2201" s="71" t="s">
        <v>242</v>
      </c>
      <c r="U2201" s="61"/>
      <c r="V2201" s="63" t="s">
        <v>250</v>
      </c>
      <c r="W2201" s="71" t="s">
        <v>242</v>
      </c>
      <c r="X2201" s="61"/>
      <c r="Y2201" s="63" t="s">
        <v>250</v>
      </c>
      <c r="Z2201" s="71" t="s">
        <v>242</v>
      </c>
      <c r="AA2201" s="61"/>
      <c r="AB2201" s="63" t="s">
        <v>250</v>
      </c>
      <c r="AC2201" s="71" t="s">
        <v>242</v>
      </c>
      <c r="AD2201" s="61"/>
      <c r="AE2201" s="63" t="s">
        <v>250</v>
      </c>
      <c r="AF2201" s="71" t="s">
        <v>242</v>
      </c>
      <c r="AG2201" s="61"/>
      <c r="AH2201" s="63" t="s">
        <v>250</v>
      </c>
      <c r="AI2201" s="71" t="s">
        <v>242</v>
      </c>
      <c r="AJ2201" s="61"/>
      <c r="AK2201" s="63" t="s">
        <v>250</v>
      </c>
      <c r="AL2201" s="71" t="s">
        <v>242</v>
      </c>
      <c r="AM2201" s="61"/>
      <c r="AN2201" s="63" t="s">
        <v>250</v>
      </c>
      <c r="AO2201" s="71" t="s">
        <v>242</v>
      </c>
      <c r="AP2201" s="61"/>
      <c r="AQ2201" s="63" t="s">
        <v>250</v>
      </c>
      <c r="AR2201" s="71" t="s">
        <v>242</v>
      </c>
      <c r="AS2201" s="61"/>
      <c r="AT2201" s="63" t="s">
        <v>250</v>
      </c>
      <c r="AU2201" s="71" t="s">
        <v>242</v>
      </c>
    </row>
    <row r="2202" spans="15:47" ht="13" x14ac:dyDescent="0.3">
      <c r="O2202" s="6" t="s">
        <v>231</v>
      </c>
      <c r="P2202" s="6"/>
      <c r="Q2202" s="60"/>
      <c r="R2202" s="85">
        <f>P_1_minQ-(R2200^2*R_up)+dpup_minQ</f>
        <v>56.863273203341365</v>
      </c>
      <c r="S2202" s="56"/>
      <c r="T2202" s="72"/>
      <c r="U2202" s="53">
        <f>P_1_minQ-(U2200^2*R_up)+dpup_minQ</f>
        <v>55.556500883171999</v>
      </c>
      <c r="V2202" s="44"/>
      <c r="W2202" s="72"/>
      <c r="X2202" s="53">
        <f>P_1_minQ-(X2200^2*R_up)+dpup_minQ</f>
        <v>49.082091067548419</v>
      </c>
      <c r="Y2202" s="44"/>
      <c r="Z2202" s="72"/>
      <c r="AA2202" s="53">
        <f>P_1_minQ-(AA2200^2*R_up)+dpup_minQ</f>
        <v>28.355693010122199</v>
      </c>
      <c r="AB2202" s="44"/>
      <c r="AC2202" s="72"/>
      <c r="AD2202" s="53">
        <f>P_1_minQ-(AD2200^2*R_up)+dpup_minQ</f>
        <v>-20.334557439334663</v>
      </c>
      <c r="AE2202" s="44"/>
      <c r="AF2202" s="72"/>
      <c r="AG2202" s="53">
        <f>P_1_minQ-(AG2200^2*R_up)+dpup_minQ</f>
        <v>-114.32666043988533</v>
      </c>
      <c r="AH2202" s="44"/>
      <c r="AI2202" s="72"/>
      <c r="AJ2202" s="53">
        <f>P_1_minQ-(AJ2200^2*R_up)+dpup_minQ</f>
        <v>-248.05026795709185</v>
      </c>
      <c r="AK2202" s="44"/>
      <c r="AL2202" s="72"/>
      <c r="AM2202" s="53">
        <f>P_1_minQ-(AM2200^2*R_up)+dpup_minQ</f>
        <v>-397.13728633183877</v>
      </c>
      <c r="AN2202" s="44"/>
      <c r="AO2202" s="72"/>
      <c r="AP2202" s="53">
        <f>P_1_minQ-(AP2200^2*R_up)+dpup_minQ</f>
        <v>-555.07927929588936</v>
      </c>
      <c r="AQ2202" s="44"/>
      <c r="AR2202" s="72"/>
      <c r="AS2202" s="53">
        <f>P_1_minQ-(AS2200^2*R_up)+dpup_minQ</f>
        <v>-735.77479251743068</v>
      </c>
      <c r="AT2202" s="44"/>
      <c r="AU2202" s="72"/>
    </row>
    <row r="2203" spans="15:47" ht="13" x14ac:dyDescent="0.3">
      <c r="O2203" s="6" t="s">
        <v>233</v>
      </c>
      <c r="P2203" s="6"/>
      <c r="Q2203" s="60"/>
      <c r="R2203" s="85">
        <f>P_2_minQ+(R2200^2*R_dn)-dpdn_minQ</f>
        <v>24.667345359331726</v>
      </c>
      <c r="S2203" s="66"/>
      <c r="T2203" s="74"/>
      <c r="U2203" s="53">
        <f>P_2_minQ+(U2200^2*R_dn)-dpdn_minQ</f>
        <v>24.928699823365601</v>
      </c>
      <c r="V2203" s="45"/>
      <c r="W2203" s="74"/>
      <c r="X2203" s="53">
        <f>P_2_minQ+(X2200^2*R_dn)-dpdn_minQ</f>
        <v>26.223581786490318</v>
      </c>
      <c r="Y2203" s="45"/>
      <c r="Z2203" s="74"/>
      <c r="AA2203" s="53">
        <f>P_2_minQ+(AA2200^2*R_dn)-dpdn_minQ</f>
        <v>30.368861397975561</v>
      </c>
      <c r="AB2203" s="45"/>
      <c r="AC2203" s="74"/>
      <c r="AD2203" s="53">
        <f>P_2_minQ+(AD2200^2*R_dn)-dpdn_minQ</f>
        <v>40.106911487866938</v>
      </c>
      <c r="AE2203" s="45"/>
      <c r="AF2203" s="74"/>
      <c r="AG2203" s="53">
        <f>P_2_minQ+(AG2200^2*R_dn)-dpdn_minQ</f>
        <v>58.905332087977065</v>
      </c>
      <c r="AH2203" s="45"/>
      <c r="AI2203" s="74"/>
      <c r="AJ2203" s="53">
        <f>P_2_minQ+(AJ2200^2*R_dn)-dpdn_minQ</f>
        <v>85.650053591418356</v>
      </c>
      <c r="AK2203" s="45"/>
      <c r="AL2203" s="74"/>
      <c r="AM2203" s="53">
        <f>P_2_minQ+(AM2200^2*R_dn)-dpdn_minQ</f>
        <v>115.46745726636775</v>
      </c>
      <c r="AN2203" s="45"/>
      <c r="AO2203" s="74"/>
      <c r="AP2203" s="53">
        <f>P_2_minQ+(AP2200^2*R_dn)-dpdn_minQ</f>
        <v>147.05585585917788</v>
      </c>
      <c r="AQ2203" s="45"/>
      <c r="AR2203" s="74"/>
      <c r="AS2203" s="53">
        <f>P_2_minQ+(AS2200^2*R_dn)-dpdn_minQ</f>
        <v>183.19495850348611</v>
      </c>
      <c r="AT2203" s="45"/>
      <c r="AU2203" s="74"/>
    </row>
    <row r="2204" spans="15:47" x14ac:dyDescent="0.25">
      <c r="O2204" s="6" t="s">
        <v>243</v>
      </c>
      <c r="Q2204" s="60"/>
      <c r="R2204" s="53">
        <f>R2202-R2203</f>
        <v>32.195927844009638</v>
      </c>
      <c r="S2204" s="56"/>
      <c r="T2204" s="72"/>
      <c r="U2204" s="64">
        <f>U2202-U2203</f>
        <v>30.627801059806398</v>
      </c>
      <c r="V2204" s="44"/>
      <c r="W2204" s="72"/>
      <c r="X2204" s="64">
        <f>X2202-X2203</f>
        <v>22.858509281058101</v>
      </c>
      <c r="Y2204" s="44"/>
      <c r="Z2204" s="72"/>
      <c r="AA2204" s="64">
        <f>AA2202-AA2203</f>
        <v>-2.0131683878533622</v>
      </c>
      <c r="AB2204" s="44"/>
      <c r="AC2204" s="72"/>
      <c r="AD2204" s="64">
        <f>AD2202-AD2203</f>
        <v>-60.441468927201598</v>
      </c>
      <c r="AE2204" s="44"/>
      <c r="AF2204" s="72"/>
      <c r="AG2204" s="64">
        <f>AG2202-AG2203</f>
        <v>-173.23199252786239</v>
      </c>
      <c r="AH2204" s="44"/>
      <c r="AI2204" s="72"/>
      <c r="AJ2204" s="64">
        <f>AJ2202-AJ2203</f>
        <v>-333.7003215485102</v>
      </c>
      <c r="AK2204" s="44"/>
      <c r="AL2204" s="72"/>
      <c r="AM2204" s="64">
        <f>AM2202-AM2203</f>
        <v>-512.60474359820648</v>
      </c>
      <c r="AN2204" s="44"/>
      <c r="AO2204" s="72"/>
      <c r="AP2204" s="64">
        <f>AP2202-AP2203</f>
        <v>-702.13513515506725</v>
      </c>
      <c r="AQ2204" s="44"/>
      <c r="AR2204" s="72"/>
      <c r="AS2204" s="64">
        <f>AS2202-AS2203</f>
        <v>-918.96975102091676</v>
      </c>
      <c r="AT2204" s="44"/>
      <c r="AU2204" s="72"/>
    </row>
    <row r="2205" spans="15:47" ht="13" x14ac:dyDescent="0.3">
      <c r="O2205" s="6" t="s">
        <v>75</v>
      </c>
      <c r="P2205" s="6">
        <v>3</v>
      </c>
      <c r="Q2205" s="65"/>
      <c r="R2205" s="85">
        <f>(F_LP_h/F_P_h)^2*(R2202-('Valve Sizing'!$V$4*'Valve Sizing'!$G$7))</f>
        <v>46.721384113591746</v>
      </c>
      <c r="S2205" s="58"/>
      <c r="T2205" s="73"/>
      <c r="U2205" s="53">
        <f>(U$29/U$27)^2*(U2202-('Valve Sizing'!$V$4*'Valve Sizing'!$G$7))</f>
        <v>45.626868650136998</v>
      </c>
      <c r="V2205" s="41"/>
      <c r="W2205" s="73"/>
      <c r="X2205" s="53">
        <f>(X$29/X$27)^2*(X2202-('Valve Sizing'!$V$4*'Valve Sizing'!$G$7))</f>
        <v>39.358874727899142</v>
      </c>
      <c r="Y2205" s="41"/>
      <c r="Z2205" s="73"/>
      <c r="AA2205" s="53">
        <f>(AA$29/AA$27)^2*(AA2202-('Valve Sizing'!$V$4*'Valve Sizing'!$G$7))</f>
        <v>21.573125423963365</v>
      </c>
      <c r="AB2205" s="41"/>
      <c r="AC2205" s="73"/>
      <c r="AD2205" s="53">
        <f>(AD$29/AD$27)^2*(AD2202-('Valve Sizing'!$V$4*'Valve Sizing'!$G$7))</f>
        <v>-14.982390805023844</v>
      </c>
      <c r="AE2205" s="41"/>
      <c r="AF2205" s="73"/>
      <c r="AG2205" s="53">
        <f>(AG$29/AG$27)^2*(AG2202-('Valve Sizing'!$V$4*'Valve Sizing'!$G$7))</f>
        <v>-73.914810595137737</v>
      </c>
      <c r="AH2205" s="41"/>
      <c r="AI2205" s="73"/>
      <c r="AJ2205" s="53">
        <f>(AJ$29/AJ$27)^2*(AJ2202-('Valve Sizing'!$V$4*'Valve Sizing'!$G$7))</f>
        <v>-143.71794201570717</v>
      </c>
      <c r="AK2205" s="41"/>
      <c r="AL2205" s="73"/>
      <c r="AM2205" s="53">
        <f>(AM$29/AM$27)^2*(AM2202-('Valve Sizing'!$V$4*'Valve Sizing'!$G$7))</f>
        <v>-190.2296862988442</v>
      </c>
      <c r="AN2205" s="41"/>
      <c r="AO2205" s="73"/>
      <c r="AP2205" s="53">
        <f>(AP$29/AP$27)^2*(AP2202-('Valve Sizing'!$V$4*'Valve Sizing'!$G$7))</f>
        <v>-219.22283348268013</v>
      </c>
      <c r="AQ2205" s="41"/>
      <c r="AR2205" s="73"/>
      <c r="AS2205" s="53">
        <f>(AS$29/AS$27)^2*(AS2202-('Valve Sizing'!$V$4*'Valve Sizing'!$G$7))</f>
        <v>-276.92043838013342</v>
      </c>
      <c r="AT2205" s="41"/>
      <c r="AU2205" s="73"/>
    </row>
    <row r="2206" spans="15:47" ht="13" x14ac:dyDescent="0.25">
      <c r="O2206" s="1" t="s">
        <v>69</v>
      </c>
      <c r="P2206" s="17">
        <v>7</v>
      </c>
      <c r="Q2206" s="65"/>
      <c r="R2206" s="53">
        <f>(R2200/(N_1*F_P_h))*SQRT('Valve Sizing'!$G$6/R2204)</f>
        <v>6.9740792797476585</v>
      </c>
      <c r="S2206" s="58"/>
      <c r="T2206" s="73"/>
      <c r="U2206" s="64">
        <f>(U2200/(N_1*U$27))*SQRT('Valve Sizing'!$G$6/U2204)</f>
        <v>36.28601710823326</v>
      </c>
      <c r="V2206" s="41"/>
      <c r="W2206" s="73"/>
      <c r="X2206" s="64">
        <f>(X2200/(N_1*X$27))*SQRT('Valve Sizing'!$G$6/X2204)</f>
        <v>101.04825023875695</v>
      </c>
      <c r="Y2206" s="41"/>
      <c r="Z2206" s="73"/>
      <c r="AA2206" s="64" t="e">
        <f>(AA2200/(N_1*AA$27))*SQRT('Valve Sizing'!$G$6/AA2204)</f>
        <v>#NUM!</v>
      </c>
      <c r="AB2206" s="41"/>
      <c r="AC2206" s="73"/>
      <c r="AD2206" s="64" t="e">
        <f>(AD2200/(N_1*AD$27))*SQRT('Valve Sizing'!$G$6/AD2204)</f>
        <v>#NUM!</v>
      </c>
      <c r="AE2206" s="41"/>
      <c r="AF2206" s="73"/>
      <c r="AG2206" s="64" t="e">
        <f>(AG2200/(N_1*AG$27))*SQRT('Valve Sizing'!$G$6/AG2204)</f>
        <v>#NUM!</v>
      </c>
      <c r="AH2206" s="41"/>
      <c r="AI2206" s="73"/>
      <c r="AJ2206" s="64" t="e">
        <f>(AJ2200/(N_1*AJ$27))*SQRT('Valve Sizing'!$G$6/AJ2204)</f>
        <v>#NUM!</v>
      </c>
      <c r="AK2206" s="41"/>
      <c r="AL2206" s="73"/>
      <c r="AM2206" s="64" t="e">
        <f>(AM2200/(N_1*AM$27))*SQRT('Valve Sizing'!$G$6/AM2204)</f>
        <v>#NUM!</v>
      </c>
      <c r="AN2206" s="41"/>
      <c r="AO2206" s="73"/>
      <c r="AP2206" s="64" t="e">
        <f>(AP2200/(N_1*AP$27))*SQRT('Valve Sizing'!$G$6/AP2204)</f>
        <v>#NUM!</v>
      </c>
      <c r="AQ2206" s="41"/>
      <c r="AR2206" s="73"/>
      <c r="AS2206" s="64" t="e">
        <f>(AS2200/(N_1*AS$27))*SQRT('Valve Sizing'!$G$6/AS2204)</f>
        <v>#NUM!</v>
      </c>
      <c r="AT2206" s="41"/>
      <c r="AU2206" s="73"/>
    </row>
    <row r="2207" spans="15:47" ht="13" x14ac:dyDescent="0.3">
      <c r="O2207" s="1" t="s">
        <v>72</v>
      </c>
      <c r="P2207" s="17">
        <v>7</v>
      </c>
      <c r="Q2207" s="65"/>
      <c r="R2207" s="53">
        <f>(R2200/(N_1*F_P_h))*SQRT('Valve Sizing'!$G$6/R2205)</f>
        <v>5.789345955966148</v>
      </c>
      <c r="S2207" s="56"/>
      <c r="T2207" s="72"/>
      <c r="U2207" s="85">
        <f>(U2200/(N_1*U$27))*SQRT('Valve Sizing'!$G$6/U2205)</f>
        <v>29.729450192172877</v>
      </c>
      <c r="V2207" s="44"/>
      <c r="W2207" s="72"/>
      <c r="X2207" s="85">
        <f>(X2200/(N_1*X$27))*SQRT('Valve Sizing'!$G$6/X2205)</f>
        <v>77.007214275120432</v>
      </c>
      <c r="Y2207" s="44"/>
      <c r="Z2207" s="72"/>
      <c r="AA2207" s="85">
        <f>(AA2200/(N_1*AA$27))*SQRT('Valve Sizing'!$G$6/AA2205)</f>
        <v>199.74542301012198</v>
      </c>
      <c r="AB2207" s="44"/>
      <c r="AC2207" s="72"/>
      <c r="AD2207" s="85" t="e">
        <f>(AD2200/(N_1*AD$27))*SQRT('Valve Sizing'!$G$6/AD2205)</f>
        <v>#NUM!</v>
      </c>
      <c r="AE2207" s="44"/>
      <c r="AF2207" s="72"/>
      <c r="AG2207" s="85" t="e">
        <f>(AG2200/(N_1*AG$27))*SQRT('Valve Sizing'!$G$6/AG2205)</f>
        <v>#NUM!</v>
      </c>
      <c r="AH2207" s="44"/>
      <c r="AI2207" s="72"/>
      <c r="AJ2207" s="85" t="e">
        <f>(AJ2200/(N_1*AJ$27))*SQRT('Valve Sizing'!$G$6/AJ2205)</f>
        <v>#NUM!</v>
      </c>
      <c r="AK2207" s="44"/>
      <c r="AL2207" s="72"/>
      <c r="AM2207" s="85" t="e">
        <f>(AM2200/(N_1*AM$27))*SQRT('Valve Sizing'!$G$6/AM2205)</f>
        <v>#NUM!</v>
      </c>
      <c r="AN2207" s="44"/>
      <c r="AO2207" s="72"/>
      <c r="AP2207" s="85" t="e">
        <f>(AP2200/(N_1*AP$27))*SQRT('Valve Sizing'!$G$6/AP2205)</f>
        <v>#NUM!</v>
      </c>
      <c r="AQ2207" s="44"/>
      <c r="AR2207" s="72"/>
      <c r="AS2207" s="85" t="e">
        <f>(AS2200/(N_1*AS$27))*SQRT('Valve Sizing'!$G$6/AS2205)</f>
        <v>#NUM!</v>
      </c>
      <c r="AT2207" s="44"/>
      <c r="AU2207" s="72"/>
    </row>
    <row r="2208" spans="15:47" x14ac:dyDescent="0.25">
      <c r="O2208" s="1" t="s">
        <v>246</v>
      </c>
      <c r="P2208" s="18"/>
      <c r="Q2208" s="65"/>
      <c r="R2208" s="53">
        <f>IF(R2204&lt;R2205,R2206,R2207)</f>
        <v>6.9740792797476585</v>
      </c>
      <c r="S2208" s="49"/>
      <c r="T2208" s="72"/>
      <c r="U2208" s="64">
        <f>IF(U2204&lt;U2205,U2206,U2207)</f>
        <v>36.28601710823326</v>
      </c>
      <c r="V2208" s="44"/>
      <c r="W2208" s="72"/>
      <c r="X2208" s="64">
        <f>IF(X2204&lt;X2205,X2206,X2207)</f>
        <v>101.04825023875695</v>
      </c>
      <c r="Y2208" s="44"/>
      <c r="Z2208" s="72"/>
      <c r="AA2208" s="64" t="e">
        <f>IF(AA2204&lt;AA2205,AA2206,AA2207)</f>
        <v>#NUM!</v>
      </c>
      <c r="AB2208" s="44"/>
      <c r="AC2208" s="72"/>
      <c r="AD2208" s="64" t="e">
        <f>IF(AD2204&lt;AD2205,AD2206,AD2207)</f>
        <v>#NUM!</v>
      </c>
      <c r="AE2208" s="44"/>
      <c r="AF2208" s="72"/>
      <c r="AG2208" s="64" t="e">
        <f>IF(AG2204&lt;AG2205,AG2206,AG2207)</f>
        <v>#NUM!</v>
      </c>
      <c r="AH2208" s="44"/>
      <c r="AI2208" s="72"/>
      <c r="AJ2208" s="64" t="e">
        <f>IF(AJ2204&lt;AJ2205,AJ2206,AJ2207)</f>
        <v>#NUM!</v>
      </c>
      <c r="AK2208" s="44"/>
      <c r="AL2208" s="72"/>
      <c r="AM2208" s="64" t="e">
        <f>IF(AM2204&lt;AM2205,AM2206,AM2207)</f>
        <v>#NUM!</v>
      </c>
      <c r="AN2208" s="44"/>
      <c r="AO2208" s="72"/>
      <c r="AP2208" s="64" t="e">
        <f>IF(AP2204&lt;AP2205,AP2206,AP2207)</f>
        <v>#NUM!</v>
      </c>
      <c r="AQ2208" s="44"/>
      <c r="AR2208" s="72"/>
      <c r="AS2208" s="64" t="e">
        <f>IF(AS2204&lt;AS2205,AS2206,AS2207)</f>
        <v>#NUM!</v>
      </c>
      <c r="AT2208" s="44"/>
      <c r="AU2208" s="72"/>
    </row>
    <row r="2209" spans="15:47" ht="13" x14ac:dyDescent="0.3">
      <c r="O2209" s="7" t="s">
        <v>264</v>
      </c>
      <c r="Q2209" s="61"/>
      <c r="R2209" s="53"/>
      <c r="S2209" s="69">
        <f>IFERROR(ABS(C_h-R2208),Q_max*10)</f>
        <v>1.9740792797476585</v>
      </c>
      <c r="T2209" s="76">
        <f>R2200</f>
        <v>39.566152821093581</v>
      </c>
      <c r="U2209" s="61"/>
      <c r="V2209" s="69">
        <f>IFERROR(ABS(U$23-U2208),Q_max*10)</f>
        <v>24.28601710823326</v>
      </c>
      <c r="W2209" s="75">
        <f>U2200</f>
        <v>200.64647729097342</v>
      </c>
      <c r="X2209" s="61"/>
      <c r="Y2209" s="69">
        <f>IFERROR(ABS(X$23-X2208),Q_max*10)</f>
        <v>78.04825023875695</v>
      </c>
      <c r="Z2209" s="75">
        <f>X2200</f>
        <v>481.62878183295004</v>
      </c>
      <c r="AA2209" s="61"/>
      <c r="AB2209" s="69">
        <f>IFERROR(ABS(AA$23-AA2208),Q_max*10)</f>
        <v>5500</v>
      </c>
      <c r="AC2209" s="75">
        <f>AA2200</f>
        <v>919.6058557720703</v>
      </c>
      <c r="AD2209" s="61"/>
      <c r="AE2209" s="69">
        <f>IFERROR(ABS(AD$23-AD2208),Q_max*10)</f>
        <v>5500</v>
      </c>
      <c r="AF2209" s="75">
        <f>AD2200</f>
        <v>1512.4130539567223</v>
      </c>
      <c r="AG2209" s="61"/>
      <c r="AH2209" s="69">
        <f>IFERROR(ABS(AG$23-AG2208),Q_max*10)</f>
        <v>5500</v>
      </c>
      <c r="AI2209" s="75">
        <f>AG2200</f>
        <v>2251.7769462415686</v>
      </c>
      <c r="AJ2209" s="61"/>
      <c r="AK2209" s="69">
        <f>IFERROR(ABS(AJ$23-AJ2208),Q_max*10)</f>
        <v>5500</v>
      </c>
      <c r="AL2209" s="75">
        <f>AJ2200</f>
        <v>3005.0050639241008</v>
      </c>
      <c r="AM2209" s="61"/>
      <c r="AN2209" s="69">
        <f>IFERROR(ABS(AM$23-AM2208),Q_max*10)</f>
        <v>5500</v>
      </c>
      <c r="AO2209" s="75">
        <f>AM2200</f>
        <v>3666.6772489933915</v>
      </c>
      <c r="AP2209" s="61"/>
      <c r="AQ2209" s="69">
        <f>IFERROR(ABS(AP$23-AP2208),Q_max*10)</f>
        <v>5500</v>
      </c>
      <c r="AR2209" s="75">
        <f>AP2200</f>
        <v>4256.8984554427989</v>
      </c>
      <c r="AS2209" s="61"/>
      <c r="AT2209" s="69">
        <f>IFERROR(ABS(AS$23-AS2208),Q_max*10)</f>
        <v>5500</v>
      </c>
      <c r="AU2209" s="75">
        <f>AS2200</f>
        <v>4844.7475276262976</v>
      </c>
    </row>
    <row r="2210" spans="15:47" ht="14.5" x14ac:dyDescent="0.35">
      <c r="O2210" s="8"/>
      <c r="P2210" s="6"/>
      <c r="Q2210" s="60"/>
      <c r="R2210" s="67"/>
      <c r="S2210" s="56"/>
      <c r="T2210" s="72"/>
      <c r="V2210" s="11"/>
      <c r="W2210" s="38"/>
      <c r="Y2210" s="11"/>
      <c r="Z2210" s="38"/>
      <c r="AB2210" s="11"/>
      <c r="AC2210" s="38"/>
      <c r="AE2210" s="11"/>
      <c r="AF2210" s="38"/>
      <c r="AH2210" s="11"/>
      <c r="AI2210" s="38"/>
      <c r="AK2210" s="11"/>
      <c r="AL2210" s="38"/>
      <c r="AN2210" s="11"/>
      <c r="AO2210" s="38"/>
      <c r="AQ2210" s="11"/>
      <c r="AR2210" s="38"/>
      <c r="AT2210" s="11"/>
      <c r="AU2210" s="38"/>
    </row>
    <row r="2211" spans="15:47" ht="14" x14ac:dyDescent="0.3">
      <c r="O2211" s="8" t="s">
        <v>235</v>
      </c>
      <c r="P2211" s="6"/>
      <c r="Q2211" s="60"/>
      <c r="R2211" s="53">
        <f>R2200*1.02</f>
        <v>40.357475877515455</v>
      </c>
      <c r="S2211" s="58" t="s">
        <v>238</v>
      </c>
      <c r="T2211" s="73" t="s">
        <v>241</v>
      </c>
      <c r="U2211" s="84">
        <f>U2200*1.01</f>
        <v>202.65294206388316</v>
      </c>
      <c r="V2211" s="58" t="s">
        <v>238</v>
      </c>
      <c r="W2211" s="73" t="s">
        <v>241</v>
      </c>
      <c r="X2211" s="84">
        <f>X2200*1.01</f>
        <v>486.44506965127954</v>
      </c>
      <c r="Y2211" s="58" t="s">
        <v>238</v>
      </c>
      <c r="Z2211" s="73" t="s">
        <v>241</v>
      </c>
      <c r="AA2211" s="84">
        <f>AA2200*1.01</f>
        <v>928.80191432979097</v>
      </c>
      <c r="AB2211" s="58" t="s">
        <v>238</v>
      </c>
      <c r="AC2211" s="73" t="s">
        <v>241</v>
      </c>
      <c r="AD2211" s="84">
        <f>AD2200*1.01</f>
        <v>1527.5371844962895</v>
      </c>
      <c r="AE2211" s="58" t="s">
        <v>238</v>
      </c>
      <c r="AF2211" s="73" t="s">
        <v>241</v>
      </c>
      <c r="AG2211" s="84">
        <f>AG2200*1.01</f>
        <v>2274.2947157039844</v>
      </c>
      <c r="AH2211" s="58" t="s">
        <v>238</v>
      </c>
      <c r="AI2211" s="73" t="s">
        <v>241</v>
      </c>
      <c r="AJ2211" s="84">
        <f>AJ2200*1.01</f>
        <v>3035.0551145633417</v>
      </c>
      <c r="AK2211" s="58" t="s">
        <v>238</v>
      </c>
      <c r="AL2211" s="73" t="s">
        <v>241</v>
      </c>
      <c r="AM2211" s="84">
        <f>AM2200*1.01</f>
        <v>3703.3440214833254</v>
      </c>
      <c r="AN2211" s="58" t="s">
        <v>238</v>
      </c>
      <c r="AO2211" s="73" t="s">
        <v>241</v>
      </c>
      <c r="AP2211" s="84">
        <f>AP2200*1.01</f>
        <v>4299.4674399972273</v>
      </c>
      <c r="AQ2211" s="58" t="s">
        <v>238</v>
      </c>
      <c r="AR2211" s="73" t="s">
        <v>241</v>
      </c>
      <c r="AS2211" s="84">
        <f>AS2200*1.01</f>
        <v>4893.1950029025602</v>
      </c>
      <c r="AT2211" s="58" t="s">
        <v>238</v>
      </c>
      <c r="AU2211" s="73" t="s">
        <v>241</v>
      </c>
    </row>
    <row r="2212" spans="15:47" ht="13" x14ac:dyDescent="0.25">
      <c r="O2212" s="6"/>
      <c r="P2212" s="6"/>
      <c r="Q2212" s="60"/>
      <c r="R2212" s="70"/>
      <c r="S2212" s="63" t="s">
        <v>250</v>
      </c>
      <c r="T2212" s="71" t="s">
        <v>242</v>
      </c>
      <c r="U2212" s="61"/>
      <c r="V2212" s="63" t="s">
        <v>250</v>
      </c>
      <c r="W2212" s="71" t="s">
        <v>242</v>
      </c>
      <c r="X2212" s="61"/>
      <c r="Y2212" s="63" t="s">
        <v>250</v>
      </c>
      <c r="Z2212" s="71" t="s">
        <v>242</v>
      </c>
      <c r="AA2212" s="61"/>
      <c r="AB2212" s="63" t="s">
        <v>250</v>
      </c>
      <c r="AC2212" s="71" t="s">
        <v>242</v>
      </c>
      <c r="AD2212" s="61"/>
      <c r="AE2212" s="63" t="s">
        <v>250</v>
      </c>
      <c r="AF2212" s="71" t="s">
        <v>242</v>
      </c>
      <c r="AG2212" s="61"/>
      <c r="AH2212" s="63" t="s">
        <v>250</v>
      </c>
      <c r="AI2212" s="71" t="s">
        <v>242</v>
      </c>
      <c r="AJ2212" s="61"/>
      <c r="AK2212" s="63" t="s">
        <v>250</v>
      </c>
      <c r="AL2212" s="71" t="s">
        <v>242</v>
      </c>
      <c r="AM2212" s="61"/>
      <c r="AN2212" s="63" t="s">
        <v>250</v>
      </c>
      <c r="AO2212" s="71" t="s">
        <v>242</v>
      </c>
      <c r="AP2212" s="61"/>
      <c r="AQ2212" s="63" t="s">
        <v>250</v>
      </c>
      <c r="AR2212" s="71" t="s">
        <v>242</v>
      </c>
      <c r="AS2212" s="61"/>
      <c r="AT2212" s="63" t="s">
        <v>250</v>
      </c>
      <c r="AU2212" s="71" t="s">
        <v>242</v>
      </c>
    </row>
    <row r="2213" spans="15:47" ht="13" x14ac:dyDescent="0.3">
      <c r="O2213" s="6" t="s">
        <v>231</v>
      </c>
      <c r="P2213" s="6"/>
      <c r="Q2213" s="60"/>
      <c r="R2213" s="85">
        <f>P_1_minQ-(R2211^2*R_up)+dpup_minQ</f>
        <v>56.861137255683751</v>
      </c>
      <c r="S2213" s="56"/>
      <c r="T2213" s="72"/>
      <c r="U2213" s="53">
        <f>P_1_minQ-(U2211^2*R_up)+dpup_minQ</f>
        <v>55.529172072706935</v>
      </c>
      <c r="V2213" s="44"/>
      <c r="W2213" s="72"/>
      <c r="X2213" s="53">
        <f>P_1_minQ-(X2211^2*R_up)+dpup_minQ</f>
        <v>48.924626619789322</v>
      </c>
      <c r="Y2213" s="44"/>
      <c r="Z2213" s="72"/>
      <c r="AA2213" s="53">
        <f>P_1_minQ-(AA2211^2*R_up)+dpup_minQ</f>
        <v>27.781627961408837</v>
      </c>
      <c r="AB2213" s="44"/>
      <c r="AC2213" s="72"/>
      <c r="AD2213" s="53">
        <f>P_1_minQ-(AD2211^2*R_up)+dpup_minQ</f>
        <v>-21.887296522082099</v>
      </c>
      <c r="AE2213" s="44"/>
      <c r="AF2213" s="72"/>
      <c r="AG2213" s="53">
        <f>P_1_minQ-(AG2211^2*R_up)+dpup_minQ</f>
        <v>-117.76864079294384</v>
      </c>
      <c r="AH2213" s="44"/>
      <c r="AI2213" s="72"/>
      <c r="AJ2213" s="53">
        <f>P_1_minQ-(AJ2211^2*R_up)+dpup_minQ</f>
        <v>-254.18009282124623</v>
      </c>
      <c r="AK2213" s="44"/>
      <c r="AL2213" s="72"/>
      <c r="AM2213" s="53">
        <f>P_1_minQ-(AM2211^2*R_up)+dpup_minQ</f>
        <v>-406.26376026532552</v>
      </c>
      <c r="AN2213" s="44"/>
      <c r="AO2213" s="72"/>
      <c r="AP2213" s="53">
        <f>P_1_minQ-(AP2211^2*R_up)+dpup_minQ</f>
        <v>-567.38038728795379</v>
      </c>
      <c r="AQ2213" s="44"/>
      <c r="AR2213" s="72"/>
      <c r="AS2213" s="53">
        <f>P_1_minQ-(AS2211^2*R_up)+dpup_minQ</f>
        <v>-751.70788032524774</v>
      </c>
      <c r="AT2213" s="44"/>
      <c r="AU2213" s="72"/>
    </row>
    <row r="2214" spans="15:47" ht="13" x14ac:dyDescent="0.3">
      <c r="O2214" s="6" t="s">
        <v>233</v>
      </c>
      <c r="P2214" s="6"/>
      <c r="Q2214" s="60"/>
      <c r="R2214" s="85">
        <f>P_2_minQ+(R2211^2*R_dn)-dpdn_minQ</f>
        <v>24.667772548863251</v>
      </c>
      <c r="S2214" s="66"/>
      <c r="T2214" s="74"/>
      <c r="U2214" s="53">
        <f>P_2_minQ+(U2211^2*R_dn)-dpdn_minQ</f>
        <v>24.934165585458615</v>
      </c>
      <c r="V2214" s="45"/>
      <c r="W2214" s="74"/>
      <c r="X2214" s="53">
        <f>P_2_minQ+(X2211^2*R_dn)-dpdn_minQ</f>
        <v>26.255074676042138</v>
      </c>
      <c r="Y2214" s="45"/>
      <c r="Z2214" s="74"/>
      <c r="AA2214" s="53">
        <f>P_2_minQ+(AA2211^2*R_dn)-dpdn_minQ</f>
        <v>30.483674407718233</v>
      </c>
      <c r="AB2214" s="45"/>
      <c r="AC2214" s="74"/>
      <c r="AD2214" s="53">
        <f>P_2_minQ+(AD2211^2*R_dn)-dpdn_minQ</f>
        <v>40.417459304416425</v>
      </c>
      <c r="AE2214" s="45"/>
      <c r="AF2214" s="74"/>
      <c r="AG2214" s="53">
        <f>P_2_minQ+(AG2211^2*R_dn)-dpdn_minQ</f>
        <v>59.593728158588767</v>
      </c>
      <c r="AH2214" s="45"/>
      <c r="AI2214" s="74"/>
      <c r="AJ2214" s="53">
        <f>P_2_minQ+(AJ2211^2*R_dn)-dpdn_minQ</f>
        <v>86.87601856424925</v>
      </c>
      <c r="AK2214" s="45"/>
      <c r="AL2214" s="74"/>
      <c r="AM2214" s="53">
        <f>P_2_minQ+(AM2211^2*R_dn)-dpdn_minQ</f>
        <v>117.2927520530651</v>
      </c>
      <c r="AN2214" s="45"/>
      <c r="AO2214" s="74"/>
      <c r="AP2214" s="53">
        <f>P_2_minQ+(AP2211^2*R_dn)-dpdn_minQ</f>
        <v>149.51607745759074</v>
      </c>
      <c r="AQ2214" s="45"/>
      <c r="AR2214" s="74"/>
      <c r="AS2214" s="53">
        <f>P_2_minQ+(AS2211^2*R_dn)-dpdn_minQ</f>
        <v>186.38157606504953</v>
      </c>
      <c r="AT2214" s="45"/>
      <c r="AU2214" s="74"/>
    </row>
    <row r="2215" spans="15:47" x14ac:dyDescent="0.25">
      <c r="O2215" s="6" t="s">
        <v>243</v>
      </c>
      <c r="Q2215" s="60"/>
      <c r="R2215" s="53">
        <f>R2213-R2214</f>
        <v>32.193364706820503</v>
      </c>
      <c r="S2215" s="56"/>
      <c r="T2215" s="72"/>
      <c r="U2215" s="64">
        <f>U2213-U2214</f>
        <v>30.59500648724832</v>
      </c>
      <c r="V2215" s="44"/>
      <c r="W2215" s="72"/>
      <c r="X2215" s="64">
        <f>X2213-X2214</f>
        <v>22.669551943747184</v>
      </c>
      <c r="Y2215" s="44"/>
      <c r="Z2215" s="72"/>
      <c r="AA2215" s="64">
        <f>AA2213-AA2214</f>
        <v>-2.7020464463093958</v>
      </c>
      <c r="AB2215" s="44"/>
      <c r="AC2215" s="72"/>
      <c r="AD2215" s="64">
        <f>AD2213-AD2214</f>
        <v>-62.304755826498521</v>
      </c>
      <c r="AE2215" s="44"/>
      <c r="AF2215" s="72"/>
      <c r="AG2215" s="64">
        <f>AG2213-AG2214</f>
        <v>-177.3623689515326</v>
      </c>
      <c r="AH2215" s="44"/>
      <c r="AI2215" s="72"/>
      <c r="AJ2215" s="64">
        <f>AJ2213-AJ2214</f>
        <v>-341.05611138549546</v>
      </c>
      <c r="AK2215" s="44"/>
      <c r="AL2215" s="72"/>
      <c r="AM2215" s="64">
        <f>AM2213-AM2214</f>
        <v>-523.55651231839056</v>
      </c>
      <c r="AN2215" s="44"/>
      <c r="AO2215" s="72"/>
      <c r="AP2215" s="64">
        <f>AP2213-AP2214</f>
        <v>-716.89646474554456</v>
      </c>
      <c r="AQ2215" s="44"/>
      <c r="AR2215" s="72"/>
      <c r="AS2215" s="64">
        <f>AS2213-AS2214</f>
        <v>-938.0894563902973</v>
      </c>
      <c r="AT2215" s="44"/>
      <c r="AU2215" s="72"/>
    </row>
    <row r="2216" spans="15:47" ht="13" x14ac:dyDescent="0.3">
      <c r="O2216" s="6" t="s">
        <v>75</v>
      </c>
      <c r="P2216" s="6">
        <v>3</v>
      </c>
      <c r="Q2216" s="65"/>
      <c r="R2216" s="85">
        <f>(F_LP_h/F_P_h)^2*(R2213-('Valve Sizing'!$V$4*'Valve Sizing'!$G$7))</f>
        <v>46.719615436815481</v>
      </c>
      <c r="S2216" s="58"/>
      <c r="T2216" s="73"/>
      <c r="U2216" s="53">
        <f>(U$29/U$27)^2*(U2213-('Valve Sizing'!$V$4*'Valve Sizing'!$G$7))</f>
        <v>45.604245128502853</v>
      </c>
      <c r="V2216" s="41"/>
      <c r="W2216" s="73"/>
      <c r="X2216" s="53">
        <f>(X$29/X$27)^2*(X2213-('Valve Sizing'!$V$4*'Valve Sizing'!$G$7))</f>
        <v>39.231461808651652</v>
      </c>
      <c r="Y2216" s="41"/>
      <c r="Z2216" s="73"/>
      <c r="AA2216" s="53">
        <f>(AA$29/AA$27)^2*(AA2213-('Valve Sizing'!$V$4*'Valve Sizing'!$G$7))</f>
        <v>21.129489549441612</v>
      </c>
      <c r="AB2216" s="41"/>
      <c r="AC2216" s="73"/>
      <c r="AD2216" s="53">
        <f>(AD$29/AD$27)^2*(AD2213-('Valve Sizing'!$V$4*'Valve Sizing'!$G$7))</f>
        <v>-16.102206678130827</v>
      </c>
      <c r="AE2216" s="41"/>
      <c r="AF2216" s="73"/>
      <c r="AG2216" s="53">
        <f>(AG$29/AG$27)^2*(AG2213-('Valve Sizing'!$V$4*'Valve Sizing'!$G$7))</f>
        <v>-76.131597221616147</v>
      </c>
      <c r="AH2216" s="41"/>
      <c r="AI2216" s="73"/>
      <c r="AJ2216" s="53">
        <f>(AJ$29/AJ$27)^2*(AJ2213-('Valve Sizing'!$V$4*'Valve Sizing'!$G$7))</f>
        <v>-147.26321409892995</v>
      </c>
      <c r="AK2216" s="41"/>
      <c r="AL2216" s="73"/>
      <c r="AM2216" s="53">
        <f>(AM$29/AM$27)^2*(AM2213-('Valve Sizing'!$V$4*'Valve Sizing'!$G$7))</f>
        <v>-194.59644989737129</v>
      </c>
      <c r="AN2216" s="41"/>
      <c r="AO2216" s="73"/>
      <c r="AP2216" s="53">
        <f>(AP$29/AP$27)^2*(AP2213-('Valve Sizing'!$V$4*'Valve Sizing'!$G$7))</f>
        <v>-224.07718070258159</v>
      </c>
      <c r="AQ2216" s="41"/>
      <c r="AR2216" s="73"/>
      <c r="AS2216" s="53">
        <f>(AS$29/AS$27)^2*(AS2213-('Valve Sizing'!$V$4*'Valve Sizing'!$G$7))</f>
        <v>-282.91352268069159</v>
      </c>
      <c r="AT2216" s="41"/>
      <c r="AU2216" s="73"/>
    </row>
    <row r="2217" spans="15:47" ht="13" x14ac:dyDescent="0.25">
      <c r="O2217" s="1" t="s">
        <v>69</v>
      </c>
      <c r="P2217" s="17">
        <v>7</v>
      </c>
      <c r="Q2217" s="65"/>
      <c r="R2217" s="53">
        <f>(R2211/(N_1*F_P_h))*SQRT('Valve Sizing'!$G$6/R2215)</f>
        <v>7.1138440396809735</v>
      </c>
      <c r="S2217" s="58"/>
      <c r="T2217" s="73"/>
      <c r="U2217" s="64">
        <f>(U2211/(N_1*U$27))*SQRT('Valve Sizing'!$G$6/U2215)</f>
        <v>36.668513855717073</v>
      </c>
      <c r="V2217" s="41"/>
      <c r="W2217" s="73"/>
      <c r="X2217" s="64">
        <f>(X2211/(N_1*X$27))*SQRT('Valve Sizing'!$G$6/X2215)</f>
        <v>102.48319474751436</v>
      </c>
      <c r="Y2217" s="41"/>
      <c r="Z2217" s="73"/>
      <c r="AA2217" s="64" t="e">
        <f>(AA2211/(N_1*AA$27))*SQRT('Valve Sizing'!$G$6/AA2215)</f>
        <v>#NUM!</v>
      </c>
      <c r="AB2217" s="41"/>
      <c r="AC2217" s="73"/>
      <c r="AD2217" s="64" t="e">
        <f>(AD2211/(N_1*AD$27))*SQRT('Valve Sizing'!$G$6/AD2215)</f>
        <v>#NUM!</v>
      </c>
      <c r="AE2217" s="41"/>
      <c r="AF2217" s="73"/>
      <c r="AG2217" s="64" t="e">
        <f>(AG2211/(N_1*AG$27))*SQRT('Valve Sizing'!$G$6/AG2215)</f>
        <v>#NUM!</v>
      </c>
      <c r="AH2217" s="41"/>
      <c r="AI2217" s="73"/>
      <c r="AJ2217" s="64" t="e">
        <f>(AJ2211/(N_1*AJ$27))*SQRT('Valve Sizing'!$G$6/AJ2215)</f>
        <v>#NUM!</v>
      </c>
      <c r="AK2217" s="41"/>
      <c r="AL2217" s="73"/>
      <c r="AM2217" s="64" t="e">
        <f>(AM2211/(N_1*AM$27))*SQRT('Valve Sizing'!$G$6/AM2215)</f>
        <v>#NUM!</v>
      </c>
      <c r="AN2217" s="41"/>
      <c r="AO2217" s="73"/>
      <c r="AP2217" s="64" t="e">
        <f>(AP2211/(N_1*AP$27))*SQRT('Valve Sizing'!$G$6/AP2215)</f>
        <v>#NUM!</v>
      </c>
      <c r="AQ2217" s="41"/>
      <c r="AR2217" s="73"/>
      <c r="AS2217" s="64" t="e">
        <f>(AS2211/(N_1*AS$27))*SQRT('Valve Sizing'!$G$6/AS2215)</f>
        <v>#NUM!</v>
      </c>
      <c r="AT2217" s="41"/>
      <c r="AU2217" s="73"/>
    </row>
    <row r="2218" spans="15:47" ht="13" x14ac:dyDescent="0.3">
      <c r="O2218" s="1" t="s">
        <v>72</v>
      </c>
      <c r="P2218" s="17">
        <v>7</v>
      </c>
      <c r="Q2218" s="65"/>
      <c r="R2218" s="53">
        <f>(R2211/(N_1*F_P_h))*SQRT('Valve Sizing'!$G$6/R2216)</f>
        <v>5.9052446501122251</v>
      </c>
      <c r="S2218" s="56"/>
      <c r="T2218" s="72"/>
      <c r="U2218" s="85">
        <f>(U2211/(N_1*U$27))*SQRT('Valve Sizing'!$G$6/U2216)</f>
        <v>30.034191659595599</v>
      </c>
      <c r="V2218" s="44"/>
      <c r="W2218" s="72"/>
      <c r="X2218" s="85">
        <f>(X2211/(N_1*X$27))*SQRT('Valve Sizing'!$G$6/X2216)</f>
        <v>77.903483576987483</v>
      </c>
      <c r="Y2218" s="44"/>
      <c r="Z2218" s="72"/>
      <c r="AA2218" s="85">
        <f>(AA2211/(N_1*AA$27))*SQRT('Valve Sizing'!$G$6/AA2216)</f>
        <v>203.84977757437451</v>
      </c>
      <c r="AB2218" s="44"/>
      <c r="AC2218" s="72"/>
      <c r="AD2218" s="85" t="e">
        <f>(AD2211/(N_1*AD$27))*SQRT('Valve Sizing'!$G$6/AD2216)</f>
        <v>#NUM!</v>
      </c>
      <c r="AE2218" s="44"/>
      <c r="AF2218" s="72"/>
      <c r="AG2218" s="85" t="e">
        <f>(AG2211/(N_1*AG$27))*SQRT('Valve Sizing'!$G$6/AG2216)</f>
        <v>#NUM!</v>
      </c>
      <c r="AH2218" s="44"/>
      <c r="AI2218" s="72"/>
      <c r="AJ2218" s="85" t="e">
        <f>(AJ2211/(N_1*AJ$27))*SQRT('Valve Sizing'!$G$6/AJ2216)</f>
        <v>#NUM!</v>
      </c>
      <c r="AK2218" s="44"/>
      <c r="AL2218" s="72"/>
      <c r="AM2218" s="85" t="e">
        <f>(AM2211/(N_1*AM$27))*SQRT('Valve Sizing'!$G$6/AM2216)</f>
        <v>#NUM!</v>
      </c>
      <c r="AN2218" s="44"/>
      <c r="AO2218" s="72"/>
      <c r="AP2218" s="85" t="e">
        <f>(AP2211/(N_1*AP$27))*SQRT('Valve Sizing'!$G$6/AP2216)</f>
        <v>#NUM!</v>
      </c>
      <c r="AQ2218" s="44"/>
      <c r="AR2218" s="72"/>
      <c r="AS2218" s="85" t="e">
        <f>(AS2211/(N_1*AS$27))*SQRT('Valve Sizing'!$G$6/AS2216)</f>
        <v>#NUM!</v>
      </c>
      <c r="AT2218" s="44"/>
      <c r="AU2218" s="72"/>
    </row>
    <row r="2219" spans="15:47" x14ac:dyDescent="0.25">
      <c r="O2219" s="1" t="s">
        <v>246</v>
      </c>
      <c r="P2219" s="18"/>
      <c r="Q2219" s="65"/>
      <c r="R2219" s="53">
        <f>IF(R2215&lt;R2216,R2217,R2218)</f>
        <v>7.1138440396809735</v>
      </c>
      <c r="S2219" s="49"/>
      <c r="T2219" s="72"/>
      <c r="U2219" s="64">
        <f>IF(U2215&lt;U2216,U2217,U2218)</f>
        <v>36.668513855717073</v>
      </c>
      <c r="V2219" s="44"/>
      <c r="W2219" s="72"/>
      <c r="X2219" s="64">
        <f>IF(X2215&lt;X2216,X2217,X2218)</f>
        <v>102.48319474751436</v>
      </c>
      <c r="Y2219" s="44"/>
      <c r="Z2219" s="72"/>
      <c r="AA2219" s="64" t="e">
        <f>IF(AA2215&lt;AA2216,AA2217,AA2218)</f>
        <v>#NUM!</v>
      </c>
      <c r="AB2219" s="44"/>
      <c r="AC2219" s="72"/>
      <c r="AD2219" s="64" t="e">
        <f>IF(AD2215&lt;AD2216,AD2217,AD2218)</f>
        <v>#NUM!</v>
      </c>
      <c r="AE2219" s="44"/>
      <c r="AF2219" s="72"/>
      <c r="AG2219" s="64" t="e">
        <f>IF(AG2215&lt;AG2216,AG2217,AG2218)</f>
        <v>#NUM!</v>
      </c>
      <c r="AH2219" s="44"/>
      <c r="AI2219" s="72"/>
      <c r="AJ2219" s="64" t="e">
        <f>IF(AJ2215&lt;AJ2216,AJ2217,AJ2218)</f>
        <v>#NUM!</v>
      </c>
      <c r="AK2219" s="44"/>
      <c r="AL2219" s="72"/>
      <c r="AM2219" s="64" t="e">
        <f>IF(AM2215&lt;AM2216,AM2217,AM2218)</f>
        <v>#NUM!</v>
      </c>
      <c r="AN2219" s="44"/>
      <c r="AO2219" s="72"/>
      <c r="AP2219" s="64" t="e">
        <f>IF(AP2215&lt;AP2216,AP2217,AP2218)</f>
        <v>#NUM!</v>
      </c>
      <c r="AQ2219" s="44"/>
      <c r="AR2219" s="72"/>
      <c r="AS2219" s="64" t="e">
        <f>IF(AS2215&lt;AS2216,AS2217,AS2218)</f>
        <v>#NUM!</v>
      </c>
      <c r="AT2219" s="44"/>
      <c r="AU2219" s="72"/>
    </row>
    <row r="2220" spans="15:47" ht="13" x14ac:dyDescent="0.3">
      <c r="O2220" s="7" t="s">
        <v>264</v>
      </c>
      <c r="Q2220" s="61"/>
      <c r="R2220" s="53"/>
      <c r="S2220" s="69">
        <f>IFERROR(ABS(C_h-R2219),Q_max*10)</f>
        <v>2.1138440396809735</v>
      </c>
      <c r="T2220" s="76">
        <f>R2211</f>
        <v>40.357475877515455</v>
      </c>
      <c r="U2220" s="61"/>
      <c r="V2220" s="69">
        <f>IFERROR(ABS(U$23-U2219),Q_max*10)</f>
        <v>24.668513855717073</v>
      </c>
      <c r="W2220" s="75">
        <f>U2211</f>
        <v>202.65294206388316</v>
      </c>
      <c r="X2220" s="61"/>
      <c r="Y2220" s="69">
        <f>IFERROR(ABS(X$23-X2219),Q_max*10)</f>
        <v>79.483194747514361</v>
      </c>
      <c r="Z2220" s="75">
        <f>X2211</f>
        <v>486.44506965127954</v>
      </c>
      <c r="AA2220" s="61"/>
      <c r="AB2220" s="69">
        <f>IFERROR(ABS(AA$23-AA2219),Q_max*10)</f>
        <v>5500</v>
      </c>
      <c r="AC2220" s="75">
        <f>AA2211</f>
        <v>928.80191432979097</v>
      </c>
      <c r="AD2220" s="61"/>
      <c r="AE2220" s="69">
        <f>IFERROR(ABS(AD$23-AD2219),Q_max*10)</f>
        <v>5500</v>
      </c>
      <c r="AF2220" s="75">
        <f>AD2211</f>
        <v>1527.5371844962895</v>
      </c>
      <c r="AG2220" s="61"/>
      <c r="AH2220" s="69">
        <f>IFERROR(ABS(AG$23-AG2219),Q_max*10)</f>
        <v>5500</v>
      </c>
      <c r="AI2220" s="75">
        <f>AG2211</f>
        <v>2274.2947157039844</v>
      </c>
      <c r="AJ2220" s="61"/>
      <c r="AK2220" s="69">
        <f>IFERROR(ABS(AJ$23-AJ2219),Q_max*10)</f>
        <v>5500</v>
      </c>
      <c r="AL2220" s="75">
        <f>AJ2211</f>
        <v>3035.0551145633417</v>
      </c>
      <c r="AM2220" s="61"/>
      <c r="AN2220" s="69">
        <f>IFERROR(ABS(AM$23-AM2219),Q_max*10)</f>
        <v>5500</v>
      </c>
      <c r="AO2220" s="75">
        <f>AM2211</f>
        <v>3703.3440214833254</v>
      </c>
      <c r="AP2220" s="61"/>
      <c r="AQ2220" s="69">
        <f>IFERROR(ABS(AP$23-AP2219),Q_max*10)</f>
        <v>5500</v>
      </c>
      <c r="AR2220" s="75">
        <f>AP2211</f>
        <v>4299.4674399972273</v>
      </c>
      <c r="AS2220" s="61"/>
      <c r="AT2220" s="69">
        <f>IFERROR(ABS(AS$23-AS2219),Q_max*10)</f>
        <v>5500</v>
      </c>
      <c r="AU2220" s="75">
        <f>AS2211</f>
        <v>4893.1950029025602</v>
      </c>
    </row>
    <row r="2221" spans="15:47" ht="14.5" x14ac:dyDescent="0.35">
      <c r="O2221" s="6"/>
      <c r="P2221" s="6"/>
      <c r="Q2221" s="60"/>
      <c r="R2221" s="67"/>
      <c r="S2221" s="66"/>
      <c r="T2221" s="74"/>
      <c r="V2221" s="11"/>
      <c r="W2221" s="38"/>
      <c r="Y2221" s="11"/>
      <c r="Z2221" s="38"/>
      <c r="AB2221" s="11"/>
      <c r="AC2221" s="38"/>
      <c r="AE2221" s="11"/>
      <c r="AF2221" s="38"/>
      <c r="AH2221" s="11"/>
      <c r="AI2221" s="38"/>
      <c r="AK2221" s="11"/>
      <c r="AL2221" s="38"/>
      <c r="AN2221" s="11"/>
      <c r="AO2221" s="38"/>
      <c r="AQ2221" s="11"/>
      <c r="AR2221" s="38"/>
      <c r="AT2221" s="11"/>
      <c r="AU2221" s="38"/>
    </row>
    <row r="2222" spans="15:47" ht="14" x14ac:dyDescent="0.3">
      <c r="O2222" s="8" t="s">
        <v>235</v>
      </c>
      <c r="P2222" s="6"/>
      <c r="Q2222" s="60"/>
      <c r="R2222" s="53">
        <f>R2211*1.02</f>
        <v>41.164625395065762</v>
      </c>
      <c r="S2222" s="58" t="s">
        <v>238</v>
      </c>
      <c r="T2222" s="73" t="s">
        <v>241</v>
      </c>
      <c r="U2222" s="84">
        <f>U2211*1.01</f>
        <v>204.679471484522</v>
      </c>
      <c r="V2222" s="58" t="s">
        <v>238</v>
      </c>
      <c r="W2222" s="73" t="s">
        <v>241</v>
      </c>
      <c r="X2222" s="84">
        <f>X2211*1.01</f>
        <v>491.30952034779233</v>
      </c>
      <c r="Y2222" s="58" t="s">
        <v>238</v>
      </c>
      <c r="Z2222" s="73" t="s">
        <v>241</v>
      </c>
      <c r="AA2222" s="84">
        <f>AA2211*1.01</f>
        <v>938.08993347308888</v>
      </c>
      <c r="AB2222" s="58" t="s">
        <v>238</v>
      </c>
      <c r="AC2222" s="73" t="s">
        <v>241</v>
      </c>
      <c r="AD2222" s="84">
        <f>AD2211*1.01</f>
        <v>1542.8125563412523</v>
      </c>
      <c r="AE2222" s="58" t="s">
        <v>238</v>
      </c>
      <c r="AF2222" s="73" t="s">
        <v>241</v>
      </c>
      <c r="AG2222" s="84">
        <f>AG2211*1.01</f>
        <v>2297.0376628610243</v>
      </c>
      <c r="AH2222" s="58" t="s">
        <v>238</v>
      </c>
      <c r="AI2222" s="73" t="s">
        <v>241</v>
      </c>
      <c r="AJ2222" s="84">
        <f>AJ2211*1.01</f>
        <v>3065.405665708975</v>
      </c>
      <c r="AK2222" s="58" t="s">
        <v>238</v>
      </c>
      <c r="AL2222" s="73" t="s">
        <v>241</v>
      </c>
      <c r="AM2222" s="84">
        <f>AM2211*1.01</f>
        <v>3740.3774616981586</v>
      </c>
      <c r="AN2222" s="58" t="s">
        <v>238</v>
      </c>
      <c r="AO2222" s="73" t="s">
        <v>241</v>
      </c>
      <c r="AP2222" s="84">
        <f>AP2211*1.01</f>
        <v>4342.4621143971999</v>
      </c>
      <c r="AQ2222" s="58" t="s">
        <v>238</v>
      </c>
      <c r="AR2222" s="73" t="s">
        <v>241</v>
      </c>
      <c r="AS2222" s="84">
        <f>AS2211*1.01</f>
        <v>4942.1269529315859</v>
      </c>
      <c r="AT2222" s="58" t="s">
        <v>238</v>
      </c>
      <c r="AU2222" s="73" t="s">
        <v>241</v>
      </c>
    </row>
    <row r="2223" spans="15:47" ht="13" x14ac:dyDescent="0.25">
      <c r="O2223" s="6"/>
      <c r="P2223" s="6"/>
      <c r="Q2223" s="60"/>
      <c r="R2223" s="70"/>
      <c r="S2223" s="63" t="s">
        <v>250</v>
      </c>
      <c r="T2223" s="71" t="s">
        <v>242</v>
      </c>
      <c r="U2223" s="61"/>
      <c r="V2223" s="63" t="s">
        <v>250</v>
      </c>
      <c r="W2223" s="71" t="s">
        <v>242</v>
      </c>
      <c r="X2223" s="61"/>
      <c r="Y2223" s="63" t="s">
        <v>250</v>
      </c>
      <c r="Z2223" s="71" t="s">
        <v>242</v>
      </c>
      <c r="AA2223" s="61"/>
      <c r="AB2223" s="63" t="s">
        <v>250</v>
      </c>
      <c r="AC2223" s="71" t="s">
        <v>242</v>
      </c>
      <c r="AD2223" s="61"/>
      <c r="AE2223" s="63" t="s">
        <v>250</v>
      </c>
      <c r="AF2223" s="71" t="s">
        <v>242</v>
      </c>
      <c r="AG2223" s="61"/>
      <c r="AH2223" s="63" t="s">
        <v>250</v>
      </c>
      <c r="AI2223" s="71" t="s">
        <v>242</v>
      </c>
      <c r="AJ2223" s="61"/>
      <c r="AK2223" s="63" t="s">
        <v>250</v>
      </c>
      <c r="AL2223" s="71" t="s">
        <v>242</v>
      </c>
      <c r="AM2223" s="61"/>
      <c r="AN2223" s="63" t="s">
        <v>250</v>
      </c>
      <c r="AO2223" s="71" t="s">
        <v>242</v>
      </c>
      <c r="AP2223" s="61"/>
      <c r="AQ2223" s="63" t="s">
        <v>250</v>
      </c>
      <c r="AR2223" s="71" t="s">
        <v>242</v>
      </c>
      <c r="AS2223" s="61"/>
      <c r="AT2223" s="63" t="s">
        <v>250</v>
      </c>
      <c r="AU2223" s="71" t="s">
        <v>242</v>
      </c>
    </row>
    <row r="2224" spans="15:47" ht="13" x14ac:dyDescent="0.3">
      <c r="O2224" s="6" t="s">
        <v>231</v>
      </c>
      <c r="P2224" s="6"/>
      <c r="Q2224" s="60"/>
      <c r="R2224" s="85">
        <f>P_1_minQ-(R2222^2*R_up)+dpup_minQ</f>
        <v>56.858915015740763</v>
      </c>
      <c r="S2224" s="56"/>
      <c r="T2224" s="72"/>
      <c r="U2224" s="53">
        <f>P_1_minQ-(U2222^2*R_up)+dpup_minQ</f>
        <v>55.501293953151531</v>
      </c>
      <c r="V2224" s="44"/>
      <c r="W2224" s="72"/>
      <c r="X2224" s="53">
        <f>P_1_minQ-(X2222^2*R_up)+dpup_minQ</f>
        <v>48.763997136630266</v>
      </c>
      <c r="Y2224" s="44"/>
      <c r="Z2224" s="72"/>
      <c r="AA2224" s="53">
        <f>P_1_minQ-(AA2222^2*R_up)+dpup_minQ</f>
        <v>27.196024205216336</v>
      </c>
      <c r="AB2224" s="44"/>
      <c r="AC2224" s="72"/>
      <c r="AD2224" s="53">
        <f>P_1_minQ-(AD2222^2*R_up)+dpup_minQ</f>
        <v>-23.471245660392771</v>
      </c>
      <c r="AE2224" s="44"/>
      <c r="AF2224" s="72"/>
      <c r="AG2224" s="53">
        <f>P_1_minQ-(AG2222^2*R_up)+dpup_minQ</f>
        <v>-121.27980495109887</v>
      </c>
      <c r="AH2224" s="44"/>
      <c r="AI2224" s="72"/>
      <c r="AJ2224" s="53">
        <f>P_1_minQ-(AJ2222^2*R_up)+dpup_minQ</f>
        <v>-260.43312716517005</v>
      </c>
      <c r="AK2224" s="44"/>
      <c r="AL2224" s="72"/>
      <c r="AM2224" s="53">
        <f>P_1_minQ-(AM2222^2*R_up)+dpup_minQ</f>
        <v>-415.57367632487546</v>
      </c>
      <c r="AN2224" s="44"/>
      <c r="AO2224" s="72"/>
      <c r="AP2224" s="53">
        <f>P_1_minQ-(AP2222^2*R_up)+dpup_minQ</f>
        <v>-579.9287475506585</v>
      </c>
      <c r="AQ2224" s="44"/>
      <c r="AR2224" s="72"/>
      <c r="AS2224" s="53">
        <f>P_1_minQ-(AS2222^2*R_up)+dpup_minQ</f>
        <v>-767.96122319800213</v>
      </c>
      <c r="AT2224" s="44"/>
      <c r="AU2224" s="72"/>
    </row>
    <row r="2225" spans="15:47" ht="13" x14ac:dyDescent="0.3">
      <c r="O2225" s="6" t="s">
        <v>233</v>
      </c>
      <c r="P2225" s="6"/>
      <c r="Q2225" s="60"/>
      <c r="R2225" s="85">
        <f>P_2_minQ+(R2222^2*R_dn)-dpdn_minQ</f>
        <v>24.66821699685185</v>
      </c>
      <c r="S2225" s="66"/>
      <c r="T2225" s="74"/>
      <c r="U2225" s="53">
        <f>P_2_minQ+(U2222^2*R_dn)-dpdn_minQ</f>
        <v>24.939741209369696</v>
      </c>
      <c r="V2225" s="45"/>
      <c r="W2225" s="74"/>
      <c r="X2225" s="53">
        <f>P_2_minQ+(X2222^2*R_dn)-dpdn_minQ</f>
        <v>26.287200572673949</v>
      </c>
      <c r="Y2225" s="45"/>
      <c r="Z2225" s="74"/>
      <c r="AA2225" s="53">
        <f>P_2_minQ+(AA2222^2*R_dn)-dpdn_minQ</f>
        <v>30.600795158956732</v>
      </c>
      <c r="AB2225" s="45"/>
      <c r="AC2225" s="74"/>
      <c r="AD2225" s="53">
        <f>P_2_minQ+(AD2222^2*R_dn)-dpdn_minQ</f>
        <v>40.73424913207856</v>
      </c>
      <c r="AE2225" s="45"/>
      <c r="AF2225" s="74"/>
      <c r="AG2225" s="53">
        <f>P_2_minQ+(AG2222^2*R_dn)-dpdn_minQ</f>
        <v>60.295960990219776</v>
      </c>
      <c r="AH2225" s="45"/>
      <c r="AI2225" s="74"/>
      <c r="AJ2225" s="53">
        <f>P_2_minQ+(AJ2222^2*R_dn)-dpdn_minQ</f>
        <v>88.126625433034008</v>
      </c>
      <c r="AK2225" s="45"/>
      <c r="AL2225" s="74"/>
      <c r="AM2225" s="53">
        <f>P_2_minQ+(AM2222^2*R_dn)-dpdn_minQ</f>
        <v>119.15473526497509</v>
      </c>
      <c r="AN2225" s="45"/>
      <c r="AO2225" s="74"/>
      <c r="AP2225" s="53">
        <f>P_2_minQ+(AP2222^2*R_dn)-dpdn_minQ</f>
        <v>152.0257495101317</v>
      </c>
      <c r="AQ2225" s="45"/>
      <c r="AR2225" s="74"/>
      <c r="AS2225" s="53">
        <f>P_2_minQ+(AS2222^2*R_dn)-dpdn_minQ</f>
        <v>189.63224463960043</v>
      </c>
      <c r="AT2225" s="45"/>
      <c r="AU2225" s="74"/>
    </row>
    <row r="2226" spans="15:47" x14ac:dyDescent="0.25">
      <c r="O2226" s="6" t="s">
        <v>243</v>
      </c>
      <c r="Q2226" s="60"/>
      <c r="R2226" s="53">
        <f>R2224-R2225</f>
        <v>32.190698018888909</v>
      </c>
      <c r="S2226" s="56"/>
      <c r="T2226" s="72"/>
      <c r="U2226" s="64">
        <f>U2224-U2225</f>
        <v>30.561552743781835</v>
      </c>
      <c r="V2226" s="44"/>
      <c r="W2226" s="72"/>
      <c r="X2226" s="64">
        <f>X2224-X2225</f>
        <v>22.476796563956317</v>
      </c>
      <c r="Y2226" s="44"/>
      <c r="Z2226" s="72"/>
      <c r="AA2226" s="64">
        <f>AA2224-AA2225</f>
        <v>-3.4047709537403961</v>
      </c>
      <c r="AB2226" s="44"/>
      <c r="AC2226" s="72"/>
      <c r="AD2226" s="64">
        <f>AD2224-AD2225</f>
        <v>-64.205494792471328</v>
      </c>
      <c r="AE2226" s="44"/>
      <c r="AF2226" s="72"/>
      <c r="AG2226" s="64">
        <f>AG2224-AG2225</f>
        <v>-181.57576594131865</v>
      </c>
      <c r="AH2226" s="44"/>
      <c r="AI2226" s="72"/>
      <c r="AJ2226" s="64">
        <f>AJ2224-AJ2225</f>
        <v>-348.55975259820406</v>
      </c>
      <c r="AK2226" s="44"/>
      <c r="AL2226" s="72"/>
      <c r="AM2226" s="64">
        <f>AM2224-AM2225</f>
        <v>-534.72841158985057</v>
      </c>
      <c r="AN2226" s="44"/>
      <c r="AO2226" s="72"/>
      <c r="AP2226" s="64">
        <f>AP2224-AP2225</f>
        <v>-731.95449706079023</v>
      </c>
      <c r="AQ2226" s="44"/>
      <c r="AR2226" s="72"/>
      <c r="AS2226" s="64">
        <f>AS2224-AS2225</f>
        <v>-957.59346783760259</v>
      </c>
      <c r="AT2226" s="44"/>
      <c r="AU2226" s="72"/>
    </row>
    <row r="2227" spans="15:47" ht="13" x14ac:dyDescent="0.3">
      <c r="O2227" s="6" t="s">
        <v>75</v>
      </c>
      <c r="P2227" s="6">
        <v>3</v>
      </c>
      <c r="Q2227" s="65"/>
      <c r="R2227" s="85">
        <f>(F_LP_h/F_P_h)^2*(R2224-('Valve Sizing'!$V$4*'Valve Sizing'!$G$7))</f>
        <v>46.717775305497447</v>
      </c>
      <c r="S2227" s="58"/>
      <c r="T2227" s="73"/>
      <c r="U2227" s="53">
        <f>(U$29/U$27)^2*(U2224-('Valve Sizing'!$V$4*'Valve Sizing'!$G$7))</f>
        <v>45.581166874083863</v>
      </c>
      <c r="V2227" s="41"/>
      <c r="W2227" s="73"/>
      <c r="X2227" s="53">
        <f>(X$29/X$27)^2*(X2224-('Valve Sizing'!$V$4*'Valve Sizing'!$G$7))</f>
        <v>39.101487889727288</v>
      </c>
      <c r="Y2227" s="41"/>
      <c r="Z2227" s="73"/>
      <c r="AA2227" s="53">
        <f>(AA$29/AA$27)^2*(AA2224-('Valve Sizing'!$V$4*'Valve Sizing'!$G$7))</f>
        <v>20.676936593841965</v>
      </c>
      <c r="AB2227" s="41"/>
      <c r="AC2227" s="73"/>
      <c r="AD2227" s="53">
        <f>(AD$29/AD$27)^2*(AD2224-('Valve Sizing'!$V$4*'Valve Sizing'!$G$7))</f>
        <v>-17.244530850287269</v>
      </c>
      <c r="AE2227" s="41"/>
      <c r="AF2227" s="73"/>
      <c r="AG2227" s="53">
        <f>(AG$29/AG$27)^2*(AG2224-('Valve Sizing'!$V$4*'Valve Sizing'!$G$7))</f>
        <v>-78.392941259286786</v>
      </c>
      <c r="AH2227" s="41"/>
      <c r="AI2227" s="73"/>
      <c r="AJ2227" s="53">
        <f>(AJ$29/AJ$27)^2*(AJ2224-('Valve Sizing'!$V$4*'Valve Sizing'!$G$7))</f>
        <v>-150.87974615102547</v>
      </c>
      <c r="AK2227" s="41"/>
      <c r="AL2227" s="73"/>
      <c r="AM2227" s="53">
        <f>(AM$29/AM$27)^2*(AM2224-('Valve Sizing'!$V$4*'Valve Sizing'!$G$7))</f>
        <v>-199.05098544422879</v>
      </c>
      <c r="AN2227" s="41"/>
      <c r="AO2227" s="73"/>
      <c r="AP2227" s="53">
        <f>(AP$29/AP$27)^2*(AP2224-('Valve Sizing'!$V$4*'Valve Sizing'!$G$7))</f>
        <v>-229.02910030160294</v>
      </c>
      <c r="AQ2227" s="41"/>
      <c r="AR2227" s="73"/>
      <c r="AS2227" s="53">
        <f>(AS$29/AS$27)^2*(AS2224-('Valve Sizing'!$V$4*'Valve Sizing'!$G$7))</f>
        <v>-289.02706797569107</v>
      </c>
      <c r="AT2227" s="41"/>
      <c r="AU2227" s="73"/>
    </row>
    <row r="2228" spans="15:47" ht="13" x14ac:dyDescent="0.25">
      <c r="O2228" s="1" t="s">
        <v>69</v>
      </c>
      <c r="P2228" s="17">
        <v>7</v>
      </c>
      <c r="Q2228" s="65"/>
      <c r="R2228" s="53">
        <f>(R2222/(N_1*F_P_h))*SQRT('Valve Sizing'!$G$6/R2226)</f>
        <v>7.2564214639632416</v>
      </c>
      <c r="S2228" s="58"/>
      <c r="T2228" s="73"/>
      <c r="U2228" s="64">
        <f>(U2222/(N_1*U$27))*SQRT('Valve Sizing'!$G$6/U2226)</f>
        <v>37.055463461664559</v>
      </c>
      <c r="V2228" s="41"/>
      <c r="W2228" s="73"/>
      <c r="X2228" s="64">
        <f>(X2222/(N_1*X$27))*SQRT('Valve Sizing'!$G$6/X2226)</f>
        <v>103.95090867151919</v>
      </c>
      <c r="Y2228" s="41"/>
      <c r="Z2228" s="73"/>
      <c r="AA2228" s="64" t="e">
        <f>(AA2222/(N_1*AA$27))*SQRT('Valve Sizing'!$G$6/AA2226)</f>
        <v>#NUM!</v>
      </c>
      <c r="AB2228" s="41"/>
      <c r="AC2228" s="73"/>
      <c r="AD2228" s="64" t="e">
        <f>(AD2222/(N_1*AD$27))*SQRT('Valve Sizing'!$G$6/AD2226)</f>
        <v>#NUM!</v>
      </c>
      <c r="AE2228" s="41"/>
      <c r="AF2228" s="73"/>
      <c r="AG2228" s="64" t="e">
        <f>(AG2222/(N_1*AG$27))*SQRT('Valve Sizing'!$G$6/AG2226)</f>
        <v>#NUM!</v>
      </c>
      <c r="AH2228" s="41"/>
      <c r="AI2228" s="73"/>
      <c r="AJ2228" s="64" t="e">
        <f>(AJ2222/(N_1*AJ$27))*SQRT('Valve Sizing'!$G$6/AJ2226)</f>
        <v>#NUM!</v>
      </c>
      <c r="AK2228" s="41"/>
      <c r="AL2228" s="73"/>
      <c r="AM2228" s="64" t="e">
        <f>(AM2222/(N_1*AM$27))*SQRT('Valve Sizing'!$G$6/AM2226)</f>
        <v>#NUM!</v>
      </c>
      <c r="AN2228" s="41"/>
      <c r="AO2228" s="73"/>
      <c r="AP2228" s="64" t="e">
        <f>(AP2222/(N_1*AP$27))*SQRT('Valve Sizing'!$G$6/AP2226)</f>
        <v>#NUM!</v>
      </c>
      <c r="AQ2228" s="41"/>
      <c r="AR2228" s="73"/>
      <c r="AS2228" s="64" t="e">
        <f>(AS2222/(N_1*AS$27))*SQRT('Valve Sizing'!$G$6/AS2226)</f>
        <v>#NUM!</v>
      </c>
      <c r="AT2228" s="41"/>
      <c r="AU2228" s="73"/>
    </row>
    <row r="2229" spans="15:47" ht="13" x14ac:dyDescent="0.3">
      <c r="O2229" s="1" t="s">
        <v>72</v>
      </c>
      <c r="P2229" s="17">
        <v>7</v>
      </c>
      <c r="Q2229" s="65"/>
      <c r="R2229" s="53">
        <f>(R2222/(N_1*F_P_h))*SQRT('Valve Sizing'!$G$6/R2227)</f>
        <v>6.0234681665390761</v>
      </c>
      <c r="S2229" s="56"/>
      <c r="T2229" s="72"/>
      <c r="U2229" s="85">
        <f>(U2222/(N_1*U$27))*SQRT('Valve Sizing'!$G$6/U2227)</f>
        <v>30.342211961157417</v>
      </c>
      <c r="V2229" s="44"/>
      <c r="W2229" s="72"/>
      <c r="X2229" s="85">
        <f>(X2222/(N_1*X$27))*SQRT('Valve Sizing'!$G$6/X2227)</f>
        <v>78.813180844175193</v>
      </c>
      <c r="Y2229" s="44"/>
      <c r="Z2229" s="72"/>
      <c r="AA2229" s="85">
        <f>(AA2222/(N_1*AA$27))*SQRT('Valve Sizing'!$G$6/AA2227)</f>
        <v>208.12920264030316</v>
      </c>
      <c r="AB2229" s="44"/>
      <c r="AC2229" s="72"/>
      <c r="AD2229" s="85" t="e">
        <f>(AD2222/(N_1*AD$27))*SQRT('Valve Sizing'!$G$6/AD2227)</f>
        <v>#NUM!</v>
      </c>
      <c r="AE2229" s="44"/>
      <c r="AF2229" s="72"/>
      <c r="AG2229" s="85" t="e">
        <f>(AG2222/(N_1*AG$27))*SQRT('Valve Sizing'!$G$6/AG2227)</f>
        <v>#NUM!</v>
      </c>
      <c r="AH2229" s="44"/>
      <c r="AI2229" s="72"/>
      <c r="AJ2229" s="85" t="e">
        <f>(AJ2222/(N_1*AJ$27))*SQRT('Valve Sizing'!$G$6/AJ2227)</f>
        <v>#NUM!</v>
      </c>
      <c r="AK2229" s="44"/>
      <c r="AL2229" s="72"/>
      <c r="AM2229" s="85" t="e">
        <f>(AM2222/(N_1*AM$27))*SQRT('Valve Sizing'!$G$6/AM2227)</f>
        <v>#NUM!</v>
      </c>
      <c r="AN2229" s="44"/>
      <c r="AO2229" s="72"/>
      <c r="AP2229" s="85" t="e">
        <f>(AP2222/(N_1*AP$27))*SQRT('Valve Sizing'!$G$6/AP2227)</f>
        <v>#NUM!</v>
      </c>
      <c r="AQ2229" s="44"/>
      <c r="AR2229" s="72"/>
      <c r="AS2229" s="85" t="e">
        <f>(AS2222/(N_1*AS$27))*SQRT('Valve Sizing'!$G$6/AS2227)</f>
        <v>#NUM!</v>
      </c>
      <c r="AT2229" s="44"/>
      <c r="AU2229" s="72"/>
    </row>
    <row r="2230" spans="15:47" x14ac:dyDescent="0.25">
      <c r="O2230" s="1" t="s">
        <v>246</v>
      </c>
      <c r="P2230" s="18"/>
      <c r="Q2230" s="65"/>
      <c r="R2230" s="53">
        <f>IF(R2226&lt;R2227,R2228,R2229)</f>
        <v>7.2564214639632416</v>
      </c>
      <c r="S2230" s="49"/>
      <c r="T2230" s="72"/>
      <c r="U2230" s="64">
        <f>IF(U2226&lt;U2227,U2228,U2229)</f>
        <v>37.055463461664559</v>
      </c>
      <c r="V2230" s="44"/>
      <c r="W2230" s="72"/>
      <c r="X2230" s="64">
        <f>IF(X2226&lt;X2227,X2228,X2229)</f>
        <v>103.95090867151919</v>
      </c>
      <c r="Y2230" s="44"/>
      <c r="Z2230" s="72"/>
      <c r="AA2230" s="64" t="e">
        <f>IF(AA2226&lt;AA2227,AA2228,AA2229)</f>
        <v>#NUM!</v>
      </c>
      <c r="AB2230" s="44"/>
      <c r="AC2230" s="72"/>
      <c r="AD2230" s="64" t="e">
        <f>IF(AD2226&lt;AD2227,AD2228,AD2229)</f>
        <v>#NUM!</v>
      </c>
      <c r="AE2230" s="44"/>
      <c r="AF2230" s="72"/>
      <c r="AG2230" s="64" t="e">
        <f>IF(AG2226&lt;AG2227,AG2228,AG2229)</f>
        <v>#NUM!</v>
      </c>
      <c r="AH2230" s="44"/>
      <c r="AI2230" s="72"/>
      <c r="AJ2230" s="64" t="e">
        <f>IF(AJ2226&lt;AJ2227,AJ2228,AJ2229)</f>
        <v>#NUM!</v>
      </c>
      <c r="AK2230" s="44"/>
      <c r="AL2230" s="72"/>
      <c r="AM2230" s="64" t="e">
        <f>IF(AM2226&lt;AM2227,AM2228,AM2229)</f>
        <v>#NUM!</v>
      </c>
      <c r="AN2230" s="44"/>
      <c r="AO2230" s="72"/>
      <c r="AP2230" s="64" t="e">
        <f>IF(AP2226&lt;AP2227,AP2228,AP2229)</f>
        <v>#NUM!</v>
      </c>
      <c r="AQ2230" s="44"/>
      <c r="AR2230" s="72"/>
      <c r="AS2230" s="64" t="e">
        <f>IF(AS2226&lt;AS2227,AS2228,AS2229)</f>
        <v>#NUM!</v>
      </c>
      <c r="AT2230" s="44"/>
      <c r="AU2230" s="72"/>
    </row>
    <row r="2231" spans="15:47" ht="13" x14ac:dyDescent="0.3">
      <c r="O2231" s="7" t="s">
        <v>264</v>
      </c>
      <c r="Q2231" s="61"/>
      <c r="R2231" s="53"/>
      <c r="S2231" s="69">
        <f>IFERROR(ABS(C_h-R2230),Q_max*10)</f>
        <v>2.2564214639632416</v>
      </c>
      <c r="T2231" s="76">
        <f>R2222</f>
        <v>41.164625395065762</v>
      </c>
      <c r="U2231" s="61"/>
      <c r="V2231" s="69">
        <f>IFERROR(ABS(U$23-U2230),Q_max*10)</f>
        <v>25.055463461664559</v>
      </c>
      <c r="W2231" s="75">
        <f>U2222</f>
        <v>204.679471484522</v>
      </c>
      <c r="X2231" s="61"/>
      <c r="Y2231" s="69">
        <f>IFERROR(ABS(X$23-X2230),Q_max*10)</f>
        <v>80.950908671519187</v>
      </c>
      <c r="Z2231" s="75">
        <f>X2222</f>
        <v>491.30952034779233</v>
      </c>
      <c r="AA2231" s="61"/>
      <c r="AB2231" s="69">
        <f>IFERROR(ABS(AA$23-AA2230),Q_max*10)</f>
        <v>5500</v>
      </c>
      <c r="AC2231" s="75">
        <f>AA2222</f>
        <v>938.08993347308888</v>
      </c>
      <c r="AD2231" s="61"/>
      <c r="AE2231" s="69">
        <f>IFERROR(ABS(AD$23-AD2230),Q_max*10)</f>
        <v>5500</v>
      </c>
      <c r="AF2231" s="75">
        <f>AD2222</f>
        <v>1542.8125563412523</v>
      </c>
      <c r="AG2231" s="61"/>
      <c r="AH2231" s="69">
        <f>IFERROR(ABS(AG$23-AG2230),Q_max*10)</f>
        <v>5500</v>
      </c>
      <c r="AI2231" s="75">
        <f>AG2222</f>
        <v>2297.0376628610243</v>
      </c>
      <c r="AJ2231" s="61"/>
      <c r="AK2231" s="69">
        <f>IFERROR(ABS(AJ$23-AJ2230),Q_max*10)</f>
        <v>5500</v>
      </c>
      <c r="AL2231" s="75">
        <f>AJ2222</f>
        <v>3065.405665708975</v>
      </c>
      <c r="AM2231" s="61"/>
      <c r="AN2231" s="69">
        <f>IFERROR(ABS(AM$23-AM2230),Q_max*10)</f>
        <v>5500</v>
      </c>
      <c r="AO2231" s="75">
        <f>AM2222</f>
        <v>3740.3774616981586</v>
      </c>
      <c r="AP2231" s="61"/>
      <c r="AQ2231" s="69">
        <f>IFERROR(ABS(AP$23-AP2230),Q_max*10)</f>
        <v>5500</v>
      </c>
      <c r="AR2231" s="75">
        <f>AP2222</f>
        <v>4342.4621143971999</v>
      </c>
      <c r="AS2231" s="61"/>
      <c r="AT2231" s="69">
        <f>IFERROR(ABS(AS$23-AS2230),Q_max*10)</f>
        <v>5500</v>
      </c>
      <c r="AU2231" s="75">
        <f>AS2222</f>
        <v>4942.1269529315859</v>
      </c>
    </row>
    <row r="2232" spans="15:47" ht="14.5" x14ac:dyDescent="0.35">
      <c r="O2232" s="6"/>
      <c r="P2232" s="6"/>
      <c r="Q2232" s="60"/>
      <c r="R2232" s="67"/>
      <c r="S2232" s="56"/>
      <c r="T2232" s="72"/>
      <c r="V2232" s="11"/>
      <c r="W2232" s="38"/>
      <c r="Y2232" s="11"/>
      <c r="Z2232" s="38"/>
      <c r="AB2232" s="11"/>
      <c r="AC2232" s="38"/>
      <c r="AE2232" s="11"/>
      <c r="AF2232" s="38"/>
      <c r="AH2232" s="11"/>
      <c r="AI2232" s="38"/>
      <c r="AK2232" s="11"/>
      <c r="AL2232" s="38"/>
      <c r="AN2232" s="11"/>
      <c r="AO2232" s="38"/>
      <c r="AQ2232" s="11"/>
      <c r="AR2232" s="38"/>
      <c r="AT2232" s="11"/>
      <c r="AU2232" s="38"/>
    </row>
    <row r="2233" spans="15:47" ht="14" x14ac:dyDescent="0.3">
      <c r="O2233" s="8" t="s">
        <v>235</v>
      </c>
      <c r="P2233" s="6"/>
      <c r="Q2233" s="60"/>
      <c r="R2233" s="53">
        <f>R2222*1.02</f>
        <v>41.987917902967077</v>
      </c>
      <c r="S2233" s="58" t="s">
        <v>238</v>
      </c>
      <c r="T2233" s="73" t="s">
        <v>241</v>
      </c>
      <c r="U2233" s="84">
        <f>U2222*1.01</f>
        <v>206.72626619936722</v>
      </c>
      <c r="V2233" s="58" t="s">
        <v>238</v>
      </c>
      <c r="W2233" s="73" t="s">
        <v>241</v>
      </c>
      <c r="X2233" s="84">
        <f>X2222*1.01</f>
        <v>496.22261555127028</v>
      </c>
      <c r="Y2233" s="58" t="s">
        <v>238</v>
      </c>
      <c r="Z2233" s="73" t="s">
        <v>241</v>
      </c>
      <c r="AA2233" s="84">
        <f>AA2222*1.01</f>
        <v>947.47083280781976</v>
      </c>
      <c r="AB2233" s="58" t="s">
        <v>238</v>
      </c>
      <c r="AC2233" s="73" t="s">
        <v>241</v>
      </c>
      <c r="AD2233" s="84">
        <f>AD2222*1.01</f>
        <v>1558.2406819046648</v>
      </c>
      <c r="AE2233" s="58" t="s">
        <v>238</v>
      </c>
      <c r="AF2233" s="73" t="s">
        <v>241</v>
      </c>
      <c r="AG2233" s="84">
        <f>AG2222*1.01</f>
        <v>2320.0080394896345</v>
      </c>
      <c r="AH2233" s="58" t="s">
        <v>238</v>
      </c>
      <c r="AI2233" s="73" t="s">
        <v>241</v>
      </c>
      <c r="AJ2233" s="84">
        <f>AJ2222*1.01</f>
        <v>3096.0597223660648</v>
      </c>
      <c r="AK2233" s="58" t="s">
        <v>238</v>
      </c>
      <c r="AL2233" s="73" t="s">
        <v>241</v>
      </c>
      <c r="AM2233" s="84">
        <f>AM2222*1.01</f>
        <v>3777.7812363151402</v>
      </c>
      <c r="AN2233" s="58" t="s">
        <v>238</v>
      </c>
      <c r="AO2233" s="73" t="s">
        <v>241</v>
      </c>
      <c r="AP2233" s="84">
        <f>AP2222*1.01</f>
        <v>4385.8867355411721</v>
      </c>
      <c r="AQ2233" s="58" t="s">
        <v>238</v>
      </c>
      <c r="AR2233" s="73" t="s">
        <v>241</v>
      </c>
      <c r="AS2233" s="84">
        <f>AS2222*1.01</f>
        <v>4991.5482224609023</v>
      </c>
      <c r="AT2233" s="58" t="s">
        <v>238</v>
      </c>
      <c r="AU2233" s="73" t="s">
        <v>241</v>
      </c>
    </row>
    <row r="2234" spans="15:47" ht="13" x14ac:dyDescent="0.25">
      <c r="O2234" s="6"/>
      <c r="P2234" s="6"/>
      <c r="Q2234" s="60"/>
      <c r="R2234" s="70"/>
      <c r="S2234" s="63" t="s">
        <v>250</v>
      </c>
      <c r="T2234" s="71" t="s">
        <v>242</v>
      </c>
      <c r="U2234" s="61"/>
      <c r="V2234" s="63" t="s">
        <v>250</v>
      </c>
      <c r="W2234" s="71" t="s">
        <v>242</v>
      </c>
      <c r="X2234" s="61"/>
      <c r="Y2234" s="63" t="s">
        <v>250</v>
      </c>
      <c r="Z2234" s="71" t="s">
        <v>242</v>
      </c>
      <c r="AA2234" s="61"/>
      <c r="AB2234" s="63" t="s">
        <v>250</v>
      </c>
      <c r="AC2234" s="71" t="s">
        <v>242</v>
      </c>
      <c r="AD2234" s="61"/>
      <c r="AE2234" s="63" t="s">
        <v>250</v>
      </c>
      <c r="AF2234" s="71" t="s">
        <v>242</v>
      </c>
      <c r="AG2234" s="61"/>
      <c r="AH2234" s="63" t="s">
        <v>250</v>
      </c>
      <c r="AI2234" s="71" t="s">
        <v>242</v>
      </c>
      <c r="AJ2234" s="61"/>
      <c r="AK2234" s="63" t="s">
        <v>250</v>
      </c>
      <c r="AL2234" s="71" t="s">
        <v>242</v>
      </c>
      <c r="AM2234" s="61"/>
      <c r="AN2234" s="63" t="s">
        <v>250</v>
      </c>
      <c r="AO2234" s="71" t="s">
        <v>242</v>
      </c>
      <c r="AP2234" s="61"/>
      <c r="AQ2234" s="63" t="s">
        <v>250</v>
      </c>
      <c r="AR2234" s="71" t="s">
        <v>242</v>
      </c>
      <c r="AS2234" s="61"/>
      <c r="AT2234" s="63" t="s">
        <v>250</v>
      </c>
      <c r="AU2234" s="71" t="s">
        <v>242</v>
      </c>
    </row>
    <row r="2235" spans="15:47" ht="13" x14ac:dyDescent="0.3">
      <c r="O2235" s="6" t="s">
        <v>231</v>
      </c>
      <c r="P2235" s="6"/>
      <c r="Q2235" s="60"/>
      <c r="R2235" s="85">
        <f>P_1_minQ-(R2233^2*R_up)+dpup_minQ</f>
        <v>56.85660299730408</v>
      </c>
      <c r="S2235" s="56"/>
      <c r="T2235" s="72"/>
      <c r="U2235" s="53">
        <f>P_1_minQ-(U2233^2*R_up)+dpup_minQ</f>
        <v>55.472855483393054</v>
      </c>
      <c r="V2235" s="44"/>
      <c r="W2235" s="72"/>
      <c r="X2235" s="53">
        <f>P_1_minQ-(X2233^2*R_up)+dpup_minQ</f>
        <v>48.60013900085972</v>
      </c>
      <c r="Y2235" s="44"/>
      <c r="Z2235" s="72"/>
      <c r="AA2235" s="53">
        <f>P_1_minQ-(AA2233^2*R_up)+dpup_minQ</f>
        <v>26.598649813524368</v>
      </c>
      <c r="AB2235" s="44"/>
      <c r="AC2235" s="72"/>
      <c r="AD2235" s="53">
        <f>P_1_minQ-(AD2233^2*R_up)+dpup_minQ</f>
        <v>-25.087032176383477</v>
      </c>
      <c r="AE2235" s="44"/>
      <c r="AF2235" s="72"/>
      <c r="AG2235" s="53">
        <f>P_1_minQ-(AG2233^2*R_up)+dpup_minQ</f>
        <v>-124.86154350883274</v>
      </c>
      <c r="AH2235" s="44"/>
      <c r="AI2235" s="72"/>
      <c r="AJ2235" s="53">
        <f>P_1_minQ-(AJ2233^2*R_up)+dpup_minQ</f>
        <v>-266.81184749940678</v>
      </c>
      <c r="AK2235" s="44"/>
      <c r="AL2235" s="72"/>
      <c r="AM2235" s="53">
        <f>P_1_minQ-(AM2233^2*R_up)+dpup_minQ</f>
        <v>-425.07072169722221</v>
      </c>
      <c r="AN2235" s="44"/>
      <c r="AO2235" s="72"/>
      <c r="AP2235" s="53">
        <f>P_1_minQ-(AP2233^2*R_up)+dpup_minQ</f>
        <v>-592.72932985464377</v>
      </c>
      <c r="AQ2235" s="44"/>
      <c r="AR2235" s="72"/>
      <c r="AS2235" s="53">
        <f>P_1_minQ-(AS2233^2*R_up)+dpup_minQ</f>
        <v>-784.5412582624989</v>
      </c>
      <c r="AT2235" s="44"/>
      <c r="AU2235" s="72"/>
    </row>
    <row r="2236" spans="15:47" ht="13" x14ac:dyDescent="0.3">
      <c r="O2236" s="6" t="s">
        <v>233</v>
      </c>
      <c r="P2236" s="6"/>
      <c r="Q2236" s="60"/>
      <c r="R2236" s="85">
        <f>P_2_minQ+(R2233^2*R_dn)-dpdn_minQ</f>
        <v>24.668679400539187</v>
      </c>
      <c r="S2236" s="66"/>
      <c r="T2236" s="74"/>
      <c r="U2236" s="53">
        <f>P_2_minQ+(U2233^2*R_dn)-dpdn_minQ</f>
        <v>24.945428903321389</v>
      </c>
      <c r="V2236" s="45"/>
      <c r="W2236" s="74"/>
      <c r="X2236" s="53">
        <f>P_2_minQ+(X2233^2*R_dn)-dpdn_minQ</f>
        <v>26.319972199828058</v>
      </c>
      <c r="Y2236" s="45"/>
      <c r="Z2236" s="74"/>
      <c r="AA2236" s="53">
        <f>P_2_minQ+(AA2233^2*R_dn)-dpdn_minQ</f>
        <v>30.720270037295126</v>
      </c>
      <c r="AB2236" s="45"/>
      <c r="AC2236" s="74"/>
      <c r="AD2236" s="53">
        <f>P_2_minQ+(AD2233^2*R_dn)-dpdn_minQ</f>
        <v>41.057406435276704</v>
      </c>
      <c r="AE2236" s="45"/>
      <c r="AF2236" s="74"/>
      <c r="AG2236" s="53">
        <f>P_2_minQ+(AG2233^2*R_dn)-dpdn_minQ</f>
        <v>61.01230870176655</v>
      </c>
      <c r="AH2236" s="45"/>
      <c r="AI2236" s="74"/>
      <c r="AJ2236" s="53">
        <f>P_2_minQ+(AJ2233^2*R_dn)-dpdn_minQ</f>
        <v>89.402369499881345</v>
      </c>
      <c r="AK2236" s="45"/>
      <c r="AL2236" s="74"/>
      <c r="AM2236" s="53">
        <f>P_2_minQ+(AM2233^2*R_dn)-dpdn_minQ</f>
        <v>121.05414433944443</v>
      </c>
      <c r="AN2236" s="45"/>
      <c r="AO2236" s="74"/>
      <c r="AP2236" s="53">
        <f>P_2_minQ+(AP2233^2*R_dn)-dpdn_minQ</f>
        <v>154.58586597092872</v>
      </c>
      <c r="AQ2236" s="45"/>
      <c r="AR2236" s="74"/>
      <c r="AS2236" s="53">
        <f>P_2_minQ+(AS2233^2*R_dn)-dpdn_minQ</f>
        <v>192.94825165249981</v>
      </c>
      <c r="AT2236" s="45"/>
      <c r="AU2236" s="74"/>
    </row>
    <row r="2237" spans="15:47" x14ac:dyDescent="0.25">
      <c r="O2237" s="6" t="s">
        <v>243</v>
      </c>
      <c r="Q2237" s="60"/>
      <c r="R2237" s="53">
        <f>R2235-R2236</f>
        <v>32.18792359676489</v>
      </c>
      <c r="S2237" s="56"/>
      <c r="T2237" s="72"/>
      <c r="U2237" s="64">
        <f>U2235-U2236</f>
        <v>30.527426580071666</v>
      </c>
      <c r="V2237" s="44"/>
      <c r="W2237" s="72"/>
      <c r="X2237" s="64">
        <f>X2235-X2236</f>
        <v>22.280166801031662</v>
      </c>
      <c r="Y2237" s="44"/>
      <c r="Z2237" s="72"/>
      <c r="AA2237" s="64">
        <f>AA2235-AA2236</f>
        <v>-4.1216202237707584</v>
      </c>
      <c r="AB2237" s="44"/>
      <c r="AC2237" s="72"/>
      <c r="AD2237" s="64">
        <f>AD2235-AD2236</f>
        <v>-66.144438611660178</v>
      </c>
      <c r="AE2237" s="44"/>
      <c r="AF2237" s="72"/>
      <c r="AG2237" s="64">
        <f>AG2235-AG2236</f>
        <v>-185.8738522105993</v>
      </c>
      <c r="AH2237" s="44"/>
      <c r="AI2237" s="72"/>
      <c r="AJ2237" s="64">
        <f>AJ2235-AJ2236</f>
        <v>-356.21421699928811</v>
      </c>
      <c r="AK2237" s="44"/>
      <c r="AL2237" s="72"/>
      <c r="AM2237" s="64">
        <f>AM2235-AM2236</f>
        <v>-546.12486603666662</v>
      </c>
      <c r="AN2237" s="44"/>
      <c r="AO2237" s="72"/>
      <c r="AP2237" s="64">
        <f>AP2235-AP2236</f>
        <v>-747.31519582557246</v>
      </c>
      <c r="AQ2237" s="44"/>
      <c r="AR2237" s="72"/>
      <c r="AS2237" s="64">
        <f>AS2235-AS2236</f>
        <v>-977.48950991499873</v>
      </c>
      <c r="AT2237" s="44"/>
      <c r="AU2237" s="72"/>
    </row>
    <row r="2238" spans="15:47" ht="13" x14ac:dyDescent="0.3">
      <c r="O2238" s="6" t="s">
        <v>75</v>
      </c>
      <c r="P2238" s="6">
        <v>3</v>
      </c>
      <c r="Q2238" s="65"/>
      <c r="R2238" s="85">
        <f>(F_LP_h/F_P_h)^2*(R2235-('Valve Sizing'!$V$4*'Valve Sizing'!$G$7))</f>
        <v>46.715860832874164</v>
      </c>
      <c r="S2238" s="58"/>
      <c r="T2238" s="73"/>
      <c r="U2238" s="53">
        <f>(U$29/U$27)^2*(U2235-('Valve Sizing'!$V$4*'Valve Sizing'!$G$7))</f>
        <v>45.557624746751053</v>
      </c>
      <c r="V2238" s="41"/>
      <c r="W2238" s="73"/>
      <c r="X2238" s="53">
        <f>(X$29/X$27)^2*(X2235-('Valve Sizing'!$V$4*'Valve Sizing'!$G$7))</f>
        <v>38.968901495032547</v>
      </c>
      <c r="Y2238" s="41"/>
      <c r="Z2238" s="73"/>
      <c r="AA2238" s="53">
        <f>(AA$29/AA$27)^2*(AA2235-('Valve Sizing'!$V$4*'Valve Sizing'!$G$7))</f>
        <v>20.215287323834772</v>
      </c>
      <c r="AB2238" s="41"/>
      <c r="AC2238" s="73"/>
      <c r="AD2238" s="53">
        <f>(AD$29/AD$27)^2*(AD2235-('Valve Sizing'!$V$4*'Valve Sizing'!$G$7))</f>
        <v>-18.409815738304047</v>
      </c>
      <c r="AE2238" s="41"/>
      <c r="AF2238" s="73"/>
      <c r="AG2238" s="53">
        <f>(AG$29/AG$27)^2*(AG2235-('Valve Sizing'!$V$4*'Valve Sizing'!$G$7))</f>
        <v>-80.699738312114576</v>
      </c>
      <c r="AH2238" s="41"/>
      <c r="AI2238" s="73"/>
      <c r="AJ2238" s="53">
        <f>(AJ$29/AJ$27)^2*(AJ2235-('Valve Sizing'!$V$4*'Valve Sizing'!$G$7))</f>
        <v>-154.56897049736816</v>
      </c>
      <c r="AK2238" s="41"/>
      <c r="AL2238" s="73"/>
      <c r="AM2238" s="53">
        <f>(AM$29/AM$27)^2*(AM2235-('Valve Sizing'!$V$4*'Valve Sizing'!$G$7))</f>
        <v>-203.59505715557808</v>
      </c>
      <c r="AN2238" s="41"/>
      <c r="AO2238" s="73"/>
      <c r="AP2238" s="53">
        <f>(AP$29/AP$27)^2*(AP2235-('Valve Sizing'!$V$4*'Valve Sizing'!$G$7))</f>
        <v>-234.08055348456472</v>
      </c>
      <c r="AQ2238" s="41"/>
      <c r="AR2238" s="73"/>
      <c r="AS2238" s="53">
        <f>(AS$29/AS$27)^2*(AS2235-('Valve Sizing'!$V$4*'Valve Sizing'!$G$7))</f>
        <v>-295.2634955311201</v>
      </c>
      <c r="AT2238" s="41"/>
      <c r="AU2238" s="73"/>
    </row>
    <row r="2239" spans="15:47" ht="13" x14ac:dyDescent="0.25">
      <c r="O2239" s="1" t="s">
        <v>69</v>
      </c>
      <c r="P2239" s="17">
        <v>7</v>
      </c>
      <c r="Q2239" s="65"/>
      <c r="R2239" s="53">
        <f>(R2233/(N_1*F_P_h))*SQRT('Valve Sizing'!$G$6/R2237)</f>
        <v>7.4018688728317255</v>
      </c>
      <c r="S2239" s="58"/>
      <c r="T2239" s="73"/>
      <c r="U2239" s="64">
        <f>(U2233/(N_1*U$27))*SQRT('Valve Sizing'!$G$6/U2237)</f>
        <v>37.446931252422957</v>
      </c>
      <c r="V2239" s="41"/>
      <c r="W2239" s="73"/>
      <c r="X2239" s="64">
        <f>(X2233/(N_1*X$27))*SQRT('Valve Sizing'!$G$6/X2237)</f>
        <v>105.45268747501906</v>
      </c>
      <c r="Y2239" s="41"/>
      <c r="Z2239" s="73"/>
      <c r="AA2239" s="64" t="e">
        <f>(AA2233/(N_1*AA$27))*SQRT('Valve Sizing'!$G$6/AA2237)</f>
        <v>#NUM!</v>
      </c>
      <c r="AB2239" s="41"/>
      <c r="AC2239" s="73"/>
      <c r="AD2239" s="64" t="e">
        <f>(AD2233/(N_1*AD$27))*SQRT('Valve Sizing'!$G$6/AD2237)</f>
        <v>#NUM!</v>
      </c>
      <c r="AE2239" s="41"/>
      <c r="AF2239" s="73"/>
      <c r="AG2239" s="64" t="e">
        <f>(AG2233/(N_1*AG$27))*SQRT('Valve Sizing'!$G$6/AG2237)</f>
        <v>#NUM!</v>
      </c>
      <c r="AH2239" s="41"/>
      <c r="AI2239" s="73"/>
      <c r="AJ2239" s="64" t="e">
        <f>(AJ2233/(N_1*AJ$27))*SQRT('Valve Sizing'!$G$6/AJ2237)</f>
        <v>#NUM!</v>
      </c>
      <c r="AK2239" s="41"/>
      <c r="AL2239" s="73"/>
      <c r="AM2239" s="64" t="e">
        <f>(AM2233/(N_1*AM$27))*SQRT('Valve Sizing'!$G$6/AM2237)</f>
        <v>#NUM!</v>
      </c>
      <c r="AN2239" s="41"/>
      <c r="AO2239" s="73"/>
      <c r="AP2239" s="64" t="e">
        <f>(AP2233/(N_1*AP$27))*SQRT('Valve Sizing'!$G$6/AP2237)</f>
        <v>#NUM!</v>
      </c>
      <c r="AQ2239" s="41"/>
      <c r="AR2239" s="73"/>
      <c r="AS2239" s="64" t="e">
        <f>(AS2233/(N_1*AS$27))*SQRT('Valve Sizing'!$G$6/AS2237)</f>
        <v>#NUM!</v>
      </c>
      <c r="AT2239" s="41"/>
      <c r="AU2239" s="73"/>
    </row>
    <row r="2240" spans="15:47" ht="13" x14ac:dyDescent="0.3">
      <c r="O2240" s="1" t="s">
        <v>72</v>
      </c>
      <c r="P2240" s="17">
        <v>7</v>
      </c>
      <c r="Q2240" s="65"/>
      <c r="R2240" s="53">
        <f>(R2233/(N_1*F_P_h))*SQRT('Valve Sizing'!$G$6/R2238)</f>
        <v>6.1440634215850443</v>
      </c>
      <c r="S2240" s="56"/>
      <c r="T2240" s="72"/>
      <c r="U2240" s="85">
        <f>(U2233/(N_1*U$27))*SQRT('Valve Sizing'!$G$6/U2238)</f>
        <v>30.65355119939472</v>
      </c>
      <c r="V2240" s="44"/>
      <c r="W2240" s="72"/>
      <c r="X2240" s="85">
        <f>(X2233/(N_1*X$27))*SQRT('Valve Sizing'!$G$6/X2238)</f>
        <v>79.736613991776053</v>
      </c>
      <c r="Y2240" s="44"/>
      <c r="Z2240" s="72"/>
      <c r="AA2240" s="85">
        <f>(AA2233/(N_1*AA$27))*SQRT('Valve Sizing'!$G$6/AA2238)</f>
        <v>212.5971963775435</v>
      </c>
      <c r="AB2240" s="44"/>
      <c r="AC2240" s="72"/>
      <c r="AD2240" s="85" t="e">
        <f>(AD2233/(N_1*AD$27))*SQRT('Valve Sizing'!$G$6/AD2238)</f>
        <v>#NUM!</v>
      </c>
      <c r="AE2240" s="44"/>
      <c r="AF2240" s="72"/>
      <c r="AG2240" s="85" t="e">
        <f>(AG2233/(N_1*AG$27))*SQRT('Valve Sizing'!$G$6/AG2238)</f>
        <v>#NUM!</v>
      </c>
      <c r="AH2240" s="44"/>
      <c r="AI2240" s="72"/>
      <c r="AJ2240" s="85" t="e">
        <f>(AJ2233/(N_1*AJ$27))*SQRT('Valve Sizing'!$G$6/AJ2238)</f>
        <v>#NUM!</v>
      </c>
      <c r="AK2240" s="44"/>
      <c r="AL2240" s="72"/>
      <c r="AM2240" s="85" t="e">
        <f>(AM2233/(N_1*AM$27))*SQRT('Valve Sizing'!$G$6/AM2238)</f>
        <v>#NUM!</v>
      </c>
      <c r="AN2240" s="44"/>
      <c r="AO2240" s="72"/>
      <c r="AP2240" s="85" t="e">
        <f>(AP2233/(N_1*AP$27))*SQRT('Valve Sizing'!$G$6/AP2238)</f>
        <v>#NUM!</v>
      </c>
      <c r="AQ2240" s="44"/>
      <c r="AR2240" s="72"/>
      <c r="AS2240" s="85" t="e">
        <f>(AS2233/(N_1*AS$27))*SQRT('Valve Sizing'!$G$6/AS2238)</f>
        <v>#NUM!</v>
      </c>
      <c r="AT2240" s="44"/>
      <c r="AU2240" s="72"/>
    </row>
    <row r="2241" spans="15:47" x14ac:dyDescent="0.25">
      <c r="O2241" s="1" t="s">
        <v>246</v>
      </c>
      <c r="P2241" s="18"/>
      <c r="Q2241" s="65"/>
      <c r="R2241" s="53">
        <f>IF(R2237&lt;R2238,R2239,R2240)</f>
        <v>7.4018688728317255</v>
      </c>
      <c r="S2241" s="49"/>
      <c r="T2241" s="72"/>
      <c r="U2241" s="64">
        <f>IF(U2237&lt;U2238,U2239,U2240)</f>
        <v>37.446931252422957</v>
      </c>
      <c r="V2241" s="44"/>
      <c r="W2241" s="72"/>
      <c r="X2241" s="64">
        <f>IF(X2237&lt;X2238,X2239,X2240)</f>
        <v>105.45268747501906</v>
      </c>
      <c r="Y2241" s="44"/>
      <c r="Z2241" s="72"/>
      <c r="AA2241" s="64" t="e">
        <f>IF(AA2237&lt;AA2238,AA2239,AA2240)</f>
        <v>#NUM!</v>
      </c>
      <c r="AB2241" s="44"/>
      <c r="AC2241" s="72"/>
      <c r="AD2241" s="64" t="e">
        <f>IF(AD2237&lt;AD2238,AD2239,AD2240)</f>
        <v>#NUM!</v>
      </c>
      <c r="AE2241" s="44"/>
      <c r="AF2241" s="72"/>
      <c r="AG2241" s="64" t="e">
        <f>IF(AG2237&lt;AG2238,AG2239,AG2240)</f>
        <v>#NUM!</v>
      </c>
      <c r="AH2241" s="44"/>
      <c r="AI2241" s="72"/>
      <c r="AJ2241" s="64" t="e">
        <f>IF(AJ2237&lt;AJ2238,AJ2239,AJ2240)</f>
        <v>#NUM!</v>
      </c>
      <c r="AK2241" s="44"/>
      <c r="AL2241" s="72"/>
      <c r="AM2241" s="64" t="e">
        <f>IF(AM2237&lt;AM2238,AM2239,AM2240)</f>
        <v>#NUM!</v>
      </c>
      <c r="AN2241" s="44"/>
      <c r="AO2241" s="72"/>
      <c r="AP2241" s="64" t="e">
        <f>IF(AP2237&lt;AP2238,AP2239,AP2240)</f>
        <v>#NUM!</v>
      </c>
      <c r="AQ2241" s="44"/>
      <c r="AR2241" s="72"/>
      <c r="AS2241" s="64" t="e">
        <f>IF(AS2237&lt;AS2238,AS2239,AS2240)</f>
        <v>#NUM!</v>
      </c>
      <c r="AT2241" s="44"/>
      <c r="AU2241" s="72"/>
    </row>
    <row r="2242" spans="15:47" ht="13" x14ac:dyDescent="0.3">
      <c r="O2242" s="7" t="s">
        <v>264</v>
      </c>
      <c r="Q2242" s="61"/>
      <c r="R2242" s="53"/>
      <c r="S2242" s="69">
        <f>IFERROR(ABS(C_h-R2241),Q_max*10)</f>
        <v>2.4018688728317255</v>
      </c>
      <c r="T2242" s="76">
        <f>R2233</f>
        <v>41.987917902967077</v>
      </c>
      <c r="U2242" s="61"/>
      <c r="V2242" s="69">
        <f>IFERROR(ABS(U$23-U2241),Q_max*10)</f>
        <v>25.446931252422957</v>
      </c>
      <c r="W2242" s="75">
        <f>U2233</f>
        <v>206.72626619936722</v>
      </c>
      <c r="X2242" s="61"/>
      <c r="Y2242" s="69">
        <f>IFERROR(ABS(X$23-X2241),Q_max*10)</f>
        <v>82.452687475019061</v>
      </c>
      <c r="Z2242" s="75">
        <f>X2233</f>
        <v>496.22261555127028</v>
      </c>
      <c r="AA2242" s="61"/>
      <c r="AB2242" s="69">
        <f>IFERROR(ABS(AA$23-AA2241),Q_max*10)</f>
        <v>5500</v>
      </c>
      <c r="AC2242" s="75">
        <f>AA2233</f>
        <v>947.47083280781976</v>
      </c>
      <c r="AD2242" s="61"/>
      <c r="AE2242" s="69">
        <f>IFERROR(ABS(AD$23-AD2241),Q_max*10)</f>
        <v>5500</v>
      </c>
      <c r="AF2242" s="75">
        <f>AD2233</f>
        <v>1558.2406819046648</v>
      </c>
      <c r="AG2242" s="61"/>
      <c r="AH2242" s="69">
        <f>IFERROR(ABS(AG$23-AG2241),Q_max*10)</f>
        <v>5500</v>
      </c>
      <c r="AI2242" s="75">
        <f>AG2233</f>
        <v>2320.0080394896345</v>
      </c>
      <c r="AJ2242" s="61"/>
      <c r="AK2242" s="69">
        <f>IFERROR(ABS(AJ$23-AJ2241),Q_max*10)</f>
        <v>5500</v>
      </c>
      <c r="AL2242" s="75">
        <f>AJ2233</f>
        <v>3096.0597223660648</v>
      </c>
      <c r="AM2242" s="61"/>
      <c r="AN2242" s="69">
        <f>IFERROR(ABS(AM$23-AM2241),Q_max*10)</f>
        <v>5500</v>
      </c>
      <c r="AO2242" s="75">
        <f>AM2233</f>
        <v>3777.7812363151402</v>
      </c>
      <c r="AP2242" s="61"/>
      <c r="AQ2242" s="69">
        <f>IFERROR(ABS(AP$23-AP2241),Q_max*10)</f>
        <v>5500</v>
      </c>
      <c r="AR2242" s="75">
        <f>AP2233</f>
        <v>4385.8867355411721</v>
      </c>
      <c r="AS2242" s="61"/>
      <c r="AT2242" s="69">
        <f>IFERROR(ABS(AS$23-AS2241),Q_max*10)</f>
        <v>5500</v>
      </c>
      <c r="AU2242" s="75">
        <f>AS2233</f>
        <v>4991.5482224609023</v>
      </c>
    </row>
    <row r="2243" spans="15:47" ht="14.5" x14ac:dyDescent="0.35">
      <c r="O2243" s="6"/>
      <c r="P2243" s="6"/>
      <c r="Q2243" s="60"/>
      <c r="R2243" s="67"/>
      <c r="S2243" s="58"/>
      <c r="T2243" s="73"/>
      <c r="V2243" s="11"/>
      <c r="W2243" s="38"/>
      <c r="Y2243" s="11"/>
      <c r="Z2243" s="38"/>
      <c r="AB2243" s="11"/>
      <c r="AC2243" s="38"/>
      <c r="AE2243" s="11"/>
      <c r="AF2243" s="38"/>
      <c r="AH2243" s="11"/>
      <c r="AI2243" s="38"/>
      <c r="AK2243" s="11"/>
      <c r="AL2243" s="38"/>
      <c r="AN2243" s="11"/>
      <c r="AO2243" s="38"/>
      <c r="AQ2243" s="11"/>
      <c r="AR2243" s="38"/>
      <c r="AT2243" s="11"/>
      <c r="AU2243" s="38"/>
    </row>
    <row r="2244" spans="15:47" ht="14" x14ac:dyDescent="0.3">
      <c r="O2244" s="8" t="s">
        <v>235</v>
      </c>
      <c r="P2244" s="6"/>
      <c r="Q2244" s="60"/>
      <c r="R2244" s="53">
        <f>R2233*1.02</f>
        <v>42.827676261026419</v>
      </c>
      <c r="S2244" s="58" t="s">
        <v>238</v>
      </c>
      <c r="T2244" s="73" t="s">
        <v>241</v>
      </c>
      <c r="U2244" s="84">
        <f>U2233*1.01</f>
        <v>208.7935288613609</v>
      </c>
      <c r="V2244" s="58" t="s">
        <v>238</v>
      </c>
      <c r="W2244" s="73" t="s">
        <v>241</v>
      </c>
      <c r="X2244" s="84">
        <f>X2233*1.01</f>
        <v>501.184841706783</v>
      </c>
      <c r="Y2244" s="58" t="s">
        <v>238</v>
      </c>
      <c r="Z2244" s="73" t="s">
        <v>241</v>
      </c>
      <c r="AA2244" s="84">
        <f>AA2233*1.01</f>
        <v>956.945541135898</v>
      </c>
      <c r="AB2244" s="58" t="s">
        <v>238</v>
      </c>
      <c r="AC2244" s="73" t="s">
        <v>241</v>
      </c>
      <c r="AD2244" s="84">
        <f>AD2233*1.01</f>
        <v>1573.8230887237114</v>
      </c>
      <c r="AE2244" s="58" t="s">
        <v>238</v>
      </c>
      <c r="AF2244" s="73" t="s">
        <v>241</v>
      </c>
      <c r="AG2244" s="84">
        <f>AG2233*1.01</f>
        <v>2343.2081198845308</v>
      </c>
      <c r="AH2244" s="58" t="s">
        <v>238</v>
      </c>
      <c r="AI2244" s="73" t="s">
        <v>241</v>
      </c>
      <c r="AJ2244" s="84">
        <f>AJ2233*1.01</f>
        <v>3127.0203195897257</v>
      </c>
      <c r="AK2244" s="58" t="s">
        <v>238</v>
      </c>
      <c r="AL2244" s="73" t="s">
        <v>241</v>
      </c>
      <c r="AM2244" s="84">
        <f>AM2233*1.01</f>
        <v>3815.5590486782917</v>
      </c>
      <c r="AN2244" s="58" t="s">
        <v>238</v>
      </c>
      <c r="AO2244" s="73" t="s">
        <v>241</v>
      </c>
      <c r="AP2244" s="84">
        <f>AP2233*1.01</f>
        <v>4429.7456028965835</v>
      </c>
      <c r="AQ2244" s="58" t="s">
        <v>238</v>
      </c>
      <c r="AR2244" s="73" t="s">
        <v>241</v>
      </c>
      <c r="AS2244" s="84">
        <f>AS2233*1.01</f>
        <v>5041.4637046855114</v>
      </c>
      <c r="AT2244" s="58" t="s">
        <v>238</v>
      </c>
      <c r="AU2244" s="73" t="s">
        <v>241</v>
      </c>
    </row>
    <row r="2245" spans="15:47" ht="13" x14ac:dyDescent="0.25">
      <c r="O2245" s="6"/>
      <c r="P2245" s="6"/>
      <c r="Q2245" s="60"/>
      <c r="R2245" s="70"/>
      <c r="S2245" s="63" t="s">
        <v>250</v>
      </c>
      <c r="T2245" s="71" t="s">
        <v>242</v>
      </c>
      <c r="U2245" s="61"/>
      <c r="V2245" s="63" t="s">
        <v>250</v>
      </c>
      <c r="W2245" s="71" t="s">
        <v>242</v>
      </c>
      <c r="X2245" s="61"/>
      <c r="Y2245" s="63" t="s">
        <v>250</v>
      </c>
      <c r="Z2245" s="71" t="s">
        <v>242</v>
      </c>
      <c r="AA2245" s="61"/>
      <c r="AB2245" s="63" t="s">
        <v>250</v>
      </c>
      <c r="AC2245" s="71" t="s">
        <v>242</v>
      </c>
      <c r="AD2245" s="61"/>
      <c r="AE2245" s="63" t="s">
        <v>250</v>
      </c>
      <c r="AF2245" s="71" t="s">
        <v>242</v>
      </c>
      <c r="AG2245" s="61"/>
      <c r="AH2245" s="63" t="s">
        <v>250</v>
      </c>
      <c r="AI2245" s="71" t="s">
        <v>242</v>
      </c>
      <c r="AJ2245" s="61"/>
      <c r="AK2245" s="63" t="s">
        <v>250</v>
      </c>
      <c r="AL2245" s="71" t="s">
        <v>242</v>
      </c>
      <c r="AM2245" s="61"/>
      <c r="AN2245" s="63" t="s">
        <v>250</v>
      </c>
      <c r="AO2245" s="71" t="s">
        <v>242</v>
      </c>
      <c r="AP2245" s="61"/>
      <c r="AQ2245" s="63" t="s">
        <v>250</v>
      </c>
      <c r="AR2245" s="71" t="s">
        <v>242</v>
      </c>
      <c r="AS2245" s="61"/>
      <c r="AT2245" s="63" t="s">
        <v>250</v>
      </c>
      <c r="AU2245" s="71" t="s">
        <v>242</v>
      </c>
    </row>
    <row r="2246" spans="15:47" ht="13" x14ac:dyDescent="0.3">
      <c r="O2246" s="6" t="s">
        <v>231</v>
      </c>
      <c r="P2246" s="6"/>
      <c r="Q2246" s="60"/>
      <c r="R2246" s="85">
        <f>P_1_minQ-(R2244^2*R_up)+dpup_minQ</f>
        <v>56.854197573322551</v>
      </c>
      <c r="S2246" s="56"/>
      <c r="T2246" s="72"/>
      <c r="U2246" s="53">
        <f>P_1_minQ-(U2244^2*R_up)+dpup_minQ</f>
        <v>55.443845400392433</v>
      </c>
      <c r="V2246" s="44"/>
      <c r="W2246" s="72"/>
      <c r="X2246" s="53">
        <f>P_1_minQ-(X2244^2*R_up)+dpup_minQ</f>
        <v>48.43298731656018</v>
      </c>
      <c r="Y2246" s="44"/>
      <c r="Z2246" s="72"/>
      <c r="AA2246" s="53">
        <f>P_1_minQ-(AA2244^2*R_up)+dpup_minQ</f>
        <v>25.989268196559387</v>
      </c>
      <c r="AB2246" s="44"/>
      <c r="AC2246" s="72"/>
      <c r="AD2246" s="53">
        <f>P_1_minQ-(AD2244^2*R_up)+dpup_minQ</f>
        <v>-26.735296001345592</v>
      </c>
      <c r="AE2246" s="44"/>
      <c r="AF2246" s="72"/>
      <c r="AG2246" s="53">
        <f>P_1_minQ-(AG2244^2*R_up)+dpup_minQ</f>
        <v>-128.51527501157713</v>
      </c>
      <c r="AH2246" s="44"/>
      <c r="AI2246" s="72"/>
      <c r="AJ2246" s="53">
        <f>P_1_minQ-(AJ2244^2*R_up)+dpup_minQ</f>
        <v>-273.31878011236171</v>
      </c>
      <c r="AK2246" s="44"/>
      <c r="AL2246" s="72"/>
      <c r="AM2246" s="53">
        <f>P_1_minQ-(AM2244^2*R_up)+dpup_minQ</f>
        <v>-434.75865768155325</v>
      </c>
      <c r="AN2246" s="44"/>
      <c r="AO2246" s="72"/>
      <c r="AP2246" s="53">
        <f>P_1_minQ-(AP2244^2*R_up)+dpup_minQ</f>
        <v>-605.78720386293878</v>
      </c>
      <c r="AQ2246" s="44"/>
      <c r="AR2246" s="72"/>
      <c r="AS2246" s="53">
        <f>P_1_minQ-(AS2244^2*R_up)+dpup_minQ</f>
        <v>-801.45455203179199</v>
      </c>
      <c r="AT2246" s="44"/>
      <c r="AU2246" s="72"/>
    </row>
    <row r="2247" spans="15:47" ht="13" x14ac:dyDescent="0.3">
      <c r="O2247" s="6" t="s">
        <v>233</v>
      </c>
      <c r="P2247" s="6"/>
      <c r="Q2247" s="60"/>
      <c r="R2247" s="85">
        <f>P_2_minQ+(R2244^2*R_dn)-dpdn_minQ</f>
        <v>24.669160485335492</v>
      </c>
      <c r="S2247" s="66"/>
      <c r="T2247" s="74"/>
      <c r="U2247" s="53">
        <f>P_2_minQ+(U2244^2*R_dn)-dpdn_minQ</f>
        <v>24.951230919921514</v>
      </c>
      <c r="V2247" s="45"/>
      <c r="W2247" s="74"/>
      <c r="X2247" s="53">
        <f>P_2_minQ+(X2244^2*R_dn)-dpdn_minQ</f>
        <v>26.353402536687966</v>
      </c>
      <c r="Y2247" s="45"/>
      <c r="Z2247" s="74"/>
      <c r="AA2247" s="53">
        <f>P_2_minQ+(AA2244^2*R_dn)-dpdn_minQ</f>
        <v>30.842146360688123</v>
      </c>
      <c r="AB2247" s="45"/>
      <c r="AC2247" s="74"/>
      <c r="AD2247" s="53">
        <f>P_2_minQ+(AD2244^2*R_dn)-dpdn_minQ</f>
        <v>41.387059200269121</v>
      </c>
      <c r="AE2247" s="45"/>
      <c r="AF2247" s="74"/>
      <c r="AG2247" s="53">
        <f>P_2_minQ+(AG2244^2*R_dn)-dpdn_minQ</f>
        <v>61.743055002315423</v>
      </c>
      <c r="AH2247" s="45"/>
      <c r="AI2247" s="74"/>
      <c r="AJ2247" s="53">
        <f>P_2_minQ+(AJ2244^2*R_dn)-dpdn_minQ</f>
        <v>90.703756022472348</v>
      </c>
      <c r="AK2247" s="45"/>
      <c r="AL2247" s="74"/>
      <c r="AM2247" s="53">
        <f>P_2_minQ+(AM2244^2*R_dn)-dpdn_minQ</f>
        <v>122.99173153631065</v>
      </c>
      <c r="AN2247" s="45"/>
      <c r="AO2247" s="74"/>
      <c r="AP2247" s="53">
        <f>P_2_minQ+(AP2244^2*R_dn)-dpdn_minQ</f>
        <v>157.19744077258778</v>
      </c>
      <c r="AQ2247" s="45"/>
      <c r="AR2247" s="74"/>
      <c r="AS2247" s="53">
        <f>P_2_minQ+(AS2244^2*R_dn)-dpdn_minQ</f>
        <v>196.33091040635841</v>
      </c>
      <c r="AT2247" s="45"/>
      <c r="AU2247" s="74"/>
    </row>
    <row r="2248" spans="15:47" x14ac:dyDescent="0.25">
      <c r="O2248" s="6" t="s">
        <v>243</v>
      </c>
      <c r="Q2248" s="60"/>
      <c r="R2248" s="53">
        <f>R2246-R2247</f>
        <v>32.185037087987055</v>
      </c>
      <c r="S2248" s="56"/>
      <c r="T2248" s="72"/>
      <c r="U2248" s="64">
        <f>U2246-U2247</f>
        <v>30.49261448047092</v>
      </c>
      <c r="V2248" s="44"/>
      <c r="W2248" s="72"/>
      <c r="X2248" s="64">
        <f>X2246-X2247</f>
        <v>22.079584779872214</v>
      </c>
      <c r="Y2248" s="44"/>
      <c r="Z2248" s="72"/>
      <c r="AA2248" s="64">
        <f>AA2246-AA2247</f>
        <v>-4.852878164128736</v>
      </c>
      <c r="AB2248" s="44"/>
      <c r="AC2248" s="72"/>
      <c r="AD2248" s="64">
        <f>AD2246-AD2247</f>
        <v>-68.12235520161471</v>
      </c>
      <c r="AE2248" s="44"/>
      <c r="AF2248" s="72"/>
      <c r="AG2248" s="64">
        <f>AG2246-AG2247</f>
        <v>-190.25833001389256</v>
      </c>
      <c r="AH2248" s="44"/>
      <c r="AI2248" s="72"/>
      <c r="AJ2248" s="64">
        <f>AJ2246-AJ2247</f>
        <v>-364.02253613483407</v>
      </c>
      <c r="AK2248" s="44"/>
      <c r="AL2248" s="72"/>
      <c r="AM2248" s="64">
        <f>AM2246-AM2247</f>
        <v>-557.75038921786393</v>
      </c>
      <c r="AN2248" s="44"/>
      <c r="AO2248" s="72"/>
      <c r="AP2248" s="64">
        <f>AP2246-AP2247</f>
        <v>-762.98464463552659</v>
      </c>
      <c r="AQ2248" s="44"/>
      <c r="AR2248" s="72"/>
      <c r="AS2248" s="64">
        <f>AS2246-AS2247</f>
        <v>-997.78546243815038</v>
      </c>
      <c r="AT2248" s="44"/>
      <c r="AU2248" s="72"/>
    </row>
    <row r="2249" spans="15:47" ht="13" x14ac:dyDescent="0.3">
      <c r="O2249" s="6" t="s">
        <v>75</v>
      </c>
      <c r="P2249" s="6">
        <v>3</v>
      </c>
      <c r="Q2249" s="65"/>
      <c r="R2249" s="85">
        <f>(F_LP_h/F_P_h)^2*(R2246-('Valve Sizing'!$V$4*'Valve Sizing'!$G$7))</f>
        <v>46.713869015556902</v>
      </c>
      <c r="S2249" s="58"/>
      <c r="T2249" s="73"/>
      <c r="U2249" s="53">
        <f>(U$29/U$27)^2*(U2246-('Valve Sizing'!$V$4*'Valve Sizing'!$G$7))</f>
        <v>45.533609422658841</v>
      </c>
      <c r="V2249" s="41"/>
      <c r="W2249" s="73"/>
      <c r="X2249" s="53">
        <f>(X$29/X$27)^2*(X2246-('Valve Sizing'!$V$4*'Valve Sizing'!$G$7))</f>
        <v>38.833650113804431</v>
      </c>
      <c r="Y2249" s="41"/>
      <c r="Z2249" s="73"/>
      <c r="AA2249" s="53">
        <f>(AA$29/AA$27)^2*(AA2246-('Valve Sizing'!$V$4*'Valve Sizing'!$G$7))</f>
        <v>19.74435890350043</v>
      </c>
      <c r="AB2249" s="41"/>
      <c r="AC2249" s="73"/>
      <c r="AD2249" s="53">
        <f>(AD$29/AD$27)^2*(AD2246-('Valve Sizing'!$V$4*'Valve Sizing'!$G$7))</f>
        <v>-19.598522852569964</v>
      </c>
      <c r="AE2249" s="41"/>
      <c r="AF2249" s="73"/>
      <c r="AG2249" s="53">
        <f>(AG$29/AG$27)^2*(AG2246-('Valve Sizing'!$V$4*'Valve Sizing'!$G$7))</f>
        <v>-83.052901985704224</v>
      </c>
      <c r="AH2249" s="41"/>
      <c r="AI2249" s="73"/>
      <c r="AJ2249" s="53">
        <f>(AJ$29/AJ$27)^2*(AJ2246-('Valve Sizing'!$V$4*'Valve Sizing'!$G$7))</f>
        <v>-158.33234825307233</v>
      </c>
      <c r="AK2249" s="41"/>
      <c r="AL2249" s="73"/>
      <c r="AM2249" s="53">
        <f>(AM$29/AM$27)^2*(AM2246-('Valve Sizing'!$V$4*'Valve Sizing'!$G$7))</f>
        <v>-208.23046470832554</v>
      </c>
      <c r="AN2249" s="41"/>
      <c r="AO2249" s="73"/>
      <c r="AP2249" s="53">
        <f>(AP$29/AP$27)^2*(AP2246-('Valve Sizing'!$V$4*'Valve Sizing'!$G$7))</f>
        <v>-239.23354087650389</v>
      </c>
      <c r="AQ2249" s="41"/>
      <c r="AR2249" s="73"/>
      <c r="AS2249" s="53">
        <f>(AS$29/AS$27)^2*(AS2246-('Valve Sizing'!$V$4*'Valve Sizing'!$G$7))</f>
        <v>-301.62527528041318</v>
      </c>
      <c r="AT2249" s="41"/>
      <c r="AU2249" s="73"/>
    </row>
    <row r="2250" spans="15:47" ht="13" x14ac:dyDescent="0.25">
      <c r="O2250" s="1" t="s">
        <v>69</v>
      </c>
      <c r="P2250" s="17">
        <v>7</v>
      </c>
      <c r="Q2250" s="65"/>
      <c r="R2250" s="53">
        <f>(R2244/(N_1*F_P_h))*SQRT('Valve Sizing'!$G$6/R2248)</f>
        <v>7.5502447986330967</v>
      </c>
      <c r="S2250" s="58"/>
      <c r="T2250" s="73"/>
      <c r="U2250" s="64">
        <f>(U2244/(N_1*U$27))*SQRT('Valve Sizing'!$G$6/U2248)</f>
        <v>37.842983935410416</v>
      </c>
      <c r="V2250" s="41"/>
      <c r="W2250" s="73"/>
      <c r="X2250" s="64">
        <f>(X2244/(N_1*X$27))*SQRT('Valve Sizing'!$G$6/X2248)</f>
        <v>106.98990305618712</v>
      </c>
      <c r="Y2250" s="41"/>
      <c r="Z2250" s="73"/>
      <c r="AA2250" s="64" t="e">
        <f>(AA2244/(N_1*AA$27))*SQRT('Valve Sizing'!$G$6/AA2248)</f>
        <v>#NUM!</v>
      </c>
      <c r="AB2250" s="41"/>
      <c r="AC2250" s="73"/>
      <c r="AD2250" s="64" t="e">
        <f>(AD2244/(N_1*AD$27))*SQRT('Valve Sizing'!$G$6/AD2248)</f>
        <v>#NUM!</v>
      </c>
      <c r="AE2250" s="41"/>
      <c r="AF2250" s="73"/>
      <c r="AG2250" s="64" t="e">
        <f>(AG2244/(N_1*AG$27))*SQRT('Valve Sizing'!$G$6/AG2248)</f>
        <v>#NUM!</v>
      </c>
      <c r="AH2250" s="41"/>
      <c r="AI2250" s="73"/>
      <c r="AJ2250" s="64" t="e">
        <f>(AJ2244/(N_1*AJ$27))*SQRT('Valve Sizing'!$G$6/AJ2248)</f>
        <v>#NUM!</v>
      </c>
      <c r="AK2250" s="41"/>
      <c r="AL2250" s="73"/>
      <c r="AM2250" s="64" t="e">
        <f>(AM2244/(N_1*AM$27))*SQRT('Valve Sizing'!$G$6/AM2248)</f>
        <v>#NUM!</v>
      </c>
      <c r="AN2250" s="41"/>
      <c r="AO2250" s="73"/>
      <c r="AP2250" s="64" t="e">
        <f>(AP2244/(N_1*AP$27))*SQRT('Valve Sizing'!$G$6/AP2248)</f>
        <v>#NUM!</v>
      </c>
      <c r="AQ2250" s="41"/>
      <c r="AR2250" s="73"/>
      <c r="AS2250" s="64" t="e">
        <f>(AS2244/(N_1*AS$27))*SQRT('Valve Sizing'!$G$6/AS2248)</f>
        <v>#NUM!</v>
      </c>
      <c r="AT2250" s="41"/>
      <c r="AU2250" s="73"/>
    </row>
    <row r="2251" spans="15:47" ht="13" x14ac:dyDescent="0.3">
      <c r="O2251" s="1" t="s">
        <v>72</v>
      </c>
      <c r="P2251" s="17">
        <v>7</v>
      </c>
      <c r="Q2251" s="65"/>
      <c r="R2251" s="53">
        <f>(R2244/(N_1*F_P_h))*SQRT('Valve Sizing'!$G$6/R2249)</f>
        <v>6.2670782956906628</v>
      </c>
      <c r="S2251" s="56"/>
      <c r="T2251" s="72"/>
      <c r="U2251" s="85">
        <f>(U2244/(N_1*U$27))*SQRT('Valve Sizing'!$G$6/U2249)</f>
        <v>30.968250115468059</v>
      </c>
      <c r="V2251" s="44"/>
      <c r="W2251" s="72"/>
      <c r="X2251" s="85">
        <f>(X2244/(N_1*X$27))*SQRT('Valve Sizing'!$G$6/X2249)</f>
        <v>80.674101707115668</v>
      </c>
      <c r="Y2251" s="44"/>
      <c r="Z2251" s="72"/>
      <c r="AA2251" s="85">
        <f>(AA2244/(N_1*AA$27))*SQRT('Valve Sizing'!$G$6/AA2249)</f>
        <v>217.26879091870171</v>
      </c>
      <c r="AB2251" s="44"/>
      <c r="AC2251" s="72"/>
      <c r="AD2251" s="85" t="e">
        <f>(AD2244/(N_1*AD$27))*SQRT('Valve Sizing'!$G$6/AD2249)</f>
        <v>#NUM!</v>
      </c>
      <c r="AE2251" s="44"/>
      <c r="AF2251" s="72"/>
      <c r="AG2251" s="85" t="e">
        <f>(AG2244/(N_1*AG$27))*SQRT('Valve Sizing'!$G$6/AG2249)</f>
        <v>#NUM!</v>
      </c>
      <c r="AH2251" s="44"/>
      <c r="AI2251" s="72"/>
      <c r="AJ2251" s="85" t="e">
        <f>(AJ2244/(N_1*AJ$27))*SQRT('Valve Sizing'!$G$6/AJ2249)</f>
        <v>#NUM!</v>
      </c>
      <c r="AK2251" s="44"/>
      <c r="AL2251" s="72"/>
      <c r="AM2251" s="85" t="e">
        <f>(AM2244/(N_1*AM$27))*SQRT('Valve Sizing'!$G$6/AM2249)</f>
        <v>#NUM!</v>
      </c>
      <c r="AN2251" s="44"/>
      <c r="AO2251" s="72"/>
      <c r="AP2251" s="85" t="e">
        <f>(AP2244/(N_1*AP$27))*SQRT('Valve Sizing'!$G$6/AP2249)</f>
        <v>#NUM!</v>
      </c>
      <c r="AQ2251" s="44"/>
      <c r="AR2251" s="72"/>
      <c r="AS2251" s="85" t="e">
        <f>(AS2244/(N_1*AS$27))*SQRT('Valve Sizing'!$G$6/AS2249)</f>
        <v>#NUM!</v>
      </c>
      <c r="AT2251" s="44"/>
      <c r="AU2251" s="72"/>
    </row>
    <row r="2252" spans="15:47" x14ac:dyDescent="0.25">
      <c r="O2252" s="1" t="s">
        <v>246</v>
      </c>
      <c r="P2252" s="18"/>
      <c r="Q2252" s="65"/>
      <c r="R2252" s="53">
        <f>IF(R2248&lt;R2249,R2250,R2251)</f>
        <v>7.5502447986330967</v>
      </c>
      <c r="S2252" s="49"/>
      <c r="T2252" s="72"/>
      <c r="U2252" s="64">
        <f>IF(U2248&lt;U2249,U2250,U2251)</f>
        <v>37.842983935410416</v>
      </c>
      <c r="V2252" s="44"/>
      <c r="W2252" s="72"/>
      <c r="X2252" s="64">
        <f>IF(X2248&lt;X2249,X2250,X2251)</f>
        <v>106.98990305618712</v>
      </c>
      <c r="Y2252" s="44"/>
      <c r="Z2252" s="72"/>
      <c r="AA2252" s="64" t="e">
        <f>IF(AA2248&lt;AA2249,AA2250,AA2251)</f>
        <v>#NUM!</v>
      </c>
      <c r="AB2252" s="44"/>
      <c r="AC2252" s="72"/>
      <c r="AD2252" s="64" t="e">
        <f>IF(AD2248&lt;AD2249,AD2250,AD2251)</f>
        <v>#NUM!</v>
      </c>
      <c r="AE2252" s="44"/>
      <c r="AF2252" s="72"/>
      <c r="AG2252" s="64" t="e">
        <f>IF(AG2248&lt;AG2249,AG2250,AG2251)</f>
        <v>#NUM!</v>
      </c>
      <c r="AH2252" s="44"/>
      <c r="AI2252" s="72"/>
      <c r="AJ2252" s="64" t="e">
        <f>IF(AJ2248&lt;AJ2249,AJ2250,AJ2251)</f>
        <v>#NUM!</v>
      </c>
      <c r="AK2252" s="44"/>
      <c r="AL2252" s="72"/>
      <c r="AM2252" s="64" t="e">
        <f>IF(AM2248&lt;AM2249,AM2250,AM2251)</f>
        <v>#NUM!</v>
      </c>
      <c r="AN2252" s="44"/>
      <c r="AO2252" s="72"/>
      <c r="AP2252" s="64" t="e">
        <f>IF(AP2248&lt;AP2249,AP2250,AP2251)</f>
        <v>#NUM!</v>
      </c>
      <c r="AQ2252" s="44"/>
      <c r="AR2252" s="72"/>
      <c r="AS2252" s="64" t="e">
        <f>IF(AS2248&lt;AS2249,AS2250,AS2251)</f>
        <v>#NUM!</v>
      </c>
      <c r="AT2252" s="44"/>
      <c r="AU2252" s="72"/>
    </row>
    <row r="2253" spans="15:47" ht="13" x14ac:dyDescent="0.3">
      <c r="O2253" s="7" t="s">
        <v>264</v>
      </c>
      <c r="Q2253" s="61"/>
      <c r="R2253" s="53"/>
      <c r="S2253" s="69">
        <f>IFERROR(ABS(C_h-R2252),Q_max*10)</f>
        <v>2.5502447986330967</v>
      </c>
      <c r="T2253" s="76">
        <f>R2244</f>
        <v>42.827676261026419</v>
      </c>
      <c r="U2253" s="61"/>
      <c r="V2253" s="69">
        <f>IFERROR(ABS(U$23-U2252),Q_max*10)</f>
        <v>25.842983935410416</v>
      </c>
      <c r="W2253" s="75">
        <f>U2244</f>
        <v>208.7935288613609</v>
      </c>
      <c r="X2253" s="61"/>
      <c r="Y2253" s="69">
        <f>IFERROR(ABS(X$23-X2252),Q_max*10)</f>
        <v>83.989903056187117</v>
      </c>
      <c r="Z2253" s="75">
        <f>X2244</f>
        <v>501.184841706783</v>
      </c>
      <c r="AA2253" s="61"/>
      <c r="AB2253" s="69">
        <f>IFERROR(ABS(AA$23-AA2252),Q_max*10)</f>
        <v>5500</v>
      </c>
      <c r="AC2253" s="75">
        <f>AA2244</f>
        <v>956.945541135898</v>
      </c>
      <c r="AD2253" s="61"/>
      <c r="AE2253" s="69">
        <f>IFERROR(ABS(AD$23-AD2252),Q_max*10)</f>
        <v>5500</v>
      </c>
      <c r="AF2253" s="75">
        <f>AD2244</f>
        <v>1573.8230887237114</v>
      </c>
      <c r="AG2253" s="61"/>
      <c r="AH2253" s="69">
        <f>IFERROR(ABS(AG$23-AG2252),Q_max*10)</f>
        <v>5500</v>
      </c>
      <c r="AI2253" s="75">
        <f>AG2244</f>
        <v>2343.2081198845308</v>
      </c>
      <c r="AJ2253" s="61"/>
      <c r="AK2253" s="69">
        <f>IFERROR(ABS(AJ$23-AJ2252),Q_max*10)</f>
        <v>5500</v>
      </c>
      <c r="AL2253" s="75">
        <f>AJ2244</f>
        <v>3127.0203195897257</v>
      </c>
      <c r="AM2253" s="61"/>
      <c r="AN2253" s="69">
        <f>IFERROR(ABS(AM$23-AM2252),Q_max*10)</f>
        <v>5500</v>
      </c>
      <c r="AO2253" s="75">
        <f>AM2244</f>
        <v>3815.5590486782917</v>
      </c>
      <c r="AP2253" s="61"/>
      <c r="AQ2253" s="69">
        <f>IFERROR(ABS(AP$23-AP2252),Q_max*10)</f>
        <v>5500</v>
      </c>
      <c r="AR2253" s="75">
        <f>AP2244</f>
        <v>4429.7456028965835</v>
      </c>
      <c r="AS2253" s="61"/>
      <c r="AT2253" s="69">
        <f>IFERROR(ABS(AS$23-AS2252),Q_max*10)</f>
        <v>5500</v>
      </c>
      <c r="AU2253" s="75">
        <f>AS2244</f>
        <v>5041.4637046855114</v>
      </c>
    </row>
    <row r="2254" spans="15:47" ht="14.5" x14ac:dyDescent="0.35">
      <c r="O2254" s="8"/>
      <c r="P2254" s="6"/>
      <c r="Q2254" s="60"/>
      <c r="R2254" s="67"/>
      <c r="S2254" s="56"/>
      <c r="T2254" s="72"/>
      <c r="V2254" s="11"/>
      <c r="W2254" s="38"/>
      <c r="Y2254" s="11"/>
      <c r="Z2254" s="38"/>
      <c r="AB2254" s="11"/>
      <c r="AC2254" s="38"/>
      <c r="AE2254" s="11"/>
      <c r="AF2254" s="38"/>
      <c r="AH2254" s="11"/>
      <c r="AI2254" s="38"/>
      <c r="AK2254" s="11"/>
      <c r="AL2254" s="38"/>
      <c r="AN2254" s="11"/>
      <c r="AO2254" s="38"/>
      <c r="AQ2254" s="11"/>
      <c r="AR2254" s="38"/>
      <c r="AT2254" s="11"/>
      <c r="AU2254" s="38"/>
    </row>
    <row r="2255" spans="15:47" ht="14" x14ac:dyDescent="0.3">
      <c r="O2255" s="8" t="s">
        <v>235</v>
      </c>
      <c r="P2255" s="6"/>
      <c r="Q2255" s="60"/>
      <c r="R2255" s="53">
        <f>R2244*1.02</f>
        <v>43.684229786246945</v>
      </c>
      <c r="S2255" s="58" t="s">
        <v>238</v>
      </c>
      <c r="T2255" s="73" t="s">
        <v>241</v>
      </c>
      <c r="U2255" s="84">
        <f>U2244*1.01</f>
        <v>210.88146414997451</v>
      </c>
      <c r="V2255" s="58" t="s">
        <v>238</v>
      </c>
      <c r="W2255" s="73" t="s">
        <v>241</v>
      </c>
      <c r="X2255" s="84">
        <f>X2244*1.01</f>
        <v>506.19669012385083</v>
      </c>
      <c r="Y2255" s="58" t="s">
        <v>238</v>
      </c>
      <c r="Z2255" s="73" t="s">
        <v>241</v>
      </c>
      <c r="AA2255" s="84">
        <f>AA2244*1.01</f>
        <v>966.51499654725694</v>
      </c>
      <c r="AB2255" s="58" t="s">
        <v>238</v>
      </c>
      <c r="AC2255" s="73" t="s">
        <v>241</v>
      </c>
      <c r="AD2255" s="84">
        <f>AD2244*1.01</f>
        <v>1589.5613196109484</v>
      </c>
      <c r="AE2255" s="58" t="s">
        <v>238</v>
      </c>
      <c r="AF2255" s="73" t="s">
        <v>241</v>
      </c>
      <c r="AG2255" s="84">
        <f>AG2244*1.01</f>
        <v>2366.6402010833763</v>
      </c>
      <c r="AH2255" s="58" t="s">
        <v>238</v>
      </c>
      <c r="AI2255" s="73" t="s">
        <v>241</v>
      </c>
      <c r="AJ2255" s="84">
        <f>AJ2244*1.01</f>
        <v>3158.2905227856231</v>
      </c>
      <c r="AK2255" s="58" t="s">
        <v>238</v>
      </c>
      <c r="AL2255" s="73" t="s">
        <v>241</v>
      </c>
      <c r="AM2255" s="84">
        <f>AM2244*1.01</f>
        <v>3853.7146391650745</v>
      </c>
      <c r="AN2255" s="58" t="s">
        <v>238</v>
      </c>
      <c r="AO2255" s="73" t="s">
        <v>241</v>
      </c>
      <c r="AP2255" s="84">
        <f>AP2244*1.01</f>
        <v>4474.0430589255493</v>
      </c>
      <c r="AQ2255" s="58" t="s">
        <v>238</v>
      </c>
      <c r="AR2255" s="73" t="s">
        <v>241</v>
      </c>
      <c r="AS2255" s="84">
        <f>AS2244*1.01</f>
        <v>5091.8783417323666</v>
      </c>
      <c r="AT2255" s="58" t="s">
        <v>238</v>
      </c>
      <c r="AU2255" s="73" t="s">
        <v>241</v>
      </c>
    </row>
    <row r="2256" spans="15:47" ht="13" x14ac:dyDescent="0.25">
      <c r="O2256" s="6"/>
      <c r="P2256" s="6"/>
      <c r="Q2256" s="60"/>
      <c r="R2256" s="70"/>
      <c r="S2256" s="63" t="s">
        <v>250</v>
      </c>
      <c r="T2256" s="71" t="s">
        <v>242</v>
      </c>
      <c r="U2256" s="61"/>
      <c r="V2256" s="63" t="s">
        <v>250</v>
      </c>
      <c r="W2256" s="71" t="s">
        <v>242</v>
      </c>
      <c r="X2256" s="61"/>
      <c r="Y2256" s="63" t="s">
        <v>250</v>
      </c>
      <c r="Z2256" s="71" t="s">
        <v>242</v>
      </c>
      <c r="AA2256" s="61"/>
      <c r="AB2256" s="63" t="s">
        <v>250</v>
      </c>
      <c r="AC2256" s="71" t="s">
        <v>242</v>
      </c>
      <c r="AD2256" s="61"/>
      <c r="AE2256" s="63" t="s">
        <v>250</v>
      </c>
      <c r="AF2256" s="71" t="s">
        <v>242</v>
      </c>
      <c r="AG2256" s="61"/>
      <c r="AH2256" s="63" t="s">
        <v>250</v>
      </c>
      <c r="AI2256" s="71" t="s">
        <v>242</v>
      </c>
      <c r="AJ2256" s="61"/>
      <c r="AK2256" s="63" t="s">
        <v>250</v>
      </c>
      <c r="AL2256" s="71" t="s">
        <v>242</v>
      </c>
      <c r="AM2256" s="61"/>
      <c r="AN2256" s="63" t="s">
        <v>250</v>
      </c>
      <c r="AO2256" s="71" t="s">
        <v>242</v>
      </c>
      <c r="AP2256" s="61"/>
      <c r="AQ2256" s="63" t="s">
        <v>250</v>
      </c>
      <c r="AR2256" s="71" t="s">
        <v>242</v>
      </c>
      <c r="AS2256" s="61"/>
      <c r="AT2256" s="63" t="s">
        <v>250</v>
      </c>
      <c r="AU2256" s="71" t="s">
        <v>242</v>
      </c>
    </row>
    <row r="2257" spans="15:47" ht="13" x14ac:dyDescent="0.3">
      <c r="O2257" s="6" t="s">
        <v>231</v>
      </c>
      <c r="P2257" s="6"/>
      <c r="Q2257" s="60"/>
      <c r="R2257" s="85">
        <f>P_1_minQ-(R2255^2*R_up)+dpup_minQ</f>
        <v>56.851694970212172</v>
      </c>
      <c r="S2257" s="56"/>
      <c r="T2257" s="72"/>
      <c r="U2257" s="53">
        <f>P_1_minQ-(U2255^2*R_up)+dpup_minQ</f>
        <v>55.414252214723504</v>
      </c>
      <c r="V2257" s="44"/>
      <c r="W2257" s="72"/>
      <c r="X2257" s="53">
        <f>P_1_minQ-(X2255^2*R_up)+dpup_minQ</f>
        <v>48.262475883406218</v>
      </c>
      <c r="Y2257" s="44"/>
      <c r="Z2257" s="72"/>
      <c r="AA2257" s="53">
        <f>P_1_minQ-(AA2255^2*R_up)+dpup_minQ</f>
        <v>25.367638009093412</v>
      </c>
      <c r="AB2257" s="44"/>
      <c r="AC2257" s="72"/>
      <c r="AD2257" s="53">
        <f>P_1_minQ-(AD2255^2*R_up)+dpup_minQ</f>
        <v>-28.416689929189463</v>
      </c>
      <c r="AE2257" s="44"/>
      <c r="AF2257" s="72"/>
      <c r="AG2257" s="53">
        <f>P_1_minQ-(AG2255^2*R_up)+dpup_minQ</f>
        <v>-132.24244651752664</v>
      </c>
      <c r="AH2257" s="44"/>
      <c r="AI2257" s="72"/>
      <c r="AJ2257" s="53">
        <f>P_1_minQ-(AJ2255^2*R_up)+dpup_minQ</f>
        <v>-279.95650207083708</v>
      </c>
      <c r="AK2257" s="44"/>
      <c r="AL2257" s="72"/>
      <c r="AM2257" s="53">
        <f>P_1_minQ-(AM2255^2*R_up)+dpup_minQ</f>
        <v>-444.64132117916927</v>
      </c>
      <c r="AN2257" s="44"/>
      <c r="AO2257" s="72"/>
      <c r="AP2257" s="53">
        <f>P_1_minQ-(AP2255^2*R_up)+dpup_minQ</f>
        <v>-619.10754113880057</v>
      </c>
      <c r="AQ2257" s="44"/>
      <c r="AR2257" s="72"/>
      <c r="AS2257" s="53">
        <f>P_1_minQ-(AS2255^2*R_up)+dpup_minQ</f>
        <v>-818.70780300584795</v>
      </c>
      <c r="AT2257" s="44"/>
      <c r="AU2257" s="72"/>
    </row>
    <row r="2258" spans="15:47" ht="13" x14ac:dyDescent="0.3">
      <c r="O2258" s="6" t="s">
        <v>233</v>
      </c>
      <c r="P2258" s="6"/>
      <c r="Q2258" s="60"/>
      <c r="R2258" s="85">
        <f>P_2_minQ+(R2255^2*R_dn)-dpdn_minQ</f>
        <v>24.669661005957568</v>
      </c>
      <c r="S2258" s="66"/>
      <c r="T2258" s="74"/>
      <c r="U2258" s="53">
        <f>P_2_minQ+(U2255^2*R_dn)-dpdn_minQ</f>
        <v>24.957149557055299</v>
      </c>
      <c r="V2258" s="45"/>
      <c r="W2258" s="74"/>
      <c r="X2258" s="53">
        <f>P_2_minQ+(X2255^2*R_dn)-dpdn_minQ</f>
        <v>26.387504823318757</v>
      </c>
      <c r="Y2258" s="45"/>
      <c r="Z2258" s="74"/>
      <c r="AA2258" s="53">
        <f>P_2_minQ+(AA2255^2*R_dn)-dpdn_minQ</f>
        <v>30.96647239818132</v>
      </c>
      <c r="AB2258" s="45"/>
      <c r="AC2258" s="74"/>
      <c r="AD2258" s="53">
        <f>P_2_minQ+(AD2255^2*R_dn)-dpdn_minQ</f>
        <v>41.723337985837894</v>
      </c>
      <c r="AE2258" s="45"/>
      <c r="AF2258" s="74"/>
      <c r="AG2258" s="53">
        <f>P_2_minQ+(AG2255^2*R_dn)-dpdn_minQ</f>
        <v>62.488489303505332</v>
      </c>
      <c r="AH2258" s="45"/>
      <c r="AI2258" s="74"/>
      <c r="AJ2258" s="53">
        <f>P_2_minQ+(AJ2255^2*R_dn)-dpdn_minQ</f>
        <v>92.031300414167404</v>
      </c>
      <c r="AK2258" s="45"/>
      <c r="AL2258" s="74"/>
      <c r="AM2258" s="53">
        <f>P_2_minQ+(AM2255^2*R_dn)-dpdn_minQ</f>
        <v>124.96826423583384</v>
      </c>
      <c r="AN2258" s="45"/>
      <c r="AO2258" s="74"/>
      <c r="AP2258" s="53">
        <f>P_2_minQ+(AP2255^2*R_dn)-dpdn_minQ</f>
        <v>159.86150822776014</v>
      </c>
      <c r="AQ2258" s="45"/>
      <c r="AR2258" s="74"/>
      <c r="AS2258" s="53">
        <f>P_2_minQ+(AS2255^2*R_dn)-dpdn_minQ</f>
        <v>199.78156060116956</v>
      </c>
      <c r="AT2258" s="45"/>
      <c r="AU2258" s="74"/>
    </row>
    <row r="2259" spans="15:47" x14ac:dyDescent="0.25">
      <c r="O2259" s="6" t="s">
        <v>243</v>
      </c>
      <c r="Q2259" s="60"/>
      <c r="R2259" s="53">
        <f>R2257-R2258</f>
        <v>32.1820339642546</v>
      </c>
      <c r="S2259" s="56"/>
      <c r="T2259" s="72"/>
      <c r="U2259" s="64">
        <f>U2257-U2258</f>
        <v>30.457102657668205</v>
      </c>
      <c r="V2259" s="44"/>
      <c r="W2259" s="72"/>
      <c r="X2259" s="64">
        <f>X2257-X2258</f>
        <v>21.874971060087461</v>
      </c>
      <c r="Y2259" s="44"/>
      <c r="Z2259" s="72"/>
      <c r="AA2259" s="64">
        <f>AA2257-AA2258</f>
        <v>-5.5988343890879086</v>
      </c>
      <c r="AB2259" s="44"/>
      <c r="AC2259" s="72"/>
      <c r="AD2259" s="64">
        <f>AD2257-AD2258</f>
        <v>-70.14002791502736</v>
      </c>
      <c r="AE2259" s="44"/>
      <c r="AF2259" s="72"/>
      <c r="AG2259" s="64">
        <f>AG2257-AG2258</f>
        <v>-194.73093582103198</v>
      </c>
      <c r="AH2259" s="44"/>
      <c r="AI2259" s="72"/>
      <c r="AJ2259" s="64">
        <f>AJ2257-AJ2258</f>
        <v>-371.98780248500447</v>
      </c>
      <c r="AK2259" s="44"/>
      <c r="AL2259" s="72"/>
      <c r="AM2259" s="64">
        <f>AM2257-AM2258</f>
        <v>-569.60958541500315</v>
      </c>
      <c r="AN2259" s="44"/>
      <c r="AO2259" s="72"/>
      <c r="AP2259" s="64">
        <f>AP2257-AP2258</f>
        <v>-778.96904936656074</v>
      </c>
      <c r="AQ2259" s="44"/>
      <c r="AR2259" s="72"/>
      <c r="AS2259" s="64">
        <f>AS2257-AS2258</f>
        <v>-1018.4893636070175</v>
      </c>
      <c r="AT2259" s="44"/>
      <c r="AU2259" s="72"/>
    </row>
    <row r="2260" spans="15:47" ht="13" x14ac:dyDescent="0.3">
      <c r="O2260" s="6" t="s">
        <v>75</v>
      </c>
      <c r="P2260" s="6">
        <v>3</v>
      </c>
      <c r="Q2260" s="65"/>
      <c r="R2260" s="85">
        <f>(F_LP_h/F_P_h)^2*(R2257-('Valve Sizing'!$V$4*'Valve Sizing'!$G$7))</f>
        <v>46.711796728820026</v>
      </c>
      <c r="S2260" s="58"/>
      <c r="T2260" s="73"/>
      <c r="U2260" s="53">
        <f>(U$29/U$27)^2*(U2257-('Valve Sizing'!$V$4*'Valve Sizing'!$G$7))</f>
        <v>45.509111390552391</v>
      </c>
      <c r="V2260" s="41"/>
      <c r="W2260" s="73"/>
      <c r="X2260" s="53">
        <f>(X$29/X$27)^2*(X2257-('Valve Sizing'!$V$4*'Valve Sizing'!$G$7))</f>
        <v>38.695680179813635</v>
      </c>
      <c r="Y2260" s="41"/>
      <c r="Z2260" s="73"/>
      <c r="AA2260" s="53">
        <f>(AA$29/AA$27)^2*(AA2257-('Valve Sizing'!$V$4*'Valve Sizing'!$G$7))</f>
        <v>19.263964821917369</v>
      </c>
      <c r="AB2260" s="41"/>
      <c r="AC2260" s="73"/>
      <c r="AD2260" s="53">
        <f>(AD$29/AD$27)^2*(AD2257-('Valve Sizing'!$V$4*'Valve Sizing'!$G$7))</f>
        <v>-20.811122979832632</v>
      </c>
      <c r="AE2260" s="41"/>
      <c r="AF2260" s="73"/>
      <c r="AG2260" s="53">
        <f>(AG$29/AG$27)^2*(AG2257-('Valve Sizing'!$V$4*'Valve Sizing'!$G$7))</f>
        <v>-85.453364249133017</v>
      </c>
      <c r="AH2260" s="41"/>
      <c r="AI2260" s="73"/>
      <c r="AJ2260" s="53">
        <f>(AJ$29/AJ$27)^2*(AJ2257-('Valve Sizing'!$V$4*'Valve Sizing'!$G$7))</f>
        <v>-162.17136990166617</v>
      </c>
      <c r="AK2260" s="41"/>
      <c r="AL2260" s="73"/>
      <c r="AM2260" s="53">
        <f>(AM$29/AM$27)^2*(AM2257-('Valve Sizing'!$V$4*'Valve Sizing'!$G$7))</f>
        <v>-212.95904395288321</v>
      </c>
      <c r="AN2260" s="41"/>
      <c r="AO2260" s="73"/>
      <c r="AP2260" s="53">
        <f>(AP$29/AP$27)^2*(AP2257-('Valve Sizing'!$V$4*'Valve Sizing'!$G$7))</f>
        <v>-244.49010331502106</v>
      </c>
      <c r="AQ2260" s="41"/>
      <c r="AR2260" s="73"/>
      <c r="AS2260" s="53">
        <f>(AS$29/AS$27)^2*(AS2257-('Valve Sizing'!$V$4*'Valve Sizing'!$G$7))</f>
        <v>-308.11492680266707</v>
      </c>
      <c r="AT2260" s="41"/>
      <c r="AU2260" s="73"/>
    </row>
    <row r="2261" spans="15:47" ht="13" x14ac:dyDescent="0.25">
      <c r="O2261" s="1" t="s">
        <v>69</v>
      </c>
      <c r="P2261" s="17">
        <v>7</v>
      </c>
      <c r="Q2261" s="65"/>
      <c r="R2261" s="53">
        <f>(R2255/(N_1*F_P_h))*SQRT('Valve Sizing'!$G$6/R2259)</f>
        <v>7.7016090141289615</v>
      </c>
      <c r="S2261" s="58"/>
      <c r="T2261" s="73"/>
      <c r="U2261" s="64">
        <f>(U2255/(N_1*U$27))*SQRT('Valve Sizing'!$G$6/U2259)</f>
        <v>38.243689640519335</v>
      </c>
      <c r="V2261" s="41"/>
      <c r="W2261" s="73"/>
      <c r="X2261" s="64">
        <f>(X2255/(N_1*X$27))*SQRT('Valve Sizing'!$G$6/X2259)</f>
        <v>108.56400970765085</v>
      </c>
      <c r="Y2261" s="41"/>
      <c r="Z2261" s="73"/>
      <c r="AA2261" s="64" t="e">
        <f>(AA2255/(N_1*AA$27))*SQRT('Valve Sizing'!$G$6/AA2259)</f>
        <v>#NUM!</v>
      </c>
      <c r="AB2261" s="41"/>
      <c r="AC2261" s="73"/>
      <c r="AD2261" s="64" t="e">
        <f>(AD2255/(N_1*AD$27))*SQRT('Valve Sizing'!$G$6/AD2259)</f>
        <v>#NUM!</v>
      </c>
      <c r="AE2261" s="41"/>
      <c r="AF2261" s="73"/>
      <c r="AG2261" s="64" t="e">
        <f>(AG2255/(N_1*AG$27))*SQRT('Valve Sizing'!$G$6/AG2259)</f>
        <v>#NUM!</v>
      </c>
      <c r="AH2261" s="41"/>
      <c r="AI2261" s="73"/>
      <c r="AJ2261" s="64" t="e">
        <f>(AJ2255/(N_1*AJ$27))*SQRT('Valve Sizing'!$G$6/AJ2259)</f>
        <v>#NUM!</v>
      </c>
      <c r="AK2261" s="41"/>
      <c r="AL2261" s="73"/>
      <c r="AM2261" s="64" t="e">
        <f>(AM2255/(N_1*AM$27))*SQRT('Valve Sizing'!$G$6/AM2259)</f>
        <v>#NUM!</v>
      </c>
      <c r="AN2261" s="41"/>
      <c r="AO2261" s="73"/>
      <c r="AP2261" s="64" t="e">
        <f>(AP2255/(N_1*AP$27))*SQRT('Valve Sizing'!$G$6/AP2259)</f>
        <v>#NUM!</v>
      </c>
      <c r="AQ2261" s="41"/>
      <c r="AR2261" s="73"/>
      <c r="AS2261" s="64" t="e">
        <f>(AS2255/(N_1*AS$27))*SQRT('Valve Sizing'!$G$6/AS2259)</f>
        <v>#NUM!</v>
      </c>
      <c r="AT2261" s="41"/>
      <c r="AU2261" s="73"/>
    </row>
    <row r="2262" spans="15:47" ht="13" x14ac:dyDescent="0.3">
      <c r="O2262" s="1" t="s">
        <v>72</v>
      </c>
      <c r="P2262" s="17">
        <v>7</v>
      </c>
      <c r="Q2262" s="65"/>
      <c r="R2262" s="53">
        <f>(R2255/(N_1*F_P_h))*SQRT('Valve Sizing'!$G$6/R2260)</f>
        <v>6.3925616542661539</v>
      </c>
      <c r="S2262" s="56"/>
      <c r="T2262" s="72"/>
      <c r="U2262" s="85">
        <f>(U2255/(N_1*U$27))*SQRT('Valve Sizing'!$G$6/U2260)</f>
        <v>31.286350103604953</v>
      </c>
      <c r="V2262" s="44"/>
      <c r="W2262" s="72"/>
      <c r="X2262" s="85">
        <f>(X2255/(N_1*X$27))*SQRT('Valve Sizing'!$G$6/X2260)</f>
        <v>81.625973956861529</v>
      </c>
      <c r="Y2262" s="44"/>
      <c r="Z2262" s="72"/>
      <c r="AA2262" s="85">
        <f>(AA2255/(N_1*AA$27))*SQRT('Valve Sizing'!$G$6/AA2260)</f>
        <v>222.16078509300641</v>
      </c>
      <c r="AB2262" s="44"/>
      <c r="AC2262" s="72"/>
      <c r="AD2262" s="85" t="e">
        <f>(AD2255/(N_1*AD$27))*SQRT('Valve Sizing'!$G$6/AD2260)</f>
        <v>#NUM!</v>
      </c>
      <c r="AE2262" s="44"/>
      <c r="AF2262" s="72"/>
      <c r="AG2262" s="85" t="e">
        <f>(AG2255/(N_1*AG$27))*SQRT('Valve Sizing'!$G$6/AG2260)</f>
        <v>#NUM!</v>
      </c>
      <c r="AH2262" s="44"/>
      <c r="AI2262" s="72"/>
      <c r="AJ2262" s="85" t="e">
        <f>(AJ2255/(N_1*AJ$27))*SQRT('Valve Sizing'!$G$6/AJ2260)</f>
        <v>#NUM!</v>
      </c>
      <c r="AK2262" s="44"/>
      <c r="AL2262" s="72"/>
      <c r="AM2262" s="85" t="e">
        <f>(AM2255/(N_1*AM$27))*SQRT('Valve Sizing'!$G$6/AM2260)</f>
        <v>#NUM!</v>
      </c>
      <c r="AN2262" s="44"/>
      <c r="AO2262" s="72"/>
      <c r="AP2262" s="85" t="e">
        <f>(AP2255/(N_1*AP$27))*SQRT('Valve Sizing'!$G$6/AP2260)</f>
        <v>#NUM!</v>
      </c>
      <c r="AQ2262" s="44"/>
      <c r="AR2262" s="72"/>
      <c r="AS2262" s="85" t="e">
        <f>(AS2255/(N_1*AS$27))*SQRT('Valve Sizing'!$G$6/AS2260)</f>
        <v>#NUM!</v>
      </c>
      <c r="AT2262" s="44"/>
      <c r="AU2262" s="72"/>
    </row>
    <row r="2263" spans="15:47" x14ac:dyDescent="0.25">
      <c r="O2263" s="1" t="s">
        <v>246</v>
      </c>
      <c r="P2263" s="18"/>
      <c r="Q2263" s="65"/>
      <c r="R2263" s="53">
        <f>IF(R2259&lt;R2260,R2261,R2262)</f>
        <v>7.7016090141289615</v>
      </c>
      <c r="S2263" s="49"/>
      <c r="T2263" s="72"/>
      <c r="U2263" s="64">
        <f>IF(U2259&lt;U2260,U2261,U2262)</f>
        <v>38.243689640519335</v>
      </c>
      <c r="V2263" s="44"/>
      <c r="W2263" s="72"/>
      <c r="X2263" s="64">
        <f>IF(X2259&lt;X2260,X2261,X2262)</f>
        <v>108.56400970765085</v>
      </c>
      <c r="Y2263" s="44"/>
      <c r="Z2263" s="72"/>
      <c r="AA2263" s="64" t="e">
        <f>IF(AA2259&lt;AA2260,AA2261,AA2262)</f>
        <v>#NUM!</v>
      </c>
      <c r="AB2263" s="44"/>
      <c r="AC2263" s="72"/>
      <c r="AD2263" s="64" t="e">
        <f>IF(AD2259&lt;AD2260,AD2261,AD2262)</f>
        <v>#NUM!</v>
      </c>
      <c r="AE2263" s="44"/>
      <c r="AF2263" s="72"/>
      <c r="AG2263" s="64" t="e">
        <f>IF(AG2259&lt;AG2260,AG2261,AG2262)</f>
        <v>#NUM!</v>
      </c>
      <c r="AH2263" s="44"/>
      <c r="AI2263" s="72"/>
      <c r="AJ2263" s="64" t="e">
        <f>IF(AJ2259&lt;AJ2260,AJ2261,AJ2262)</f>
        <v>#NUM!</v>
      </c>
      <c r="AK2263" s="44"/>
      <c r="AL2263" s="72"/>
      <c r="AM2263" s="64" t="e">
        <f>IF(AM2259&lt;AM2260,AM2261,AM2262)</f>
        <v>#NUM!</v>
      </c>
      <c r="AN2263" s="44"/>
      <c r="AO2263" s="72"/>
      <c r="AP2263" s="64" t="e">
        <f>IF(AP2259&lt;AP2260,AP2261,AP2262)</f>
        <v>#NUM!</v>
      </c>
      <c r="AQ2263" s="44"/>
      <c r="AR2263" s="72"/>
      <c r="AS2263" s="64" t="e">
        <f>IF(AS2259&lt;AS2260,AS2261,AS2262)</f>
        <v>#NUM!</v>
      </c>
      <c r="AT2263" s="44"/>
      <c r="AU2263" s="72"/>
    </row>
    <row r="2264" spans="15:47" ht="13" x14ac:dyDescent="0.3">
      <c r="O2264" s="7" t="s">
        <v>264</v>
      </c>
      <c r="Q2264" s="61"/>
      <c r="R2264" s="53"/>
      <c r="S2264" s="69">
        <f>IFERROR(ABS(C_h-R2263),Q_max*10)</f>
        <v>2.7016090141289615</v>
      </c>
      <c r="T2264" s="76">
        <f>R2255</f>
        <v>43.684229786246945</v>
      </c>
      <c r="U2264" s="61"/>
      <c r="V2264" s="69">
        <f>IFERROR(ABS(U$23-U2263),Q_max*10)</f>
        <v>26.243689640519335</v>
      </c>
      <c r="W2264" s="75">
        <f>U2255</f>
        <v>210.88146414997451</v>
      </c>
      <c r="X2264" s="61"/>
      <c r="Y2264" s="69">
        <f>IFERROR(ABS(X$23-X2263),Q_max*10)</f>
        <v>85.564009707650854</v>
      </c>
      <c r="Z2264" s="75">
        <f>X2255</f>
        <v>506.19669012385083</v>
      </c>
      <c r="AA2264" s="61"/>
      <c r="AB2264" s="69">
        <f>IFERROR(ABS(AA$23-AA2263),Q_max*10)</f>
        <v>5500</v>
      </c>
      <c r="AC2264" s="75">
        <f>AA2255</f>
        <v>966.51499654725694</v>
      </c>
      <c r="AD2264" s="61"/>
      <c r="AE2264" s="69">
        <f>IFERROR(ABS(AD$23-AD2263),Q_max*10)</f>
        <v>5500</v>
      </c>
      <c r="AF2264" s="75">
        <f>AD2255</f>
        <v>1589.5613196109484</v>
      </c>
      <c r="AG2264" s="61"/>
      <c r="AH2264" s="69">
        <f>IFERROR(ABS(AG$23-AG2263),Q_max*10)</f>
        <v>5500</v>
      </c>
      <c r="AI2264" s="75">
        <f>AG2255</f>
        <v>2366.6402010833763</v>
      </c>
      <c r="AJ2264" s="61"/>
      <c r="AK2264" s="69">
        <f>IFERROR(ABS(AJ$23-AJ2263),Q_max*10)</f>
        <v>5500</v>
      </c>
      <c r="AL2264" s="75">
        <f>AJ2255</f>
        <v>3158.2905227856231</v>
      </c>
      <c r="AM2264" s="61"/>
      <c r="AN2264" s="69">
        <f>IFERROR(ABS(AM$23-AM2263),Q_max*10)</f>
        <v>5500</v>
      </c>
      <c r="AO2264" s="75">
        <f>AM2255</f>
        <v>3853.7146391650745</v>
      </c>
      <c r="AP2264" s="61"/>
      <c r="AQ2264" s="69">
        <f>IFERROR(ABS(AP$23-AP2263),Q_max*10)</f>
        <v>5500</v>
      </c>
      <c r="AR2264" s="75">
        <f>AP2255</f>
        <v>4474.0430589255493</v>
      </c>
      <c r="AS2264" s="61"/>
      <c r="AT2264" s="69">
        <f>IFERROR(ABS(AS$23-AS2263),Q_max*10)</f>
        <v>5500</v>
      </c>
      <c r="AU2264" s="75">
        <f>AS2255</f>
        <v>5091.8783417323666</v>
      </c>
    </row>
    <row r="2265" spans="15:47" ht="14.5" x14ac:dyDescent="0.35">
      <c r="O2265" s="6"/>
      <c r="P2265" s="6"/>
      <c r="Q2265" s="60"/>
      <c r="R2265" s="67"/>
      <c r="S2265" s="56"/>
      <c r="T2265" s="72"/>
      <c r="V2265" s="11"/>
      <c r="W2265" s="38"/>
      <c r="Y2265" s="11"/>
      <c r="Z2265" s="38"/>
      <c r="AB2265" s="11"/>
      <c r="AC2265" s="38"/>
      <c r="AE2265" s="11"/>
      <c r="AF2265" s="38"/>
      <c r="AH2265" s="11"/>
      <c r="AI2265" s="38"/>
      <c r="AK2265" s="11"/>
      <c r="AL2265" s="38"/>
      <c r="AN2265" s="11"/>
      <c r="AO2265" s="38"/>
      <c r="AQ2265" s="11"/>
      <c r="AR2265" s="38"/>
      <c r="AT2265" s="11"/>
      <c r="AU2265" s="38"/>
    </row>
    <row r="2266" spans="15:47" ht="14" x14ac:dyDescent="0.3">
      <c r="O2266" s="8" t="s">
        <v>235</v>
      </c>
      <c r="P2266" s="6"/>
      <c r="Q2266" s="60"/>
      <c r="R2266" s="53">
        <f>R2255*1.02</f>
        <v>44.557914381971884</v>
      </c>
      <c r="S2266" s="58" t="s">
        <v>238</v>
      </c>
      <c r="T2266" s="73" t="s">
        <v>241</v>
      </c>
      <c r="U2266" s="84">
        <f>U2255*1.01</f>
        <v>212.99027879147425</v>
      </c>
      <c r="V2266" s="58" t="s">
        <v>238</v>
      </c>
      <c r="W2266" s="73" t="s">
        <v>241</v>
      </c>
      <c r="X2266" s="84">
        <f>X2255*1.01</f>
        <v>511.25865702508935</v>
      </c>
      <c r="Y2266" s="58" t="s">
        <v>238</v>
      </c>
      <c r="Z2266" s="73" t="s">
        <v>241</v>
      </c>
      <c r="AA2266" s="84">
        <f>AA2255*1.01</f>
        <v>976.18014651272949</v>
      </c>
      <c r="AB2266" s="58" t="s">
        <v>238</v>
      </c>
      <c r="AC2266" s="73" t="s">
        <v>241</v>
      </c>
      <c r="AD2266" s="84">
        <f>AD2255*1.01</f>
        <v>1605.4569328070579</v>
      </c>
      <c r="AE2266" s="58" t="s">
        <v>238</v>
      </c>
      <c r="AF2266" s="73" t="s">
        <v>241</v>
      </c>
      <c r="AG2266" s="84">
        <f>AG2255*1.01</f>
        <v>2390.30660309421</v>
      </c>
      <c r="AH2266" s="58" t="s">
        <v>238</v>
      </c>
      <c r="AI2266" s="73" t="s">
        <v>241</v>
      </c>
      <c r="AJ2266" s="84">
        <f>AJ2255*1.01</f>
        <v>3189.8734280134795</v>
      </c>
      <c r="AK2266" s="58" t="s">
        <v>238</v>
      </c>
      <c r="AL2266" s="73" t="s">
        <v>241</v>
      </c>
      <c r="AM2266" s="84">
        <f>AM2255*1.01</f>
        <v>3892.2517855567253</v>
      </c>
      <c r="AN2266" s="58" t="s">
        <v>238</v>
      </c>
      <c r="AO2266" s="73" t="s">
        <v>241</v>
      </c>
      <c r="AP2266" s="84">
        <f>AP2255*1.01</f>
        <v>4518.7834895148044</v>
      </c>
      <c r="AQ2266" s="58" t="s">
        <v>238</v>
      </c>
      <c r="AR2266" s="73" t="s">
        <v>241</v>
      </c>
      <c r="AS2266" s="84">
        <f>AS2255*1.01</f>
        <v>5142.7971251496901</v>
      </c>
      <c r="AT2266" s="58" t="s">
        <v>238</v>
      </c>
      <c r="AU2266" s="73" t="s">
        <v>241</v>
      </c>
    </row>
    <row r="2267" spans="15:47" ht="13" x14ac:dyDescent="0.25">
      <c r="O2267" s="6"/>
      <c r="P2267" s="6"/>
      <c r="Q2267" s="60"/>
      <c r="R2267" s="70"/>
      <c r="S2267" s="63" t="s">
        <v>250</v>
      </c>
      <c r="T2267" s="71" t="s">
        <v>242</v>
      </c>
      <c r="U2267" s="61"/>
      <c r="V2267" s="63" t="s">
        <v>250</v>
      </c>
      <c r="W2267" s="71" t="s">
        <v>242</v>
      </c>
      <c r="X2267" s="61"/>
      <c r="Y2267" s="63" t="s">
        <v>250</v>
      </c>
      <c r="Z2267" s="71" t="s">
        <v>242</v>
      </c>
      <c r="AA2267" s="61"/>
      <c r="AB2267" s="63" t="s">
        <v>250</v>
      </c>
      <c r="AC2267" s="71" t="s">
        <v>242</v>
      </c>
      <c r="AD2267" s="61"/>
      <c r="AE2267" s="63" t="s">
        <v>250</v>
      </c>
      <c r="AF2267" s="71" t="s">
        <v>242</v>
      </c>
      <c r="AG2267" s="61"/>
      <c r="AH2267" s="63" t="s">
        <v>250</v>
      </c>
      <c r="AI2267" s="71" t="s">
        <v>242</v>
      </c>
      <c r="AJ2267" s="61"/>
      <c r="AK2267" s="63" t="s">
        <v>250</v>
      </c>
      <c r="AL2267" s="71" t="s">
        <v>242</v>
      </c>
      <c r="AM2267" s="61"/>
      <c r="AN2267" s="63" t="s">
        <v>250</v>
      </c>
      <c r="AO2267" s="71" t="s">
        <v>242</v>
      </c>
      <c r="AP2267" s="61"/>
      <c r="AQ2267" s="63" t="s">
        <v>250</v>
      </c>
      <c r="AR2267" s="71" t="s">
        <v>242</v>
      </c>
      <c r="AS2267" s="61"/>
      <c r="AT2267" s="63" t="s">
        <v>250</v>
      </c>
      <c r="AU2267" s="71" t="s">
        <v>242</v>
      </c>
    </row>
    <row r="2268" spans="15:47" ht="13" x14ac:dyDescent="0.3">
      <c r="O2268" s="6" t="s">
        <v>231</v>
      </c>
      <c r="P2268" s="6"/>
      <c r="Q2268" s="60"/>
      <c r="R2268" s="85">
        <f>P_1_minQ-(R2266^2*R_up)+dpup_minQ</f>
        <v>56.849091261936131</v>
      </c>
      <c r="S2268" s="56"/>
      <c r="T2268" s="72"/>
      <c r="U2268" s="53">
        <f>P_1_minQ-(U2266^2*R_up)+dpup_minQ</f>
        <v>55.384064206022629</v>
      </c>
      <c r="V2268" s="44"/>
      <c r="W2268" s="72"/>
      <c r="X2268" s="53">
        <f>P_1_minQ-(X2266^2*R_up)+dpup_minQ</f>
        <v>48.088537170445868</v>
      </c>
      <c r="Y2268" s="44"/>
      <c r="Z2268" s="72"/>
      <c r="AA2268" s="53">
        <f>P_1_minQ-(AA2266^2*R_up)+dpup_minQ</f>
        <v>24.733513054859369</v>
      </c>
      <c r="AB2268" s="44"/>
      <c r="AC2268" s="72"/>
      <c r="AD2268" s="53">
        <f>P_1_minQ-(AD2266^2*R_up)+dpup_minQ</f>
        <v>-30.131879874982989</v>
      </c>
      <c r="AE2268" s="44"/>
      <c r="AF2268" s="72"/>
      <c r="AG2268" s="53">
        <f>P_1_minQ-(AG2266^2*R_up)+dpup_minQ</f>
        <v>-136.04453417074578</v>
      </c>
      <c r="AH2268" s="44"/>
      <c r="AI2268" s="72"/>
      <c r="AJ2268" s="53">
        <f>P_1_minQ-(AJ2266^2*R_up)+dpup_minQ</f>
        <v>-286.72764224067777</v>
      </c>
      <c r="AK2268" s="44"/>
      <c r="AL2268" s="72"/>
      <c r="AM2268" s="53">
        <f>P_1_minQ-(AM2266^2*R_up)+dpup_minQ</f>
        <v>-454.72262621308738</v>
      </c>
      <c r="AN2268" s="44"/>
      <c r="AO2268" s="72"/>
      <c r="AP2268" s="53">
        <f>P_1_minQ-(AP2266^2*R_up)+dpup_minQ</f>
        <v>-632.6956171939072</v>
      </c>
      <c r="AQ2268" s="44"/>
      <c r="AR2268" s="72"/>
      <c r="AS2268" s="53">
        <f>P_1_minQ-(AS2266^2*R_up)+dpup_minQ</f>
        <v>-836.30784432448218</v>
      </c>
      <c r="AT2268" s="44"/>
      <c r="AU2268" s="72"/>
    </row>
    <row r="2269" spans="15:47" ht="13" x14ac:dyDescent="0.3">
      <c r="O2269" s="6" t="s">
        <v>233</v>
      </c>
      <c r="P2269" s="6"/>
      <c r="Q2269" s="60"/>
      <c r="R2269" s="85">
        <f>P_2_minQ+(R2266^2*R_dn)-dpdn_minQ</f>
        <v>24.670181747612776</v>
      </c>
      <c r="S2269" s="66"/>
      <c r="T2269" s="74"/>
      <c r="U2269" s="53">
        <f>P_2_minQ+(U2266^2*R_dn)-dpdn_minQ</f>
        <v>24.963187158795474</v>
      </c>
      <c r="V2269" s="45"/>
      <c r="W2269" s="74"/>
      <c r="X2269" s="53">
        <f>P_2_minQ+(X2266^2*R_dn)-dpdn_minQ</f>
        <v>26.422292565910826</v>
      </c>
      <c r="Y2269" s="45"/>
      <c r="Z2269" s="74"/>
      <c r="AA2269" s="53">
        <f>P_2_minQ+(AA2266^2*R_dn)-dpdn_minQ</f>
        <v>31.093297389028127</v>
      </c>
      <c r="AB2269" s="45"/>
      <c r="AC2269" s="74"/>
      <c r="AD2269" s="53">
        <f>P_2_minQ+(AD2266^2*R_dn)-dpdn_minQ</f>
        <v>42.066375974996603</v>
      </c>
      <c r="AE2269" s="45"/>
      <c r="AF2269" s="74"/>
      <c r="AG2269" s="53">
        <f>P_2_minQ+(AG2266^2*R_dn)-dpdn_minQ</f>
        <v>63.248906834149153</v>
      </c>
      <c r="AH2269" s="45"/>
      <c r="AI2269" s="74"/>
      <c r="AJ2269" s="53">
        <f>P_2_minQ+(AJ2266^2*R_dn)-dpdn_minQ</f>
        <v>93.385528448135545</v>
      </c>
      <c r="AK2269" s="45"/>
      <c r="AL2269" s="74"/>
      <c r="AM2269" s="53">
        <f>P_2_minQ+(AM2266^2*R_dn)-dpdn_minQ</f>
        <v>126.98452524261748</v>
      </c>
      <c r="AN2269" s="45"/>
      <c r="AO2269" s="74"/>
      <c r="AP2269" s="53">
        <f>P_2_minQ+(AP2266^2*R_dn)-dpdn_minQ</f>
        <v>162.57912343878147</v>
      </c>
      <c r="AQ2269" s="45"/>
      <c r="AR2269" s="74"/>
      <c r="AS2269" s="53">
        <f>P_2_minQ+(AS2266^2*R_dn)-dpdn_minQ</f>
        <v>203.30156886489644</v>
      </c>
      <c r="AT2269" s="45"/>
      <c r="AU2269" s="74"/>
    </row>
    <row r="2270" spans="15:47" x14ac:dyDescent="0.25">
      <c r="O2270" s="6" t="s">
        <v>243</v>
      </c>
      <c r="Q2270" s="60"/>
      <c r="R2270" s="53">
        <f>R2268-R2269</f>
        <v>32.178909514323351</v>
      </c>
      <c r="S2270" s="56"/>
      <c r="T2270" s="72"/>
      <c r="U2270" s="64">
        <f>U2268-U2269</f>
        <v>30.420877047227155</v>
      </c>
      <c r="V2270" s="44"/>
      <c r="W2270" s="72"/>
      <c r="X2270" s="64">
        <f>X2268-X2269</f>
        <v>21.666244604535041</v>
      </c>
      <c r="Y2270" s="44"/>
      <c r="Z2270" s="72"/>
      <c r="AA2270" s="64">
        <f>AA2268-AA2269</f>
        <v>-6.3597843341687579</v>
      </c>
      <c r="AB2270" s="44"/>
      <c r="AC2270" s="72"/>
      <c r="AD2270" s="64">
        <f>AD2268-AD2269</f>
        <v>-72.198255849979589</v>
      </c>
      <c r="AE2270" s="44"/>
      <c r="AF2270" s="72"/>
      <c r="AG2270" s="64">
        <f>AG2268-AG2269</f>
        <v>-199.29344100489493</v>
      </c>
      <c r="AH2270" s="44"/>
      <c r="AI2270" s="72"/>
      <c r="AJ2270" s="64">
        <f>AJ2268-AJ2269</f>
        <v>-380.11317068881328</v>
      </c>
      <c r="AK2270" s="44"/>
      <c r="AL2270" s="72"/>
      <c r="AM2270" s="64">
        <f>AM2268-AM2269</f>
        <v>-581.70715145570489</v>
      </c>
      <c r="AN2270" s="44"/>
      <c r="AO2270" s="72"/>
      <c r="AP2270" s="64">
        <f>AP2268-AP2269</f>
        <v>-795.27474063268869</v>
      </c>
      <c r="AQ2270" s="44"/>
      <c r="AR2270" s="72"/>
      <c r="AS2270" s="64">
        <f>AS2268-AS2269</f>
        <v>-1039.6094131893785</v>
      </c>
      <c r="AT2270" s="44"/>
      <c r="AU2270" s="72"/>
    </row>
    <row r="2271" spans="15:47" ht="13" x14ac:dyDescent="0.3">
      <c r="O2271" s="6" t="s">
        <v>75</v>
      </c>
      <c r="P2271" s="6">
        <v>3</v>
      </c>
      <c r="Q2271" s="65"/>
      <c r="R2271" s="85">
        <f>(F_LP_h/F_P_h)^2*(R2268-('Valve Sizing'!$V$4*'Valve Sizing'!$G$7))</f>
        <v>46.709640721698975</v>
      </c>
      <c r="S2271" s="58"/>
      <c r="T2271" s="73"/>
      <c r="U2271" s="53">
        <f>(U$29/U$27)^2*(U2268-('Valve Sizing'!$V$4*'Valve Sizing'!$G$7))</f>
        <v>45.484120948000594</v>
      </c>
      <c r="V2271" s="41"/>
      <c r="W2271" s="73"/>
      <c r="X2271" s="53">
        <f>(X$29/X$27)^2*(X2268-('Valve Sizing'!$V$4*'Valve Sizing'!$G$7))</f>
        <v>38.554937050149633</v>
      </c>
      <c r="Y2271" s="41"/>
      <c r="Z2271" s="73"/>
      <c r="AA2271" s="53">
        <f>(AA$29/AA$27)^2*(AA2268-('Valve Sizing'!$V$4*'Valve Sizing'!$G$7))</f>
        <v>18.773914819294486</v>
      </c>
      <c r="AB2271" s="41"/>
      <c r="AC2271" s="73"/>
      <c r="AD2271" s="53">
        <f>(AD$29/AD$27)^2*(AD2268-('Valve Sizing'!$V$4*'Valve Sizing'!$G$7))</f>
        <v>-22.04809636965328</v>
      </c>
      <c r="AE2271" s="41"/>
      <c r="AF2271" s="73"/>
      <c r="AG2271" s="53">
        <f>(AG$29/AG$27)^2*(AG2268-('Valve Sizing'!$V$4*'Valve Sizing'!$G$7))</f>
        <v>-87.90207580405675</v>
      </c>
      <c r="AH2271" s="41"/>
      <c r="AI2271" s="73"/>
      <c r="AJ2271" s="53">
        <f>(AJ$29/AJ$27)^2*(AJ2268-('Valve Sizing'!$V$4*'Valve Sizing'!$G$7))</f>
        <v>-166.08755588539677</v>
      </c>
      <c r="AK2271" s="41"/>
      <c r="AL2271" s="73"/>
      <c r="AM2271" s="53">
        <f>(AM$29/AM$27)^2*(AM2268-('Valve Sizing'!$V$4*'Valve Sizing'!$G$7))</f>
        <v>-217.78266764025645</v>
      </c>
      <c r="AN2271" s="41"/>
      <c r="AO2271" s="73"/>
      <c r="AP2271" s="53">
        <f>(AP$29/AP$27)^2*(AP2268-('Valve Sizing'!$V$4*'Valve Sizing'!$G$7))</f>
        <v>-249.85232265855242</v>
      </c>
      <c r="AQ2271" s="41"/>
      <c r="AR2271" s="73"/>
      <c r="AS2271" s="53">
        <f>(AS$29/AS$27)^2*(AS2268-('Valve Sizing'!$V$4*'Valve Sizing'!$G$7))</f>
        <v>-314.73502032051817</v>
      </c>
      <c r="AT2271" s="41"/>
      <c r="AU2271" s="73"/>
    </row>
    <row r="2272" spans="15:47" ht="13" x14ac:dyDescent="0.25">
      <c r="O2272" s="1" t="s">
        <v>69</v>
      </c>
      <c r="P2272" s="17">
        <v>7</v>
      </c>
      <c r="Q2272" s="65"/>
      <c r="R2272" s="53">
        <f>(R2266/(N_1*F_P_h))*SQRT('Valve Sizing'!$G$6/R2270)</f>
        <v>7.8560225616205814</v>
      </c>
      <c r="S2272" s="58"/>
      <c r="T2272" s="73"/>
      <c r="U2272" s="64">
        <f>(U2266/(N_1*U$27))*SQRT('Valve Sizing'!$G$6/U2270)</f>
        <v>38.649117963096749</v>
      </c>
      <c r="V2272" s="41"/>
      <c r="W2272" s="73"/>
      <c r="X2272" s="64">
        <f>(X2266/(N_1*X$27))*SQRT('Valve Sizing'!$G$6/X2270)</f>
        <v>110.17655065678032</v>
      </c>
      <c r="Y2272" s="41"/>
      <c r="Z2272" s="73"/>
      <c r="AA2272" s="64" t="e">
        <f>(AA2266/(N_1*AA$27))*SQRT('Valve Sizing'!$G$6/AA2270)</f>
        <v>#NUM!</v>
      </c>
      <c r="AB2272" s="41"/>
      <c r="AC2272" s="73"/>
      <c r="AD2272" s="64" t="e">
        <f>(AD2266/(N_1*AD$27))*SQRT('Valve Sizing'!$G$6/AD2270)</f>
        <v>#NUM!</v>
      </c>
      <c r="AE2272" s="41"/>
      <c r="AF2272" s="73"/>
      <c r="AG2272" s="64" t="e">
        <f>(AG2266/(N_1*AG$27))*SQRT('Valve Sizing'!$G$6/AG2270)</f>
        <v>#NUM!</v>
      </c>
      <c r="AH2272" s="41"/>
      <c r="AI2272" s="73"/>
      <c r="AJ2272" s="64" t="e">
        <f>(AJ2266/(N_1*AJ$27))*SQRT('Valve Sizing'!$G$6/AJ2270)</f>
        <v>#NUM!</v>
      </c>
      <c r="AK2272" s="41"/>
      <c r="AL2272" s="73"/>
      <c r="AM2272" s="64" t="e">
        <f>(AM2266/(N_1*AM$27))*SQRT('Valve Sizing'!$G$6/AM2270)</f>
        <v>#NUM!</v>
      </c>
      <c r="AN2272" s="41"/>
      <c r="AO2272" s="73"/>
      <c r="AP2272" s="64" t="e">
        <f>(AP2266/(N_1*AP$27))*SQRT('Valve Sizing'!$G$6/AP2270)</f>
        <v>#NUM!</v>
      </c>
      <c r="AQ2272" s="41"/>
      <c r="AR2272" s="73"/>
      <c r="AS2272" s="64" t="e">
        <f>(AS2266/(N_1*AS$27))*SQRT('Valve Sizing'!$G$6/AS2270)</f>
        <v>#NUM!</v>
      </c>
      <c r="AT2272" s="41"/>
      <c r="AU2272" s="73"/>
    </row>
    <row r="2273" spans="15:47" ht="13" x14ac:dyDescent="0.3">
      <c r="O2273" s="1" t="s">
        <v>72</v>
      </c>
      <c r="P2273" s="17">
        <v>7</v>
      </c>
      <c r="Q2273" s="65"/>
      <c r="R2273" s="53">
        <f>(R2266/(N_1*F_P_h))*SQRT('Valve Sizing'!$G$6/R2271)</f>
        <v>6.5205633690741145</v>
      </c>
      <c r="S2273" s="56"/>
      <c r="T2273" s="72"/>
      <c r="U2273" s="85">
        <f>(U2266/(N_1*U$27))*SQRT('Valve Sizing'!$G$6/U2271)</f>
        <v>31.607893225978259</v>
      </c>
      <c r="V2273" s="44"/>
      <c r="W2273" s="72"/>
      <c r="X2273" s="85">
        <f>(X2266/(N_1*X$27))*SQRT('Valve Sizing'!$G$6/X2271)</f>
        <v>82.592572523735271</v>
      </c>
      <c r="Y2273" s="44"/>
      <c r="Z2273" s="72"/>
      <c r="AA2273" s="85">
        <f>(AA2266/(N_1*AA$27))*SQRT('Valve Sizing'!$G$6/AA2271)</f>
        <v>227.29202191783821</v>
      </c>
      <c r="AB2273" s="44"/>
      <c r="AC2273" s="72"/>
      <c r="AD2273" s="85" t="e">
        <f>(AD2266/(N_1*AD$27))*SQRT('Valve Sizing'!$G$6/AD2271)</f>
        <v>#NUM!</v>
      </c>
      <c r="AE2273" s="44"/>
      <c r="AF2273" s="72"/>
      <c r="AG2273" s="85" t="e">
        <f>(AG2266/(N_1*AG$27))*SQRT('Valve Sizing'!$G$6/AG2271)</f>
        <v>#NUM!</v>
      </c>
      <c r="AH2273" s="44"/>
      <c r="AI2273" s="72"/>
      <c r="AJ2273" s="85" t="e">
        <f>(AJ2266/(N_1*AJ$27))*SQRT('Valve Sizing'!$G$6/AJ2271)</f>
        <v>#NUM!</v>
      </c>
      <c r="AK2273" s="44"/>
      <c r="AL2273" s="72"/>
      <c r="AM2273" s="85" t="e">
        <f>(AM2266/(N_1*AM$27))*SQRT('Valve Sizing'!$G$6/AM2271)</f>
        <v>#NUM!</v>
      </c>
      <c r="AN2273" s="44"/>
      <c r="AO2273" s="72"/>
      <c r="AP2273" s="85" t="e">
        <f>(AP2266/(N_1*AP$27))*SQRT('Valve Sizing'!$G$6/AP2271)</f>
        <v>#NUM!</v>
      </c>
      <c r="AQ2273" s="44"/>
      <c r="AR2273" s="72"/>
      <c r="AS2273" s="85" t="e">
        <f>(AS2266/(N_1*AS$27))*SQRT('Valve Sizing'!$G$6/AS2271)</f>
        <v>#NUM!</v>
      </c>
      <c r="AT2273" s="44"/>
      <c r="AU2273" s="72"/>
    </row>
    <row r="2274" spans="15:47" x14ac:dyDescent="0.25">
      <c r="O2274" s="1" t="s">
        <v>246</v>
      </c>
      <c r="P2274" s="18"/>
      <c r="Q2274" s="65"/>
      <c r="R2274" s="53">
        <f>IF(R2270&lt;R2271,R2272,R2273)</f>
        <v>7.8560225616205814</v>
      </c>
      <c r="S2274" s="49"/>
      <c r="T2274" s="72"/>
      <c r="U2274" s="64">
        <f>IF(U2270&lt;U2271,U2272,U2273)</f>
        <v>38.649117963096749</v>
      </c>
      <c r="V2274" s="44"/>
      <c r="W2274" s="72"/>
      <c r="X2274" s="64">
        <f>IF(X2270&lt;X2271,X2272,X2273)</f>
        <v>110.17655065678032</v>
      </c>
      <c r="Y2274" s="44"/>
      <c r="Z2274" s="72"/>
      <c r="AA2274" s="64" t="e">
        <f>IF(AA2270&lt;AA2271,AA2272,AA2273)</f>
        <v>#NUM!</v>
      </c>
      <c r="AB2274" s="44"/>
      <c r="AC2274" s="72"/>
      <c r="AD2274" s="64" t="e">
        <f>IF(AD2270&lt;AD2271,AD2272,AD2273)</f>
        <v>#NUM!</v>
      </c>
      <c r="AE2274" s="44"/>
      <c r="AF2274" s="72"/>
      <c r="AG2274" s="64" t="e">
        <f>IF(AG2270&lt;AG2271,AG2272,AG2273)</f>
        <v>#NUM!</v>
      </c>
      <c r="AH2274" s="44"/>
      <c r="AI2274" s="72"/>
      <c r="AJ2274" s="64" t="e">
        <f>IF(AJ2270&lt;AJ2271,AJ2272,AJ2273)</f>
        <v>#NUM!</v>
      </c>
      <c r="AK2274" s="44"/>
      <c r="AL2274" s="72"/>
      <c r="AM2274" s="64" t="e">
        <f>IF(AM2270&lt;AM2271,AM2272,AM2273)</f>
        <v>#NUM!</v>
      </c>
      <c r="AN2274" s="44"/>
      <c r="AO2274" s="72"/>
      <c r="AP2274" s="64" t="e">
        <f>IF(AP2270&lt;AP2271,AP2272,AP2273)</f>
        <v>#NUM!</v>
      </c>
      <c r="AQ2274" s="44"/>
      <c r="AR2274" s="72"/>
      <c r="AS2274" s="64" t="e">
        <f>IF(AS2270&lt;AS2271,AS2272,AS2273)</f>
        <v>#NUM!</v>
      </c>
      <c r="AT2274" s="44"/>
      <c r="AU2274" s="72"/>
    </row>
    <row r="2275" spans="15:47" ht="13" x14ac:dyDescent="0.3">
      <c r="O2275" s="7" t="s">
        <v>264</v>
      </c>
      <c r="Q2275" s="61"/>
      <c r="R2275" s="53"/>
      <c r="S2275" s="69">
        <f>IFERROR(ABS(C_h-R2274),Q_max*10)</f>
        <v>2.8560225616205814</v>
      </c>
      <c r="T2275" s="76">
        <f>R2266</f>
        <v>44.557914381971884</v>
      </c>
      <c r="U2275" s="61"/>
      <c r="V2275" s="69">
        <f>IFERROR(ABS(U$23-U2274),Q_max*10)</f>
        <v>26.649117963096749</v>
      </c>
      <c r="W2275" s="75">
        <f>U2266</f>
        <v>212.99027879147425</v>
      </c>
      <c r="X2275" s="61"/>
      <c r="Y2275" s="69">
        <f>IFERROR(ABS(X$23-X2274),Q_max*10)</f>
        <v>87.176550656780321</v>
      </c>
      <c r="Z2275" s="75">
        <f>X2266</f>
        <v>511.25865702508935</v>
      </c>
      <c r="AA2275" s="61"/>
      <c r="AB2275" s="69">
        <f>IFERROR(ABS(AA$23-AA2274),Q_max*10)</f>
        <v>5500</v>
      </c>
      <c r="AC2275" s="75">
        <f>AA2266</f>
        <v>976.18014651272949</v>
      </c>
      <c r="AD2275" s="61"/>
      <c r="AE2275" s="69">
        <f>IFERROR(ABS(AD$23-AD2274),Q_max*10)</f>
        <v>5500</v>
      </c>
      <c r="AF2275" s="75">
        <f>AD2266</f>
        <v>1605.4569328070579</v>
      </c>
      <c r="AG2275" s="61"/>
      <c r="AH2275" s="69">
        <f>IFERROR(ABS(AG$23-AG2274),Q_max*10)</f>
        <v>5500</v>
      </c>
      <c r="AI2275" s="75">
        <f>AG2266</f>
        <v>2390.30660309421</v>
      </c>
      <c r="AJ2275" s="61"/>
      <c r="AK2275" s="69">
        <f>IFERROR(ABS(AJ$23-AJ2274),Q_max*10)</f>
        <v>5500</v>
      </c>
      <c r="AL2275" s="75">
        <f>AJ2266</f>
        <v>3189.8734280134795</v>
      </c>
      <c r="AM2275" s="61"/>
      <c r="AN2275" s="69">
        <f>IFERROR(ABS(AM$23-AM2274),Q_max*10)</f>
        <v>5500</v>
      </c>
      <c r="AO2275" s="75">
        <f>AM2266</f>
        <v>3892.2517855567253</v>
      </c>
      <c r="AP2275" s="61"/>
      <c r="AQ2275" s="69">
        <f>IFERROR(ABS(AP$23-AP2274),Q_max*10)</f>
        <v>5500</v>
      </c>
      <c r="AR2275" s="75">
        <f>AP2266</f>
        <v>4518.7834895148044</v>
      </c>
      <c r="AS2275" s="61"/>
      <c r="AT2275" s="69">
        <f>IFERROR(ABS(AS$23-AS2274),Q_max*10)</f>
        <v>5500</v>
      </c>
      <c r="AU2275" s="75">
        <f>AS2266</f>
        <v>5142.7971251496901</v>
      </c>
    </row>
    <row r="2276" spans="15:47" ht="14.5" x14ac:dyDescent="0.35">
      <c r="O2276" s="8"/>
      <c r="P2276" s="6"/>
      <c r="Q2276" s="60"/>
      <c r="R2276" s="67"/>
      <c r="S2276" s="56"/>
      <c r="T2276" s="72"/>
      <c r="V2276" s="11"/>
      <c r="W2276" s="38"/>
      <c r="Y2276" s="11"/>
      <c r="Z2276" s="38"/>
      <c r="AB2276" s="11"/>
      <c r="AC2276" s="38"/>
      <c r="AE2276" s="11"/>
      <c r="AF2276" s="38"/>
      <c r="AH2276" s="11"/>
      <c r="AI2276" s="38"/>
      <c r="AK2276" s="11"/>
      <c r="AL2276" s="38"/>
      <c r="AN2276" s="11"/>
      <c r="AO2276" s="38"/>
      <c r="AQ2276" s="11"/>
      <c r="AR2276" s="38"/>
      <c r="AT2276" s="11"/>
      <c r="AU2276" s="38"/>
    </row>
    <row r="2277" spans="15:47" ht="14" x14ac:dyDescent="0.3">
      <c r="O2277" s="8" t="s">
        <v>235</v>
      </c>
      <c r="P2277" s="6"/>
      <c r="Q2277" s="60"/>
      <c r="R2277" s="53">
        <f>R2266*1.02</f>
        <v>45.449072669611326</v>
      </c>
      <c r="S2277" s="58" t="s">
        <v>238</v>
      </c>
      <c r="T2277" s="73" t="s">
        <v>241</v>
      </c>
      <c r="U2277" s="84">
        <f>U2266*1.01</f>
        <v>215.120181579389</v>
      </c>
      <c r="V2277" s="58" t="s">
        <v>238</v>
      </c>
      <c r="W2277" s="73" t="s">
        <v>241</v>
      </c>
      <c r="X2277" s="84">
        <f>X2266*1.01</f>
        <v>516.37124359534027</v>
      </c>
      <c r="Y2277" s="58" t="s">
        <v>238</v>
      </c>
      <c r="Z2277" s="73" t="s">
        <v>241</v>
      </c>
      <c r="AA2277" s="84">
        <f>AA2266*1.01</f>
        <v>985.94194797785678</v>
      </c>
      <c r="AB2277" s="58" t="s">
        <v>238</v>
      </c>
      <c r="AC2277" s="73" t="s">
        <v>241</v>
      </c>
      <c r="AD2277" s="84">
        <f>AD2266*1.01</f>
        <v>1621.5115021351285</v>
      </c>
      <c r="AE2277" s="58" t="s">
        <v>238</v>
      </c>
      <c r="AF2277" s="73" t="s">
        <v>241</v>
      </c>
      <c r="AG2277" s="84">
        <f>AG2266*1.01</f>
        <v>2414.2096691251522</v>
      </c>
      <c r="AH2277" s="58" t="s">
        <v>238</v>
      </c>
      <c r="AI2277" s="73" t="s">
        <v>241</v>
      </c>
      <c r="AJ2277" s="84">
        <f>AJ2266*1.01</f>
        <v>3221.7721622936142</v>
      </c>
      <c r="AK2277" s="58" t="s">
        <v>238</v>
      </c>
      <c r="AL2277" s="73" t="s">
        <v>241</v>
      </c>
      <c r="AM2277" s="84">
        <f>AM2266*1.01</f>
        <v>3931.1743034122924</v>
      </c>
      <c r="AN2277" s="58" t="s">
        <v>238</v>
      </c>
      <c r="AO2277" s="73" t="s">
        <v>241</v>
      </c>
      <c r="AP2277" s="84">
        <f>AP2266*1.01</f>
        <v>4563.9713244099521</v>
      </c>
      <c r="AQ2277" s="58" t="s">
        <v>238</v>
      </c>
      <c r="AR2277" s="73" t="s">
        <v>241</v>
      </c>
      <c r="AS2277" s="84">
        <f>AS2266*1.01</f>
        <v>5194.2250964011873</v>
      </c>
      <c r="AT2277" s="58" t="s">
        <v>238</v>
      </c>
      <c r="AU2277" s="73" t="s">
        <v>241</v>
      </c>
    </row>
    <row r="2278" spans="15:47" ht="13" x14ac:dyDescent="0.25">
      <c r="O2278" s="6"/>
      <c r="P2278" s="6"/>
      <c r="Q2278" s="60"/>
      <c r="R2278" s="70"/>
      <c r="S2278" s="63" t="s">
        <v>250</v>
      </c>
      <c r="T2278" s="71" t="s">
        <v>242</v>
      </c>
      <c r="U2278" s="61"/>
      <c r="V2278" s="63" t="s">
        <v>250</v>
      </c>
      <c r="W2278" s="71" t="s">
        <v>242</v>
      </c>
      <c r="X2278" s="61"/>
      <c r="Y2278" s="63" t="s">
        <v>250</v>
      </c>
      <c r="Z2278" s="71" t="s">
        <v>242</v>
      </c>
      <c r="AA2278" s="61"/>
      <c r="AB2278" s="63" t="s">
        <v>250</v>
      </c>
      <c r="AC2278" s="71" t="s">
        <v>242</v>
      </c>
      <c r="AD2278" s="61"/>
      <c r="AE2278" s="63" t="s">
        <v>250</v>
      </c>
      <c r="AF2278" s="71" t="s">
        <v>242</v>
      </c>
      <c r="AG2278" s="61"/>
      <c r="AH2278" s="63" t="s">
        <v>250</v>
      </c>
      <c r="AI2278" s="71" t="s">
        <v>242</v>
      </c>
      <c r="AJ2278" s="61"/>
      <c r="AK2278" s="63" t="s">
        <v>250</v>
      </c>
      <c r="AL2278" s="71" t="s">
        <v>242</v>
      </c>
      <c r="AM2278" s="61"/>
      <c r="AN2278" s="63" t="s">
        <v>250</v>
      </c>
      <c r="AO2278" s="71" t="s">
        <v>242</v>
      </c>
      <c r="AP2278" s="61"/>
      <c r="AQ2278" s="63" t="s">
        <v>250</v>
      </c>
      <c r="AR2278" s="71" t="s">
        <v>242</v>
      </c>
      <c r="AS2278" s="61"/>
      <c r="AT2278" s="63" t="s">
        <v>250</v>
      </c>
      <c r="AU2278" s="71" t="s">
        <v>242</v>
      </c>
    </row>
    <row r="2279" spans="15:47" ht="13" x14ac:dyDescent="0.3">
      <c r="O2279" s="6" t="s">
        <v>231</v>
      </c>
      <c r="P2279" s="6"/>
      <c r="Q2279" s="60"/>
      <c r="R2279" s="85">
        <f>P_1_minQ-(R2277^2*R_up)+dpup_minQ</f>
        <v>56.846382363845741</v>
      </c>
      <c r="S2279" s="56"/>
      <c r="T2279" s="72"/>
      <c r="U2279" s="53">
        <f>P_1_minQ-(U2277^2*R_up)+dpup_minQ</f>
        <v>55.353269418346869</v>
      </c>
      <c r="V2279" s="44"/>
      <c r="W2279" s="72"/>
      <c r="X2279" s="53">
        <f>P_1_minQ-(X2277^2*R_up)+dpup_minQ</f>
        <v>47.911102289355007</v>
      </c>
      <c r="Y2279" s="44"/>
      <c r="Z2279" s="72"/>
      <c r="AA2279" s="53">
        <f>P_1_minQ-(AA2277^2*R_up)+dpup_minQ</f>
        <v>24.086642189045225</v>
      </c>
      <c r="AB2279" s="44"/>
      <c r="AC2279" s="72"/>
      <c r="AD2279" s="53">
        <f>P_1_minQ-(AD2277^2*R_up)+dpup_minQ</f>
        <v>-31.881545138686949</v>
      </c>
      <c r="AE2279" s="44"/>
      <c r="AF2279" s="72"/>
      <c r="AG2279" s="53">
        <f>P_1_minQ-(AG2277^2*R_up)+dpup_minQ</f>
        <v>-139.92304378579459</v>
      </c>
      <c r="AH2279" s="44"/>
      <c r="AI2279" s="72"/>
      <c r="AJ2279" s="53">
        <f>P_1_minQ-(AJ2277^2*R_up)+dpup_minQ</f>
        <v>-293.63488232793213</v>
      </c>
      <c r="AK2279" s="44"/>
      <c r="AL2279" s="72"/>
      <c r="AM2279" s="53">
        <f>P_1_minQ-(AM2277^2*R_up)+dpup_minQ</f>
        <v>-465.00656547818727</v>
      </c>
      <c r="AN2279" s="44"/>
      <c r="AO2279" s="72"/>
      <c r="AP2279" s="53">
        <f>P_1_minQ-(AP2277^2*R_up)+dpup_minQ</f>
        <v>-646.55681357772141</v>
      </c>
      <c r="AQ2279" s="44"/>
      <c r="AR2279" s="72"/>
      <c r="AS2279" s="53">
        <f>P_1_minQ-(AS2277^2*R_up)+dpup_minQ</f>
        <v>-854.26164647362123</v>
      </c>
      <c r="AT2279" s="44"/>
      <c r="AU2279" s="72"/>
    </row>
    <row r="2280" spans="15:47" ht="13" x14ac:dyDescent="0.3">
      <c r="O2280" s="6" t="s">
        <v>233</v>
      </c>
      <c r="P2280" s="6"/>
      <c r="Q2280" s="60"/>
      <c r="R2280" s="85">
        <f>P_2_minQ+(R2277^2*R_dn)-dpdn_minQ</f>
        <v>24.670723527230852</v>
      </c>
      <c r="S2280" s="66"/>
      <c r="T2280" s="74"/>
      <c r="U2280" s="53">
        <f>P_2_minQ+(U2277^2*R_dn)-dpdn_minQ</f>
        <v>24.969346116330627</v>
      </c>
      <c r="V2280" s="45"/>
      <c r="W2280" s="74"/>
      <c r="X2280" s="53">
        <f>P_2_minQ+(X2277^2*R_dn)-dpdn_minQ</f>
        <v>26.457779542129</v>
      </c>
      <c r="Y2280" s="45"/>
      <c r="Z2280" s="74"/>
      <c r="AA2280" s="53">
        <f>P_2_minQ+(AA2277^2*R_dn)-dpdn_minQ</f>
        <v>31.222671562190957</v>
      </c>
      <c r="AB2280" s="45"/>
      <c r="AC2280" s="74"/>
      <c r="AD2280" s="53">
        <f>P_2_minQ+(AD2277^2*R_dn)-dpdn_minQ</f>
        <v>42.416309027737398</v>
      </c>
      <c r="AE2280" s="45"/>
      <c r="AF2280" s="74"/>
      <c r="AG2280" s="53">
        <f>P_2_minQ+(AG2277^2*R_dn)-dpdn_minQ</f>
        <v>64.024608757158916</v>
      </c>
      <c r="AH2280" s="45"/>
      <c r="AI2280" s="74"/>
      <c r="AJ2280" s="53">
        <f>P_2_minQ+(AJ2277^2*R_dn)-dpdn_minQ</f>
        <v>94.766976465586424</v>
      </c>
      <c r="AK2280" s="45"/>
      <c r="AL2280" s="74"/>
      <c r="AM2280" s="53">
        <f>P_2_minQ+(AM2277^2*R_dn)-dpdn_minQ</f>
        <v>129.04131309563743</v>
      </c>
      <c r="AN2280" s="45"/>
      <c r="AO2280" s="74"/>
      <c r="AP2280" s="53">
        <f>P_2_minQ+(AP2277^2*R_dn)-dpdn_minQ</f>
        <v>165.3513627155443</v>
      </c>
      <c r="AQ2280" s="45"/>
      <c r="AR2280" s="74"/>
      <c r="AS2280" s="53">
        <f>P_2_minQ+(AS2277^2*R_dn)-dpdn_minQ</f>
        <v>206.89232929472425</v>
      </c>
      <c r="AT2280" s="45"/>
      <c r="AU2280" s="74"/>
    </row>
    <row r="2281" spans="15:47" x14ac:dyDescent="0.25">
      <c r="O2281" s="6" t="s">
        <v>243</v>
      </c>
      <c r="Q2281" s="60"/>
      <c r="R2281" s="53">
        <f>R2279-R2280</f>
        <v>32.175658836614886</v>
      </c>
      <c r="S2281" s="56"/>
      <c r="T2281" s="72"/>
      <c r="U2281" s="64">
        <f>U2279-U2280</f>
        <v>30.383923302016242</v>
      </c>
      <c r="V2281" s="44"/>
      <c r="W2281" s="72"/>
      <c r="X2281" s="64">
        <f>X2279-X2280</f>
        <v>21.453322747226007</v>
      </c>
      <c r="Y2281" s="44"/>
      <c r="Z2281" s="72"/>
      <c r="AA2281" s="64">
        <f>AA2279-AA2280</f>
        <v>-7.1360293731457318</v>
      </c>
      <c r="AB2281" s="44"/>
      <c r="AC2281" s="72"/>
      <c r="AD2281" s="64">
        <f>AD2279-AD2280</f>
        <v>-74.297854166424344</v>
      </c>
      <c r="AE2281" s="44"/>
      <c r="AF2281" s="72"/>
      <c r="AG2281" s="64">
        <f>AG2279-AG2280</f>
        <v>-203.94765254295351</v>
      </c>
      <c r="AH2281" s="44"/>
      <c r="AI2281" s="72"/>
      <c r="AJ2281" s="64">
        <f>AJ2279-AJ2280</f>
        <v>-388.40185879351856</v>
      </c>
      <c r="AK2281" s="44"/>
      <c r="AL2281" s="72"/>
      <c r="AM2281" s="64">
        <f>AM2279-AM2280</f>
        <v>-594.04787857382473</v>
      </c>
      <c r="AN2281" s="44"/>
      <c r="AO2281" s="72"/>
      <c r="AP2281" s="64">
        <f>AP2279-AP2280</f>
        <v>-811.90817629326568</v>
      </c>
      <c r="AQ2281" s="44"/>
      <c r="AR2281" s="72"/>
      <c r="AS2281" s="64">
        <f>AS2279-AS2280</f>
        <v>-1061.1539757683454</v>
      </c>
      <c r="AT2281" s="44"/>
      <c r="AU2281" s="72"/>
    </row>
    <row r="2282" spans="15:47" ht="13" x14ac:dyDescent="0.3">
      <c r="O2282" s="6" t="s">
        <v>75</v>
      </c>
      <c r="P2282" s="6">
        <v>3</v>
      </c>
      <c r="Q2282" s="65"/>
      <c r="R2282" s="85">
        <f>(F_LP_h/F_P_h)^2*(R2279-('Valve Sizing'!$V$4*'Valve Sizing'!$G$7))</f>
        <v>46.707397611890237</v>
      </c>
      <c r="S2282" s="58"/>
      <c r="T2282" s="73"/>
      <c r="U2282" s="53">
        <f>(U$29/U$27)^2*(U2279-('Valve Sizing'!$V$4*'Valve Sizing'!$G$7))</f>
        <v>45.458628197553509</v>
      </c>
      <c r="V2282" s="41"/>
      <c r="W2282" s="73"/>
      <c r="X2282" s="53">
        <f>(X$29/X$27)^2*(X2279-('Valve Sizing'!$V$4*'Valve Sizing'!$G$7))</f>
        <v>38.411364983579375</v>
      </c>
      <c r="Y2282" s="41"/>
      <c r="Z2282" s="73"/>
      <c r="AA2282" s="53">
        <f>(AA$29/AA$27)^2*(AA2279-('Valve Sizing'!$V$4*'Valve Sizing'!$G$7))</f>
        <v>18.274014811618887</v>
      </c>
      <c r="AB2282" s="41"/>
      <c r="AC2282" s="73"/>
      <c r="AD2282" s="53">
        <f>(AD$29/AD$27)^2*(AD2279-('Valve Sizing'!$V$4*'Valve Sizing'!$G$7))</f>
        <v>-23.309932924609306</v>
      </c>
      <c r="AE2282" s="41"/>
      <c r="AF2282" s="73"/>
      <c r="AG2282" s="53">
        <f>(AG$29/AG$27)^2*(AG2279-('Valve Sizing'!$V$4*'Valve Sizing'!$G$7))</f>
        <v>-90.40000646123444</v>
      </c>
      <c r="AH2282" s="41"/>
      <c r="AI2282" s="73"/>
      <c r="AJ2282" s="53">
        <f>(AJ$29/AJ$27)^2*(AJ2279-('Valve Sizing'!$V$4*'Valve Sizing'!$G$7))</f>
        <v>-170.08245720740024</v>
      </c>
      <c r="AK2282" s="41"/>
      <c r="AL2282" s="73"/>
      <c r="AM2282" s="53">
        <f>(AM$29/AM$27)^2*(AM2279-('Valve Sizing'!$V$4*'Valve Sizing'!$G$7))</f>
        <v>-222.70324616374594</v>
      </c>
      <c r="AN2282" s="41"/>
      <c r="AO2282" s="73"/>
      <c r="AP2282" s="53">
        <f>(AP$29/AP$27)^2*(AP2279-('Valve Sizing'!$V$4*'Valve Sizing'!$G$7))</f>
        <v>-255.32232261088876</v>
      </c>
      <c r="AQ2282" s="41"/>
      <c r="AR2282" s="73"/>
      <c r="AS2282" s="53">
        <f>(AS$29/AS$27)^2*(AS2279-('Valve Sizing'!$V$4*'Valve Sizing'!$G$7))</f>
        <v>-321.48817771807819</v>
      </c>
      <c r="AT2282" s="41"/>
      <c r="AU2282" s="73"/>
    </row>
    <row r="2283" spans="15:47" ht="13" x14ac:dyDescent="0.25">
      <c r="O2283" s="1" t="s">
        <v>69</v>
      </c>
      <c r="P2283" s="17">
        <v>7</v>
      </c>
      <c r="Q2283" s="65"/>
      <c r="R2283" s="53">
        <f>(R2277/(N_1*F_P_h))*SQRT('Valve Sizing'!$G$6/R2281)</f>
        <v>8.0135477829250981</v>
      </c>
      <c r="S2283" s="58"/>
      <c r="T2283" s="73"/>
      <c r="U2283" s="64">
        <f>(U2277/(N_1*U$27))*SQRT('Valve Sizing'!$G$6/U2281)</f>
        <v>39.05934000857301</v>
      </c>
      <c r="V2283" s="41"/>
      <c r="W2283" s="73"/>
      <c r="X2283" s="64">
        <f>(X2277/(N_1*X$27))*SQRT('Valve Sizing'!$G$6/X2281)</f>
        <v>111.82916525370666</v>
      </c>
      <c r="Y2283" s="41"/>
      <c r="Z2283" s="73"/>
      <c r="AA2283" s="64" t="e">
        <f>(AA2277/(N_1*AA$27))*SQRT('Valve Sizing'!$G$6/AA2281)</f>
        <v>#NUM!</v>
      </c>
      <c r="AB2283" s="41"/>
      <c r="AC2283" s="73"/>
      <c r="AD2283" s="64" t="e">
        <f>(AD2277/(N_1*AD$27))*SQRT('Valve Sizing'!$G$6/AD2281)</f>
        <v>#NUM!</v>
      </c>
      <c r="AE2283" s="41"/>
      <c r="AF2283" s="73"/>
      <c r="AG2283" s="64" t="e">
        <f>(AG2277/(N_1*AG$27))*SQRT('Valve Sizing'!$G$6/AG2281)</f>
        <v>#NUM!</v>
      </c>
      <c r="AH2283" s="41"/>
      <c r="AI2283" s="73"/>
      <c r="AJ2283" s="64" t="e">
        <f>(AJ2277/(N_1*AJ$27))*SQRT('Valve Sizing'!$G$6/AJ2281)</f>
        <v>#NUM!</v>
      </c>
      <c r="AK2283" s="41"/>
      <c r="AL2283" s="73"/>
      <c r="AM2283" s="64" t="e">
        <f>(AM2277/(N_1*AM$27))*SQRT('Valve Sizing'!$G$6/AM2281)</f>
        <v>#NUM!</v>
      </c>
      <c r="AN2283" s="41"/>
      <c r="AO2283" s="73"/>
      <c r="AP2283" s="64" t="e">
        <f>(AP2277/(N_1*AP$27))*SQRT('Valve Sizing'!$G$6/AP2281)</f>
        <v>#NUM!</v>
      </c>
      <c r="AQ2283" s="41"/>
      <c r="AR2283" s="73"/>
      <c r="AS2283" s="64" t="e">
        <f>(AS2277/(N_1*AS$27))*SQRT('Valve Sizing'!$G$6/AS2281)</f>
        <v>#NUM!</v>
      </c>
      <c r="AT2283" s="41"/>
      <c r="AU2283" s="73"/>
    </row>
    <row r="2284" spans="15:47" ht="13" x14ac:dyDescent="0.3">
      <c r="O2284" s="1" t="s">
        <v>72</v>
      </c>
      <c r="P2284" s="17">
        <v>7</v>
      </c>
      <c r="Q2284" s="65"/>
      <c r="R2284" s="53">
        <f>(R2277/(N_1*F_P_h))*SQRT('Valve Sizing'!$G$6/R2282)</f>
        <v>6.6511343401438054</v>
      </c>
      <c r="S2284" s="56"/>
      <c r="T2284" s="72"/>
      <c r="U2284" s="85">
        <f>(U2277/(N_1*U$27))*SQRT('Valve Sizing'!$G$6/U2282)</f>
        <v>31.932922228035732</v>
      </c>
      <c r="V2284" s="44"/>
      <c r="W2284" s="72"/>
      <c r="X2284" s="85">
        <f>(X2277/(N_1*X$27))*SQRT('Valve Sizing'!$G$6/X2282)</f>
        <v>83.574251574893921</v>
      </c>
      <c r="Y2284" s="44"/>
      <c r="Z2284" s="72"/>
      <c r="AA2284" s="85">
        <f>(AA2277/(N_1*AA$27))*SQRT('Valve Sizing'!$G$6/AA2282)</f>
        <v>232.68372140227169</v>
      </c>
      <c r="AB2284" s="44"/>
      <c r="AC2284" s="72"/>
      <c r="AD2284" s="85" t="e">
        <f>(AD2277/(N_1*AD$27))*SQRT('Valve Sizing'!$G$6/AD2282)</f>
        <v>#NUM!</v>
      </c>
      <c r="AE2284" s="44"/>
      <c r="AF2284" s="72"/>
      <c r="AG2284" s="85" t="e">
        <f>(AG2277/(N_1*AG$27))*SQRT('Valve Sizing'!$G$6/AG2282)</f>
        <v>#NUM!</v>
      </c>
      <c r="AH2284" s="44"/>
      <c r="AI2284" s="72"/>
      <c r="AJ2284" s="85" t="e">
        <f>(AJ2277/(N_1*AJ$27))*SQRT('Valve Sizing'!$G$6/AJ2282)</f>
        <v>#NUM!</v>
      </c>
      <c r="AK2284" s="44"/>
      <c r="AL2284" s="72"/>
      <c r="AM2284" s="85" t="e">
        <f>(AM2277/(N_1*AM$27))*SQRT('Valve Sizing'!$G$6/AM2282)</f>
        <v>#NUM!</v>
      </c>
      <c r="AN2284" s="44"/>
      <c r="AO2284" s="72"/>
      <c r="AP2284" s="85" t="e">
        <f>(AP2277/(N_1*AP$27))*SQRT('Valve Sizing'!$G$6/AP2282)</f>
        <v>#NUM!</v>
      </c>
      <c r="AQ2284" s="44"/>
      <c r="AR2284" s="72"/>
      <c r="AS2284" s="85" t="e">
        <f>(AS2277/(N_1*AS$27))*SQRT('Valve Sizing'!$G$6/AS2282)</f>
        <v>#NUM!</v>
      </c>
      <c r="AT2284" s="44"/>
      <c r="AU2284" s="72"/>
    </row>
    <row r="2285" spans="15:47" x14ac:dyDescent="0.25">
      <c r="O2285" s="1" t="s">
        <v>246</v>
      </c>
      <c r="P2285" s="18"/>
      <c r="Q2285" s="65"/>
      <c r="R2285" s="53">
        <f>IF(R2281&lt;R2282,R2283,R2284)</f>
        <v>8.0135477829250981</v>
      </c>
      <c r="S2285" s="49"/>
      <c r="T2285" s="72"/>
      <c r="U2285" s="64">
        <f>IF(U2281&lt;U2282,U2283,U2284)</f>
        <v>39.05934000857301</v>
      </c>
      <c r="V2285" s="44"/>
      <c r="W2285" s="72"/>
      <c r="X2285" s="64">
        <f>IF(X2281&lt;X2282,X2283,X2284)</f>
        <v>111.82916525370666</v>
      </c>
      <c r="Y2285" s="44"/>
      <c r="Z2285" s="72"/>
      <c r="AA2285" s="64" t="e">
        <f>IF(AA2281&lt;AA2282,AA2283,AA2284)</f>
        <v>#NUM!</v>
      </c>
      <c r="AB2285" s="44"/>
      <c r="AC2285" s="72"/>
      <c r="AD2285" s="64" t="e">
        <f>IF(AD2281&lt;AD2282,AD2283,AD2284)</f>
        <v>#NUM!</v>
      </c>
      <c r="AE2285" s="44"/>
      <c r="AF2285" s="72"/>
      <c r="AG2285" s="64" t="e">
        <f>IF(AG2281&lt;AG2282,AG2283,AG2284)</f>
        <v>#NUM!</v>
      </c>
      <c r="AH2285" s="44"/>
      <c r="AI2285" s="72"/>
      <c r="AJ2285" s="64" t="e">
        <f>IF(AJ2281&lt;AJ2282,AJ2283,AJ2284)</f>
        <v>#NUM!</v>
      </c>
      <c r="AK2285" s="44"/>
      <c r="AL2285" s="72"/>
      <c r="AM2285" s="64" t="e">
        <f>IF(AM2281&lt;AM2282,AM2283,AM2284)</f>
        <v>#NUM!</v>
      </c>
      <c r="AN2285" s="44"/>
      <c r="AO2285" s="72"/>
      <c r="AP2285" s="64" t="e">
        <f>IF(AP2281&lt;AP2282,AP2283,AP2284)</f>
        <v>#NUM!</v>
      </c>
      <c r="AQ2285" s="44"/>
      <c r="AR2285" s="72"/>
      <c r="AS2285" s="64" t="e">
        <f>IF(AS2281&lt;AS2282,AS2283,AS2284)</f>
        <v>#NUM!</v>
      </c>
      <c r="AT2285" s="44"/>
      <c r="AU2285" s="72"/>
    </row>
    <row r="2286" spans="15:47" ht="13" x14ac:dyDescent="0.3">
      <c r="O2286" s="7" t="s">
        <v>264</v>
      </c>
      <c r="Q2286" s="61"/>
      <c r="R2286" s="53"/>
      <c r="S2286" s="69">
        <f>IFERROR(ABS(C_h-R2285),Q_max*10)</f>
        <v>3.0135477829250981</v>
      </c>
      <c r="T2286" s="76">
        <f>R2277</f>
        <v>45.449072669611326</v>
      </c>
      <c r="U2286" s="61"/>
      <c r="V2286" s="69">
        <f>IFERROR(ABS(U$23-U2285),Q_max*10)</f>
        <v>27.05934000857301</v>
      </c>
      <c r="W2286" s="75">
        <f>U2277</f>
        <v>215.120181579389</v>
      </c>
      <c r="X2286" s="61"/>
      <c r="Y2286" s="69">
        <f>IFERROR(ABS(X$23-X2285),Q_max*10)</f>
        <v>88.829165253706662</v>
      </c>
      <c r="Z2286" s="75">
        <f>X2277</f>
        <v>516.37124359534027</v>
      </c>
      <c r="AA2286" s="61"/>
      <c r="AB2286" s="69">
        <f>IFERROR(ABS(AA$23-AA2285),Q_max*10)</f>
        <v>5500</v>
      </c>
      <c r="AC2286" s="75">
        <f>AA2277</f>
        <v>985.94194797785678</v>
      </c>
      <c r="AD2286" s="61"/>
      <c r="AE2286" s="69">
        <f>IFERROR(ABS(AD$23-AD2285),Q_max*10)</f>
        <v>5500</v>
      </c>
      <c r="AF2286" s="75">
        <f>AD2277</f>
        <v>1621.5115021351285</v>
      </c>
      <c r="AG2286" s="61"/>
      <c r="AH2286" s="69">
        <f>IFERROR(ABS(AG$23-AG2285),Q_max*10)</f>
        <v>5500</v>
      </c>
      <c r="AI2286" s="75">
        <f>AG2277</f>
        <v>2414.2096691251522</v>
      </c>
      <c r="AJ2286" s="61"/>
      <c r="AK2286" s="69">
        <f>IFERROR(ABS(AJ$23-AJ2285),Q_max*10)</f>
        <v>5500</v>
      </c>
      <c r="AL2286" s="75">
        <f>AJ2277</f>
        <v>3221.7721622936142</v>
      </c>
      <c r="AM2286" s="61"/>
      <c r="AN2286" s="69">
        <f>IFERROR(ABS(AM$23-AM2285),Q_max*10)</f>
        <v>5500</v>
      </c>
      <c r="AO2286" s="75">
        <f>AM2277</f>
        <v>3931.1743034122924</v>
      </c>
      <c r="AP2286" s="61"/>
      <c r="AQ2286" s="69">
        <f>IFERROR(ABS(AP$23-AP2285),Q_max*10)</f>
        <v>5500</v>
      </c>
      <c r="AR2286" s="75">
        <f>AP2277</f>
        <v>4563.9713244099521</v>
      </c>
      <c r="AS2286" s="61"/>
      <c r="AT2286" s="69">
        <f>IFERROR(ABS(AS$23-AS2285),Q_max*10)</f>
        <v>5500</v>
      </c>
      <c r="AU2286" s="75">
        <f>AS2277</f>
        <v>5194.2250964011873</v>
      </c>
    </row>
    <row r="2287" spans="15:47" ht="14.5" x14ac:dyDescent="0.35">
      <c r="O2287" s="6"/>
      <c r="P2287" s="6"/>
      <c r="Q2287" s="60"/>
      <c r="R2287" s="67"/>
      <c r="S2287" s="58"/>
      <c r="T2287" s="73"/>
      <c r="V2287" s="11"/>
      <c r="W2287" s="38"/>
      <c r="Y2287" s="11"/>
      <c r="Z2287" s="38"/>
      <c r="AB2287" s="11"/>
      <c r="AC2287" s="38"/>
      <c r="AE2287" s="11"/>
      <c r="AF2287" s="38"/>
      <c r="AH2287" s="11"/>
      <c r="AI2287" s="38"/>
      <c r="AK2287" s="11"/>
      <c r="AL2287" s="38"/>
      <c r="AN2287" s="11"/>
      <c r="AO2287" s="38"/>
      <c r="AQ2287" s="11"/>
      <c r="AR2287" s="38"/>
      <c r="AT2287" s="11"/>
      <c r="AU2287" s="38"/>
    </row>
    <row r="2288" spans="15:47" ht="14" x14ac:dyDescent="0.3">
      <c r="O2288" s="8" t="s">
        <v>235</v>
      </c>
      <c r="P2288" s="6"/>
      <c r="Q2288" s="60"/>
      <c r="R2288" s="53">
        <f>R2277*1.02</f>
        <v>46.358054123003555</v>
      </c>
      <c r="S2288" s="58" t="s">
        <v>238</v>
      </c>
      <c r="T2288" s="73" t="s">
        <v>241</v>
      </c>
      <c r="U2288" s="84">
        <f>U2277*1.01</f>
        <v>217.27138339518288</v>
      </c>
      <c r="V2288" s="58" t="s">
        <v>238</v>
      </c>
      <c r="W2288" s="73" t="s">
        <v>241</v>
      </c>
      <c r="X2288" s="84">
        <f>X2277*1.01</f>
        <v>521.53495603129363</v>
      </c>
      <c r="Y2288" s="58" t="s">
        <v>238</v>
      </c>
      <c r="Z2288" s="73" t="s">
        <v>241</v>
      </c>
      <c r="AA2288" s="84">
        <f>AA2277*1.01</f>
        <v>995.80136745763537</v>
      </c>
      <c r="AB2288" s="58" t="s">
        <v>238</v>
      </c>
      <c r="AC2288" s="73" t="s">
        <v>241</v>
      </c>
      <c r="AD2288" s="84">
        <f>AD2277*1.01</f>
        <v>1637.7266171564797</v>
      </c>
      <c r="AE2288" s="58" t="s">
        <v>238</v>
      </c>
      <c r="AF2288" s="73" t="s">
        <v>241</v>
      </c>
      <c r="AG2288" s="84">
        <f>AG2277*1.01</f>
        <v>2438.3517658164037</v>
      </c>
      <c r="AH2288" s="58" t="s">
        <v>238</v>
      </c>
      <c r="AI2288" s="73" t="s">
        <v>241</v>
      </c>
      <c r="AJ2288" s="84">
        <f>AJ2277*1.01</f>
        <v>3253.9898839165503</v>
      </c>
      <c r="AK2288" s="58" t="s">
        <v>238</v>
      </c>
      <c r="AL2288" s="73" t="s">
        <v>241</v>
      </c>
      <c r="AM2288" s="84">
        <f>AM2277*1.01</f>
        <v>3970.4860464464155</v>
      </c>
      <c r="AN2288" s="58" t="s">
        <v>238</v>
      </c>
      <c r="AO2288" s="73" t="s">
        <v>241</v>
      </c>
      <c r="AP2288" s="84">
        <f>AP2277*1.01</f>
        <v>4609.6110376540519</v>
      </c>
      <c r="AQ2288" s="58" t="s">
        <v>238</v>
      </c>
      <c r="AR2288" s="73" t="s">
        <v>241</v>
      </c>
      <c r="AS2288" s="84">
        <f>AS2277*1.01</f>
        <v>5246.167347365199</v>
      </c>
      <c r="AT2288" s="58" t="s">
        <v>238</v>
      </c>
      <c r="AU2288" s="73" t="s">
        <v>241</v>
      </c>
    </row>
    <row r="2289" spans="15:47" ht="13" x14ac:dyDescent="0.25">
      <c r="O2289" s="6"/>
      <c r="P2289" s="6"/>
      <c r="Q2289" s="60"/>
      <c r="R2289" s="70"/>
      <c r="S2289" s="63" t="s">
        <v>250</v>
      </c>
      <c r="T2289" s="71" t="s">
        <v>242</v>
      </c>
      <c r="U2289" s="61"/>
      <c r="V2289" s="63" t="s">
        <v>250</v>
      </c>
      <c r="W2289" s="71" t="s">
        <v>242</v>
      </c>
      <c r="X2289" s="61"/>
      <c r="Y2289" s="63" t="s">
        <v>250</v>
      </c>
      <c r="Z2289" s="71" t="s">
        <v>242</v>
      </c>
      <c r="AA2289" s="61"/>
      <c r="AB2289" s="63" t="s">
        <v>250</v>
      </c>
      <c r="AC2289" s="71" t="s">
        <v>242</v>
      </c>
      <c r="AD2289" s="61"/>
      <c r="AE2289" s="63" t="s">
        <v>250</v>
      </c>
      <c r="AF2289" s="71" t="s">
        <v>242</v>
      </c>
      <c r="AG2289" s="61"/>
      <c r="AH2289" s="63" t="s">
        <v>250</v>
      </c>
      <c r="AI2289" s="71" t="s">
        <v>242</v>
      </c>
      <c r="AJ2289" s="61"/>
      <c r="AK2289" s="63" t="s">
        <v>250</v>
      </c>
      <c r="AL2289" s="71" t="s">
        <v>242</v>
      </c>
      <c r="AM2289" s="61"/>
      <c r="AN2289" s="63" t="s">
        <v>250</v>
      </c>
      <c r="AO2289" s="71" t="s">
        <v>242</v>
      </c>
      <c r="AP2289" s="61"/>
      <c r="AQ2289" s="63" t="s">
        <v>250</v>
      </c>
      <c r="AR2289" s="71" t="s">
        <v>242</v>
      </c>
      <c r="AS2289" s="61"/>
      <c r="AT2289" s="63" t="s">
        <v>250</v>
      </c>
      <c r="AU2289" s="71" t="s">
        <v>242</v>
      </c>
    </row>
    <row r="2290" spans="15:47" ht="13" x14ac:dyDescent="0.3">
      <c r="O2290" s="6" t="s">
        <v>231</v>
      </c>
      <c r="P2290" s="6"/>
      <c r="Q2290" s="60"/>
      <c r="R2290" s="85">
        <f>P_1_minQ-(R2288^2*R_up)+dpup_minQ</f>
        <v>56.843564026272496</v>
      </c>
      <c r="S2290" s="56"/>
      <c r="T2290" s="72"/>
      <c r="U2290" s="53">
        <f>P_1_minQ-(U2288^2*R_up)+dpup_minQ</f>
        <v>55.321855655438817</v>
      </c>
      <c r="V2290" s="44"/>
      <c r="W2290" s="72"/>
      <c r="X2290" s="53">
        <f>P_1_minQ-(X2288^2*R_up)+dpup_minQ</f>
        <v>47.730100967154222</v>
      </c>
      <c r="Y2290" s="44"/>
      <c r="Z2290" s="72"/>
      <c r="AA2290" s="53">
        <f>P_1_minQ-(AA2288^2*R_up)+dpup_minQ</f>
        <v>23.426769218828216</v>
      </c>
      <c r="AB2290" s="44"/>
      <c r="AC2290" s="72"/>
      <c r="AD2290" s="53">
        <f>P_1_minQ-(AD2288^2*R_up)+dpup_minQ</f>
        <v>-33.666378674191371</v>
      </c>
      <c r="AE2290" s="44"/>
      <c r="AF2290" s="72"/>
      <c r="AG2290" s="53">
        <f>P_1_minQ-(AG2288^2*R_up)+dpup_minQ</f>
        <v>-143.87951144410587</v>
      </c>
      <c r="AH2290" s="44"/>
      <c r="AI2290" s="72"/>
      <c r="AJ2290" s="53">
        <f>P_1_minQ-(AJ2288^2*R_up)+dpup_minQ</f>
        <v>-300.68095794094035</v>
      </c>
      <c r="AK2290" s="44"/>
      <c r="AL2290" s="72"/>
      <c r="AM2290" s="53">
        <f>P_1_minQ-(AM2288^2*R_up)+dpup_minQ</f>
        <v>-475.49721192251565</v>
      </c>
      <c r="AN2290" s="44"/>
      <c r="AO2290" s="72"/>
      <c r="AP2290" s="53">
        <f>P_1_minQ-(AP2288^2*R_up)+dpup_minQ</f>
        <v>-660.69662000885046</v>
      </c>
      <c r="AQ2290" s="44"/>
      <c r="AR2290" s="72"/>
      <c r="AS2290" s="53">
        <f>P_1_minQ-(AS2288^2*R_up)+dpup_minQ</f>
        <v>-872.57632004595769</v>
      </c>
      <c r="AT2290" s="44"/>
      <c r="AU2290" s="72"/>
    </row>
    <row r="2291" spans="15:47" ht="13" x14ac:dyDescent="0.3">
      <c r="O2291" s="6" t="s">
        <v>233</v>
      </c>
      <c r="P2291" s="6"/>
      <c r="Q2291" s="60"/>
      <c r="R2291" s="85">
        <f>P_2_minQ+(R2288^2*R_dn)-dpdn_minQ</f>
        <v>24.671287194745503</v>
      </c>
      <c r="S2291" s="66"/>
      <c r="T2291" s="74"/>
      <c r="U2291" s="53">
        <f>P_2_minQ+(U2288^2*R_dn)-dpdn_minQ</f>
        <v>24.975628868912239</v>
      </c>
      <c r="V2291" s="45"/>
      <c r="W2291" s="74"/>
      <c r="X2291" s="53">
        <f>P_2_minQ+(X2288^2*R_dn)-dpdn_minQ</f>
        <v>26.493979806569158</v>
      </c>
      <c r="Y2291" s="45"/>
      <c r="Z2291" s="74"/>
      <c r="AA2291" s="53">
        <f>P_2_minQ+(AA2288^2*R_dn)-dpdn_minQ</f>
        <v>31.354646156234356</v>
      </c>
      <c r="AB2291" s="45"/>
      <c r="AC2291" s="74"/>
      <c r="AD2291" s="53">
        <f>P_2_minQ+(AD2288^2*R_dn)-dpdn_minQ</f>
        <v>42.773275734838279</v>
      </c>
      <c r="AE2291" s="45"/>
      <c r="AF2291" s="74"/>
      <c r="AG2291" s="53">
        <f>P_2_minQ+(AG2288^2*R_dn)-dpdn_minQ</f>
        <v>64.815902288821178</v>
      </c>
      <c r="AH2291" s="45"/>
      <c r="AI2291" s="74"/>
      <c r="AJ2291" s="53">
        <f>P_2_minQ+(AJ2288^2*R_dn)-dpdn_minQ</f>
        <v>96.176191588188075</v>
      </c>
      <c r="AK2291" s="45"/>
      <c r="AL2291" s="74"/>
      <c r="AM2291" s="53">
        <f>P_2_minQ+(AM2288^2*R_dn)-dpdn_minQ</f>
        <v>131.1394423845031</v>
      </c>
      <c r="AN2291" s="45"/>
      <c r="AO2291" s="74"/>
      <c r="AP2291" s="53">
        <f>P_2_minQ+(AP2288^2*R_dn)-dpdn_minQ</f>
        <v>168.17932400177008</v>
      </c>
      <c r="AQ2291" s="45"/>
      <c r="AR2291" s="74"/>
      <c r="AS2291" s="53">
        <f>P_2_minQ+(AS2288^2*R_dn)-dpdn_minQ</f>
        <v>210.55526400919152</v>
      </c>
      <c r="AT2291" s="45"/>
      <c r="AU2291" s="74"/>
    </row>
    <row r="2292" spans="15:47" x14ac:dyDescent="0.25">
      <c r="O2292" s="6" t="s">
        <v>243</v>
      </c>
      <c r="Q2292" s="60"/>
      <c r="R2292" s="53">
        <f>R2290-R2291</f>
        <v>32.172276831526993</v>
      </c>
      <c r="S2292" s="56"/>
      <c r="T2292" s="72"/>
      <c r="U2292" s="64">
        <f>U2290-U2291</f>
        <v>30.346226786526579</v>
      </c>
      <c r="V2292" s="44"/>
      <c r="W2292" s="72"/>
      <c r="X2292" s="64">
        <f>X2290-X2291</f>
        <v>21.236121160585064</v>
      </c>
      <c r="Y2292" s="44"/>
      <c r="Z2292" s="72"/>
      <c r="AA2292" s="64">
        <f>AA2290-AA2291</f>
        <v>-7.9278769374061397</v>
      </c>
      <c r="AB2292" s="44"/>
      <c r="AC2292" s="72"/>
      <c r="AD2292" s="64">
        <f>AD2290-AD2291</f>
        <v>-76.439654409029657</v>
      </c>
      <c r="AE2292" s="44"/>
      <c r="AF2292" s="72"/>
      <c r="AG2292" s="64">
        <f>AG2290-AG2291</f>
        <v>-208.69541373292705</v>
      </c>
      <c r="AH2292" s="44"/>
      <c r="AI2292" s="72"/>
      <c r="AJ2292" s="64">
        <f>AJ2290-AJ2291</f>
        <v>-396.85714952912844</v>
      </c>
      <c r="AK2292" s="44"/>
      <c r="AL2292" s="72"/>
      <c r="AM2292" s="64">
        <f>AM2290-AM2291</f>
        <v>-606.63665430701872</v>
      </c>
      <c r="AN2292" s="44"/>
      <c r="AO2292" s="72"/>
      <c r="AP2292" s="64">
        <f>AP2290-AP2291</f>
        <v>-828.87594401062051</v>
      </c>
      <c r="AQ2292" s="44"/>
      <c r="AR2292" s="72"/>
      <c r="AS2292" s="64">
        <f>AS2290-AS2291</f>
        <v>-1083.1315840551492</v>
      </c>
      <c r="AT2292" s="44"/>
      <c r="AU2292" s="72"/>
    </row>
    <row r="2293" spans="15:47" ht="13" x14ac:dyDescent="0.3">
      <c r="O2293" s="6" t="s">
        <v>75</v>
      </c>
      <c r="P2293" s="6">
        <v>3</v>
      </c>
      <c r="Q2293" s="65"/>
      <c r="R2293" s="85">
        <f>(F_LP_h/F_P_h)^2*(R2290-('Valve Sizing'!$V$4*'Valve Sizing'!$G$7))</f>
        <v>46.705063880445223</v>
      </c>
      <c r="S2293" s="58"/>
      <c r="T2293" s="73"/>
      <c r="U2293" s="53">
        <f>(U$29/U$27)^2*(U2290-('Valve Sizing'!$V$4*'Valve Sizing'!$G$7))</f>
        <v>45.432623042822435</v>
      </c>
      <c r="V2293" s="41"/>
      <c r="W2293" s="73"/>
      <c r="X2293" s="53">
        <f>(X$29/X$27)^2*(X2290-('Valve Sizing'!$V$4*'Valve Sizing'!$G$7))</f>
        <v>38.264907118471058</v>
      </c>
      <c r="Y2293" s="41"/>
      <c r="Z2293" s="73"/>
      <c r="AA2293" s="53">
        <f>(AA$29/AA$27)^2*(AA2290-('Valve Sizing'!$V$4*'Valve Sizing'!$G$7))</f>
        <v>17.764066813789004</v>
      </c>
      <c r="AB2293" s="41"/>
      <c r="AC2293" s="73"/>
      <c r="AD2293" s="53">
        <f>(AD$29/AD$27)^2*(AD2290-('Valve Sizing'!$V$4*'Valve Sizing'!$G$7))</f>
        <v>-24.597132394319964</v>
      </c>
      <c r="AE2293" s="41"/>
      <c r="AF2293" s="73"/>
      <c r="AG2293" s="53">
        <f>(AG$29/AG$27)^2*(AG2290-('Valve Sizing'!$V$4*'Valve Sizing'!$G$7))</f>
        <v>-92.948145524621381</v>
      </c>
      <c r="AH2293" s="41"/>
      <c r="AI2293" s="73"/>
      <c r="AJ2293" s="53">
        <f>(AJ$29/AJ$27)^2*(AJ2290-('Valve Sizing'!$V$4*'Valve Sizing'!$G$7))</f>
        <v>-174.15765604597601</v>
      </c>
      <c r="AK2293" s="41"/>
      <c r="AL2293" s="73"/>
      <c r="AM2293" s="53">
        <f>(AM$29/AM$27)^2*(AM2290-('Valve Sizing'!$V$4*'Valve Sizing'!$G$7))</f>
        <v>-227.72272831555753</v>
      </c>
      <c r="AN2293" s="41"/>
      <c r="AO2293" s="73"/>
      <c r="AP2293" s="53">
        <f>(AP$29/AP$27)^2*(AP2290-('Valve Sizing'!$V$4*'Valve Sizing'!$G$7))</f>
        <v>-260.90226956226712</v>
      </c>
      <c r="AQ2293" s="41"/>
      <c r="AR2293" s="73"/>
      <c r="AS2293" s="53">
        <f>(AS$29/AS$27)^2*(AS2290-('Valve Sizing'!$V$4*'Valve Sizing'!$G$7))</f>
        <v>-328.37707357932908</v>
      </c>
      <c r="AT2293" s="41"/>
      <c r="AU2293" s="73"/>
    </row>
    <row r="2294" spans="15:47" ht="13" x14ac:dyDescent="0.25">
      <c r="O2294" s="1" t="s">
        <v>69</v>
      </c>
      <c r="P2294" s="17">
        <v>7</v>
      </c>
      <c r="Q2294" s="65"/>
      <c r="R2294" s="53">
        <f>(R2288/(N_1*F_P_h))*SQRT('Valve Sizing'!$G$6/R2292)</f>
        <v>8.174248350237308</v>
      </c>
      <c r="S2294" s="58"/>
      <c r="T2294" s="73"/>
      <c r="U2294" s="64">
        <f>(U2288/(N_1*U$27))*SQRT('Valve Sizing'!$G$6/U2292)</f>
        <v>39.47442843881376</v>
      </c>
      <c r="V2294" s="41"/>
      <c r="W2294" s="73"/>
      <c r="X2294" s="64">
        <f>(X2288/(N_1*X$27))*SQRT('Valve Sizing'!$G$6/X2292)</f>
        <v>113.52359688441814</v>
      </c>
      <c r="Y2294" s="41"/>
      <c r="Z2294" s="73"/>
      <c r="AA2294" s="64" t="e">
        <f>(AA2288/(N_1*AA$27))*SQRT('Valve Sizing'!$G$6/AA2292)</f>
        <v>#NUM!</v>
      </c>
      <c r="AB2294" s="41"/>
      <c r="AC2294" s="73"/>
      <c r="AD2294" s="64" t="e">
        <f>(AD2288/(N_1*AD$27))*SQRT('Valve Sizing'!$G$6/AD2292)</f>
        <v>#NUM!</v>
      </c>
      <c r="AE2294" s="41"/>
      <c r="AF2294" s="73"/>
      <c r="AG2294" s="64" t="e">
        <f>(AG2288/(N_1*AG$27))*SQRT('Valve Sizing'!$G$6/AG2292)</f>
        <v>#NUM!</v>
      </c>
      <c r="AH2294" s="41"/>
      <c r="AI2294" s="73"/>
      <c r="AJ2294" s="64" t="e">
        <f>(AJ2288/(N_1*AJ$27))*SQRT('Valve Sizing'!$G$6/AJ2292)</f>
        <v>#NUM!</v>
      </c>
      <c r="AK2294" s="41"/>
      <c r="AL2294" s="73"/>
      <c r="AM2294" s="64" t="e">
        <f>(AM2288/(N_1*AM$27))*SQRT('Valve Sizing'!$G$6/AM2292)</f>
        <v>#NUM!</v>
      </c>
      <c r="AN2294" s="41"/>
      <c r="AO2294" s="73"/>
      <c r="AP2294" s="64" t="e">
        <f>(AP2288/(N_1*AP$27))*SQRT('Valve Sizing'!$G$6/AP2292)</f>
        <v>#NUM!</v>
      </c>
      <c r="AQ2294" s="41"/>
      <c r="AR2294" s="73"/>
      <c r="AS2294" s="64" t="e">
        <f>(AS2288/(N_1*AS$27))*SQRT('Valve Sizing'!$G$6/AS2292)</f>
        <v>#NUM!</v>
      </c>
      <c r="AT2294" s="41"/>
      <c r="AU2294" s="73"/>
    </row>
    <row r="2295" spans="15:47" ht="13" x14ac:dyDescent="0.3">
      <c r="O2295" s="1" t="s">
        <v>72</v>
      </c>
      <c r="P2295" s="17">
        <v>7</v>
      </c>
      <c r="Q2295" s="65"/>
      <c r="R2295" s="53">
        <f>(R2288/(N_1*F_P_h))*SQRT('Valve Sizing'!$G$6/R2293)</f>
        <v>6.7843265182340851</v>
      </c>
      <c r="S2295" s="56"/>
      <c r="T2295" s="72"/>
      <c r="U2295" s="85">
        <f>(U2288/(N_1*U$27))*SQRT('Valve Sizing'!$G$6/U2293)</f>
        <v>32.261480554297485</v>
      </c>
      <c r="V2295" s="44"/>
      <c r="W2295" s="72"/>
      <c r="X2295" s="85">
        <f>(X2288/(N_1*X$27))*SQRT('Valve Sizing'!$G$6/X2293)</f>
        <v>84.571378264214573</v>
      </c>
      <c r="Y2295" s="44"/>
      <c r="Z2295" s="72"/>
      <c r="AA2295" s="85">
        <f>(AA2288/(N_1*AA$27))*SQRT('Valve Sizing'!$G$6/AA2293)</f>
        <v>238.3598821987888</v>
      </c>
      <c r="AB2295" s="44"/>
      <c r="AC2295" s="72"/>
      <c r="AD2295" s="85" t="e">
        <f>(AD2288/(N_1*AD$27))*SQRT('Valve Sizing'!$G$6/AD2293)</f>
        <v>#NUM!</v>
      </c>
      <c r="AE2295" s="44"/>
      <c r="AF2295" s="72"/>
      <c r="AG2295" s="85" t="e">
        <f>(AG2288/(N_1*AG$27))*SQRT('Valve Sizing'!$G$6/AG2293)</f>
        <v>#NUM!</v>
      </c>
      <c r="AH2295" s="44"/>
      <c r="AI2295" s="72"/>
      <c r="AJ2295" s="85" t="e">
        <f>(AJ2288/(N_1*AJ$27))*SQRT('Valve Sizing'!$G$6/AJ2293)</f>
        <v>#NUM!</v>
      </c>
      <c r="AK2295" s="44"/>
      <c r="AL2295" s="72"/>
      <c r="AM2295" s="85" t="e">
        <f>(AM2288/(N_1*AM$27))*SQRT('Valve Sizing'!$G$6/AM2293)</f>
        <v>#NUM!</v>
      </c>
      <c r="AN2295" s="44"/>
      <c r="AO2295" s="72"/>
      <c r="AP2295" s="85" t="e">
        <f>(AP2288/(N_1*AP$27))*SQRT('Valve Sizing'!$G$6/AP2293)</f>
        <v>#NUM!</v>
      </c>
      <c r="AQ2295" s="44"/>
      <c r="AR2295" s="72"/>
      <c r="AS2295" s="85" t="e">
        <f>(AS2288/(N_1*AS$27))*SQRT('Valve Sizing'!$G$6/AS2293)</f>
        <v>#NUM!</v>
      </c>
      <c r="AT2295" s="44"/>
      <c r="AU2295" s="72"/>
    </row>
    <row r="2296" spans="15:47" x14ac:dyDescent="0.25">
      <c r="O2296" s="1" t="s">
        <v>246</v>
      </c>
      <c r="P2296" s="18"/>
      <c r="Q2296" s="65"/>
      <c r="R2296" s="53">
        <f>IF(R2292&lt;R2293,R2294,R2295)</f>
        <v>8.174248350237308</v>
      </c>
      <c r="S2296" s="49"/>
      <c r="T2296" s="72"/>
      <c r="U2296" s="64">
        <f>IF(U2292&lt;U2293,U2294,U2295)</f>
        <v>39.47442843881376</v>
      </c>
      <c r="V2296" s="44"/>
      <c r="W2296" s="72"/>
      <c r="X2296" s="64">
        <f>IF(X2292&lt;X2293,X2294,X2295)</f>
        <v>113.52359688441814</v>
      </c>
      <c r="Y2296" s="44"/>
      <c r="Z2296" s="72"/>
      <c r="AA2296" s="64" t="e">
        <f>IF(AA2292&lt;AA2293,AA2294,AA2295)</f>
        <v>#NUM!</v>
      </c>
      <c r="AB2296" s="44"/>
      <c r="AC2296" s="72"/>
      <c r="AD2296" s="64" t="e">
        <f>IF(AD2292&lt;AD2293,AD2294,AD2295)</f>
        <v>#NUM!</v>
      </c>
      <c r="AE2296" s="44"/>
      <c r="AF2296" s="72"/>
      <c r="AG2296" s="64" t="e">
        <f>IF(AG2292&lt;AG2293,AG2294,AG2295)</f>
        <v>#NUM!</v>
      </c>
      <c r="AH2296" s="44"/>
      <c r="AI2296" s="72"/>
      <c r="AJ2296" s="64" t="e">
        <f>IF(AJ2292&lt;AJ2293,AJ2294,AJ2295)</f>
        <v>#NUM!</v>
      </c>
      <c r="AK2296" s="44"/>
      <c r="AL2296" s="72"/>
      <c r="AM2296" s="64" t="e">
        <f>IF(AM2292&lt;AM2293,AM2294,AM2295)</f>
        <v>#NUM!</v>
      </c>
      <c r="AN2296" s="44"/>
      <c r="AO2296" s="72"/>
      <c r="AP2296" s="64" t="e">
        <f>IF(AP2292&lt;AP2293,AP2294,AP2295)</f>
        <v>#NUM!</v>
      </c>
      <c r="AQ2296" s="44"/>
      <c r="AR2296" s="72"/>
      <c r="AS2296" s="64" t="e">
        <f>IF(AS2292&lt;AS2293,AS2294,AS2295)</f>
        <v>#NUM!</v>
      </c>
      <c r="AT2296" s="44"/>
      <c r="AU2296" s="72"/>
    </row>
    <row r="2297" spans="15:47" ht="13" x14ac:dyDescent="0.3">
      <c r="O2297" s="7" t="s">
        <v>264</v>
      </c>
      <c r="Q2297" s="61"/>
      <c r="R2297" s="53"/>
      <c r="S2297" s="69">
        <f>IFERROR(ABS(C_h-R2296),Q_max*10)</f>
        <v>3.174248350237308</v>
      </c>
      <c r="T2297" s="76">
        <f>R2288</f>
        <v>46.358054123003555</v>
      </c>
      <c r="U2297" s="61"/>
      <c r="V2297" s="69">
        <f>IFERROR(ABS(U$23-U2296),Q_max*10)</f>
        <v>27.47442843881376</v>
      </c>
      <c r="W2297" s="75">
        <f>U2288</f>
        <v>217.27138339518288</v>
      </c>
      <c r="X2297" s="61"/>
      <c r="Y2297" s="69">
        <f>IFERROR(ABS(X$23-X2296),Q_max*10)</f>
        <v>90.52359688441814</v>
      </c>
      <c r="Z2297" s="75">
        <f>X2288</f>
        <v>521.53495603129363</v>
      </c>
      <c r="AA2297" s="61"/>
      <c r="AB2297" s="69">
        <f>IFERROR(ABS(AA$23-AA2296),Q_max*10)</f>
        <v>5500</v>
      </c>
      <c r="AC2297" s="75">
        <f>AA2288</f>
        <v>995.80136745763537</v>
      </c>
      <c r="AD2297" s="61"/>
      <c r="AE2297" s="69">
        <f>IFERROR(ABS(AD$23-AD2296),Q_max*10)</f>
        <v>5500</v>
      </c>
      <c r="AF2297" s="75">
        <f>AD2288</f>
        <v>1637.7266171564797</v>
      </c>
      <c r="AG2297" s="61"/>
      <c r="AH2297" s="69">
        <f>IFERROR(ABS(AG$23-AG2296),Q_max*10)</f>
        <v>5500</v>
      </c>
      <c r="AI2297" s="75">
        <f>AG2288</f>
        <v>2438.3517658164037</v>
      </c>
      <c r="AJ2297" s="61"/>
      <c r="AK2297" s="69">
        <f>IFERROR(ABS(AJ$23-AJ2296),Q_max*10)</f>
        <v>5500</v>
      </c>
      <c r="AL2297" s="75">
        <f>AJ2288</f>
        <v>3253.9898839165503</v>
      </c>
      <c r="AM2297" s="61"/>
      <c r="AN2297" s="69">
        <f>IFERROR(ABS(AM$23-AM2296),Q_max*10)</f>
        <v>5500</v>
      </c>
      <c r="AO2297" s="75">
        <f>AM2288</f>
        <v>3970.4860464464155</v>
      </c>
      <c r="AP2297" s="61"/>
      <c r="AQ2297" s="69">
        <f>IFERROR(ABS(AP$23-AP2296),Q_max*10)</f>
        <v>5500</v>
      </c>
      <c r="AR2297" s="75">
        <f>AP2288</f>
        <v>4609.6110376540519</v>
      </c>
      <c r="AS2297" s="61"/>
      <c r="AT2297" s="69">
        <f>IFERROR(ABS(AS$23-AS2296),Q_max*10)</f>
        <v>5500</v>
      </c>
      <c r="AU2297" s="75">
        <f>AS2288</f>
        <v>5246.167347365199</v>
      </c>
    </row>
    <row r="2298" spans="15:47" ht="14.5" x14ac:dyDescent="0.35">
      <c r="O2298" s="8"/>
      <c r="P2298" s="6"/>
      <c r="Q2298" s="60"/>
      <c r="R2298" s="67"/>
      <c r="S2298" s="56"/>
      <c r="T2298" s="72"/>
      <c r="V2298" s="11"/>
      <c r="W2298" s="38"/>
      <c r="Y2298" s="11"/>
      <c r="Z2298" s="38"/>
      <c r="AB2298" s="11"/>
      <c r="AC2298" s="38"/>
      <c r="AE2298" s="11"/>
      <c r="AF2298" s="38"/>
      <c r="AH2298" s="11"/>
      <c r="AI2298" s="38"/>
      <c r="AK2298" s="11"/>
      <c r="AL2298" s="38"/>
      <c r="AN2298" s="11"/>
      <c r="AO2298" s="38"/>
      <c r="AQ2298" s="11"/>
      <c r="AR2298" s="38"/>
      <c r="AT2298" s="11"/>
      <c r="AU2298" s="38"/>
    </row>
    <row r="2299" spans="15:47" ht="14" x14ac:dyDescent="0.3">
      <c r="O2299" s="8" t="s">
        <v>235</v>
      </c>
      <c r="P2299" s="6"/>
      <c r="Q2299" s="60"/>
      <c r="R2299" s="53">
        <f>R2288*1.02</f>
        <v>47.285215205463629</v>
      </c>
      <c r="S2299" s="58" t="s">
        <v>238</v>
      </c>
      <c r="T2299" s="73" t="s">
        <v>241</v>
      </c>
      <c r="U2299" s="84">
        <f>U2288*1.01</f>
        <v>219.44409722913471</v>
      </c>
      <c r="V2299" s="58" t="s">
        <v>238</v>
      </c>
      <c r="W2299" s="73" t="s">
        <v>241</v>
      </c>
      <c r="X2299" s="84">
        <f>X2288*1.01</f>
        <v>526.75030559160655</v>
      </c>
      <c r="Y2299" s="58" t="s">
        <v>238</v>
      </c>
      <c r="Z2299" s="73" t="s">
        <v>241</v>
      </c>
      <c r="AA2299" s="84">
        <f>AA2288*1.01</f>
        <v>1005.7593811322117</v>
      </c>
      <c r="AB2299" s="58" t="s">
        <v>238</v>
      </c>
      <c r="AC2299" s="73" t="s">
        <v>241</v>
      </c>
      <c r="AD2299" s="84">
        <f>AD2288*1.01</f>
        <v>1654.1038833280445</v>
      </c>
      <c r="AE2299" s="58" t="s">
        <v>238</v>
      </c>
      <c r="AF2299" s="73" t="s">
        <v>241</v>
      </c>
      <c r="AG2299" s="84">
        <f>AG2288*1.01</f>
        <v>2462.735283474568</v>
      </c>
      <c r="AH2299" s="58" t="s">
        <v>238</v>
      </c>
      <c r="AI2299" s="73" t="s">
        <v>241</v>
      </c>
      <c r="AJ2299" s="84">
        <f>AJ2288*1.01</f>
        <v>3286.529782755716</v>
      </c>
      <c r="AK2299" s="58" t="s">
        <v>238</v>
      </c>
      <c r="AL2299" s="73" t="s">
        <v>241</v>
      </c>
      <c r="AM2299" s="84">
        <f>AM2288*1.01</f>
        <v>4010.1909069108797</v>
      </c>
      <c r="AN2299" s="58" t="s">
        <v>238</v>
      </c>
      <c r="AO2299" s="73" t="s">
        <v>241</v>
      </c>
      <c r="AP2299" s="84">
        <f>AP2288*1.01</f>
        <v>4655.7071480305922</v>
      </c>
      <c r="AQ2299" s="58" t="s">
        <v>238</v>
      </c>
      <c r="AR2299" s="73" t="s">
        <v>241</v>
      </c>
      <c r="AS2299" s="84">
        <f>AS2288*1.01</f>
        <v>5298.6290208388509</v>
      </c>
      <c r="AT2299" s="58" t="s">
        <v>238</v>
      </c>
      <c r="AU2299" s="73" t="s">
        <v>241</v>
      </c>
    </row>
    <row r="2300" spans="15:47" ht="13" x14ac:dyDescent="0.25">
      <c r="O2300" s="6"/>
      <c r="P2300" s="6"/>
      <c r="Q2300" s="60"/>
      <c r="R2300" s="70"/>
      <c r="S2300" s="63" t="s">
        <v>250</v>
      </c>
      <c r="T2300" s="71" t="s">
        <v>242</v>
      </c>
      <c r="U2300" s="61"/>
      <c r="V2300" s="63" t="s">
        <v>250</v>
      </c>
      <c r="W2300" s="71" t="s">
        <v>242</v>
      </c>
      <c r="X2300" s="61"/>
      <c r="Y2300" s="63" t="s">
        <v>250</v>
      </c>
      <c r="Z2300" s="71" t="s">
        <v>242</v>
      </c>
      <c r="AA2300" s="61"/>
      <c r="AB2300" s="63" t="s">
        <v>250</v>
      </c>
      <c r="AC2300" s="71" t="s">
        <v>242</v>
      </c>
      <c r="AD2300" s="61"/>
      <c r="AE2300" s="63" t="s">
        <v>250</v>
      </c>
      <c r="AF2300" s="71" t="s">
        <v>242</v>
      </c>
      <c r="AG2300" s="61"/>
      <c r="AH2300" s="63" t="s">
        <v>250</v>
      </c>
      <c r="AI2300" s="71" t="s">
        <v>242</v>
      </c>
      <c r="AJ2300" s="61"/>
      <c r="AK2300" s="63" t="s">
        <v>250</v>
      </c>
      <c r="AL2300" s="71" t="s">
        <v>242</v>
      </c>
      <c r="AM2300" s="61"/>
      <c r="AN2300" s="63" t="s">
        <v>250</v>
      </c>
      <c r="AO2300" s="71" t="s">
        <v>242</v>
      </c>
      <c r="AP2300" s="61"/>
      <c r="AQ2300" s="63" t="s">
        <v>250</v>
      </c>
      <c r="AR2300" s="71" t="s">
        <v>242</v>
      </c>
      <c r="AS2300" s="61"/>
      <c r="AT2300" s="63" t="s">
        <v>250</v>
      </c>
      <c r="AU2300" s="71" t="s">
        <v>242</v>
      </c>
    </row>
    <row r="2301" spans="15:47" ht="13" x14ac:dyDescent="0.3">
      <c r="O2301" s="6" t="s">
        <v>231</v>
      </c>
      <c r="P2301" s="6"/>
      <c r="Q2301" s="60"/>
      <c r="R2301" s="85">
        <f>P_1_minQ-(R2299^2*R_up)+dpup_minQ</f>
        <v>56.840631827861294</v>
      </c>
      <c r="S2301" s="56"/>
      <c r="T2301" s="72"/>
      <c r="U2301" s="53">
        <f>P_1_minQ-(U2299^2*R_up)+dpup_minQ</f>
        <v>55.289810475896324</v>
      </c>
      <c r="V2301" s="44"/>
      <c r="W2301" s="72"/>
      <c r="X2301" s="53">
        <f>P_1_minQ-(X2299^2*R_up)+dpup_minQ</f>
        <v>47.545461518377209</v>
      </c>
      <c r="Y2301" s="44"/>
      <c r="Z2301" s="72"/>
      <c r="AA2301" s="53">
        <f>P_1_minQ-(AA2299^2*R_up)+dpup_minQ</f>
        <v>22.753632801909848</v>
      </c>
      <c r="AB2301" s="44"/>
      <c r="AC2301" s="72"/>
      <c r="AD2301" s="53">
        <f>P_1_minQ-(AD2299^2*R_up)+dpup_minQ</f>
        <v>-35.48708736375945</v>
      </c>
      <c r="AE2301" s="44"/>
      <c r="AF2301" s="72"/>
      <c r="AG2301" s="53">
        <f>P_1_minQ-(AG2299^2*R_up)+dpup_minQ</f>
        <v>-147.91550410234922</v>
      </c>
      <c r="AH2301" s="44"/>
      <c r="AI2301" s="72"/>
      <c r="AJ2301" s="53">
        <f>P_1_minQ-(AJ2299^2*R_up)+dpup_minQ</f>
        <v>-307.8686596737702</v>
      </c>
      <c r="AK2301" s="44"/>
      <c r="AL2301" s="72"/>
      <c r="AM2301" s="53">
        <f>P_1_minQ-(AM2299^2*R_up)+dpup_minQ</f>
        <v>-486.19872036037503</v>
      </c>
      <c r="AN2301" s="44"/>
      <c r="AO2301" s="72"/>
      <c r="AP2301" s="53">
        <f>P_1_minQ-(AP2299^2*R_up)+dpup_minQ</f>
        <v>-675.12063654924509</v>
      </c>
      <c r="AQ2301" s="44"/>
      <c r="AR2301" s="72"/>
      <c r="AS2301" s="53">
        <f>P_1_minQ-(AS2299^2*R_up)+dpup_minQ</f>
        <v>-891.25911855709819</v>
      </c>
      <c r="AT2301" s="44"/>
      <c r="AU2301" s="72"/>
    </row>
    <row r="2302" spans="15:47" ht="13" x14ac:dyDescent="0.3">
      <c r="O2302" s="6" t="s">
        <v>233</v>
      </c>
      <c r="P2302" s="6"/>
      <c r="Q2302" s="60"/>
      <c r="R2302" s="85">
        <f>P_2_minQ+(R2299^2*R_dn)-dpdn_minQ</f>
        <v>24.67187363442774</v>
      </c>
      <c r="S2302" s="66"/>
      <c r="T2302" s="74"/>
      <c r="U2302" s="53">
        <f>P_2_minQ+(U2299^2*R_dn)-dpdn_minQ</f>
        <v>24.982037904820736</v>
      </c>
      <c r="V2302" s="45"/>
      <c r="W2302" s="74"/>
      <c r="X2302" s="53">
        <f>P_2_minQ+(X2299^2*R_dn)-dpdn_minQ</f>
        <v>26.530907696324558</v>
      </c>
      <c r="Y2302" s="45"/>
      <c r="Z2302" s="74"/>
      <c r="AA2302" s="53">
        <f>P_2_minQ+(AA2299^2*R_dn)-dpdn_minQ</f>
        <v>31.489273439618032</v>
      </c>
      <c r="AB2302" s="45"/>
      <c r="AC2302" s="74"/>
      <c r="AD2302" s="53">
        <f>P_2_minQ+(AD2299^2*R_dn)-dpdn_minQ</f>
        <v>43.137417472751892</v>
      </c>
      <c r="AE2302" s="45"/>
      <c r="AF2302" s="74"/>
      <c r="AG2302" s="53">
        <f>P_2_minQ+(AG2299^2*R_dn)-dpdn_minQ</f>
        <v>65.623100820469844</v>
      </c>
      <c r="AH2302" s="45"/>
      <c r="AI2302" s="74"/>
      <c r="AJ2302" s="53">
        <f>P_2_minQ+(AJ2299^2*R_dn)-dpdn_minQ</f>
        <v>97.613731934754028</v>
      </c>
      <c r="AK2302" s="45"/>
      <c r="AL2302" s="74"/>
      <c r="AM2302" s="53">
        <f>P_2_minQ+(AM2299^2*R_dn)-dpdn_minQ</f>
        <v>133.279744072075</v>
      </c>
      <c r="AN2302" s="45"/>
      <c r="AO2302" s="74"/>
      <c r="AP2302" s="53">
        <f>P_2_minQ+(AP2299^2*R_dn)-dpdn_minQ</f>
        <v>171.06412730984906</v>
      </c>
      <c r="AQ2302" s="45"/>
      <c r="AR2302" s="74"/>
      <c r="AS2302" s="53">
        <f>P_2_minQ+(AS2299^2*R_dn)-dpdn_minQ</f>
        <v>214.29182371141965</v>
      </c>
      <c r="AT2302" s="45"/>
      <c r="AU2302" s="74"/>
    </row>
    <row r="2303" spans="15:47" x14ac:dyDescent="0.25">
      <c r="O2303" s="6" t="s">
        <v>243</v>
      </c>
      <c r="Q2303" s="60"/>
      <c r="R2303" s="53">
        <f>R2301-R2302</f>
        <v>32.168758193433554</v>
      </c>
      <c r="S2303" s="56"/>
      <c r="T2303" s="72"/>
      <c r="U2303" s="64">
        <f>U2301-U2302</f>
        <v>30.307772571075589</v>
      </c>
      <c r="V2303" s="44"/>
      <c r="W2303" s="72"/>
      <c r="X2303" s="64">
        <f>X2301-X2302</f>
        <v>21.014553822052651</v>
      </c>
      <c r="Y2303" s="44"/>
      <c r="Z2303" s="72"/>
      <c r="AA2303" s="64">
        <f>AA2301-AA2302</f>
        <v>-8.7356406377081832</v>
      </c>
      <c r="AB2303" s="44"/>
      <c r="AC2303" s="72"/>
      <c r="AD2303" s="64">
        <f>AD2301-AD2302</f>
        <v>-78.624504836511335</v>
      </c>
      <c r="AE2303" s="44"/>
      <c r="AF2303" s="72"/>
      <c r="AG2303" s="64">
        <f>AG2301-AG2302</f>
        <v>-213.53860492281905</v>
      </c>
      <c r="AH2303" s="44"/>
      <c r="AI2303" s="72"/>
      <c r="AJ2303" s="64">
        <f>AJ2301-AJ2302</f>
        <v>-405.48239160852421</v>
      </c>
      <c r="AK2303" s="44"/>
      <c r="AL2303" s="72"/>
      <c r="AM2303" s="64">
        <f>AM2301-AM2302</f>
        <v>-619.47846443244998</v>
      </c>
      <c r="AN2303" s="44"/>
      <c r="AO2303" s="72"/>
      <c r="AP2303" s="64">
        <f>AP2301-AP2302</f>
        <v>-846.18476385909412</v>
      </c>
      <c r="AQ2303" s="44"/>
      <c r="AR2303" s="72"/>
      <c r="AS2303" s="64">
        <f>AS2301-AS2302</f>
        <v>-1105.5509422685179</v>
      </c>
      <c r="AT2303" s="44"/>
      <c r="AU2303" s="72"/>
    </row>
    <row r="2304" spans="15:47" ht="13" x14ac:dyDescent="0.3">
      <c r="O2304" s="6" t="s">
        <v>75</v>
      </c>
      <c r="P2304" s="6">
        <v>3</v>
      </c>
      <c r="Q2304" s="65"/>
      <c r="R2304" s="85">
        <f>(F_LP_h/F_P_h)^2*(R2301-('Valve Sizing'!$V$4*'Valve Sizing'!$G$7))</f>
        <v>46.702635866249835</v>
      </c>
      <c r="S2304" s="58"/>
      <c r="T2304" s="73"/>
      <c r="U2304" s="53">
        <f>(U$29/U$27)^2*(U2301-('Valve Sizing'!$V$4*'Valve Sizing'!$G$7))</f>
        <v>45.406095184481273</v>
      </c>
      <c r="V2304" s="41"/>
      <c r="W2304" s="73"/>
      <c r="X2304" s="53">
        <f>(X$29/X$27)^2*(X2301-('Valve Sizing'!$V$4*'Valve Sizing'!$G$7))</f>
        <v>38.115505450274071</v>
      </c>
      <c r="Y2304" s="41"/>
      <c r="Z2304" s="73"/>
      <c r="AA2304" s="53">
        <f>(AA$29/AA$27)^2*(AA2301-('Valve Sizing'!$V$4*'Valve Sizing'!$G$7))</f>
        <v>17.243868861202749</v>
      </c>
      <c r="AB2304" s="41"/>
      <c r="AC2304" s="73"/>
      <c r="AD2304" s="53">
        <f>(AD$29/AD$27)^2*(AD2301-('Valve Sizing'!$V$4*'Valve Sizing'!$G$7))</f>
        <v>-25.910204573371814</v>
      </c>
      <c r="AE2304" s="41"/>
      <c r="AF2304" s="73"/>
      <c r="AG2304" s="53">
        <f>(AG$29/AG$27)^2*(AG2301-('Valve Sizing'!$V$4*'Valve Sizing'!$G$7))</f>
        <v>-95.547502183182402</v>
      </c>
      <c r="AH2304" s="41"/>
      <c r="AI2304" s="73"/>
      <c r="AJ2304" s="53">
        <f>(AJ$29/AJ$27)^2*(AJ2301-('Valve Sizing'!$V$4*'Valve Sizing'!$G$7))</f>
        <v>-178.31476638120728</v>
      </c>
      <c r="AK2304" s="41"/>
      <c r="AL2304" s="73"/>
      <c r="AM2304" s="53">
        <f>(AM$29/AM$27)^2*(AM2301-('Valve Sizing'!$V$4*'Valve Sizing'!$G$7))</f>
        <v>-232.84310205862056</v>
      </c>
      <c r="AN2304" s="41"/>
      <c r="AO2304" s="73"/>
      <c r="AP2304" s="53">
        <f>(AP$29/AP$27)^2*(AP2301-('Valve Sizing'!$V$4*'Valve Sizing'!$G$7))</f>
        <v>-266.59437344736813</v>
      </c>
      <c r="AQ2304" s="41"/>
      <c r="AR2304" s="73"/>
      <c r="AS2304" s="53">
        <f>(AS$29/AS$27)^2*(AS2301-('Valve Sizing'!$V$4*'Valve Sizing'!$G$7))</f>
        <v>-335.40443624739112</v>
      </c>
      <c r="AT2304" s="41"/>
      <c r="AU2304" s="73"/>
    </row>
    <row r="2305" spans="15:47" ht="13" x14ac:dyDescent="0.25">
      <c r="O2305" s="1" t="s">
        <v>69</v>
      </c>
      <c r="P2305" s="17">
        <v>7</v>
      </c>
      <c r="Q2305" s="65"/>
      <c r="R2305" s="53">
        <f>(R2299/(N_1*F_P_h))*SQRT('Valve Sizing'!$G$6/R2303)</f>
        <v>8.3381892979126935</v>
      </c>
      <c r="S2305" s="58"/>
      <c r="T2305" s="73"/>
      <c r="U2305" s="64">
        <f>(U2299/(N_1*U$27))*SQRT('Valve Sizing'!$G$6/U2303)</f>
        <v>39.894457520274131</v>
      </c>
      <c r="V2305" s="41"/>
      <c r="W2305" s="73"/>
      <c r="X2305" s="64">
        <f>(X2299/(N_1*X$27))*SQRT('Valve Sizing'!$G$6/X2303)</f>
        <v>115.26170169715186</v>
      </c>
      <c r="Y2305" s="41"/>
      <c r="Z2305" s="73"/>
      <c r="AA2305" s="64" t="e">
        <f>(AA2299/(N_1*AA$27))*SQRT('Valve Sizing'!$G$6/AA2303)</f>
        <v>#NUM!</v>
      </c>
      <c r="AB2305" s="41"/>
      <c r="AC2305" s="73"/>
      <c r="AD2305" s="64" t="e">
        <f>(AD2299/(N_1*AD$27))*SQRT('Valve Sizing'!$G$6/AD2303)</f>
        <v>#NUM!</v>
      </c>
      <c r="AE2305" s="41"/>
      <c r="AF2305" s="73"/>
      <c r="AG2305" s="64" t="e">
        <f>(AG2299/(N_1*AG$27))*SQRT('Valve Sizing'!$G$6/AG2303)</f>
        <v>#NUM!</v>
      </c>
      <c r="AH2305" s="41"/>
      <c r="AI2305" s="73"/>
      <c r="AJ2305" s="64" t="e">
        <f>(AJ2299/(N_1*AJ$27))*SQRT('Valve Sizing'!$G$6/AJ2303)</f>
        <v>#NUM!</v>
      </c>
      <c r="AK2305" s="41"/>
      <c r="AL2305" s="73"/>
      <c r="AM2305" s="64" t="e">
        <f>(AM2299/(N_1*AM$27))*SQRT('Valve Sizing'!$G$6/AM2303)</f>
        <v>#NUM!</v>
      </c>
      <c r="AN2305" s="41"/>
      <c r="AO2305" s="73"/>
      <c r="AP2305" s="64" t="e">
        <f>(AP2299/(N_1*AP$27))*SQRT('Valve Sizing'!$G$6/AP2303)</f>
        <v>#NUM!</v>
      </c>
      <c r="AQ2305" s="41"/>
      <c r="AR2305" s="73"/>
      <c r="AS2305" s="64" t="e">
        <f>(AS2299/(N_1*AS$27))*SQRT('Valve Sizing'!$G$6/AS2303)</f>
        <v>#NUM!</v>
      </c>
      <c r="AT2305" s="41"/>
      <c r="AU2305" s="73"/>
    </row>
    <row r="2306" spans="15:47" ht="13" x14ac:dyDescent="0.3">
      <c r="O2306" s="1" t="s">
        <v>72</v>
      </c>
      <c r="P2306" s="17">
        <v>7</v>
      </c>
      <c r="Q2306" s="65"/>
      <c r="R2306" s="53">
        <f>(R2299/(N_1*F_P_h))*SQRT('Valve Sizing'!$G$6/R2304)</f>
        <v>6.9201929278628675</v>
      </c>
      <c r="S2306" s="56"/>
      <c r="T2306" s="72"/>
      <c r="U2306" s="85">
        <f>(U2299/(N_1*U$27))*SQRT('Valve Sizing'!$G$6/U2304)</f>
        <v>32.593612364638204</v>
      </c>
      <c r="V2306" s="44"/>
      <c r="W2306" s="72"/>
      <c r="X2306" s="85">
        <f>(X2299/(N_1*X$27))*SQRT('Valve Sizing'!$G$6/X2304)</f>
        <v>85.584333370901703</v>
      </c>
      <c r="Y2306" s="44"/>
      <c r="Z2306" s="72"/>
      <c r="AA2306" s="85">
        <f>(AA2299/(N_1*AA$27))*SQRT('Valve Sizing'!$G$6/AA2304)</f>
        <v>244.34776961416063</v>
      </c>
      <c r="AB2306" s="44"/>
      <c r="AC2306" s="72"/>
      <c r="AD2306" s="85" t="e">
        <f>(AD2299/(N_1*AD$27))*SQRT('Valve Sizing'!$G$6/AD2304)</f>
        <v>#NUM!</v>
      </c>
      <c r="AE2306" s="44"/>
      <c r="AF2306" s="72"/>
      <c r="AG2306" s="85" t="e">
        <f>(AG2299/(N_1*AG$27))*SQRT('Valve Sizing'!$G$6/AG2304)</f>
        <v>#NUM!</v>
      </c>
      <c r="AH2306" s="44"/>
      <c r="AI2306" s="72"/>
      <c r="AJ2306" s="85" t="e">
        <f>(AJ2299/(N_1*AJ$27))*SQRT('Valve Sizing'!$G$6/AJ2304)</f>
        <v>#NUM!</v>
      </c>
      <c r="AK2306" s="44"/>
      <c r="AL2306" s="72"/>
      <c r="AM2306" s="85" t="e">
        <f>(AM2299/(N_1*AM$27))*SQRT('Valve Sizing'!$G$6/AM2304)</f>
        <v>#NUM!</v>
      </c>
      <c r="AN2306" s="44"/>
      <c r="AO2306" s="72"/>
      <c r="AP2306" s="85" t="e">
        <f>(AP2299/(N_1*AP$27))*SQRT('Valve Sizing'!$G$6/AP2304)</f>
        <v>#NUM!</v>
      </c>
      <c r="AQ2306" s="44"/>
      <c r="AR2306" s="72"/>
      <c r="AS2306" s="85" t="e">
        <f>(AS2299/(N_1*AS$27))*SQRT('Valve Sizing'!$G$6/AS2304)</f>
        <v>#NUM!</v>
      </c>
      <c r="AT2306" s="44"/>
      <c r="AU2306" s="72"/>
    </row>
    <row r="2307" spans="15:47" x14ac:dyDescent="0.25">
      <c r="O2307" s="1" t="s">
        <v>246</v>
      </c>
      <c r="P2307" s="18"/>
      <c r="Q2307" s="65"/>
      <c r="R2307" s="53">
        <f>IF(R2303&lt;R2304,R2305,R2306)</f>
        <v>8.3381892979126935</v>
      </c>
      <c r="S2307" s="49"/>
      <c r="T2307" s="72"/>
      <c r="U2307" s="64">
        <f>IF(U2303&lt;U2304,U2305,U2306)</f>
        <v>39.894457520274131</v>
      </c>
      <c r="V2307" s="44"/>
      <c r="W2307" s="72"/>
      <c r="X2307" s="64">
        <f>IF(X2303&lt;X2304,X2305,X2306)</f>
        <v>115.26170169715186</v>
      </c>
      <c r="Y2307" s="44"/>
      <c r="Z2307" s="72"/>
      <c r="AA2307" s="64" t="e">
        <f>IF(AA2303&lt;AA2304,AA2305,AA2306)</f>
        <v>#NUM!</v>
      </c>
      <c r="AB2307" s="44"/>
      <c r="AC2307" s="72"/>
      <c r="AD2307" s="64" t="e">
        <f>IF(AD2303&lt;AD2304,AD2305,AD2306)</f>
        <v>#NUM!</v>
      </c>
      <c r="AE2307" s="44"/>
      <c r="AF2307" s="72"/>
      <c r="AG2307" s="64" t="e">
        <f>IF(AG2303&lt;AG2304,AG2305,AG2306)</f>
        <v>#NUM!</v>
      </c>
      <c r="AH2307" s="44"/>
      <c r="AI2307" s="72"/>
      <c r="AJ2307" s="64" t="e">
        <f>IF(AJ2303&lt;AJ2304,AJ2305,AJ2306)</f>
        <v>#NUM!</v>
      </c>
      <c r="AK2307" s="44"/>
      <c r="AL2307" s="72"/>
      <c r="AM2307" s="64" t="e">
        <f>IF(AM2303&lt;AM2304,AM2305,AM2306)</f>
        <v>#NUM!</v>
      </c>
      <c r="AN2307" s="44"/>
      <c r="AO2307" s="72"/>
      <c r="AP2307" s="64" t="e">
        <f>IF(AP2303&lt;AP2304,AP2305,AP2306)</f>
        <v>#NUM!</v>
      </c>
      <c r="AQ2307" s="44"/>
      <c r="AR2307" s="72"/>
      <c r="AS2307" s="64" t="e">
        <f>IF(AS2303&lt;AS2304,AS2305,AS2306)</f>
        <v>#NUM!</v>
      </c>
      <c r="AT2307" s="44"/>
      <c r="AU2307" s="72"/>
    </row>
    <row r="2308" spans="15:47" ht="13" x14ac:dyDescent="0.3">
      <c r="O2308" s="7" t="s">
        <v>264</v>
      </c>
      <c r="Q2308" s="61"/>
      <c r="R2308" s="53"/>
      <c r="S2308" s="69">
        <f>IFERROR(ABS(C_h-R2307),Q_max*10)</f>
        <v>3.3381892979126935</v>
      </c>
      <c r="T2308" s="76">
        <f>R2299</f>
        <v>47.285215205463629</v>
      </c>
      <c r="U2308" s="61"/>
      <c r="V2308" s="69">
        <f>IFERROR(ABS(U$23-U2307),Q_max*10)</f>
        <v>27.894457520274131</v>
      </c>
      <c r="W2308" s="75">
        <f>U2299</f>
        <v>219.44409722913471</v>
      </c>
      <c r="X2308" s="61"/>
      <c r="Y2308" s="69">
        <f>IFERROR(ABS(X$23-X2307),Q_max*10)</f>
        <v>92.261701697151864</v>
      </c>
      <c r="Z2308" s="75">
        <f>X2299</f>
        <v>526.75030559160655</v>
      </c>
      <c r="AA2308" s="61"/>
      <c r="AB2308" s="69">
        <f>IFERROR(ABS(AA$23-AA2307),Q_max*10)</f>
        <v>5500</v>
      </c>
      <c r="AC2308" s="75">
        <f>AA2299</f>
        <v>1005.7593811322117</v>
      </c>
      <c r="AD2308" s="61"/>
      <c r="AE2308" s="69">
        <f>IFERROR(ABS(AD$23-AD2307),Q_max*10)</f>
        <v>5500</v>
      </c>
      <c r="AF2308" s="75">
        <f>AD2299</f>
        <v>1654.1038833280445</v>
      </c>
      <c r="AG2308" s="61"/>
      <c r="AH2308" s="69">
        <f>IFERROR(ABS(AG$23-AG2307),Q_max*10)</f>
        <v>5500</v>
      </c>
      <c r="AI2308" s="75">
        <f>AG2299</f>
        <v>2462.735283474568</v>
      </c>
      <c r="AJ2308" s="61"/>
      <c r="AK2308" s="69">
        <f>IFERROR(ABS(AJ$23-AJ2307),Q_max*10)</f>
        <v>5500</v>
      </c>
      <c r="AL2308" s="75">
        <f>AJ2299</f>
        <v>3286.529782755716</v>
      </c>
      <c r="AM2308" s="61"/>
      <c r="AN2308" s="69">
        <f>IFERROR(ABS(AM$23-AM2307),Q_max*10)</f>
        <v>5500</v>
      </c>
      <c r="AO2308" s="75">
        <f>AM2299</f>
        <v>4010.1909069108797</v>
      </c>
      <c r="AP2308" s="61"/>
      <c r="AQ2308" s="69">
        <f>IFERROR(ABS(AP$23-AP2307),Q_max*10)</f>
        <v>5500</v>
      </c>
      <c r="AR2308" s="75">
        <f>AP2299</f>
        <v>4655.7071480305922</v>
      </c>
      <c r="AS2308" s="61"/>
      <c r="AT2308" s="69">
        <f>IFERROR(ABS(AS$23-AS2307),Q_max*10)</f>
        <v>5500</v>
      </c>
      <c r="AU2308" s="75">
        <f>AS2299</f>
        <v>5298.6290208388509</v>
      </c>
    </row>
    <row r="2309" spans="15:47" ht="14.5" x14ac:dyDescent="0.35">
      <c r="O2309" s="6"/>
      <c r="P2309" s="6"/>
      <c r="Q2309" s="60"/>
      <c r="R2309" s="67"/>
      <c r="S2309" s="66"/>
      <c r="T2309" s="74"/>
      <c r="V2309" s="11"/>
      <c r="W2309" s="38"/>
      <c r="Y2309" s="11"/>
      <c r="Z2309" s="38"/>
      <c r="AB2309" s="11"/>
      <c r="AC2309" s="38"/>
      <c r="AE2309" s="11"/>
      <c r="AF2309" s="38"/>
      <c r="AH2309" s="11"/>
      <c r="AI2309" s="38"/>
      <c r="AK2309" s="11"/>
      <c r="AL2309" s="38"/>
      <c r="AN2309" s="11"/>
      <c r="AO2309" s="38"/>
      <c r="AQ2309" s="11"/>
      <c r="AR2309" s="38"/>
      <c r="AT2309" s="11"/>
      <c r="AU2309" s="38"/>
    </row>
    <row r="2310" spans="15:47" ht="14" x14ac:dyDescent="0.3">
      <c r="O2310" s="8" t="s">
        <v>235</v>
      </c>
      <c r="P2310" s="6"/>
      <c r="Q2310" s="60"/>
      <c r="R2310" s="53">
        <f>R2299*1.02</f>
        <v>48.2309195095729</v>
      </c>
      <c r="S2310" s="58" t="s">
        <v>238</v>
      </c>
      <c r="T2310" s="73" t="s">
        <v>241</v>
      </c>
      <c r="U2310" s="84">
        <f>U2299*1.01</f>
        <v>221.63853820142606</v>
      </c>
      <c r="V2310" s="58" t="s">
        <v>238</v>
      </c>
      <c r="W2310" s="73" t="s">
        <v>241</v>
      </c>
      <c r="X2310" s="84">
        <f>X2299*1.01</f>
        <v>532.01780864752266</v>
      </c>
      <c r="Y2310" s="58" t="s">
        <v>238</v>
      </c>
      <c r="Z2310" s="73" t="s">
        <v>241</v>
      </c>
      <c r="AA2310" s="84">
        <f>AA2299*1.01</f>
        <v>1015.8169749435339</v>
      </c>
      <c r="AB2310" s="58" t="s">
        <v>238</v>
      </c>
      <c r="AC2310" s="73" t="s">
        <v>241</v>
      </c>
      <c r="AD2310" s="84">
        <f>AD2299*1.01</f>
        <v>1670.644922161325</v>
      </c>
      <c r="AE2310" s="58" t="s">
        <v>238</v>
      </c>
      <c r="AF2310" s="73" t="s">
        <v>241</v>
      </c>
      <c r="AG2310" s="84">
        <f>AG2299*1.01</f>
        <v>2487.3626363093135</v>
      </c>
      <c r="AH2310" s="58" t="s">
        <v>238</v>
      </c>
      <c r="AI2310" s="73" t="s">
        <v>241</v>
      </c>
      <c r="AJ2310" s="84">
        <f>AJ2299*1.01</f>
        <v>3319.3950805832733</v>
      </c>
      <c r="AK2310" s="58" t="s">
        <v>238</v>
      </c>
      <c r="AL2310" s="73" t="s">
        <v>241</v>
      </c>
      <c r="AM2310" s="84">
        <f>AM2299*1.01</f>
        <v>4050.2928159799885</v>
      </c>
      <c r="AN2310" s="58" t="s">
        <v>238</v>
      </c>
      <c r="AO2310" s="73" t="s">
        <v>241</v>
      </c>
      <c r="AP2310" s="84">
        <f>AP2299*1.01</f>
        <v>4702.2642195108983</v>
      </c>
      <c r="AQ2310" s="58" t="s">
        <v>238</v>
      </c>
      <c r="AR2310" s="73" t="s">
        <v>241</v>
      </c>
      <c r="AS2310" s="84">
        <f>AS2299*1.01</f>
        <v>5351.6153110472396</v>
      </c>
      <c r="AT2310" s="58" t="s">
        <v>238</v>
      </c>
      <c r="AU2310" s="73" t="s">
        <v>241</v>
      </c>
    </row>
    <row r="2311" spans="15:47" ht="13" x14ac:dyDescent="0.25">
      <c r="O2311" s="6"/>
      <c r="P2311" s="6"/>
      <c r="Q2311" s="60"/>
      <c r="R2311" s="70"/>
      <c r="S2311" s="63" t="s">
        <v>250</v>
      </c>
      <c r="T2311" s="71" t="s">
        <v>242</v>
      </c>
      <c r="U2311" s="61"/>
      <c r="V2311" s="63" t="s">
        <v>250</v>
      </c>
      <c r="W2311" s="71" t="s">
        <v>242</v>
      </c>
      <c r="X2311" s="61"/>
      <c r="Y2311" s="63" t="s">
        <v>250</v>
      </c>
      <c r="Z2311" s="71" t="s">
        <v>242</v>
      </c>
      <c r="AA2311" s="61"/>
      <c r="AB2311" s="63" t="s">
        <v>250</v>
      </c>
      <c r="AC2311" s="71" t="s">
        <v>242</v>
      </c>
      <c r="AD2311" s="61"/>
      <c r="AE2311" s="63" t="s">
        <v>250</v>
      </c>
      <c r="AF2311" s="71" t="s">
        <v>242</v>
      </c>
      <c r="AG2311" s="61"/>
      <c r="AH2311" s="63" t="s">
        <v>250</v>
      </c>
      <c r="AI2311" s="71" t="s">
        <v>242</v>
      </c>
      <c r="AJ2311" s="61"/>
      <c r="AK2311" s="63" t="s">
        <v>250</v>
      </c>
      <c r="AL2311" s="71" t="s">
        <v>242</v>
      </c>
      <c r="AM2311" s="61"/>
      <c r="AN2311" s="63" t="s">
        <v>250</v>
      </c>
      <c r="AO2311" s="71" t="s">
        <v>242</v>
      </c>
      <c r="AP2311" s="61"/>
      <c r="AQ2311" s="63" t="s">
        <v>250</v>
      </c>
      <c r="AR2311" s="71" t="s">
        <v>242</v>
      </c>
      <c r="AS2311" s="61"/>
      <c r="AT2311" s="63" t="s">
        <v>250</v>
      </c>
      <c r="AU2311" s="71" t="s">
        <v>242</v>
      </c>
    </row>
    <row r="2312" spans="15:47" ht="13" x14ac:dyDescent="0.3">
      <c r="O2312" s="6" t="s">
        <v>231</v>
      </c>
      <c r="P2312" s="6"/>
      <c r="Q2312" s="60"/>
      <c r="R2312" s="85">
        <f>P_1_minQ-(R2310^2*R_up)+dpup_minQ</f>
        <v>56.83758116863428</v>
      </c>
      <c r="S2312" s="56"/>
      <c r="T2312" s="72"/>
      <c r="U2312" s="53">
        <f>P_1_minQ-(U2310^2*R_up)+dpup_minQ</f>
        <v>55.257121188245016</v>
      </c>
      <c r="V2312" s="44"/>
      <c r="W2312" s="72"/>
      <c r="X2312" s="53">
        <f>P_1_minQ-(X2310^2*R_up)+dpup_minQ</f>
        <v>47.357110816679771</v>
      </c>
      <c r="Y2312" s="44"/>
      <c r="Z2312" s="72"/>
      <c r="AA2312" s="53">
        <f>P_1_minQ-(AA2310^2*R_up)+dpup_minQ</f>
        <v>22.066966343011412</v>
      </c>
      <c r="AB2312" s="44"/>
      <c r="AC2312" s="72"/>
      <c r="AD2312" s="53">
        <f>P_1_minQ-(AD2310^2*R_up)+dpup_minQ</f>
        <v>-37.344392297987831</v>
      </c>
      <c r="AE2312" s="44"/>
      <c r="AF2312" s="72"/>
      <c r="AG2312" s="53">
        <f>P_1_minQ-(AG2310^2*R_up)+dpup_minQ</f>
        <v>-152.03262021302325</v>
      </c>
      <c r="AH2312" s="44"/>
      <c r="AI2312" s="72"/>
      <c r="AJ2312" s="53">
        <f>P_1_minQ-(AJ2310^2*R_up)+dpup_minQ</f>
        <v>-315.20083421142976</v>
      </c>
      <c r="AK2312" s="44"/>
      <c r="AL2312" s="72"/>
      <c r="AM2312" s="53">
        <f>P_1_minQ-(AM2310^2*R_up)+dpup_minQ</f>
        <v>-497.11532911783542</v>
      </c>
      <c r="AN2312" s="44"/>
      <c r="AO2312" s="72"/>
      <c r="AP2312" s="53">
        <f>P_1_minQ-(AP2310^2*R_up)+dpup_minQ</f>
        <v>-689.8345758221019</v>
      </c>
      <c r="AQ2312" s="44"/>
      <c r="AR2312" s="72"/>
      <c r="AS2312" s="53">
        <f>P_1_minQ-(AS2310^2*R_up)+dpup_minQ</f>
        <v>-910.31744131831283</v>
      </c>
      <c r="AT2312" s="44"/>
      <c r="AU2312" s="72"/>
    </row>
    <row r="2313" spans="15:47" ht="13" x14ac:dyDescent="0.3">
      <c r="O2313" s="6" t="s">
        <v>233</v>
      </c>
      <c r="P2313" s="6"/>
      <c r="Q2313" s="60"/>
      <c r="R2313" s="85">
        <f>P_2_minQ+(R2310^2*R_dn)-dpdn_minQ</f>
        <v>24.672483766273146</v>
      </c>
      <c r="S2313" s="66"/>
      <c r="T2313" s="74"/>
      <c r="U2313" s="53">
        <f>P_2_minQ+(U2310^2*R_dn)-dpdn_minQ</f>
        <v>24.988575762350997</v>
      </c>
      <c r="V2313" s="45"/>
      <c r="W2313" s="74"/>
      <c r="X2313" s="53">
        <f>P_2_minQ+(X2310^2*R_dn)-dpdn_minQ</f>
        <v>26.568577836664048</v>
      </c>
      <c r="Y2313" s="45"/>
      <c r="Z2313" s="74"/>
      <c r="AA2313" s="53">
        <f>P_2_minQ+(AA2310^2*R_dn)-dpdn_minQ</f>
        <v>31.626606731397718</v>
      </c>
      <c r="AB2313" s="45"/>
      <c r="AC2313" s="74"/>
      <c r="AD2313" s="53">
        <f>P_2_minQ+(AD2310^2*R_dn)-dpdn_minQ</f>
        <v>43.508878459597568</v>
      </c>
      <c r="AE2313" s="45"/>
      <c r="AF2313" s="74"/>
      <c r="AG2313" s="53">
        <f>P_2_minQ+(AG2310^2*R_dn)-dpdn_minQ</f>
        <v>66.446524042604651</v>
      </c>
      <c r="AH2313" s="45"/>
      <c r="AI2313" s="74"/>
      <c r="AJ2313" s="53">
        <f>P_2_minQ+(AJ2310^2*R_dn)-dpdn_minQ</f>
        <v>99.080166842285948</v>
      </c>
      <c r="AK2313" s="45"/>
      <c r="AL2313" s="74"/>
      <c r="AM2313" s="53">
        <f>P_2_minQ+(AM2310^2*R_dn)-dpdn_minQ</f>
        <v>135.46306582356706</v>
      </c>
      <c r="AN2313" s="45"/>
      <c r="AO2313" s="74"/>
      <c r="AP2313" s="53">
        <f>P_2_minQ+(AP2310^2*R_dn)-dpdn_minQ</f>
        <v>174.00691516442041</v>
      </c>
      <c r="AQ2313" s="45"/>
      <c r="AR2313" s="74"/>
      <c r="AS2313" s="53">
        <f>P_2_minQ+(AS2310^2*R_dn)-dpdn_minQ</f>
        <v>218.10348826366257</v>
      </c>
      <c r="AT2313" s="45"/>
      <c r="AU2313" s="74"/>
    </row>
    <row r="2314" spans="15:47" x14ac:dyDescent="0.25">
      <c r="O2314" s="6" t="s">
        <v>243</v>
      </c>
      <c r="Q2314" s="60"/>
      <c r="R2314" s="53">
        <f>R2312-R2313</f>
        <v>32.165097402361134</v>
      </c>
      <c r="S2314" s="56"/>
      <c r="T2314" s="72"/>
      <c r="U2314" s="64">
        <f>U2312-U2313</f>
        <v>30.268545425894018</v>
      </c>
      <c r="V2314" s="44"/>
      <c r="W2314" s="72"/>
      <c r="X2314" s="64">
        <f>X2312-X2313</f>
        <v>20.788532980015724</v>
      </c>
      <c r="Y2314" s="44"/>
      <c r="Z2314" s="72"/>
      <c r="AA2314" s="64">
        <f>AA2312-AA2313</f>
        <v>-9.5596403883863061</v>
      </c>
      <c r="AB2314" s="44"/>
      <c r="AC2314" s="72"/>
      <c r="AD2314" s="64">
        <f>AD2312-AD2313</f>
        <v>-80.853270757585392</v>
      </c>
      <c r="AE2314" s="44"/>
      <c r="AF2314" s="72"/>
      <c r="AG2314" s="64">
        <f>AG2312-AG2313</f>
        <v>-218.47914425562789</v>
      </c>
      <c r="AH2314" s="44"/>
      <c r="AI2314" s="72"/>
      <c r="AJ2314" s="64">
        <f>AJ2312-AJ2313</f>
        <v>-414.28100105371573</v>
      </c>
      <c r="AK2314" s="44"/>
      <c r="AL2314" s="72"/>
      <c r="AM2314" s="64">
        <f>AM2312-AM2313</f>
        <v>-632.57839494140251</v>
      </c>
      <c r="AN2314" s="44"/>
      <c r="AO2314" s="72"/>
      <c r="AP2314" s="64">
        <f>AP2312-AP2313</f>
        <v>-863.84149098652233</v>
      </c>
      <c r="AQ2314" s="44"/>
      <c r="AR2314" s="72"/>
      <c r="AS2314" s="64">
        <f>AS2312-AS2313</f>
        <v>-1128.4209295819753</v>
      </c>
      <c r="AT2314" s="44"/>
      <c r="AU2314" s="72"/>
    </row>
    <row r="2315" spans="15:47" ht="13" x14ac:dyDescent="0.3">
      <c r="O2315" s="6" t="s">
        <v>75</v>
      </c>
      <c r="P2315" s="6">
        <v>3</v>
      </c>
      <c r="Q2315" s="65"/>
      <c r="R2315" s="85">
        <f>(F_LP_h/F_P_h)^2*(R2312-('Valve Sizing'!$V$4*'Valve Sizing'!$G$7))</f>
        <v>46.700109760280952</v>
      </c>
      <c r="S2315" s="58"/>
      <c r="T2315" s="73"/>
      <c r="U2315" s="53">
        <f>(U$29/U$27)^2*(U2312-('Valve Sizing'!$V$4*'Valve Sizing'!$G$7))</f>
        <v>45.379034116187441</v>
      </c>
      <c r="V2315" s="41"/>
      <c r="W2315" s="73"/>
      <c r="X2315" s="53">
        <f>(X$29/X$27)^2*(X2312-('Valve Sizing'!$V$4*'Valve Sizing'!$G$7))</f>
        <v>37.963100808546315</v>
      </c>
      <c r="Y2315" s="41"/>
      <c r="Z2315" s="73"/>
      <c r="AA2315" s="53">
        <f>(AA$29/AA$27)^2*(AA2312-('Valve Sizing'!$V$4*'Valve Sizing'!$G$7))</f>
        <v>16.713214929769499</v>
      </c>
      <c r="AB2315" s="41"/>
      <c r="AC2315" s="73"/>
      <c r="AD2315" s="53">
        <f>(AD$29/AD$27)^2*(AD2312-('Valve Sizing'!$V$4*'Valve Sizing'!$G$7))</f>
        <v>-27.249669503222595</v>
      </c>
      <c r="AE2315" s="41"/>
      <c r="AF2315" s="73"/>
      <c r="AG2315" s="53">
        <f>(AG$29/AG$27)^2*(AG2312-('Valve Sizing'!$V$4*'Valve Sizing'!$G$7))</f>
        <v>-98.199105910580514</v>
      </c>
      <c r="AH2315" s="41"/>
      <c r="AI2315" s="73"/>
      <c r="AJ2315" s="53">
        <f>(AJ$29/AJ$27)^2*(AJ2312-('Valve Sizing'!$V$4*'Valve Sizing'!$G$7))</f>
        <v>-182.55543463417658</v>
      </c>
      <c r="AK2315" s="41"/>
      <c r="AL2315" s="73"/>
      <c r="AM2315" s="53">
        <f>(AM$29/AM$27)^2*(AM2312-('Valve Sizing'!$V$4*'Valve Sizing'!$G$7))</f>
        <v>-238.06639531391917</v>
      </c>
      <c r="AN2315" s="41"/>
      <c r="AO2315" s="73"/>
      <c r="AP2315" s="53">
        <f>(AP$29/AP$27)^2*(AP2312-('Valve Sizing'!$V$4*'Valve Sizing'!$G$7))</f>
        <v>-272.40088862055973</v>
      </c>
      <c r="AQ2315" s="41"/>
      <c r="AR2315" s="73"/>
      <c r="AS2315" s="53">
        <f>(AS$29/AS$27)^2*(AS2312-('Valve Sizing'!$V$4*'Valve Sizing'!$G$7))</f>
        <v>-342.57304890508129</v>
      </c>
      <c r="AT2315" s="41"/>
      <c r="AU2315" s="73"/>
    </row>
    <row r="2316" spans="15:47" ht="13" x14ac:dyDescent="0.25">
      <c r="O2316" s="1" t="s">
        <v>69</v>
      </c>
      <c r="P2316" s="17">
        <v>7</v>
      </c>
      <c r="Q2316" s="65"/>
      <c r="R2316" s="53">
        <f>(R2310/(N_1*F_P_h))*SQRT('Valve Sizing'!$G$6/R2314)</f>
        <v>8.5054370552094696</v>
      </c>
      <c r="S2316" s="58"/>
      <c r="T2316" s="73"/>
      <c r="U2316" s="64">
        <f>(U2310/(N_1*U$27))*SQRT('Valve Sizing'!$G$6/U2314)</f>
        <v>40.319503174038516</v>
      </c>
      <c r="V2316" s="41"/>
      <c r="W2316" s="73"/>
      <c r="X2316" s="64">
        <f>(X2310/(N_1*X$27))*SQRT('Valve Sizing'!$G$6/X2314)</f>
        <v>117.04545824293342</v>
      </c>
      <c r="Y2316" s="41"/>
      <c r="Z2316" s="73"/>
      <c r="AA2316" s="64" t="e">
        <f>(AA2310/(N_1*AA$27))*SQRT('Valve Sizing'!$G$6/AA2314)</f>
        <v>#NUM!</v>
      </c>
      <c r="AB2316" s="41"/>
      <c r="AC2316" s="73"/>
      <c r="AD2316" s="64" t="e">
        <f>(AD2310/(N_1*AD$27))*SQRT('Valve Sizing'!$G$6/AD2314)</f>
        <v>#NUM!</v>
      </c>
      <c r="AE2316" s="41"/>
      <c r="AF2316" s="73"/>
      <c r="AG2316" s="64" t="e">
        <f>(AG2310/(N_1*AG$27))*SQRT('Valve Sizing'!$G$6/AG2314)</f>
        <v>#NUM!</v>
      </c>
      <c r="AH2316" s="41"/>
      <c r="AI2316" s="73"/>
      <c r="AJ2316" s="64" t="e">
        <f>(AJ2310/(N_1*AJ$27))*SQRT('Valve Sizing'!$G$6/AJ2314)</f>
        <v>#NUM!</v>
      </c>
      <c r="AK2316" s="41"/>
      <c r="AL2316" s="73"/>
      <c r="AM2316" s="64" t="e">
        <f>(AM2310/(N_1*AM$27))*SQRT('Valve Sizing'!$G$6/AM2314)</f>
        <v>#NUM!</v>
      </c>
      <c r="AN2316" s="41"/>
      <c r="AO2316" s="73"/>
      <c r="AP2316" s="64" t="e">
        <f>(AP2310/(N_1*AP$27))*SQRT('Valve Sizing'!$G$6/AP2314)</f>
        <v>#NUM!</v>
      </c>
      <c r="AQ2316" s="41"/>
      <c r="AR2316" s="73"/>
      <c r="AS2316" s="64" t="e">
        <f>(AS2310/(N_1*AS$27))*SQRT('Valve Sizing'!$G$6/AS2314)</f>
        <v>#NUM!</v>
      </c>
      <c r="AT2316" s="41"/>
      <c r="AU2316" s="73"/>
    </row>
    <row r="2317" spans="15:47" ht="13" x14ac:dyDescent="0.3">
      <c r="O2317" s="1" t="s">
        <v>72</v>
      </c>
      <c r="P2317" s="17">
        <v>7</v>
      </c>
      <c r="Q2317" s="65"/>
      <c r="R2317" s="53">
        <f>(R2310/(N_1*F_P_h))*SQRT('Valve Sizing'!$G$6/R2315)</f>
        <v>7.0587876909217036</v>
      </c>
      <c r="S2317" s="56"/>
      <c r="T2317" s="72"/>
      <c r="U2317" s="85">
        <f>(U2310/(N_1*U$27))*SQRT('Valve Sizing'!$G$6/U2315)</f>
        <v>32.929362551072288</v>
      </c>
      <c r="V2317" s="44"/>
      <c r="W2317" s="72"/>
      <c r="X2317" s="85">
        <f>(X2310/(N_1*X$27))*SQRT('Valve Sizing'!$G$6/X2315)</f>
        <v>86.613511977036396</v>
      </c>
      <c r="Y2317" s="44"/>
      <c r="Z2317" s="72"/>
      <c r="AA2317" s="85">
        <f>(AA2310/(N_1*AA$27))*SQRT('Valve Sizing'!$G$6/AA2315)</f>
        <v>250.67851284279976</v>
      </c>
      <c r="AB2317" s="44"/>
      <c r="AC2317" s="72"/>
      <c r="AD2317" s="85" t="e">
        <f>(AD2310/(N_1*AD$27))*SQRT('Valve Sizing'!$G$6/AD2315)</f>
        <v>#NUM!</v>
      </c>
      <c r="AE2317" s="44"/>
      <c r="AF2317" s="72"/>
      <c r="AG2317" s="85" t="e">
        <f>(AG2310/(N_1*AG$27))*SQRT('Valve Sizing'!$G$6/AG2315)</f>
        <v>#NUM!</v>
      </c>
      <c r="AH2317" s="44"/>
      <c r="AI2317" s="72"/>
      <c r="AJ2317" s="85" t="e">
        <f>(AJ2310/(N_1*AJ$27))*SQRT('Valve Sizing'!$G$6/AJ2315)</f>
        <v>#NUM!</v>
      </c>
      <c r="AK2317" s="44"/>
      <c r="AL2317" s="72"/>
      <c r="AM2317" s="85" t="e">
        <f>(AM2310/(N_1*AM$27))*SQRT('Valve Sizing'!$G$6/AM2315)</f>
        <v>#NUM!</v>
      </c>
      <c r="AN2317" s="44"/>
      <c r="AO2317" s="72"/>
      <c r="AP2317" s="85" t="e">
        <f>(AP2310/(N_1*AP$27))*SQRT('Valve Sizing'!$G$6/AP2315)</f>
        <v>#NUM!</v>
      </c>
      <c r="AQ2317" s="44"/>
      <c r="AR2317" s="72"/>
      <c r="AS2317" s="85" t="e">
        <f>(AS2310/(N_1*AS$27))*SQRT('Valve Sizing'!$G$6/AS2315)</f>
        <v>#NUM!</v>
      </c>
      <c r="AT2317" s="44"/>
      <c r="AU2317" s="72"/>
    </row>
    <row r="2318" spans="15:47" x14ac:dyDescent="0.25">
      <c r="O2318" s="1" t="s">
        <v>246</v>
      </c>
      <c r="P2318" s="18"/>
      <c r="Q2318" s="65"/>
      <c r="R2318" s="53">
        <f>IF(R2314&lt;R2315,R2316,R2317)</f>
        <v>8.5054370552094696</v>
      </c>
      <c r="S2318" s="49"/>
      <c r="T2318" s="72"/>
      <c r="U2318" s="64">
        <f>IF(U2314&lt;U2315,U2316,U2317)</f>
        <v>40.319503174038516</v>
      </c>
      <c r="V2318" s="44"/>
      <c r="W2318" s="72"/>
      <c r="X2318" s="64">
        <f>IF(X2314&lt;X2315,X2316,X2317)</f>
        <v>117.04545824293342</v>
      </c>
      <c r="Y2318" s="44"/>
      <c r="Z2318" s="72"/>
      <c r="AA2318" s="64" t="e">
        <f>IF(AA2314&lt;AA2315,AA2316,AA2317)</f>
        <v>#NUM!</v>
      </c>
      <c r="AB2318" s="44"/>
      <c r="AC2318" s="72"/>
      <c r="AD2318" s="64" t="e">
        <f>IF(AD2314&lt;AD2315,AD2316,AD2317)</f>
        <v>#NUM!</v>
      </c>
      <c r="AE2318" s="44"/>
      <c r="AF2318" s="72"/>
      <c r="AG2318" s="64" t="e">
        <f>IF(AG2314&lt;AG2315,AG2316,AG2317)</f>
        <v>#NUM!</v>
      </c>
      <c r="AH2318" s="44"/>
      <c r="AI2318" s="72"/>
      <c r="AJ2318" s="64" t="e">
        <f>IF(AJ2314&lt;AJ2315,AJ2316,AJ2317)</f>
        <v>#NUM!</v>
      </c>
      <c r="AK2318" s="44"/>
      <c r="AL2318" s="72"/>
      <c r="AM2318" s="64" t="e">
        <f>IF(AM2314&lt;AM2315,AM2316,AM2317)</f>
        <v>#NUM!</v>
      </c>
      <c r="AN2318" s="44"/>
      <c r="AO2318" s="72"/>
      <c r="AP2318" s="64" t="e">
        <f>IF(AP2314&lt;AP2315,AP2316,AP2317)</f>
        <v>#NUM!</v>
      </c>
      <c r="AQ2318" s="44"/>
      <c r="AR2318" s="72"/>
      <c r="AS2318" s="64" t="e">
        <f>IF(AS2314&lt;AS2315,AS2316,AS2317)</f>
        <v>#NUM!</v>
      </c>
      <c r="AT2318" s="44"/>
      <c r="AU2318" s="72"/>
    </row>
    <row r="2319" spans="15:47" ht="13" x14ac:dyDescent="0.3">
      <c r="O2319" s="7" t="s">
        <v>264</v>
      </c>
      <c r="Q2319" s="61"/>
      <c r="R2319" s="53"/>
      <c r="S2319" s="69">
        <f>IFERROR(ABS(C_h-R2318),Q_max*10)</f>
        <v>3.5054370552094696</v>
      </c>
      <c r="T2319" s="76">
        <f>R2310</f>
        <v>48.2309195095729</v>
      </c>
      <c r="U2319" s="61"/>
      <c r="V2319" s="69">
        <f>IFERROR(ABS(U$23-U2318),Q_max*10)</f>
        <v>28.319503174038516</v>
      </c>
      <c r="W2319" s="75">
        <f>U2310</f>
        <v>221.63853820142606</v>
      </c>
      <c r="X2319" s="61"/>
      <c r="Y2319" s="69">
        <f>IFERROR(ABS(X$23-X2318),Q_max*10)</f>
        <v>94.045458242933421</v>
      </c>
      <c r="Z2319" s="75">
        <f>X2310</f>
        <v>532.01780864752266</v>
      </c>
      <c r="AA2319" s="61"/>
      <c r="AB2319" s="69">
        <f>IFERROR(ABS(AA$23-AA2318),Q_max*10)</f>
        <v>5500</v>
      </c>
      <c r="AC2319" s="75">
        <f>AA2310</f>
        <v>1015.8169749435339</v>
      </c>
      <c r="AD2319" s="61"/>
      <c r="AE2319" s="69">
        <f>IFERROR(ABS(AD$23-AD2318),Q_max*10)</f>
        <v>5500</v>
      </c>
      <c r="AF2319" s="75">
        <f>AD2310</f>
        <v>1670.644922161325</v>
      </c>
      <c r="AG2319" s="61"/>
      <c r="AH2319" s="69">
        <f>IFERROR(ABS(AG$23-AG2318),Q_max*10)</f>
        <v>5500</v>
      </c>
      <c r="AI2319" s="75">
        <f>AG2310</f>
        <v>2487.3626363093135</v>
      </c>
      <c r="AJ2319" s="61"/>
      <c r="AK2319" s="69">
        <f>IFERROR(ABS(AJ$23-AJ2318),Q_max*10)</f>
        <v>5500</v>
      </c>
      <c r="AL2319" s="75">
        <f>AJ2310</f>
        <v>3319.3950805832733</v>
      </c>
      <c r="AM2319" s="61"/>
      <c r="AN2319" s="69">
        <f>IFERROR(ABS(AM$23-AM2318),Q_max*10)</f>
        <v>5500</v>
      </c>
      <c r="AO2319" s="75">
        <f>AM2310</f>
        <v>4050.2928159799885</v>
      </c>
      <c r="AP2319" s="61"/>
      <c r="AQ2319" s="69">
        <f>IFERROR(ABS(AP$23-AP2318),Q_max*10)</f>
        <v>5500</v>
      </c>
      <c r="AR2319" s="75">
        <f>AP2310</f>
        <v>4702.2642195108983</v>
      </c>
      <c r="AS2319" s="61"/>
      <c r="AT2319" s="69">
        <f>IFERROR(ABS(AS$23-AS2318),Q_max*10)</f>
        <v>5500</v>
      </c>
      <c r="AU2319" s="75">
        <f>AS2310</f>
        <v>5351.6153110472396</v>
      </c>
    </row>
    <row r="2320" spans="15:47" ht="14.5" x14ac:dyDescent="0.35">
      <c r="O2320" s="6"/>
      <c r="P2320" s="6"/>
      <c r="Q2320" s="60"/>
      <c r="R2320" s="67"/>
      <c r="S2320" s="56"/>
      <c r="T2320" s="72"/>
      <c r="V2320" s="11"/>
      <c r="W2320" s="38"/>
      <c r="Y2320" s="11"/>
      <c r="Z2320" s="38"/>
      <c r="AB2320" s="11"/>
      <c r="AC2320" s="38"/>
      <c r="AE2320" s="11"/>
      <c r="AF2320" s="38"/>
      <c r="AH2320" s="11"/>
      <c r="AI2320" s="38"/>
      <c r="AK2320" s="11"/>
      <c r="AL2320" s="38"/>
      <c r="AN2320" s="11"/>
      <c r="AO2320" s="38"/>
      <c r="AQ2320" s="11"/>
      <c r="AR2320" s="38"/>
      <c r="AT2320" s="11"/>
      <c r="AU2320" s="38"/>
    </row>
    <row r="2321" spans="15:47" ht="14" x14ac:dyDescent="0.3">
      <c r="O2321" s="8" t="s">
        <v>235</v>
      </c>
      <c r="P2321" s="6"/>
      <c r="Q2321" s="60"/>
      <c r="R2321" s="53">
        <f>R2310*1.02</f>
        <v>49.195537899764361</v>
      </c>
      <c r="S2321" s="58" t="s">
        <v>238</v>
      </c>
      <c r="T2321" s="73" t="s">
        <v>241</v>
      </c>
      <c r="U2321" s="84">
        <f>U2310*1.01</f>
        <v>223.85492358344032</v>
      </c>
      <c r="V2321" s="58" t="s">
        <v>238</v>
      </c>
      <c r="W2321" s="73" t="s">
        <v>241</v>
      </c>
      <c r="X2321" s="84">
        <f>X2310*1.01</f>
        <v>537.33798673399792</v>
      </c>
      <c r="Y2321" s="58" t="s">
        <v>238</v>
      </c>
      <c r="Z2321" s="73" t="s">
        <v>241</v>
      </c>
      <c r="AA2321" s="84">
        <f>AA2310*1.01</f>
        <v>1025.9751446929693</v>
      </c>
      <c r="AB2321" s="58" t="s">
        <v>238</v>
      </c>
      <c r="AC2321" s="73" t="s">
        <v>241</v>
      </c>
      <c r="AD2321" s="84">
        <f>AD2310*1.01</f>
        <v>1687.3513713829382</v>
      </c>
      <c r="AE2321" s="58" t="s">
        <v>238</v>
      </c>
      <c r="AF2321" s="73" t="s">
        <v>241</v>
      </c>
      <c r="AG2321" s="84">
        <f>AG2310*1.01</f>
        <v>2512.2362626724066</v>
      </c>
      <c r="AH2321" s="58" t="s">
        <v>238</v>
      </c>
      <c r="AI2321" s="73" t="s">
        <v>241</v>
      </c>
      <c r="AJ2321" s="84">
        <f>AJ2310*1.01</f>
        <v>3352.5890313891059</v>
      </c>
      <c r="AK2321" s="58" t="s">
        <v>238</v>
      </c>
      <c r="AL2321" s="73" t="s">
        <v>241</v>
      </c>
      <c r="AM2321" s="84">
        <f>AM2310*1.01</f>
        <v>4090.7957441397884</v>
      </c>
      <c r="AN2321" s="58" t="s">
        <v>238</v>
      </c>
      <c r="AO2321" s="73" t="s">
        <v>241</v>
      </c>
      <c r="AP2321" s="84">
        <f>AP2310*1.01</f>
        <v>4749.2868617060076</v>
      </c>
      <c r="AQ2321" s="58" t="s">
        <v>238</v>
      </c>
      <c r="AR2321" s="73" t="s">
        <v>241</v>
      </c>
      <c r="AS2321" s="84">
        <f>AS2310*1.01</f>
        <v>5405.1314641577119</v>
      </c>
      <c r="AT2321" s="58" t="s">
        <v>238</v>
      </c>
      <c r="AU2321" s="73" t="s">
        <v>241</v>
      </c>
    </row>
    <row r="2322" spans="15:47" ht="13" x14ac:dyDescent="0.25">
      <c r="O2322" s="6"/>
      <c r="P2322" s="6"/>
      <c r="Q2322" s="60"/>
      <c r="R2322" s="70"/>
      <c r="S2322" s="63" t="s">
        <v>250</v>
      </c>
      <c r="T2322" s="71" t="s">
        <v>242</v>
      </c>
      <c r="U2322" s="61"/>
      <c r="V2322" s="63" t="s">
        <v>250</v>
      </c>
      <c r="W2322" s="71" t="s">
        <v>242</v>
      </c>
      <c r="X2322" s="61"/>
      <c r="Y2322" s="63" t="s">
        <v>250</v>
      </c>
      <c r="Z2322" s="71" t="s">
        <v>242</v>
      </c>
      <c r="AA2322" s="61"/>
      <c r="AB2322" s="63" t="s">
        <v>250</v>
      </c>
      <c r="AC2322" s="71" t="s">
        <v>242</v>
      </c>
      <c r="AD2322" s="61"/>
      <c r="AE2322" s="63" t="s">
        <v>250</v>
      </c>
      <c r="AF2322" s="71" t="s">
        <v>242</v>
      </c>
      <c r="AG2322" s="61"/>
      <c r="AH2322" s="63" t="s">
        <v>250</v>
      </c>
      <c r="AI2322" s="71" t="s">
        <v>242</v>
      </c>
      <c r="AJ2322" s="61"/>
      <c r="AK2322" s="63" t="s">
        <v>250</v>
      </c>
      <c r="AL2322" s="71" t="s">
        <v>242</v>
      </c>
      <c r="AM2322" s="61"/>
      <c r="AN2322" s="63" t="s">
        <v>250</v>
      </c>
      <c r="AO2322" s="71" t="s">
        <v>242</v>
      </c>
      <c r="AP2322" s="61"/>
      <c r="AQ2322" s="63" t="s">
        <v>250</v>
      </c>
      <c r="AR2322" s="71" t="s">
        <v>242</v>
      </c>
      <c r="AS2322" s="61"/>
      <c r="AT2322" s="63" t="s">
        <v>250</v>
      </c>
      <c r="AU2322" s="71" t="s">
        <v>242</v>
      </c>
    </row>
    <row r="2323" spans="15:47" ht="13" x14ac:dyDescent="0.3">
      <c r="O2323" s="6" t="s">
        <v>231</v>
      </c>
      <c r="P2323" s="6"/>
      <c r="Q2323" s="60"/>
      <c r="R2323" s="85">
        <f>P_1_minQ-(R2321^2*R_up)+dpup_minQ</f>
        <v>56.834407262774498</v>
      </c>
      <c r="S2323" s="56"/>
      <c r="T2323" s="72"/>
      <c r="U2323" s="53">
        <f>P_1_minQ-(U2321^2*R_up)+dpup_minQ</f>
        <v>55.223774845911926</v>
      </c>
      <c r="V2323" s="44"/>
      <c r="W2323" s="72"/>
      <c r="X2323" s="53">
        <f>P_1_minQ-(X2321^2*R_up)+dpup_minQ</f>
        <v>47.164974265878207</v>
      </c>
      <c r="Y2323" s="44"/>
      <c r="Z2323" s="72"/>
      <c r="AA2323" s="53">
        <f>P_1_minQ-(AA2321^2*R_up)+dpup_minQ</f>
        <v>21.366497888289114</v>
      </c>
      <c r="AB2323" s="44"/>
      <c r="AC2323" s="72"/>
      <c r="AD2323" s="53">
        <f>P_1_minQ-(AD2321^2*R_up)+dpup_minQ</f>
        <v>-39.239029061394199</v>
      </c>
      <c r="AE2323" s="44"/>
      <c r="AF2323" s="72"/>
      <c r="AG2323" s="53">
        <f>P_1_minQ-(AG2321^2*R_up)+dpup_minQ</f>
        <v>-156.23249035752181</v>
      </c>
      <c r="AH2323" s="44"/>
      <c r="AI2323" s="72"/>
      <c r="AJ2323" s="53">
        <f>P_1_minQ-(AJ2321^2*R_up)+dpup_minQ</f>
        <v>-322.68038545729632</v>
      </c>
      <c r="AK2323" s="44"/>
      <c r="AL2323" s="72"/>
      <c r="AM2323" s="53">
        <f>P_1_minQ-(AM2321^2*R_up)+dpup_minQ</f>
        <v>-508.25136171132073</v>
      </c>
      <c r="AN2323" s="44"/>
      <c r="AO2323" s="72"/>
      <c r="AP2323" s="53">
        <f>P_1_minQ-(AP2321^2*R_up)+dpup_minQ</f>
        <v>-704.844265274343</v>
      </c>
      <c r="AQ2323" s="44"/>
      <c r="AR2323" s="72"/>
      <c r="AS2323" s="53">
        <f>P_1_minQ-(AS2321^2*R_up)+dpup_minQ</f>
        <v>-929.7588363670277</v>
      </c>
      <c r="AT2323" s="44"/>
      <c r="AU2323" s="72"/>
    </row>
    <row r="2324" spans="15:47" ht="13" x14ac:dyDescent="0.3">
      <c r="O2324" s="6" t="s">
        <v>233</v>
      </c>
      <c r="P2324" s="6"/>
      <c r="Q2324" s="60"/>
      <c r="R2324" s="85">
        <f>P_2_minQ+(R2321^2*R_dn)-dpdn_minQ</f>
        <v>24.673118547445103</v>
      </c>
      <c r="S2324" s="66"/>
      <c r="T2324" s="74"/>
      <c r="U2324" s="53">
        <f>P_2_minQ+(U2321^2*R_dn)-dpdn_minQ</f>
        <v>24.995245030817618</v>
      </c>
      <c r="V2324" s="45"/>
      <c r="W2324" s="74"/>
      <c r="X2324" s="53">
        <f>P_2_minQ+(X2321^2*R_dn)-dpdn_minQ</f>
        <v>26.60700514682436</v>
      </c>
      <c r="Y2324" s="45"/>
      <c r="Z2324" s="74"/>
      <c r="AA2324" s="53">
        <f>P_2_minQ+(AA2321^2*R_dn)-dpdn_minQ</f>
        <v>31.766700422342179</v>
      </c>
      <c r="AB2324" s="45"/>
      <c r="AC2324" s="74"/>
      <c r="AD2324" s="53">
        <f>P_2_minQ+(AD2321^2*R_dn)-dpdn_minQ</f>
        <v>43.887805812278842</v>
      </c>
      <c r="AE2324" s="45"/>
      <c r="AF2324" s="74"/>
      <c r="AG2324" s="53">
        <f>P_2_minQ+(AG2321^2*R_dn)-dpdn_minQ</f>
        <v>67.286498071504369</v>
      </c>
      <c r="AH2324" s="45"/>
      <c r="AI2324" s="74"/>
      <c r="AJ2324" s="53">
        <f>P_2_minQ+(AJ2321^2*R_dn)-dpdn_minQ</f>
        <v>100.57607709145927</v>
      </c>
      <c r="AK2324" s="45"/>
      <c r="AL2324" s="74"/>
      <c r="AM2324" s="53">
        <f>P_2_minQ+(AM2321^2*R_dn)-dpdn_minQ</f>
        <v>137.69027234226414</v>
      </c>
      <c r="AN2324" s="45"/>
      <c r="AO2324" s="74"/>
      <c r="AP2324" s="53">
        <f>P_2_minQ+(AP2321^2*R_dn)-dpdn_minQ</f>
        <v>177.00885305486864</v>
      </c>
      <c r="AQ2324" s="45"/>
      <c r="AR2324" s="74"/>
      <c r="AS2324" s="53">
        <f>P_2_minQ+(AS2321^2*R_dn)-dpdn_minQ</f>
        <v>221.99176727340554</v>
      </c>
      <c r="AT2324" s="45"/>
      <c r="AU2324" s="74"/>
    </row>
    <row r="2325" spans="15:47" x14ac:dyDescent="0.25">
      <c r="O2325" s="6" t="s">
        <v>243</v>
      </c>
      <c r="Q2325" s="60"/>
      <c r="R2325" s="53">
        <f>R2323-R2324</f>
        <v>32.161288715329391</v>
      </c>
      <c r="S2325" s="56"/>
      <c r="T2325" s="72"/>
      <c r="U2325" s="64">
        <f>U2323-U2324</f>
        <v>30.228529815094308</v>
      </c>
      <c r="V2325" s="44"/>
      <c r="W2325" s="72"/>
      <c r="X2325" s="64">
        <f>X2323-X2324</f>
        <v>20.557969119053848</v>
      </c>
      <c r="Y2325" s="44"/>
      <c r="Z2325" s="72"/>
      <c r="AA2325" s="64">
        <f>AA2323-AA2324</f>
        <v>-10.400202534053065</v>
      </c>
      <c r="AB2325" s="44"/>
      <c r="AC2325" s="72"/>
      <c r="AD2325" s="64">
        <f>AD2323-AD2324</f>
        <v>-83.126834873673033</v>
      </c>
      <c r="AE2325" s="44"/>
      <c r="AF2325" s="72"/>
      <c r="AG2325" s="64">
        <f>AG2323-AG2324</f>
        <v>-223.51898842902619</v>
      </c>
      <c r="AH2325" s="44"/>
      <c r="AI2325" s="72"/>
      <c r="AJ2325" s="64">
        <f>AJ2323-AJ2324</f>
        <v>-423.25646254875562</v>
      </c>
      <c r="AK2325" s="44"/>
      <c r="AL2325" s="72"/>
      <c r="AM2325" s="64">
        <f>AM2323-AM2324</f>
        <v>-645.94163405358483</v>
      </c>
      <c r="AN2325" s="44"/>
      <c r="AO2325" s="72"/>
      <c r="AP2325" s="64">
        <f>AP2323-AP2324</f>
        <v>-881.85311832921161</v>
      </c>
      <c r="AQ2325" s="44"/>
      <c r="AR2325" s="72"/>
      <c r="AS2325" s="64">
        <f>AS2323-AS2324</f>
        <v>-1151.7506036404332</v>
      </c>
      <c r="AT2325" s="44"/>
      <c r="AU2325" s="72"/>
    </row>
    <row r="2326" spans="15:47" ht="13" x14ac:dyDescent="0.3">
      <c r="O2326" s="6" t="s">
        <v>75</v>
      </c>
      <c r="P2326" s="6">
        <v>3</v>
      </c>
      <c r="Q2326" s="65"/>
      <c r="R2326" s="85">
        <f>(F_LP_h/F_P_h)^2*(R2323-('Valve Sizing'!$V$4*'Valve Sizing'!$G$7))</f>
        <v>46.697481599630926</v>
      </c>
      <c r="S2326" s="58"/>
      <c r="T2326" s="73"/>
      <c r="U2326" s="53">
        <f>(U$29/U$27)^2*(U2323-('Valve Sizing'!$V$4*'Valve Sizing'!$G$7))</f>
        <v>45.351429120420917</v>
      </c>
      <c r="V2326" s="41"/>
      <c r="W2326" s="73"/>
      <c r="X2326" s="53">
        <f>(X$29/X$27)^2*(X2323-('Valve Sizing'!$V$4*'Valve Sizing'!$G$7))</f>
        <v>37.807632833519826</v>
      </c>
      <c r="Y2326" s="41"/>
      <c r="Z2326" s="73"/>
      <c r="AA2326" s="53">
        <f>(AA$29/AA$27)^2*(AA2323-('Valve Sizing'!$V$4*'Valve Sizing'!$G$7))</f>
        <v>16.171894854314438</v>
      </c>
      <c r="AB2326" s="41"/>
      <c r="AC2326" s="73"/>
      <c r="AD2326" s="53">
        <f>(AD$29/AD$27)^2*(AD2323-('Valve Sizing'!$V$4*'Valve Sizing'!$G$7))</f>
        <v>-28.616057678163376</v>
      </c>
      <c r="AE2326" s="41"/>
      <c r="AF2326" s="73"/>
      <c r="AG2326" s="53">
        <f>(AG$29/AG$27)^2*(AG2323-('Valve Sizing'!$V$4*'Valve Sizing'!$G$7))</f>
        <v>-100.9040068728993</v>
      </c>
      <c r="AH2326" s="41"/>
      <c r="AI2326" s="73"/>
      <c r="AJ2326" s="53">
        <f>(AJ$29/AJ$27)^2*(AJ2323-('Valve Sizing'!$V$4*'Valve Sizing'!$G$7))</f>
        <v>-186.88134031903058</v>
      </c>
      <c r="AK2326" s="41"/>
      <c r="AL2326" s="73"/>
      <c r="AM2326" s="53">
        <f>(AM$29/AM$27)^2*(AM2323-('Valve Sizing'!$V$4*'Valve Sizing'!$G$7))</f>
        <v>-243.39467676364927</v>
      </c>
      <c r="AN2326" s="41"/>
      <c r="AO2326" s="73"/>
      <c r="AP2326" s="53">
        <f>(AP$29/AP$27)^2*(AP2323-('Valve Sizing'!$V$4*'Valve Sizing'!$G$7))</f>
        <v>-278.32411474873248</v>
      </c>
      <c r="AQ2326" s="41"/>
      <c r="AR2326" s="73"/>
      <c r="AS2326" s="53">
        <f>(AS$29/AS$27)^2*(AS2323-('Valve Sizing'!$V$4*'Valve Sizing'!$G$7))</f>
        <v>-349.88575067719097</v>
      </c>
      <c r="AT2326" s="41"/>
      <c r="AU2326" s="73"/>
    </row>
    <row r="2327" spans="15:47" ht="13" x14ac:dyDescent="0.25">
      <c r="O2327" s="1" t="s">
        <v>69</v>
      </c>
      <c r="P2327" s="17">
        <v>7</v>
      </c>
      <c r="Q2327" s="65"/>
      <c r="R2327" s="53">
        <f>(R2321/(N_1*F_P_h))*SQRT('Valve Sizing'!$G$6/R2325)</f>
        <v>8.6760594800291795</v>
      </c>
      <c r="S2327" s="58"/>
      <c r="T2327" s="73"/>
      <c r="U2327" s="64">
        <f>(U2321/(N_1*U$27))*SQRT('Valve Sizing'!$G$6/U2325)</f>
        <v>40.749643027833102</v>
      </c>
      <c r="V2327" s="41"/>
      <c r="W2327" s="73"/>
      <c r="X2327" s="64">
        <f>(X2321/(N_1*X$27))*SQRT('Valve Sizing'!$G$6/X2325)</f>
        <v>118.87697814584699</v>
      </c>
      <c r="Y2327" s="41"/>
      <c r="Z2327" s="73"/>
      <c r="AA2327" s="64" t="e">
        <f>(AA2321/(N_1*AA$27))*SQRT('Valve Sizing'!$G$6/AA2325)</f>
        <v>#NUM!</v>
      </c>
      <c r="AB2327" s="41"/>
      <c r="AC2327" s="73"/>
      <c r="AD2327" s="64" t="e">
        <f>(AD2321/(N_1*AD$27))*SQRT('Valve Sizing'!$G$6/AD2325)</f>
        <v>#NUM!</v>
      </c>
      <c r="AE2327" s="41"/>
      <c r="AF2327" s="73"/>
      <c r="AG2327" s="64" t="e">
        <f>(AG2321/(N_1*AG$27))*SQRT('Valve Sizing'!$G$6/AG2325)</f>
        <v>#NUM!</v>
      </c>
      <c r="AH2327" s="41"/>
      <c r="AI2327" s="73"/>
      <c r="AJ2327" s="64" t="e">
        <f>(AJ2321/(N_1*AJ$27))*SQRT('Valve Sizing'!$G$6/AJ2325)</f>
        <v>#NUM!</v>
      </c>
      <c r="AK2327" s="41"/>
      <c r="AL2327" s="73"/>
      <c r="AM2327" s="64" t="e">
        <f>(AM2321/(N_1*AM$27))*SQRT('Valve Sizing'!$G$6/AM2325)</f>
        <v>#NUM!</v>
      </c>
      <c r="AN2327" s="41"/>
      <c r="AO2327" s="73"/>
      <c r="AP2327" s="64" t="e">
        <f>(AP2321/(N_1*AP$27))*SQRT('Valve Sizing'!$G$6/AP2325)</f>
        <v>#NUM!</v>
      </c>
      <c r="AQ2327" s="41"/>
      <c r="AR2327" s="73"/>
      <c r="AS2327" s="64" t="e">
        <f>(AS2321/(N_1*AS$27))*SQRT('Valve Sizing'!$G$6/AS2325)</f>
        <v>#NUM!</v>
      </c>
      <c r="AT2327" s="41"/>
      <c r="AU2327" s="73"/>
    </row>
    <row r="2328" spans="15:47" ht="13" x14ac:dyDescent="0.3">
      <c r="O2328" s="1" t="s">
        <v>72</v>
      </c>
      <c r="P2328" s="17">
        <v>7</v>
      </c>
      <c r="Q2328" s="65"/>
      <c r="R2328" s="53">
        <f>(R2321/(N_1*F_P_h))*SQRT('Valve Sizing'!$G$6/R2326)</f>
        <v>7.2001660508949232</v>
      </c>
      <c r="S2328" s="56"/>
      <c r="T2328" s="72"/>
      <c r="U2328" s="85">
        <f>(U2321/(N_1*U$27))*SQRT('Valve Sizing'!$G$6/U2326)</f>
        <v>33.268776755060316</v>
      </c>
      <c r="V2328" s="44"/>
      <c r="W2328" s="72"/>
      <c r="X2328" s="85">
        <f>(X2321/(N_1*X$27))*SQRT('Valve Sizing'!$G$6/X2326)</f>
        <v>87.659324186909743</v>
      </c>
      <c r="Y2328" s="44"/>
      <c r="Z2328" s="72"/>
      <c r="AA2328" s="85">
        <f>(AA2321/(N_1*AA$27))*SQRT('Valve Sizing'!$G$6/AA2326)</f>
        <v>257.38784157205396</v>
      </c>
      <c r="AB2328" s="44"/>
      <c r="AC2328" s="72"/>
      <c r="AD2328" s="85" t="e">
        <f>(AD2321/(N_1*AD$27))*SQRT('Valve Sizing'!$G$6/AD2326)</f>
        <v>#NUM!</v>
      </c>
      <c r="AE2328" s="44"/>
      <c r="AF2328" s="72"/>
      <c r="AG2328" s="85" t="e">
        <f>(AG2321/(N_1*AG$27))*SQRT('Valve Sizing'!$G$6/AG2326)</f>
        <v>#NUM!</v>
      </c>
      <c r="AH2328" s="44"/>
      <c r="AI2328" s="72"/>
      <c r="AJ2328" s="85" t="e">
        <f>(AJ2321/(N_1*AJ$27))*SQRT('Valve Sizing'!$G$6/AJ2326)</f>
        <v>#NUM!</v>
      </c>
      <c r="AK2328" s="44"/>
      <c r="AL2328" s="72"/>
      <c r="AM2328" s="85" t="e">
        <f>(AM2321/(N_1*AM$27))*SQRT('Valve Sizing'!$G$6/AM2326)</f>
        <v>#NUM!</v>
      </c>
      <c r="AN2328" s="44"/>
      <c r="AO2328" s="72"/>
      <c r="AP2328" s="85" t="e">
        <f>(AP2321/(N_1*AP$27))*SQRT('Valve Sizing'!$G$6/AP2326)</f>
        <v>#NUM!</v>
      </c>
      <c r="AQ2328" s="44"/>
      <c r="AR2328" s="72"/>
      <c r="AS2328" s="85" t="e">
        <f>(AS2321/(N_1*AS$27))*SQRT('Valve Sizing'!$G$6/AS2326)</f>
        <v>#NUM!</v>
      </c>
      <c r="AT2328" s="44"/>
      <c r="AU2328" s="72"/>
    </row>
    <row r="2329" spans="15:47" x14ac:dyDescent="0.25">
      <c r="O2329" s="1" t="s">
        <v>246</v>
      </c>
      <c r="P2329" s="18"/>
      <c r="Q2329" s="65"/>
      <c r="R2329" s="53">
        <f>IF(R2325&lt;R2326,R2327,R2328)</f>
        <v>8.6760594800291795</v>
      </c>
      <c r="S2329" s="49"/>
      <c r="T2329" s="72"/>
      <c r="U2329" s="64">
        <f>IF(U2325&lt;U2326,U2327,U2328)</f>
        <v>40.749643027833102</v>
      </c>
      <c r="V2329" s="44"/>
      <c r="W2329" s="72"/>
      <c r="X2329" s="64">
        <f>IF(X2325&lt;X2326,X2327,X2328)</f>
        <v>118.87697814584699</v>
      </c>
      <c r="Y2329" s="44"/>
      <c r="Z2329" s="72"/>
      <c r="AA2329" s="64" t="e">
        <f>IF(AA2325&lt;AA2326,AA2327,AA2328)</f>
        <v>#NUM!</v>
      </c>
      <c r="AB2329" s="44"/>
      <c r="AC2329" s="72"/>
      <c r="AD2329" s="64" t="e">
        <f>IF(AD2325&lt;AD2326,AD2327,AD2328)</f>
        <v>#NUM!</v>
      </c>
      <c r="AE2329" s="44"/>
      <c r="AF2329" s="72"/>
      <c r="AG2329" s="64" t="e">
        <f>IF(AG2325&lt;AG2326,AG2327,AG2328)</f>
        <v>#NUM!</v>
      </c>
      <c r="AH2329" s="44"/>
      <c r="AI2329" s="72"/>
      <c r="AJ2329" s="64" t="e">
        <f>IF(AJ2325&lt;AJ2326,AJ2327,AJ2328)</f>
        <v>#NUM!</v>
      </c>
      <c r="AK2329" s="44"/>
      <c r="AL2329" s="72"/>
      <c r="AM2329" s="64" t="e">
        <f>IF(AM2325&lt;AM2326,AM2327,AM2328)</f>
        <v>#NUM!</v>
      </c>
      <c r="AN2329" s="44"/>
      <c r="AO2329" s="72"/>
      <c r="AP2329" s="64" t="e">
        <f>IF(AP2325&lt;AP2326,AP2327,AP2328)</f>
        <v>#NUM!</v>
      </c>
      <c r="AQ2329" s="44"/>
      <c r="AR2329" s="72"/>
      <c r="AS2329" s="64" t="e">
        <f>IF(AS2325&lt;AS2326,AS2327,AS2328)</f>
        <v>#NUM!</v>
      </c>
      <c r="AT2329" s="44"/>
      <c r="AU2329" s="72"/>
    </row>
    <row r="2330" spans="15:47" ht="13" x14ac:dyDescent="0.3">
      <c r="O2330" s="7" t="s">
        <v>264</v>
      </c>
      <c r="Q2330" s="61"/>
      <c r="R2330" s="53"/>
      <c r="S2330" s="69">
        <f>IFERROR(ABS(C_h-R2329),Q_max*10)</f>
        <v>3.6760594800291795</v>
      </c>
      <c r="T2330" s="76">
        <f>R2321</f>
        <v>49.195537899764361</v>
      </c>
      <c r="U2330" s="61"/>
      <c r="V2330" s="69">
        <f>IFERROR(ABS(U$23-U2329),Q_max*10)</f>
        <v>28.749643027833102</v>
      </c>
      <c r="W2330" s="75">
        <f>U2321</f>
        <v>223.85492358344032</v>
      </c>
      <c r="X2330" s="61"/>
      <c r="Y2330" s="69">
        <f>IFERROR(ABS(X$23-X2329),Q_max*10)</f>
        <v>95.876978145846991</v>
      </c>
      <c r="Z2330" s="75">
        <f>X2321</f>
        <v>537.33798673399792</v>
      </c>
      <c r="AA2330" s="61"/>
      <c r="AB2330" s="69">
        <f>IFERROR(ABS(AA$23-AA2329),Q_max*10)</f>
        <v>5500</v>
      </c>
      <c r="AC2330" s="75">
        <f>AA2321</f>
        <v>1025.9751446929693</v>
      </c>
      <c r="AD2330" s="61"/>
      <c r="AE2330" s="69">
        <f>IFERROR(ABS(AD$23-AD2329),Q_max*10)</f>
        <v>5500</v>
      </c>
      <c r="AF2330" s="75">
        <f>AD2321</f>
        <v>1687.3513713829382</v>
      </c>
      <c r="AG2330" s="61"/>
      <c r="AH2330" s="69">
        <f>IFERROR(ABS(AG$23-AG2329),Q_max*10)</f>
        <v>5500</v>
      </c>
      <c r="AI2330" s="75">
        <f>AG2321</f>
        <v>2512.2362626724066</v>
      </c>
      <c r="AJ2330" s="61"/>
      <c r="AK2330" s="69">
        <f>IFERROR(ABS(AJ$23-AJ2329),Q_max*10)</f>
        <v>5500</v>
      </c>
      <c r="AL2330" s="75">
        <f>AJ2321</f>
        <v>3352.5890313891059</v>
      </c>
      <c r="AM2330" s="61"/>
      <c r="AN2330" s="69">
        <f>IFERROR(ABS(AM$23-AM2329),Q_max*10)</f>
        <v>5500</v>
      </c>
      <c r="AO2330" s="75">
        <f>AM2321</f>
        <v>4090.7957441397884</v>
      </c>
      <c r="AP2330" s="61"/>
      <c r="AQ2330" s="69">
        <f>IFERROR(ABS(AP$23-AP2329),Q_max*10)</f>
        <v>5500</v>
      </c>
      <c r="AR2330" s="75">
        <f>AP2321</f>
        <v>4749.2868617060076</v>
      </c>
      <c r="AS2330" s="61"/>
      <c r="AT2330" s="69">
        <f>IFERROR(ABS(AS$23-AS2329),Q_max*10)</f>
        <v>5500</v>
      </c>
      <c r="AU2330" s="75">
        <f>AS2321</f>
        <v>5405.1314641577119</v>
      </c>
    </row>
    <row r="2331" spans="15:47" ht="14.5" x14ac:dyDescent="0.35">
      <c r="O2331" s="6"/>
      <c r="P2331" s="6"/>
      <c r="Q2331" s="60"/>
      <c r="R2331" s="67"/>
      <c r="S2331" s="58"/>
      <c r="T2331" s="73"/>
      <c r="V2331" s="11"/>
      <c r="W2331" s="38"/>
      <c r="Y2331" s="11"/>
      <c r="Z2331" s="38"/>
      <c r="AB2331" s="11"/>
      <c r="AC2331" s="38"/>
      <c r="AE2331" s="11"/>
      <c r="AF2331" s="38"/>
      <c r="AH2331" s="11"/>
      <c r="AI2331" s="38"/>
      <c r="AK2331" s="11"/>
      <c r="AL2331" s="38"/>
      <c r="AN2331" s="11"/>
      <c r="AO2331" s="38"/>
      <c r="AQ2331" s="11"/>
      <c r="AR2331" s="38"/>
      <c r="AT2331" s="11"/>
      <c r="AU2331" s="38"/>
    </row>
    <row r="2332" spans="15:47" ht="14" x14ac:dyDescent="0.3">
      <c r="O2332" s="8" t="s">
        <v>235</v>
      </c>
      <c r="P2332" s="6"/>
      <c r="Q2332" s="60"/>
      <c r="R2332" s="53">
        <f>R2321*1.02</f>
        <v>50.17944865775965</v>
      </c>
      <c r="S2332" s="58" t="s">
        <v>238</v>
      </c>
      <c r="T2332" s="73" t="s">
        <v>241</v>
      </c>
      <c r="U2332" s="84">
        <f>U2321*1.01</f>
        <v>226.09347281927472</v>
      </c>
      <c r="V2332" s="58" t="s">
        <v>238</v>
      </c>
      <c r="W2332" s="73" t="s">
        <v>241</v>
      </c>
      <c r="X2332" s="84">
        <f>X2321*1.01</f>
        <v>542.71136660133789</v>
      </c>
      <c r="Y2332" s="58" t="s">
        <v>238</v>
      </c>
      <c r="Z2332" s="73" t="s">
        <v>241</v>
      </c>
      <c r="AA2332" s="84">
        <f>AA2321*1.01</f>
        <v>1036.2348961398989</v>
      </c>
      <c r="AB2332" s="58" t="s">
        <v>238</v>
      </c>
      <c r="AC2332" s="73" t="s">
        <v>241</v>
      </c>
      <c r="AD2332" s="84">
        <f>AD2321*1.01</f>
        <v>1704.2248850967676</v>
      </c>
      <c r="AE2332" s="58" t="s">
        <v>238</v>
      </c>
      <c r="AF2332" s="73" t="s">
        <v>241</v>
      </c>
      <c r="AG2332" s="84">
        <f>AG2321*1.01</f>
        <v>2537.3586252991308</v>
      </c>
      <c r="AH2332" s="58" t="s">
        <v>238</v>
      </c>
      <c r="AI2332" s="73" t="s">
        <v>241</v>
      </c>
      <c r="AJ2332" s="84">
        <f>AJ2321*1.01</f>
        <v>3386.114921702997</v>
      </c>
      <c r="AK2332" s="58" t="s">
        <v>238</v>
      </c>
      <c r="AL2332" s="73" t="s">
        <v>241</v>
      </c>
      <c r="AM2332" s="84">
        <f>AM2321*1.01</f>
        <v>4131.7037015811866</v>
      </c>
      <c r="AN2332" s="58" t="s">
        <v>238</v>
      </c>
      <c r="AO2332" s="73" t="s">
        <v>241</v>
      </c>
      <c r="AP2332" s="84">
        <f>AP2321*1.01</f>
        <v>4796.7797303230673</v>
      </c>
      <c r="AQ2332" s="58" t="s">
        <v>238</v>
      </c>
      <c r="AR2332" s="73" t="s">
        <v>241</v>
      </c>
      <c r="AS2332" s="84">
        <f>AS2321*1.01</f>
        <v>5459.1827787992888</v>
      </c>
      <c r="AT2332" s="58" t="s">
        <v>238</v>
      </c>
      <c r="AU2332" s="73" t="s">
        <v>241</v>
      </c>
    </row>
    <row r="2333" spans="15:47" ht="13" x14ac:dyDescent="0.25">
      <c r="O2333" s="6"/>
      <c r="P2333" s="6"/>
      <c r="Q2333" s="60"/>
      <c r="R2333" s="70"/>
      <c r="S2333" s="63" t="s">
        <v>250</v>
      </c>
      <c r="T2333" s="71" t="s">
        <v>242</v>
      </c>
      <c r="U2333" s="61"/>
      <c r="V2333" s="63" t="s">
        <v>250</v>
      </c>
      <c r="W2333" s="71" t="s">
        <v>242</v>
      </c>
      <c r="X2333" s="61"/>
      <c r="Y2333" s="63" t="s">
        <v>250</v>
      </c>
      <c r="Z2333" s="71" t="s">
        <v>242</v>
      </c>
      <c r="AA2333" s="61"/>
      <c r="AB2333" s="63" t="s">
        <v>250</v>
      </c>
      <c r="AC2333" s="71" t="s">
        <v>242</v>
      </c>
      <c r="AD2333" s="61"/>
      <c r="AE2333" s="63" t="s">
        <v>250</v>
      </c>
      <c r="AF2333" s="71" t="s">
        <v>242</v>
      </c>
      <c r="AG2333" s="61"/>
      <c r="AH2333" s="63" t="s">
        <v>250</v>
      </c>
      <c r="AI2333" s="71" t="s">
        <v>242</v>
      </c>
      <c r="AJ2333" s="61"/>
      <c r="AK2333" s="63" t="s">
        <v>250</v>
      </c>
      <c r="AL2333" s="71" t="s">
        <v>242</v>
      </c>
      <c r="AM2333" s="61"/>
      <c r="AN2333" s="63" t="s">
        <v>250</v>
      </c>
      <c r="AO2333" s="71" t="s">
        <v>242</v>
      </c>
      <c r="AP2333" s="61"/>
      <c r="AQ2333" s="63" t="s">
        <v>250</v>
      </c>
      <c r="AR2333" s="71" t="s">
        <v>242</v>
      </c>
      <c r="AS2333" s="61"/>
      <c r="AT2333" s="63" t="s">
        <v>250</v>
      </c>
      <c r="AU2333" s="71" t="s">
        <v>242</v>
      </c>
    </row>
    <row r="2334" spans="15:47" ht="13" x14ac:dyDescent="0.3">
      <c r="O2334" s="6" t="s">
        <v>231</v>
      </c>
      <c r="P2334" s="6"/>
      <c r="Q2334" s="60"/>
      <c r="R2334" s="85">
        <f>P_1_minQ-(R2332^2*R_up)+dpup_minQ</f>
        <v>56.831105131117972</v>
      </c>
      <c r="S2334" s="56"/>
      <c r="T2334" s="72"/>
      <c r="U2334" s="53">
        <f>P_1_minQ-(U2332^2*R_up)+dpup_minQ</f>
        <v>55.189758242097938</v>
      </c>
      <c r="V2334" s="44"/>
      <c r="W2334" s="72"/>
      <c r="X2334" s="53">
        <f>P_1_minQ-(X2332^2*R_up)+dpup_minQ</f>
        <v>46.968975770405542</v>
      </c>
      <c r="Y2334" s="44"/>
      <c r="Z2334" s="72"/>
      <c r="AA2334" s="53">
        <f>P_1_minQ-(AA2332^2*R_up)+dpup_minQ</f>
        <v>20.65195001762692</v>
      </c>
      <c r="AB2334" s="44"/>
      <c r="AC2334" s="72"/>
      <c r="AD2334" s="53">
        <f>P_1_minQ-(AD2332^2*R_up)+dpup_minQ</f>
        <v>-41.171748023745046</v>
      </c>
      <c r="AE2334" s="44"/>
      <c r="AF2334" s="72"/>
      <c r="AG2334" s="53">
        <f>P_1_minQ-(AG2332^2*R_up)+dpup_minQ</f>
        <v>-160.51677789192487</v>
      </c>
      <c r="AH2334" s="44"/>
      <c r="AI2334" s="72"/>
      <c r="AJ2334" s="53">
        <f>P_1_minQ-(AJ2332^2*R_up)+dpup_minQ</f>
        <v>-330.31027568320479</v>
      </c>
      <c r="AK2334" s="44"/>
      <c r="AL2334" s="72"/>
      <c r="AM2334" s="53">
        <f>P_1_minQ-(AM2332^2*R_up)+dpup_minQ</f>
        <v>-519.61122855993517</v>
      </c>
      <c r="AN2334" s="44"/>
      <c r="AO2334" s="72"/>
      <c r="AP2334" s="53">
        <f>P_1_minQ-(AP2332^2*R_up)+dpup_minQ</f>
        <v>-720.15564948457404</v>
      </c>
      <c r="AQ2334" s="44"/>
      <c r="AR2334" s="72"/>
      <c r="AS2334" s="53">
        <f>P_1_minQ-(AS2332^2*R_up)+dpup_minQ</f>
        <v>-949.59100345622176</v>
      </c>
      <c r="AT2334" s="44"/>
      <c r="AU2334" s="72"/>
    </row>
    <row r="2335" spans="15:47" ht="13" x14ac:dyDescent="0.3">
      <c r="O2335" s="6" t="s">
        <v>233</v>
      </c>
      <c r="P2335" s="6"/>
      <c r="Q2335" s="60"/>
      <c r="R2335" s="85">
        <f>P_2_minQ+(R2332^2*R_dn)-dpdn_minQ</f>
        <v>24.673778973776407</v>
      </c>
      <c r="S2335" s="66"/>
      <c r="T2335" s="74"/>
      <c r="U2335" s="53">
        <f>P_2_minQ+(U2332^2*R_dn)-dpdn_minQ</f>
        <v>25.002048351580413</v>
      </c>
      <c r="V2335" s="45"/>
      <c r="W2335" s="74"/>
      <c r="X2335" s="53">
        <f>P_2_minQ+(X2332^2*R_dn)-dpdn_minQ</f>
        <v>26.646204845918891</v>
      </c>
      <c r="Y2335" s="45"/>
      <c r="Z2335" s="74"/>
      <c r="AA2335" s="53">
        <f>P_2_minQ+(AA2332^2*R_dn)-dpdn_minQ</f>
        <v>31.909609996474618</v>
      </c>
      <c r="AB2335" s="45"/>
      <c r="AC2335" s="74"/>
      <c r="AD2335" s="53">
        <f>P_2_minQ+(AD2332^2*R_dn)-dpdn_minQ</f>
        <v>44.274349604749013</v>
      </c>
      <c r="AE2335" s="45"/>
      <c r="AF2335" s="74"/>
      <c r="AG2335" s="53">
        <f>P_2_minQ+(AG2332^2*R_dn)-dpdn_minQ</f>
        <v>68.143355578384984</v>
      </c>
      <c r="AH2335" s="45"/>
      <c r="AI2335" s="74"/>
      <c r="AJ2335" s="53">
        <f>P_2_minQ+(AJ2332^2*R_dn)-dpdn_minQ</f>
        <v>102.10205513664096</v>
      </c>
      <c r="AK2335" s="45"/>
      <c r="AL2335" s="74"/>
      <c r="AM2335" s="53">
        <f>P_2_minQ+(AM2332^2*R_dn)-dpdn_minQ</f>
        <v>139.96224571198704</v>
      </c>
      <c r="AN2335" s="45"/>
      <c r="AO2335" s="74"/>
      <c r="AP2335" s="53">
        <f>P_2_minQ+(AP2332^2*R_dn)-dpdn_minQ</f>
        <v>180.07112989691481</v>
      </c>
      <c r="AQ2335" s="45"/>
      <c r="AR2335" s="74"/>
      <c r="AS2335" s="53">
        <f>P_2_minQ+(AS2332^2*R_dn)-dpdn_minQ</f>
        <v>225.95820069124434</v>
      </c>
      <c r="AT2335" s="45"/>
      <c r="AU2335" s="74"/>
    </row>
    <row r="2336" spans="15:47" x14ac:dyDescent="0.25">
      <c r="O2336" s="6" t="s">
        <v>243</v>
      </c>
      <c r="Q2336" s="60"/>
      <c r="R2336" s="53">
        <f>R2334-R2335</f>
        <v>32.157326157341565</v>
      </c>
      <c r="S2336" s="56"/>
      <c r="T2336" s="72"/>
      <c r="U2336" s="64">
        <f>U2334-U2335</f>
        <v>30.187709890517525</v>
      </c>
      <c r="V2336" s="44"/>
      <c r="W2336" s="72"/>
      <c r="X2336" s="64">
        <f>X2334-X2335</f>
        <v>20.322770924486651</v>
      </c>
      <c r="Y2336" s="44"/>
      <c r="Z2336" s="72"/>
      <c r="AA2336" s="64">
        <f>AA2334-AA2335</f>
        <v>-11.257659978847698</v>
      </c>
      <c r="AB2336" s="44"/>
      <c r="AC2336" s="72"/>
      <c r="AD2336" s="64">
        <f>AD2334-AD2335</f>
        <v>-85.446097628494059</v>
      </c>
      <c r="AE2336" s="44"/>
      <c r="AF2336" s="72"/>
      <c r="AG2336" s="64">
        <f>AG2334-AG2335</f>
        <v>-228.66013347030986</v>
      </c>
      <c r="AH2336" s="44"/>
      <c r="AI2336" s="72"/>
      <c r="AJ2336" s="64">
        <f>AJ2334-AJ2335</f>
        <v>-432.41233081984575</v>
      </c>
      <c r="AK2336" s="44"/>
      <c r="AL2336" s="72"/>
      <c r="AM2336" s="64">
        <f>AM2334-AM2335</f>
        <v>-659.57347427192224</v>
      </c>
      <c r="AN2336" s="44"/>
      <c r="AO2336" s="72"/>
      <c r="AP2336" s="64">
        <f>AP2334-AP2335</f>
        <v>-900.22677938148888</v>
      </c>
      <c r="AQ2336" s="44"/>
      <c r="AR2336" s="72"/>
      <c r="AS2336" s="64">
        <f>AS2334-AS2335</f>
        <v>-1175.5492041474661</v>
      </c>
      <c r="AT2336" s="44"/>
      <c r="AU2336" s="72"/>
    </row>
    <row r="2337" spans="15:47" ht="13" x14ac:dyDescent="0.3">
      <c r="O2337" s="6" t="s">
        <v>75</v>
      </c>
      <c r="P2337" s="6">
        <v>3</v>
      </c>
      <c r="Q2337" s="65"/>
      <c r="R2337" s="85">
        <f>(F_LP_h/F_P_h)^2*(R2334-('Valve Sizing'!$V$4*'Valve Sizing'!$G$7))</f>
        <v>46.694747261290637</v>
      </c>
      <c r="S2337" s="58"/>
      <c r="T2337" s="73"/>
      <c r="U2337" s="53">
        <f>(U$29/U$27)^2*(U2334-('Valve Sizing'!$V$4*'Valve Sizing'!$G$7))</f>
        <v>45.323269264239478</v>
      </c>
      <c r="V2337" s="41"/>
      <c r="W2337" s="73"/>
      <c r="X2337" s="53">
        <f>(X$29/X$27)^2*(X2334-('Valve Sizing'!$V$4*'Valve Sizing'!$G$7))</f>
        <v>37.649039952195309</v>
      </c>
      <c r="Y2337" s="41"/>
      <c r="Z2337" s="73"/>
      <c r="AA2337" s="53">
        <f>(AA$29/AA$27)^2*(AA2334-('Valve Sizing'!$V$4*'Valve Sizing'!$G$7))</f>
        <v>15.619694245342748</v>
      </c>
      <c r="AB2337" s="41"/>
      <c r="AC2337" s="73"/>
      <c r="AD2337" s="53">
        <f>(AD$29/AD$27)^2*(AD2334-('Valve Sizing'!$V$4*'Valve Sizing'!$G$7))</f>
        <v>-30.009910255420476</v>
      </c>
      <c r="AE2337" s="41"/>
      <c r="AF2337" s="73"/>
      <c r="AG2337" s="53">
        <f>(AG$29/AG$27)^2*(AG2334-('Valve Sizing'!$V$4*'Valve Sizing'!$G$7))</f>
        <v>-103.66327634456076</v>
      </c>
      <c r="AH2337" s="41"/>
      <c r="AI2337" s="73"/>
      <c r="AJ2337" s="53">
        <f>(AJ$29/AJ$27)^2*(AJ2334-('Valve Sizing'!$V$4*'Valve Sizing'!$G$7))</f>
        <v>-191.29419670815014</v>
      </c>
      <c r="AK2337" s="41"/>
      <c r="AL2337" s="73"/>
      <c r="AM2337" s="53">
        <f>(AM$29/AM$27)^2*(AM2334-('Valve Sizing'!$V$4*'Valve Sizing'!$G$7))</f>
        <v>-248.83005667051899</v>
      </c>
      <c r="AN2337" s="41"/>
      <c r="AO2337" s="73"/>
      <c r="AP2337" s="53">
        <f>(AP$29/AP$27)^2*(AP2334-('Valve Sizing'!$V$4*'Valve Sizing'!$G$7))</f>
        <v>-284.36639772208144</v>
      </c>
      <c r="AQ2337" s="41"/>
      <c r="AR2337" s="73"/>
      <c r="AS2337" s="53">
        <f>(AS$29/AS$27)^2*(AS2334-('Valve Sizing'!$V$4*'Valve Sizing'!$G$7))</f>
        <v>-357.34543775492006</v>
      </c>
      <c r="AT2337" s="41"/>
      <c r="AU2337" s="73"/>
    </row>
    <row r="2338" spans="15:47" ht="13" x14ac:dyDescent="0.25">
      <c r="O2338" s="1" t="s">
        <v>69</v>
      </c>
      <c r="P2338" s="17">
        <v>7</v>
      </c>
      <c r="Q2338" s="65"/>
      <c r="R2338" s="53">
        <f>(R2332/(N_1*F_P_h))*SQRT('Valve Sizing'!$G$6/R2336)</f>
        <v>8.8501258936977116</v>
      </c>
      <c r="S2338" s="58"/>
      <c r="T2338" s="73"/>
      <c r="U2338" s="64">
        <f>(U2332/(N_1*U$27))*SQRT('Valve Sizing'!$G$6/U2336)</f>
        <v>41.184956470104026</v>
      </c>
      <c r="V2338" s="41"/>
      <c r="W2338" s="73"/>
      <c r="X2338" s="64">
        <f>(X2332/(N_1*X$27))*SQRT('Valve Sizing'!$G$6/X2336)</f>
        <v>120.75851793583439</v>
      </c>
      <c r="Y2338" s="41"/>
      <c r="Z2338" s="73"/>
      <c r="AA2338" s="64" t="e">
        <f>(AA2332/(N_1*AA$27))*SQRT('Valve Sizing'!$G$6/AA2336)</f>
        <v>#NUM!</v>
      </c>
      <c r="AB2338" s="41"/>
      <c r="AC2338" s="73"/>
      <c r="AD2338" s="64" t="e">
        <f>(AD2332/(N_1*AD$27))*SQRT('Valve Sizing'!$G$6/AD2336)</f>
        <v>#NUM!</v>
      </c>
      <c r="AE2338" s="41"/>
      <c r="AF2338" s="73"/>
      <c r="AG2338" s="64" t="e">
        <f>(AG2332/(N_1*AG$27))*SQRT('Valve Sizing'!$G$6/AG2336)</f>
        <v>#NUM!</v>
      </c>
      <c r="AH2338" s="41"/>
      <c r="AI2338" s="73"/>
      <c r="AJ2338" s="64" t="e">
        <f>(AJ2332/(N_1*AJ$27))*SQRT('Valve Sizing'!$G$6/AJ2336)</f>
        <v>#NUM!</v>
      </c>
      <c r="AK2338" s="41"/>
      <c r="AL2338" s="73"/>
      <c r="AM2338" s="64" t="e">
        <f>(AM2332/(N_1*AM$27))*SQRT('Valve Sizing'!$G$6/AM2336)</f>
        <v>#NUM!</v>
      </c>
      <c r="AN2338" s="41"/>
      <c r="AO2338" s="73"/>
      <c r="AP2338" s="64" t="e">
        <f>(AP2332/(N_1*AP$27))*SQRT('Valve Sizing'!$G$6/AP2336)</f>
        <v>#NUM!</v>
      </c>
      <c r="AQ2338" s="41"/>
      <c r="AR2338" s="73"/>
      <c r="AS2338" s="64" t="e">
        <f>(AS2332/(N_1*AS$27))*SQRT('Valve Sizing'!$G$6/AS2336)</f>
        <v>#NUM!</v>
      </c>
      <c r="AT2338" s="41"/>
      <c r="AU2338" s="73"/>
    </row>
    <row r="2339" spans="15:47" ht="13" x14ac:dyDescent="0.3">
      <c r="O2339" s="1" t="s">
        <v>72</v>
      </c>
      <c r="P2339" s="17">
        <v>7</v>
      </c>
      <c r="Q2339" s="65"/>
      <c r="R2339" s="53">
        <f>(R2332/(N_1*F_P_h))*SQRT('Valve Sizing'!$G$6/R2337)</f>
        <v>7.3443843977036938</v>
      </c>
      <c r="S2339" s="56"/>
      <c r="T2339" s="72"/>
      <c r="U2339" s="85">
        <f>(U2332/(N_1*U$27))*SQRT('Valve Sizing'!$G$6/U2337)</f>
        <v>33.611901385356497</v>
      </c>
      <c r="V2339" s="44"/>
      <c r="W2339" s="72"/>
      <c r="X2339" s="85">
        <f>(X2332/(N_1*X$27))*SQRT('Valve Sizing'!$G$6/X2337)</f>
        <v>88.722195891223123</v>
      </c>
      <c r="Y2339" s="44"/>
      <c r="Z2339" s="72"/>
      <c r="AA2339" s="85">
        <f>(AA2332/(N_1*AA$27))*SQRT('Valve Sizing'!$G$6/AA2337)</f>
        <v>264.51700214490415</v>
      </c>
      <c r="AB2339" s="44"/>
      <c r="AC2339" s="72"/>
      <c r="AD2339" s="85" t="e">
        <f>(AD2332/(N_1*AD$27))*SQRT('Valve Sizing'!$G$6/AD2337)</f>
        <v>#NUM!</v>
      </c>
      <c r="AE2339" s="44"/>
      <c r="AF2339" s="72"/>
      <c r="AG2339" s="85" t="e">
        <f>(AG2332/(N_1*AG$27))*SQRT('Valve Sizing'!$G$6/AG2337)</f>
        <v>#NUM!</v>
      </c>
      <c r="AH2339" s="44"/>
      <c r="AI2339" s="72"/>
      <c r="AJ2339" s="85" t="e">
        <f>(AJ2332/(N_1*AJ$27))*SQRT('Valve Sizing'!$G$6/AJ2337)</f>
        <v>#NUM!</v>
      </c>
      <c r="AK2339" s="44"/>
      <c r="AL2339" s="72"/>
      <c r="AM2339" s="85" t="e">
        <f>(AM2332/(N_1*AM$27))*SQRT('Valve Sizing'!$G$6/AM2337)</f>
        <v>#NUM!</v>
      </c>
      <c r="AN2339" s="44"/>
      <c r="AO2339" s="72"/>
      <c r="AP2339" s="85" t="e">
        <f>(AP2332/(N_1*AP$27))*SQRT('Valve Sizing'!$G$6/AP2337)</f>
        <v>#NUM!</v>
      </c>
      <c r="AQ2339" s="44"/>
      <c r="AR2339" s="72"/>
      <c r="AS2339" s="85" t="e">
        <f>(AS2332/(N_1*AS$27))*SQRT('Valve Sizing'!$G$6/AS2337)</f>
        <v>#NUM!</v>
      </c>
      <c r="AT2339" s="44"/>
      <c r="AU2339" s="72"/>
    </row>
    <row r="2340" spans="15:47" x14ac:dyDescent="0.25">
      <c r="O2340" s="1" t="s">
        <v>246</v>
      </c>
      <c r="P2340" s="18"/>
      <c r="Q2340" s="65"/>
      <c r="R2340" s="53">
        <f>IF(R2336&lt;R2337,R2338,R2339)</f>
        <v>8.8501258936977116</v>
      </c>
      <c r="S2340" s="49"/>
      <c r="T2340" s="72"/>
      <c r="U2340" s="64">
        <f>IF(U2336&lt;U2337,U2338,U2339)</f>
        <v>41.184956470104026</v>
      </c>
      <c r="V2340" s="44"/>
      <c r="W2340" s="72"/>
      <c r="X2340" s="64">
        <f>IF(X2336&lt;X2337,X2338,X2339)</f>
        <v>120.75851793583439</v>
      </c>
      <c r="Y2340" s="44"/>
      <c r="Z2340" s="72"/>
      <c r="AA2340" s="64" t="e">
        <f>IF(AA2336&lt;AA2337,AA2338,AA2339)</f>
        <v>#NUM!</v>
      </c>
      <c r="AB2340" s="44"/>
      <c r="AC2340" s="72"/>
      <c r="AD2340" s="64" t="e">
        <f>IF(AD2336&lt;AD2337,AD2338,AD2339)</f>
        <v>#NUM!</v>
      </c>
      <c r="AE2340" s="44"/>
      <c r="AF2340" s="72"/>
      <c r="AG2340" s="64" t="e">
        <f>IF(AG2336&lt;AG2337,AG2338,AG2339)</f>
        <v>#NUM!</v>
      </c>
      <c r="AH2340" s="44"/>
      <c r="AI2340" s="72"/>
      <c r="AJ2340" s="64" t="e">
        <f>IF(AJ2336&lt;AJ2337,AJ2338,AJ2339)</f>
        <v>#NUM!</v>
      </c>
      <c r="AK2340" s="44"/>
      <c r="AL2340" s="72"/>
      <c r="AM2340" s="64" t="e">
        <f>IF(AM2336&lt;AM2337,AM2338,AM2339)</f>
        <v>#NUM!</v>
      </c>
      <c r="AN2340" s="44"/>
      <c r="AO2340" s="72"/>
      <c r="AP2340" s="64" t="e">
        <f>IF(AP2336&lt;AP2337,AP2338,AP2339)</f>
        <v>#NUM!</v>
      </c>
      <c r="AQ2340" s="44"/>
      <c r="AR2340" s="72"/>
      <c r="AS2340" s="64" t="e">
        <f>IF(AS2336&lt;AS2337,AS2338,AS2339)</f>
        <v>#NUM!</v>
      </c>
      <c r="AT2340" s="44"/>
      <c r="AU2340" s="72"/>
    </row>
    <row r="2341" spans="15:47" ht="13" x14ac:dyDescent="0.3">
      <c r="O2341" s="7" t="s">
        <v>264</v>
      </c>
      <c r="Q2341" s="61"/>
      <c r="R2341" s="53"/>
      <c r="S2341" s="69">
        <f>IFERROR(ABS(C_h-R2340),Q_max*10)</f>
        <v>3.8501258936977116</v>
      </c>
      <c r="T2341" s="76">
        <f>R2332</f>
        <v>50.17944865775965</v>
      </c>
      <c r="U2341" s="61"/>
      <c r="V2341" s="69">
        <f>IFERROR(ABS(U$23-U2340),Q_max*10)</f>
        <v>29.184956470104026</v>
      </c>
      <c r="W2341" s="75">
        <f>U2332</f>
        <v>226.09347281927472</v>
      </c>
      <c r="X2341" s="61"/>
      <c r="Y2341" s="69">
        <f>IFERROR(ABS(X$23-X2340),Q_max*10)</f>
        <v>97.758517935834391</v>
      </c>
      <c r="Z2341" s="75">
        <f>X2332</f>
        <v>542.71136660133789</v>
      </c>
      <c r="AA2341" s="61"/>
      <c r="AB2341" s="69">
        <f>IFERROR(ABS(AA$23-AA2340),Q_max*10)</f>
        <v>5500</v>
      </c>
      <c r="AC2341" s="75">
        <f>AA2332</f>
        <v>1036.2348961398989</v>
      </c>
      <c r="AD2341" s="61"/>
      <c r="AE2341" s="69">
        <f>IFERROR(ABS(AD$23-AD2340),Q_max*10)</f>
        <v>5500</v>
      </c>
      <c r="AF2341" s="75">
        <f>AD2332</f>
        <v>1704.2248850967676</v>
      </c>
      <c r="AG2341" s="61"/>
      <c r="AH2341" s="69">
        <f>IFERROR(ABS(AG$23-AG2340),Q_max*10)</f>
        <v>5500</v>
      </c>
      <c r="AI2341" s="75">
        <f>AG2332</f>
        <v>2537.3586252991308</v>
      </c>
      <c r="AJ2341" s="61"/>
      <c r="AK2341" s="69">
        <f>IFERROR(ABS(AJ$23-AJ2340),Q_max*10)</f>
        <v>5500</v>
      </c>
      <c r="AL2341" s="75">
        <f>AJ2332</f>
        <v>3386.114921702997</v>
      </c>
      <c r="AM2341" s="61"/>
      <c r="AN2341" s="69">
        <f>IFERROR(ABS(AM$23-AM2340),Q_max*10)</f>
        <v>5500</v>
      </c>
      <c r="AO2341" s="75">
        <f>AM2332</f>
        <v>4131.7037015811866</v>
      </c>
      <c r="AP2341" s="61"/>
      <c r="AQ2341" s="69">
        <f>IFERROR(ABS(AP$23-AP2340),Q_max*10)</f>
        <v>5500</v>
      </c>
      <c r="AR2341" s="75">
        <f>AP2332</f>
        <v>4796.7797303230673</v>
      </c>
      <c r="AS2341" s="61"/>
      <c r="AT2341" s="69">
        <f>IFERROR(ABS(AS$23-AS2340),Q_max*10)</f>
        <v>5500</v>
      </c>
      <c r="AU2341" s="75">
        <f>AS2332</f>
        <v>5459.1827787992888</v>
      </c>
    </row>
    <row r="2342" spans="15:47" ht="14.5" x14ac:dyDescent="0.35">
      <c r="O2342" s="8"/>
      <c r="P2342" s="6"/>
      <c r="Q2342" s="60"/>
      <c r="R2342" s="67"/>
      <c r="S2342" s="56"/>
      <c r="T2342" s="72"/>
      <c r="V2342" s="11"/>
      <c r="W2342" s="38"/>
      <c r="Y2342" s="11"/>
      <c r="Z2342" s="38"/>
      <c r="AB2342" s="11"/>
      <c r="AC2342" s="38"/>
      <c r="AE2342" s="11"/>
      <c r="AF2342" s="38"/>
      <c r="AH2342" s="11"/>
      <c r="AI2342" s="38"/>
      <c r="AK2342" s="11"/>
      <c r="AL2342" s="38"/>
      <c r="AN2342" s="11"/>
      <c r="AO2342" s="38"/>
      <c r="AQ2342" s="11"/>
      <c r="AR2342" s="38"/>
      <c r="AT2342" s="11"/>
      <c r="AU2342" s="38"/>
    </row>
    <row r="2343" spans="15:47" ht="14" x14ac:dyDescent="0.3">
      <c r="O2343" s="8" t="s">
        <v>235</v>
      </c>
      <c r="P2343" s="6"/>
      <c r="Q2343" s="60"/>
      <c r="R2343" s="53">
        <f>R2332*1.02</f>
        <v>51.183037630914846</v>
      </c>
      <c r="S2343" s="58" t="s">
        <v>238</v>
      </c>
      <c r="T2343" s="73" t="s">
        <v>241</v>
      </c>
      <c r="U2343" s="84">
        <f>U2332*1.01</f>
        <v>228.35440754746747</v>
      </c>
      <c r="V2343" s="58" t="s">
        <v>238</v>
      </c>
      <c r="W2343" s="73" t="s">
        <v>241</v>
      </c>
      <c r="X2343" s="84">
        <f>X2332*1.01</f>
        <v>548.13848026735127</v>
      </c>
      <c r="Y2343" s="58" t="s">
        <v>238</v>
      </c>
      <c r="Z2343" s="73" t="s">
        <v>241</v>
      </c>
      <c r="AA2343" s="84">
        <f>AA2332*1.01</f>
        <v>1046.5972451012979</v>
      </c>
      <c r="AB2343" s="58" t="s">
        <v>238</v>
      </c>
      <c r="AC2343" s="73" t="s">
        <v>241</v>
      </c>
      <c r="AD2343" s="84">
        <f>AD2332*1.01</f>
        <v>1721.2671339477354</v>
      </c>
      <c r="AE2343" s="58" t="s">
        <v>238</v>
      </c>
      <c r="AF2343" s="73" t="s">
        <v>241</v>
      </c>
      <c r="AG2343" s="84">
        <f>AG2332*1.01</f>
        <v>2562.732211552122</v>
      </c>
      <c r="AH2343" s="58" t="s">
        <v>238</v>
      </c>
      <c r="AI2343" s="73" t="s">
        <v>241</v>
      </c>
      <c r="AJ2343" s="84">
        <f>AJ2332*1.01</f>
        <v>3419.9760709200268</v>
      </c>
      <c r="AK2343" s="58" t="s">
        <v>238</v>
      </c>
      <c r="AL2343" s="73" t="s">
        <v>241</v>
      </c>
      <c r="AM2343" s="84">
        <f>AM2332*1.01</f>
        <v>4173.0207385969989</v>
      </c>
      <c r="AN2343" s="58" t="s">
        <v>238</v>
      </c>
      <c r="AO2343" s="73" t="s">
        <v>241</v>
      </c>
      <c r="AP2343" s="84">
        <f>AP2332*1.01</f>
        <v>4844.7475276262976</v>
      </c>
      <c r="AQ2343" s="58" t="s">
        <v>238</v>
      </c>
      <c r="AR2343" s="73" t="s">
        <v>241</v>
      </c>
      <c r="AS2343" s="84">
        <f>AS2332*1.01</f>
        <v>5513.7746065872816</v>
      </c>
      <c r="AT2343" s="58" t="s">
        <v>238</v>
      </c>
      <c r="AU2343" s="73" t="s">
        <v>241</v>
      </c>
    </row>
    <row r="2344" spans="15:47" ht="13" x14ac:dyDescent="0.25">
      <c r="O2344" s="6"/>
      <c r="P2344" s="6"/>
      <c r="Q2344" s="60"/>
      <c r="R2344" s="70"/>
      <c r="S2344" s="63" t="s">
        <v>250</v>
      </c>
      <c r="T2344" s="71" t="s">
        <v>242</v>
      </c>
      <c r="U2344" s="61"/>
      <c r="V2344" s="63" t="s">
        <v>250</v>
      </c>
      <c r="W2344" s="71" t="s">
        <v>242</v>
      </c>
      <c r="X2344" s="61"/>
      <c r="Y2344" s="63" t="s">
        <v>250</v>
      </c>
      <c r="Z2344" s="71" t="s">
        <v>242</v>
      </c>
      <c r="AA2344" s="61"/>
      <c r="AB2344" s="63" t="s">
        <v>250</v>
      </c>
      <c r="AC2344" s="71" t="s">
        <v>242</v>
      </c>
      <c r="AD2344" s="61"/>
      <c r="AE2344" s="63" t="s">
        <v>250</v>
      </c>
      <c r="AF2344" s="71" t="s">
        <v>242</v>
      </c>
      <c r="AG2344" s="61"/>
      <c r="AH2344" s="63" t="s">
        <v>250</v>
      </c>
      <c r="AI2344" s="71" t="s">
        <v>242</v>
      </c>
      <c r="AJ2344" s="61"/>
      <c r="AK2344" s="63" t="s">
        <v>250</v>
      </c>
      <c r="AL2344" s="71" t="s">
        <v>242</v>
      </c>
      <c r="AM2344" s="61"/>
      <c r="AN2344" s="63" t="s">
        <v>250</v>
      </c>
      <c r="AO2344" s="71" t="s">
        <v>242</v>
      </c>
      <c r="AP2344" s="61"/>
      <c r="AQ2344" s="63" t="s">
        <v>250</v>
      </c>
      <c r="AR2344" s="71" t="s">
        <v>242</v>
      </c>
      <c r="AS2344" s="61"/>
      <c r="AT2344" s="63" t="s">
        <v>250</v>
      </c>
      <c r="AU2344" s="71" t="s">
        <v>242</v>
      </c>
    </row>
    <row r="2345" spans="15:47" ht="13" x14ac:dyDescent="0.3">
      <c r="O2345" s="6" t="s">
        <v>231</v>
      </c>
      <c r="P2345" s="6"/>
      <c r="Q2345" s="60"/>
      <c r="R2345" s="85">
        <f>P_1_minQ-(R2343^2*R_up)+dpup_minQ</f>
        <v>56.827669593342534</v>
      </c>
      <c r="S2345" s="56"/>
      <c r="T2345" s="72"/>
      <c r="U2345" s="53">
        <f>P_1_minQ-(U2343^2*R_up)+dpup_minQ</f>
        <v>55.155057904547284</v>
      </c>
      <c r="V2345" s="44"/>
      <c r="W2345" s="72"/>
      <c r="X2345" s="53">
        <f>P_1_minQ-(X2343^2*R_up)+dpup_minQ</f>
        <v>46.769037705173879</v>
      </c>
      <c r="Y2345" s="44"/>
      <c r="Z2345" s="72"/>
      <c r="AA2345" s="53">
        <f>P_1_minQ-(AA2343^2*R_up)+dpup_minQ</f>
        <v>19.923039734764405</v>
      </c>
      <c r="AB2345" s="44"/>
      <c r="AC2345" s="72"/>
      <c r="AD2345" s="53">
        <f>P_1_minQ-(AD2343^2*R_up)+dpup_minQ</f>
        <v>-43.143314637239165</v>
      </c>
      <c r="AE2345" s="44"/>
      <c r="AF2345" s="72"/>
      <c r="AG2345" s="53">
        <f>P_1_minQ-(AG2343^2*R_up)+dpup_minQ</f>
        <v>-164.88717960576932</v>
      </c>
      <c r="AH2345" s="44"/>
      <c r="AI2345" s="72"/>
      <c r="AJ2345" s="53">
        <f>P_1_minQ-(AJ2343^2*R_up)+dpup_minQ</f>
        <v>-338.093526702654</v>
      </c>
      <c r="AK2345" s="44"/>
      <c r="AL2345" s="72"/>
      <c r="AM2345" s="53">
        <f>P_1_minQ-(AM2343^2*R_up)+dpup_minQ</f>
        <v>-531.1994287322068</v>
      </c>
      <c r="AN2345" s="44"/>
      <c r="AO2345" s="72"/>
      <c r="AP2345" s="53">
        <f>P_1_minQ-(AP2343^2*R_up)+dpup_minQ</f>
        <v>-735.77479251743068</v>
      </c>
      <c r="AQ2345" s="44"/>
      <c r="AR2345" s="72"/>
      <c r="AS2345" s="53">
        <f>P_1_minQ-(AS2343^2*R_up)+dpup_minQ</f>
        <v>-969.82179710390847</v>
      </c>
      <c r="AT2345" s="44"/>
      <c r="AU2345" s="72"/>
    </row>
    <row r="2346" spans="15:47" ht="13" x14ac:dyDescent="0.3">
      <c r="O2346" s="6" t="s">
        <v>233</v>
      </c>
      <c r="P2346" s="6"/>
      <c r="Q2346" s="60"/>
      <c r="R2346" s="85">
        <f>P_2_minQ+(R2343^2*R_dn)-dpdn_minQ</f>
        <v>24.674466081331495</v>
      </c>
      <c r="S2346" s="66"/>
      <c r="T2346" s="74"/>
      <c r="U2346" s="53">
        <f>P_2_minQ+(U2343^2*R_dn)-dpdn_minQ</f>
        <v>25.008988419090546</v>
      </c>
      <c r="V2346" s="45"/>
      <c r="W2346" s="74"/>
      <c r="X2346" s="53">
        <f>P_2_minQ+(X2343^2*R_dn)-dpdn_minQ</f>
        <v>26.686192458965227</v>
      </c>
      <c r="Y2346" s="45"/>
      <c r="Z2346" s="74"/>
      <c r="AA2346" s="53">
        <f>P_2_minQ+(AA2343^2*R_dn)-dpdn_minQ</f>
        <v>32.055392053047122</v>
      </c>
      <c r="AB2346" s="45"/>
      <c r="AC2346" s="74"/>
      <c r="AD2346" s="53">
        <f>P_2_minQ+(AD2343^2*R_dn)-dpdn_minQ</f>
        <v>44.668662927447834</v>
      </c>
      <c r="AE2346" s="45"/>
      <c r="AF2346" s="74"/>
      <c r="AG2346" s="53">
        <f>P_2_minQ+(AG2343^2*R_dn)-dpdn_minQ</f>
        <v>69.017435921153861</v>
      </c>
      <c r="AH2346" s="45"/>
      <c r="AI2346" s="74"/>
      <c r="AJ2346" s="53">
        <f>P_2_minQ+(AJ2343^2*R_dn)-dpdn_minQ</f>
        <v>103.6587053405308</v>
      </c>
      <c r="AK2346" s="45"/>
      <c r="AL2346" s="74"/>
      <c r="AM2346" s="53">
        <f>P_2_minQ+(AM2343^2*R_dn)-dpdn_minQ</f>
        <v>142.27988574644135</v>
      </c>
      <c r="AN2346" s="45"/>
      <c r="AO2346" s="74"/>
      <c r="AP2346" s="53">
        <f>P_2_minQ+(AP2343^2*R_dn)-dpdn_minQ</f>
        <v>183.19495850348611</v>
      </c>
      <c r="AQ2346" s="45"/>
      <c r="AR2346" s="74"/>
      <c r="AS2346" s="53">
        <f>P_2_minQ+(AS2343^2*R_dn)-dpdn_minQ</f>
        <v>230.0043594207817</v>
      </c>
      <c r="AT2346" s="45"/>
      <c r="AU2346" s="74"/>
    </row>
    <row r="2347" spans="15:47" x14ac:dyDescent="0.25">
      <c r="O2347" s="6" t="s">
        <v>243</v>
      </c>
      <c r="Q2347" s="60"/>
      <c r="R2347" s="53">
        <f>R2345-R2346</f>
        <v>32.153203512011039</v>
      </c>
      <c r="S2347" s="56"/>
      <c r="T2347" s="72"/>
      <c r="U2347" s="64">
        <f>U2345-U2346</f>
        <v>30.146069485456739</v>
      </c>
      <c r="V2347" s="44"/>
      <c r="W2347" s="72"/>
      <c r="X2347" s="64">
        <f>X2345-X2346</f>
        <v>20.082845246208652</v>
      </c>
      <c r="Y2347" s="44"/>
      <c r="Z2347" s="72"/>
      <c r="AA2347" s="64">
        <f>AA2345-AA2346</f>
        <v>-12.132352318282717</v>
      </c>
      <c r="AB2347" s="44"/>
      <c r="AC2347" s="72"/>
      <c r="AD2347" s="64">
        <f>AD2345-AD2346</f>
        <v>-87.811977564686998</v>
      </c>
      <c r="AE2347" s="44"/>
      <c r="AF2347" s="72"/>
      <c r="AG2347" s="64">
        <f>AG2345-AG2346</f>
        <v>-233.90461552692318</v>
      </c>
      <c r="AH2347" s="44"/>
      <c r="AI2347" s="72"/>
      <c r="AJ2347" s="64">
        <f>AJ2345-AJ2346</f>
        <v>-441.75223204318479</v>
      </c>
      <c r="AK2347" s="44"/>
      <c r="AL2347" s="72"/>
      <c r="AM2347" s="64">
        <f>AM2345-AM2346</f>
        <v>-673.47931447864812</v>
      </c>
      <c r="AN2347" s="44"/>
      <c r="AO2347" s="72"/>
      <c r="AP2347" s="64">
        <f>AP2345-AP2346</f>
        <v>-918.96975102091676</v>
      </c>
      <c r="AQ2347" s="44"/>
      <c r="AR2347" s="72"/>
      <c r="AS2347" s="64">
        <f>AS2345-AS2346</f>
        <v>-1199.8261565246901</v>
      </c>
      <c r="AT2347" s="44"/>
      <c r="AU2347" s="72"/>
    </row>
    <row r="2348" spans="15:47" ht="13" x14ac:dyDescent="0.3">
      <c r="O2348" s="6" t="s">
        <v>75</v>
      </c>
      <c r="P2348" s="6">
        <v>3</v>
      </c>
      <c r="Q2348" s="65"/>
      <c r="R2348" s="85">
        <f>(F_LP_h/F_P_h)^2*(R2345-('Valve Sizing'!$V$4*'Valve Sizing'!$G$7))</f>
        <v>46.691902455681408</v>
      </c>
      <c r="S2348" s="58"/>
      <c r="T2348" s="73"/>
      <c r="U2348" s="53">
        <f>(U$29/U$27)^2*(U2345-('Valve Sizing'!$V$4*'Valve Sizing'!$G$7))</f>
        <v>45.294543394948789</v>
      </c>
      <c r="V2348" s="41"/>
      <c r="W2348" s="73"/>
      <c r="X2348" s="53">
        <f>(X$29/X$27)^2*(X2345-('Valve Sizing'!$V$4*'Valve Sizing'!$G$7))</f>
        <v>37.487259353956176</v>
      </c>
      <c r="Y2348" s="41"/>
      <c r="Z2348" s="73"/>
      <c r="AA2348" s="53">
        <f>(AA$29/AA$27)^2*(AA2345-('Valve Sizing'!$V$4*'Valve Sizing'!$G$7))</f>
        <v>15.056394404130719</v>
      </c>
      <c r="AB2348" s="41"/>
      <c r="AC2348" s="73"/>
      <c r="AD2348" s="53">
        <f>(AD$29/AD$27)^2*(AD2345-('Valve Sizing'!$V$4*'Valve Sizing'!$G$7))</f>
        <v>-31.431779269480455</v>
      </c>
      <c r="AE2348" s="41"/>
      <c r="AF2348" s="73"/>
      <c r="AG2348" s="53">
        <f>(AG$29/AG$27)^2*(AG2345-('Valve Sizing'!$V$4*'Valve Sizing'!$G$7))</f>
        <v>-106.47800713260253</v>
      </c>
      <c r="AH2348" s="41"/>
      <c r="AI2348" s="73"/>
      <c r="AJ2348" s="53">
        <f>(AJ$29/AJ$27)^2*(AJ2345-('Valve Sizing'!$V$4*'Valve Sizing'!$G$7))</f>
        <v>-195.79575151069102</v>
      </c>
      <c r="AK2348" s="41"/>
      <c r="AL2348" s="73"/>
      <c r="AM2348" s="53">
        <f>(AM$29/AM$27)^2*(AM2345-('Valve Sizing'!$V$4*'Valve Sizing'!$G$7))</f>
        <v>-254.37468771351678</v>
      </c>
      <c r="AN2348" s="41"/>
      <c r="AO2348" s="73"/>
      <c r="AP2348" s="53">
        <f>(AP$29/AP$27)^2*(AP2345-('Valve Sizing'!$V$4*'Valve Sizing'!$G$7))</f>
        <v>-290.5301305831947</v>
      </c>
      <c r="AQ2348" s="41"/>
      <c r="AR2348" s="73"/>
      <c r="AS2348" s="53">
        <f>(AS$29/AS$27)^2*(AS2345-('Valve Sizing'!$V$4*'Valve Sizing'!$G$7))</f>
        <v>-364.95506454291143</v>
      </c>
      <c r="AT2348" s="41"/>
      <c r="AU2348" s="73"/>
    </row>
    <row r="2349" spans="15:47" ht="13" x14ac:dyDescent="0.25">
      <c r="O2349" s="1" t="s">
        <v>69</v>
      </c>
      <c r="P2349" s="17">
        <v>7</v>
      </c>
      <c r="Q2349" s="65"/>
      <c r="R2349" s="53">
        <f>(R2343/(N_1*F_P_h))*SQRT('Valve Sizing'!$G$6/R2347)</f>
        <v>9.0277071168306939</v>
      </c>
      <c r="S2349" s="58"/>
      <c r="T2349" s="73"/>
      <c r="U2349" s="64">
        <f>(U2343/(N_1*U$27))*SQRT('Valve Sizing'!$G$6/U2347)</f>
        <v>41.625524706258055</v>
      </c>
      <c r="V2349" s="41"/>
      <c r="W2349" s="73"/>
      <c r="X2349" s="64">
        <f>(X2343/(N_1*X$27))*SQRT('Valve Sizing'!$G$6/X2347)</f>
        <v>122.6924921970066</v>
      </c>
      <c r="Y2349" s="41"/>
      <c r="Z2349" s="73"/>
      <c r="AA2349" s="64" t="e">
        <f>(AA2343/(N_1*AA$27))*SQRT('Valve Sizing'!$G$6/AA2347)</f>
        <v>#NUM!</v>
      </c>
      <c r="AB2349" s="41"/>
      <c r="AC2349" s="73"/>
      <c r="AD2349" s="64" t="e">
        <f>(AD2343/(N_1*AD$27))*SQRT('Valve Sizing'!$G$6/AD2347)</f>
        <v>#NUM!</v>
      </c>
      <c r="AE2349" s="41"/>
      <c r="AF2349" s="73"/>
      <c r="AG2349" s="64" t="e">
        <f>(AG2343/(N_1*AG$27))*SQRT('Valve Sizing'!$G$6/AG2347)</f>
        <v>#NUM!</v>
      </c>
      <c r="AH2349" s="41"/>
      <c r="AI2349" s="73"/>
      <c r="AJ2349" s="64" t="e">
        <f>(AJ2343/(N_1*AJ$27))*SQRT('Valve Sizing'!$G$6/AJ2347)</f>
        <v>#NUM!</v>
      </c>
      <c r="AK2349" s="41"/>
      <c r="AL2349" s="73"/>
      <c r="AM2349" s="64" t="e">
        <f>(AM2343/(N_1*AM$27))*SQRT('Valve Sizing'!$G$6/AM2347)</f>
        <v>#NUM!</v>
      </c>
      <c r="AN2349" s="41"/>
      <c r="AO2349" s="73"/>
      <c r="AP2349" s="64" t="e">
        <f>(AP2343/(N_1*AP$27))*SQRT('Valve Sizing'!$G$6/AP2347)</f>
        <v>#NUM!</v>
      </c>
      <c r="AQ2349" s="41"/>
      <c r="AR2349" s="73"/>
      <c r="AS2349" s="64" t="e">
        <f>(AS2343/(N_1*AS$27))*SQRT('Valve Sizing'!$G$6/AS2347)</f>
        <v>#NUM!</v>
      </c>
      <c r="AT2349" s="41"/>
      <c r="AU2349" s="73"/>
    </row>
    <row r="2350" spans="15:47" ht="13" x14ac:dyDescent="0.3">
      <c r="O2350" s="1" t="s">
        <v>72</v>
      </c>
      <c r="P2350" s="17">
        <v>7</v>
      </c>
      <c r="Q2350" s="65"/>
      <c r="R2350" s="53">
        <f>(R2343/(N_1*F_P_h))*SQRT('Valve Sizing'!$G$6/R2348)</f>
        <v>7.4915002931962347</v>
      </c>
      <c r="S2350" s="56"/>
      <c r="T2350" s="72"/>
      <c r="U2350" s="85">
        <f>(U2343/(N_1*U$27))*SQRT('Valve Sizing'!$G$6/U2348)</f>
        <v>33.958783636417174</v>
      </c>
      <c r="V2350" s="44"/>
      <c r="W2350" s="72"/>
      <c r="X2350" s="85">
        <f>(X2343/(N_1*X$27))*SQRT('Valve Sizing'!$G$6/X2348)</f>
        <v>89.802569579505374</v>
      </c>
      <c r="Y2350" s="44"/>
      <c r="Z2350" s="72"/>
      <c r="AA2350" s="85">
        <f>(AA2343/(N_1*AA$27))*SQRT('Valve Sizing'!$G$6/AA2348)</f>
        <v>272.11390746557862</v>
      </c>
      <c r="AB2350" s="44"/>
      <c r="AC2350" s="72"/>
      <c r="AD2350" s="85" t="e">
        <f>(AD2343/(N_1*AD$27))*SQRT('Valve Sizing'!$G$6/AD2348)</f>
        <v>#NUM!</v>
      </c>
      <c r="AE2350" s="44"/>
      <c r="AF2350" s="72"/>
      <c r="AG2350" s="85" t="e">
        <f>(AG2343/(N_1*AG$27))*SQRT('Valve Sizing'!$G$6/AG2348)</f>
        <v>#NUM!</v>
      </c>
      <c r="AH2350" s="44"/>
      <c r="AI2350" s="72"/>
      <c r="AJ2350" s="85" t="e">
        <f>(AJ2343/(N_1*AJ$27))*SQRT('Valve Sizing'!$G$6/AJ2348)</f>
        <v>#NUM!</v>
      </c>
      <c r="AK2350" s="44"/>
      <c r="AL2350" s="72"/>
      <c r="AM2350" s="85" t="e">
        <f>(AM2343/(N_1*AM$27))*SQRT('Valve Sizing'!$G$6/AM2348)</f>
        <v>#NUM!</v>
      </c>
      <c r="AN2350" s="44"/>
      <c r="AO2350" s="72"/>
      <c r="AP2350" s="85" t="e">
        <f>(AP2343/(N_1*AP$27))*SQRT('Valve Sizing'!$G$6/AP2348)</f>
        <v>#NUM!</v>
      </c>
      <c r="AQ2350" s="44"/>
      <c r="AR2350" s="72"/>
      <c r="AS2350" s="85" t="e">
        <f>(AS2343/(N_1*AS$27))*SQRT('Valve Sizing'!$G$6/AS2348)</f>
        <v>#NUM!</v>
      </c>
      <c r="AT2350" s="44"/>
      <c r="AU2350" s="72"/>
    </row>
    <row r="2351" spans="15:47" x14ac:dyDescent="0.25">
      <c r="O2351" s="1" t="s">
        <v>246</v>
      </c>
      <c r="P2351" s="18"/>
      <c r="Q2351" s="65"/>
      <c r="R2351" s="53">
        <f>IF(R2347&lt;R2348,R2349,R2350)</f>
        <v>9.0277071168306939</v>
      </c>
      <c r="S2351" s="49"/>
      <c r="T2351" s="72"/>
      <c r="U2351" s="64">
        <f>IF(U2347&lt;U2348,U2349,U2350)</f>
        <v>41.625524706258055</v>
      </c>
      <c r="V2351" s="44"/>
      <c r="W2351" s="72"/>
      <c r="X2351" s="64">
        <f>IF(X2347&lt;X2348,X2349,X2350)</f>
        <v>122.6924921970066</v>
      </c>
      <c r="Y2351" s="44"/>
      <c r="Z2351" s="72"/>
      <c r="AA2351" s="64" t="e">
        <f>IF(AA2347&lt;AA2348,AA2349,AA2350)</f>
        <v>#NUM!</v>
      </c>
      <c r="AB2351" s="44"/>
      <c r="AC2351" s="72"/>
      <c r="AD2351" s="64" t="e">
        <f>IF(AD2347&lt;AD2348,AD2349,AD2350)</f>
        <v>#NUM!</v>
      </c>
      <c r="AE2351" s="44"/>
      <c r="AF2351" s="72"/>
      <c r="AG2351" s="64" t="e">
        <f>IF(AG2347&lt;AG2348,AG2349,AG2350)</f>
        <v>#NUM!</v>
      </c>
      <c r="AH2351" s="44"/>
      <c r="AI2351" s="72"/>
      <c r="AJ2351" s="64" t="e">
        <f>IF(AJ2347&lt;AJ2348,AJ2349,AJ2350)</f>
        <v>#NUM!</v>
      </c>
      <c r="AK2351" s="44"/>
      <c r="AL2351" s="72"/>
      <c r="AM2351" s="64" t="e">
        <f>IF(AM2347&lt;AM2348,AM2349,AM2350)</f>
        <v>#NUM!</v>
      </c>
      <c r="AN2351" s="44"/>
      <c r="AO2351" s="72"/>
      <c r="AP2351" s="64" t="e">
        <f>IF(AP2347&lt;AP2348,AP2349,AP2350)</f>
        <v>#NUM!</v>
      </c>
      <c r="AQ2351" s="44"/>
      <c r="AR2351" s="72"/>
      <c r="AS2351" s="64" t="e">
        <f>IF(AS2347&lt;AS2348,AS2349,AS2350)</f>
        <v>#NUM!</v>
      </c>
      <c r="AT2351" s="44"/>
      <c r="AU2351" s="72"/>
    </row>
    <row r="2352" spans="15:47" ht="13" x14ac:dyDescent="0.3">
      <c r="O2352" s="7" t="s">
        <v>264</v>
      </c>
      <c r="Q2352" s="61"/>
      <c r="R2352" s="53"/>
      <c r="S2352" s="69">
        <f>IFERROR(ABS(C_h-R2351),Q_max*10)</f>
        <v>4.0277071168306939</v>
      </c>
      <c r="T2352" s="76">
        <f>R2343</f>
        <v>51.183037630914846</v>
      </c>
      <c r="U2352" s="61"/>
      <c r="V2352" s="69">
        <f>IFERROR(ABS(U$23-U2351),Q_max*10)</f>
        <v>29.625524706258055</v>
      </c>
      <c r="W2352" s="75">
        <f>U2343</f>
        <v>228.35440754746747</v>
      </c>
      <c r="X2352" s="61"/>
      <c r="Y2352" s="69">
        <f>IFERROR(ABS(X$23-X2351),Q_max*10)</f>
        <v>99.692492197006601</v>
      </c>
      <c r="Z2352" s="75">
        <f>X2343</f>
        <v>548.13848026735127</v>
      </c>
      <c r="AA2352" s="61"/>
      <c r="AB2352" s="69">
        <f>IFERROR(ABS(AA$23-AA2351),Q_max*10)</f>
        <v>5500</v>
      </c>
      <c r="AC2352" s="75">
        <f>AA2343</f>
        <v>1046.5972451012979</v>
      </c>
      <c r="AD2352" s="61"/>
      <c r="AE2352" s="69">
        <f>IFERROR(ABS(AD$23-AD2351),Q_max*10)</f>
        <v>5500</v>
      </c>
      <c r="AF2352" s="75">
        <f>AD2343</f>
        <v>1721.2671339477354</v>
      </c>
      <c r="AG2352" s="61"/>
      <c r="AH2352" s="69">
        <f>IFERROR(ABS(AG$23-AG2351),Q_max*10)</f>
        <v>5500</v>
      </c>
      <c r="AI2352" s="75">
        <f>AG2343</f>
        <v>2562.732211552122</v>
      </c>
      <c r="AJ2352" s="61"/>
      <c r="AK2352" s="69">
        <f>IFERROR(ABS(AJ$23-AJ2351),Q_max*10)</f>
        <v>5500</v>
      </c>
      <c r="AL2352" s="75">
        <f>AJ2343</f>
        <v>3419.9760709200268</v>
      </c>
      <c r="AM2352" s="61"/>
      <c r="AN2352" s="69">
        <f>IFERROR(ABS(AM$23-AM2351),Q_max*10)</f>
        <v>5500</v>
      </c>
      <c r="AO2352" s="75">
        <f>AM2343</f>
        <v>4173.0207385969989</v>
      </c>
      <c r="AP2352" s="61"/>
      <c r="AQ2352" s="69">
        <f>IFERROR(ABS(AP$23-AP2351),Q_max*10)</f>
        <v>5500</v>
      </c>
      <c r="AR2352" s="75">
        <f>AP2343</f>
        <v>4844.7475276262976</v>
      </c>
      <c r="AS2352" s="61"/>
      <c r="AT2352" s="69">
        <f>IFERROR(ABS(AS$23-AS2351),Q_max*10)</f>
        <v>5500</v>
      </c>
      <c r="AU2352" s="75">
        <f>AS2343</f>
        <v>5513.7746065872816</v>
      </c>
    </row>
    <row r="2353" spans="15:47" ht="14.5" x14ac:dyDescent="0.35">
      <c r="Q2353" s="61"/>
      <c r="R2353" s="67"/>
      <c r="S2353" s="56"/>
      <c r="T2353" s="72"/>
      <c r="V2353" s="11"/>
      <c r="W2353" s="38"/>
      <c r="Y2353" s="11"/>
      <c r="Z2353" s="38"/>
      <c r="AB2353" s="11"/>
      <c r="AC2353" s="38"/>
      <c r="AE2353" s="11"/>
      <c r="AF2353" s="38"/>
      <c r="AH2353" s="11"/>
      <c r="AI2353" s="38"/>
      <c r="AK2353" s="11"/>
      <c r="AL2353" s="38"/>
      <c r="AN2353" s="11"/>
      <c r="AO2353" s="38"/>
      <c r="AQ2353" s="11"/>
      <c r="AR2353" s="38"/>
      <c r="AT2353" s="11"/>
      <c r="AU2353" s="38"/>
    </row>
    <row r="2354" spans="15:47" ht="14" x14ac:dyDescent="0.3">
      <c r="O2354" s="8" t="s">
        <v>235</v>
      </c>
      <c r="P2354" s="6"/>
      <c r="Q2354" s="60"/>
      <c r="R2354" s="53">
        <f>R2343*1.02</f>
        <v>52.206698383533144</v>
      </c>
      <c r="S2354" s="58" t="s">
        <v>238</v>
      </c>
      <c r="T2354" s="73" t="s">
        <v>241</v>
      </c>
      <c r="U2354" s="84">
        <f>U2343*1.01</f>
        <v>230.63795162294215</v>
      </c>
      <c r="V2354" s="58" t="s">
        <v>238</v>
      </c>
      <c r="W2354" s="73" t="s">
        <v>241</v>
      </c>
      <c r="X2354" s="84">
        <f>X2343*1.01</f>
        <v>553.61986507002484</v>
      </c>
      <c r="Y2354" s="58" t="s">
        <v>238</v>
      </c>
      <c r="Z2354" s="73" t="s">
        <v>241</v>
      </c>
      <c r="AA2354" s="84">
        <f>AA2343*1.01</f>
        <v>1057.0632175523108</v>
      </c>
      <c r="AB2354" s="58" t="s">
        <v>238</v>
      </c>
      <c r="AC2354" s="73" t="s">
        <v>241</v>
      </c>
      <c r="AD2354" s="84">
        <f>AD2343*1.01</f>
        <v>1738.4798052872127</v>
      </c>
      <c r="AE2354" s="58" t="s">
        <v>238</v>
      </c>
      <c r="AF2354" s="73" t="s">
        <v>241</v>
      </c>
      <c r="AG2354" s="84">
        <f>AG2343*1.01</f>
        <v>2588.3595336676431</v>
      </c>
      <c r="AH2354" s="58" t="s">
        <v>238</v>
      </c>
      <c r="AI2354" s="73" t="s">
        <v>241</v>
      </c>
      <c r="AJ2354" s="84">
        <f>AJ2343*1.01</f>
        <v>3454.1758316292271</v>
      </c>
      <c r="AK2354" s="58" t="s">
        <v>238</v>
      </c>
      <c r="AL2354" s="73" t="s">
        <v>241</v>
      </c>
      <c r="AM2354" s="84">
        <f>AM2343*1.01</f>
        <v>4214.7509459829689</v>
      </c>
      <c r="AN2354" s="58" t="s">
        <v>238</v>
      </c>
      <c r="AO2354" s="73" t="s">
        <v>241</v>
      </c>
      <c r="AP2354" s="84">
        <f>AP2343*1.01</f>
        <v>4893.1950029025602</v>
      </c>
      <c r="AQ2354" s="58" t="s">
        <v>238</v>
      </c>
      <c r="AR2354" s="73" t="s">
        <v>241</v>
      </c>
      <c r="AS2354" s="84">
        <f>AS2343*1.01</f>
        <v>5568.9123526531548</v>
      </c>
      <c r="AT2354" s="58" t="s">
        <v>238</v>
      </c>
      <c r="AU2354" s="73" t="s">
        <v>241</v>
      </c>
    </row>
    <row r="2355" spans="15:47" ht="13" x14ac:dyDescent="0.25">
      <c r="O2355" s="6"/>
      <c r="P2355" s="6"/>
      <c r="Q2355" s="60"/>
      <c r="R2355" s="70"/>
      <c r="S2355" s="63" t="s">
        <v>250</v>
      </c>
      <c r="T2355" s="71" t="s">
        <v>242</v>
      </c>
      <c r="U2355" s="61"/>
      <c r="V2355" s="63" t="s">
        <v>250</v>
      </c>
      <c r="W2355" s="71" t="s">
        <v>242</v>
      </c>
      <c r="X2355" s="61"/>
      <c r="Y2355" s="63" t="s">
        <v>250</v>
      </c>
      <c r="Z2355" s="71" t="s">
        <v>242</v>
      </c>
      <c r="AA2355" s="61"/>
      <c r="AB2355" s="63" t="s">
        <v>250</v>
      </c>
      <c r="AC2355" s="71" t="s">
        <v>242</v>
      </c>
      <c r="AD2355" s="61"/>
      <c r="AE2355" s="63" t="s">
        <v>250</v>
      </c>
      <c r="AF2355" s="71" t="s">
        <v>242</v>
      </c>
      <c r="AG2355" s="61"/>
      <c r="AH2355" s="63" t="s">
        <v>250</v>
      </c>
      <c r="AI2355" s="71" t="s">
        <v>242</v>
      </c>
      <c r="AJ2355" s="61"/>
      <c r="AK2355" s="63" t="s">
        <v>250</v>
      </c>
      <c r="AL2355" s="71" t="s">
        <v>242</v>
      </c>
      <c r="AM2355" s="61"/>
      <c r="AN2355" s="63" t="s">
        <v>250</v>
      </c>
      <c r="AO2355" s="71" t="s">
        <v>242</v>
      </c>
      <c r="AP2355" s="61"/>
      <c r="AQ2355" s="63" t="s">
        <v>250</v>
      </c>
      <c r="AR2355" s="71" t="s">
        <v>242</v>
      </c>
      <c r="AS2355" s="61"/>
      <c r="AT2355" s="63" t="s">
        <v>250</v>
      </c>
      <c r="AU2355" s="71" t="s">
        <v>242</v>
      </c>
    </row>
    <row r="2356" spans="15:47" ht="13" x14ac:dyDescent="0.3">
      <c r="O2356" s="6" t="s">
        <v>231</v>
      </c>
      <c r="P2356" s="6"/>
      <c r="Q2356" s="60"/>
      <c r="R2356" s="85">
        <f>P_1_minQ-(R2354^2*R_up)+dpup_minQ</f>
        <v>56.824095259840959</v>
      </c>
      <c r="S2356" s="56"/>
      <c r="T2356" s="72"/>
      <c r="U2356" s="53">
        <f>P_1_minQ-(U2354^2*R_up)+dpup_minQ</f>
        <v>55.119660090211866</v>
      </c>
      <c r="V2356" s="44"/>
      <c r="W2356" s="72"/>
      <c r="X2356" s="53">
        <f>P_1_minQ-(X2354^2*R_up)+dpup_minQ</f>
        <v>46.565080884831055</v>
      </c>
      <c r="Y2356" s="44"/>
      <c r="Z2356" s="72"/>
      <c r="AA2356" s="53">
        <f>P_1_minQ-(AA2354^2*R_up)+dpup_minQ</f>
        <v>19.17947835521635</v>
      </c>
      <c r="AB2356" s="44"/>
      <c r="AC2356" s="72"/>
      <c r="AD2356" s="53">
        <f>P_1_minQ-(AD2354^2*R_up)+dpup_minQ</f>
        <v>-45.154509739664483</v>
      </c>
      <c r="AE2356" s="44"/>
      <c r="AF2356" s="72"/>
      <c r="AG2356" s="53">
        <f>P_1_minQ-(AG2354^2*R_up)+dpup_minQ</f>
        <v>-169.34542639406212</v>
      </c>
      <c r="AH2356" s="44"/>
      <c r="AI2356" s="72"/>
      <c r="AJ2356" s="53">
        <f>P_1_minQ-(AJ2354^2*R_up)+dpup_minQ</f>
        <v>-346.03322106759413</v>
      </c>
      <c r="AK2356" s="44"/>
      <c r="AL2356" s="72"/>
      <c r="AM2356" s="53">
        <f>P_1_minQ-(AM2354^2*R_up)+dpup_minQ</f>
        <v>-543.02055172794098</v>
      </c>
      <c r="AN2356" s="44"/>
      <c r="AO2356" s="72"/>
      <c r="AP2356" s="53">
        <f>P_1_minQ-(AP2354^2*R_up)+dpup_minQ</f>
        <v>-751.70788032524774</v>
      </c>
      <c r="AQ2356" s="44"/>
      <c r="AR2356" s="72"/>
      <c r="AS2356" s="53">
        <f>P_1_minQ-(AS2354^2*R_up)+dpup_minQ</f>
        <v>-990.45922970391416</v>
      </c>
      <c r="AT2356" s="44"/>
      <c r="AU2356" s="72"/>
    </row>
    <row r="2357" spans="15:47" ht="13" x14ac:dyDescent="0.3">
      <c r="O2357" s="6" t="s">
        <v>233</v>
      </c>
      <c r="P2357" s="6"/>
      <c r="Q2357" s="60"/>
      <c r="R2357" s="85">
        <f>P_2_minQ+(R2354^2*R_dn)-dpdn_minQ</f>
        <v>24.675180948031809</v>
      </c>
      <c r="S2357" s="66"/>
      <c r="T2357" s="74"/>
      <c r="U2357" s="53">
        <f>P_2_minQ+(U2354^2*R_dn)-dpdn_minQ</f>
        <v>25.016067981957629</v>
      </c>
      <c r="V2357" s="45"/>
      <c r="W2357" s="74"/>
      <c r="X2357" s="53">
        <f>P_2_minQ+(X2354^2*R_dn)-dpdn_minQ</f>
        <v>26.726983823033791</v>
      </c>
      <c r="Y2357" s="45"/>
      <c r="Z2357" s="74"/>
      <c r="AA2357" s="53">
        <f>P_2_minQ+(AA2354^2*R_dn)-dpdn_minQ</f>
        <v>32.204104328956731</v>
      </c>
      <c r="AB2357" s="45"/>
      <c r="AC2357" s="74"/>
      <c r="AD2357" s="53">
        <f>P_2_minQ+(AD2354^2*R_dn)-dpdn_minQ</f>
        <v>45.070901947932896</v>
      </c>
      <c r="AE2357" s="45"/>
      <c r="AF2357" s="74"/>
      <c r="AG2357" s="53">
        <f>P_2_minQ+(AG2354^2*R_dn)-dpdn_minQ</f>
        <v>69.909085278812427</v>
      </c>
      <c r="AH2357" s="45"/>
      <c r="AI2357" s="74"/>
      <c r="AJ2357" s="53">
        <f>P_2_minQ+(AJ2354^2*R_dn)-dpdn_minQ</f>
        <v>105.24664421351883</v>
      </c>
      <c r="AK2357" s="45"/>
      <c r="AL2357" s="74"/>
      <c r="AM2357" s="53">
        <f>P_2_minQ+(AM2354^2*R_dn)-dpdn_minQ</f>
        <v>144.64411034558819</v>
      </c>
      <c r="AN2357" s="45"/>
      <c r="AO2357" s="74"/>
      <c r="AP2357" s="53">
        <f>P_2_minQ+(AP2354^2*R_dn)-dpdn_minQ</f>
        <v>186.38157606504953</v>
      </c>
      <c r="AQ2357" s="45"/>
      <c r="AR2357" s="74"/>
      <c r="AS2357" s="53">
        <f>P_2_minQ+(AS2354^2*R_dn)-dpdn_minQ</f>
        <v>234.13184594078282</v>
      </c>
      <c r="AT2357" s="45"/>
      <c r="AU2357" s="74"/>
    </row>
    <row r="2358" spans="15:47" x14ac:dyDescent="0.25">
      <c r="O2358" s="6" t="s">
        <v>243</v>
      </c>
      <c r="Q2358" s="60"/>
      <c r="R2358" s="53">
        <f>R2356-R2357</f>
        <v>32.14891431180915</v>
      </c>
      <c r="S2358" s="56"/>
      <c r="T2358" s="72"/>
      <c r="U2358" s="64">
        <f>U2356-U2357</f>
        <v>30.103592108254237</v>
      </c>
      <c r="V2358" s="44"/>
      <c r="W2358" s="72"/>
      <c r="X2358" s="64">
        <f>X2356-X2357</f>
        <v>19.838097061797264</v>
      </c>
      <c r="Y2358" s="44"/>
      <c r="Z2358" s="72"/>
      <c r="AA2358" s="64">
        <f>AA2356-AA2357</f>
        <v>-13.024625973740381</v>
      </c>
      <c r="AB2358" s="44"/>
      <c r="AC2358" s="72"/>
      <c r="AD2358" s="64">
        <f>AD2356-AD2357</f>
        <v>-90.225411687597386</v>
      </c>
      <c r="AE2358" s="44"/>
      <c r="AF2358" s="72"/>
      <c r="AG2358" s="64">
        <f>AG2356-AG2357</f>
        <v>-239.25451167287454</v>
      </c>
      <c r="AH2358" s="44"/>
      <c r="AI2358" s="72"/>
      <c r="AJ2358" s="64">
        <f>AJ2356-AJ2357</f>
        <v>-451.27986528111296</v>
      </c>
      <c r="AK2358" s="44"/>
      <c r="AL2358" s="72"/>
      <c r="AM2358" s="64">
        <f>AM2356-AM2357</f>
        <v>-687.66466207352914</v>
      </c>
      <c r="AN2358" s="44"/>
      <c r="AO2358" s="72"/>
      <c r="AP2358" s="64">
        <f>AP2356-AP2357</f>
        <v>-938.0894563902973</v>
      </c>
      <c r="AQ2358" s="44"/>
      <c r="AR2358" s="72"/>
      <c r="AS2358" s="64">
        <f>AS2356-AS2357</f>
        <v>-1224.591075644697</v>
      </c>
      <c r="AT2358" s="44"/>
      <c r="AU2358" s="72"/>
    </row>
    <row r="2359" spans="15:47" ht="13" x14ac:dyDescent="0.3">
      <c r="O2359" s="6" t="s">
        <v>75</v>
      </c>
      <c r="P2359" s="6">
        <v>3</v>
      </c>
      <c r="Q2359" s="65"/>
      <c r="R2359" s="85">
        <f>(F_LP_h/F_P_h)^2*(R2356-('Valve Sizing'!$V$4*'Valve Sizing'!$G$7))</f>
        <v>46.688942719925556</v>
      </c>
      <c r="S2359" s="58"/>
      <c r="T2359" s="73"/>
      <c r="U2359" s="53">
        <f>(U$29/U$27)^2*(U2356-('Valve Sizing'!$V$4*'Valve Sizing'!$G$7))</f>
        <v>45.26524013568536</v>
      </c>
      <c r="V2359" s="41"/>
      <c r="W2359" s="73"/>
      <c r="X2359" s="53">
        <f>(X$29/X$27)^2*(X2356-('Valve Sizing'!$V$4*'Valve Sizing'!$G$7))</f>
        <v>37.322226965692437</v>
      </c>
      <c r="Y2359" s="41"/>
      <c r="Z2359" s="73"/>
      <c r="AA2359" s="53">
        <f>(AA$29/AA$27)^2*(AA2356-('Valve Sizing'!$V$4*'Valve Sizing'!$G$7))</f>
        <v>14.481772236110327</v>
      </c>
      <c r="AB2359" s="41"/>
      <c r="AC2359" s="73"/>
      <c r="AD2359" s="53">
        <f>(AD$29/AD$27)^2*(AD2356-('Valve Sizing'!$V$4*'Valve Sizing'!$G$7))</f>
        <v>-32.882227850723019</v>
      </c>
      <c r="AE2359" s="41"/>
      <c r="AF2359" s="73"/>
      <c r="AG2359" s="53">
        <f>(AG$29/AG$27)^2*(AG2356-('Valve Sizing'!$V$4*'Valve Sizing'!$G$7))</f>
        <v>-109.34931400948399</v>
      </c>
      <c r="AH2359" s="41"/>
      <c r="AI2359" s="73"/>
      <c r="AJ2359" s="53">
        <f>(AJ$29/AJ$27)^2*(AJ2356-('Valve Sizing'!$V$4*'Valve Sizing'!$G$7))</f>
        <v>-200.38778756476293</v>
      </c>
      <c r="AK2359" s="41"/>
      <c r="AL2359" s="73"/>
      <c r="AM2359" s="53">
        <f>(AM$29/AM$27)^2*(AM2356-('Valve Sizing'!$V$4*'Valve Sizing'!$G$7))</f>
        <v>-260.03076584047881</v>
      </c>
      <c r="AN2359" s="41"/>
      <c r="AO2359" s="73"/>
      <c r="AP2359" s="53">
        <f>(AP$29/AP$27)^2*(AP2356-('Valve Sizing'!$V$4*'Valve Sizing'!$G$7))</f>
        <v>-296.81775447481635</v>
      </c>
      <c r="AQ2359" s="41"/>
      <c r="AR2359" s="73"/>
      <c r="AS2359" s="53">
        <f>(AS$29/AS$27)^2*(AS2356-('Valve Sizing'!$V$4*'Valve Sizing'!$G$7))</f>
        <v>-372.71764482934162</v>
      </c>
      <c r="AT2359" s="41"/>
      <c r="AU2359" s="73"/>
    </row>
    <row r="2360" spans="15:47" ht="13" x14ac:dyDescent="0.25">
      <c r="O2360" s="1" t="s">
        <v>69</v>
      </c>
      <c r="P2360" s="17">
        <v>7</v>
      </c>
      <c r="Q2360" s="65"/>
      <c r="R2360" s="53">
        <f>(R2354/(N_1*F_P_h))*SQRT('Valve Sizing'!$G$6/R2358)</f>
        <v>9.2088755063297203</v>
      </c>
      <c r="S2360" s="58"/>
      <c r="T2360" s="73"/>
      <c r="U2360" s="64">
        <f>(U2354/(N_1*U$27))*SQRT('Valve Sizing'!$G$6/U2358)</f>
        <v>42.071430817168554</v>
      </c>
      <c r="V2360" s="41"/>
      <c r="W2360" s="73"/>
      <c r="X2360" s="64">
        <f>(X2354/(N_1*X$27))*SQRT('Valve Sizing'!$G$6/X2358)</f>
        <v>124.68148820818689</v>
      </c>
      <c r="Y2360" s="41"/>
      <c r="Z2360" s="73"/>
      <c r="AA2360" s="64" t="e">
        <f>(AA2354/(N_1*AA$27))*SQRT('Valve Sizing'!$G$6/AA2358)</f>
        <v>#NUM!</v>
      </c>
      <c r="AB2360" s="41"/>
      <c r="AC2360" s="73"/>
      <c r="AD2360" s="64" t="e">
        <f>(AD2354/(N_1*AD$27))*SQRT('Valve Sizing'!$G$6/AD2358)</f>
        <v>#NUM!</v>
      </c>
      <c r="AE2360" s="41"/>
      <c r="AF2360" s="73"/>
      <c r="AG2360" s="64" t="e">
        <f>(AG2354/(N_1*AG$27))*SQRT('Valve Sizing'!$G$6/AG2358)</f>
        <v>#NUM!</v>
      </c>
      <c r="AH2360" s="41"/>
      <c r="AI2360" s="73"/>
      <c r="AJ2360" s="64" t="e">
        <f>(AJ2354/(N_1*AJ$27))*SQRT('Valve Sizing'!$G$6/AJ2358)</f>
        <v>#NUM!</v>
      </c>
      <c r="AK2360" s="41"/>
      <c r="AL2360" s="73"/>
      <c r="AM2360" s="64" t="e">
        <f>(AM2354/(N_1*AM$27))*SQRT('Valve Sizing'!$G$6/AM2358)</f>
        <v>#NUM!</v>
      </c>
      <c r="AN2360" s="41"/>
      <c r="AO2360" s="73"/>
      <c r="AP2360" s="64" t="e">
        <f>(AP2354/(N_1*AP$27))*SQRT('Valve Sizing'!$G$6/AP2358)</f>
        <v>#NUM!</v>
      </c>
      <c r="AQ2360" s="41"/>
      <c r="AR2360" s="73"/>
      <c r="AS2360" s="64" t="e">
        <f>(AS2354/(N_1*AS$27))*SQRT('Valve Sizing'!$G$6/AS2358)</f>
        <v>#NUM!</v>
      </c>
      <c r="AT2360" s="41"/>
      <c r="AU2360" s="73"/>
    </row>
    <row r="2361" spans="15:47" ht="13" x14ac:dyDescent="0.3">
      <c r="O2361" s="1" t="s">
        <v>72</v>
      </c>
      <c r="P2361" s="17">
        <v>7</v>
      </c>
      <c r="Q2361" s="65"/>
      <c r="R2361" s="53">
        <f>(R2354/(N_1*F_P_h))*SQRT('Valve Sizing'!$G$6/R2359)</f>
        <v>7.6415724973064156</v>
      </c>
      <c r="S2361" s="56"/>
      <c r="T2361" s="72"/>
      <c r="U2361" s="85">
        <f>(U2354/(N_1*U$27))*SQRT('Valve Sizing'!$G$6/U2359)</f>
        <v>34.309471507391621</v>
      </c>
      <c r="V2361" s="44"/>
      <c r="W2361" s="72"/>
      <c r="X2361" s="85">
        <f>(X2354/(N_1*X$27))*SQRT('Valve Sizing'!$G$6/X2359)</f>
        <v>90.900905204388692</v>
      </c>
      <c r="Y2361" s="44"/>
      <c r="Z2361" s="72"/>
      <c r="AA2361" s="85">
        <f>(AA2354/(N_1*AA$27))*SQRT('Valve Sizing'!$G$6/AA2359)</f>
        <v>280.23459463368698</v>
      </c>
      <c r="AB2361" s="44"/>
      <c r="AC2361" s="72"/>
      <c r="AD2361" s="85" t="e">
        <f>(AD2354/(N_1*AD$27))*SQRT('Valve Sizing'!$G$6/AD2359)</f>
        <v>#NUM!</v>
      </c>
      <c r="AE2361" s="44"/>
      <c r="AF2361" s="72"/>
      <c r="AG2361" s="85" t="e">
        <f>(AG2354/(N_1*AG$27))*SQRT('Valve Sizing'!$G$6/AG2359)</f>
        <v>#NUM!</v>
      </c>
      <c r="AH2361" s="44"/>
      <c r="AI2361" s="72"/>
      <c r="AJ2361" s="85" t="e">
        <f>(AJ2354/(N_1*AJ$27))*SQRT('Valve Sizing'!$G$6/AJ2359)</f>
        <v>#NUM!</v>
      </c>
      <c r="AK2361" s="44"/>
      <c r="AL2361" s="72"/>
      <c r="AM2361" s="85" t="e">
        <f>(AM2354/(N_1*AM$27))*SQRT('Valve Sizing'!$G$6/AM2359)</f>
        <v>#NUM!</v>
      </c>
      <c r="AN2361" s="44"/>
      <c r="AO2361" s="72"/>
      <c r="AP2361" s="85" t="e">
        <f>(AP2354/(N_1*AP$27))*SQRT('Valve Sizing'!$G$6/AP2359)</f>
        <v>#NUM!</v>
      </c>
      <c r="AQ2361" s="44"/>
      <c r="AR2361" s="72"/>
      <c r="AS2361" s="85" t="e">
        <f>(AS2354/(N_1*AS$27))*SQRT('Valve Sizing'!$G$6/AS2359)</f>
        <v>#NUM!</v>
      </c>
      <c r="AT2361" s="44"/>
      <c r="AU2361" s="72"/>
    </row>
    <row r="2362" spans="15:47" x14ac:dyDescent="0.25">
      <c r="O2362" s="1" t="s">
        <v>246</v>
      </c>
      <c r="P2362" s="18"/>
      <c r="Q2362" s="65"/>
      <c r="R2362" s="53">
        <f>IF(R2358&lt;R2359,R2360,R2361)</f>
        <v>9.2088755063297203</v>
      </c>
      <c r="S2362" s="49"/>
      <c r="T2362" s="72"/>
      <c r="U2362" s="64">
        <f>IF(U2358&lt;U2359,U2360,U2361)</f>
        <v>42.071430817168554</v>
      </c>
      <c r="V2362" s="44"/>
      <c r="W2362" s="72"/>
      <c r="X2362" s="64">
        <f>IF(X2358&lt;X2359,X2360,X2361)</f>
        <v>124.68148820818689</v>
      </c>
      <c r="Y2362" s="44"/>
      <c r="Z2362" s="72"/>
      <c r="AA2362" s="64" t="e">
        <f>IF(AA2358&lt;AA2359,AA2360,AA2361)</f>
        <v>#NUM!</v>
      </c>
      <c r="AB2362" s="44"/>
      <c r="AC2362" s="72"/>
      <c r="AD2362" s="64" t="e">
        <f>IF(AD2358&lt;AD2359,AD2360,AD2361)</f>
        <v>#NUM!</v>
      </c>
      <c r="AE2362" s="44"/>
      <c r="AF2362" s="72"/>
      <c r="AG2362" s="64" t="e">
        <f>IF(AG2358&lt;AG2359,AG2360,AG2361)</f>
        <v>#NUM!</v>
      </c>
      <c r="AH2362" s="44"/>
      <c r="AI2362" s="72"/>
      <c r="AJ2362" s="64" t="e">
        <f>IF(AJ2358&lt;AJ2359,AJ2360,AJ2361)</f>
        <v>#NUM!</v>
      </c>
      <c r="AK2362" s="44"/>
      <c r="AL2362" s="72"/>
      <c r="AM2362" s="64" t="e">
        <f>IF(AM2358&lt;AM2359,AM2360,AM2361)</f>
        <v>#NUM!</v>
      </c>
      <c r="AN2362" s="44"/>
      <c r="AO2362" s="72"/>
      <c r="AP2362" s="64" t="e">
        <f>IF(AP2358&lt;AP2359,AP2360,AP2361)</f>
        <v>#NUM!</v>
      </c>
      <c r="AQ2362" s="44"/>
      <c r="AR2362" s="72"/>
      <c r="AS2362" s="64" t="e">
        <f>IF(AS2358&lt;AS2359,AS2360,AS2361)</f>
        <v>#NUM!</v>
      </c>
      <c r="AT2362" s="44"/>
      <c r="AU2362" s="72"/>
    </row>
    <row r="2363" spans="15:47" ht="13" x14ac:dyDescent="0.3">
      <c r="O2363" s="7" t="s">
        <v>264</v>
      </c>
      <c r="Q2363" s="61"/>
      <c r="R2363" s="53"/>
      <c r="S2363" s="69">
        <f>IFERROR(ABS(C_h-R2362),Q_max*10)</f>
        <v>4.2088755063297203</v>
      </c>
      <c r="T2363" s="76">
        <f>R2354</f>
        <v>52.206698383533144</v>
      </c>
      <c r="U2363" s="61"/>
      <c r="V2363" s="69">
        <f>IFERROR(ABS(U$23-U2362),Q_max*10)</f>
        <v>30.071430817168554</v>
      </c>
      <c r="W2363" s="75">
        <f>U2354</f>
        <v>230.63795162294215</v>
      </c>
      <c r="X2363" s="61"/>
      <c r="Y2363" s="69">
        <f>IFERROR(ABS(X$23-X2362),Q_max*10)</f>
        <v>101.68148820818689</v>
      </c>
      <c r="Z2363" s="75">
        <f>X2354</f>
        <v>553.61986507002484</v>
      </c>
      <c r="AA2363" s="61"/>
      <c r="AB2363" s="69">
        <f>IFERROR(ABS(AA$23-AA2362),Q_max*10)</f>
        <v>5500</v>
      </c>
      <c r="AC2363" s="75">
        <f>AA2354</f>
        <v>1057.0632175523108</v>
      </c>
      <c r="AD2363" s="61"/>
      <c r="AE2363" s="69">
        <f>IFERROR(ABS(AD$23-AD2362),Q_max*10)</f>
        <v>5500</v>
      </c>
      <c r="AF2363" s="75">
        <f>AD2354</f>
        <v>1738.4798052872127</v>
      </c>
      <c r="AG2363" s="61"/>
      <c r="AH2363" s="69">
        <f>IFERROR(ABS(AG$23-AG2362),Q_max*10)</f>
        <v>5500</v>
      </c>
      <c r="AI2363" s="75">
        <f>AG2354</f>
        <v>2588.3595336676431</v>
      </c>
      <c r="AJ2363" s="61"/>
      <c r="AK2363" s="69">
        <f>IFERROR(ABS(AJ$23-AJ2362),Q_max*10)</f>
        <v>5500</v>
      </c>
      <c r="AL2363" s="75">
        <f>AJ2354</f>
        <v>3454.1758316292271</v>
      </c>
      <c r="AM2363" s="61"/>
      <c r="AN2363" s="69">
        <f>IFERROR(ABS(AM$23-AM2362),Q_max*10)</f>
        <v>5500</v>
      </c>
      <c r="AO2363" s="75">
        <f>AM2354</f>
        <v>4214.7509459829689</v>
      </c>
      <c r="AP2363" s="61"/>
      <c r="AQ2363" s="69">
        <f>IFERROR(ABS(AP$23-AP2362),Q_max*10)</f>
        <v>5500</v>
      </c>
      <c r="AR2363" s="75">
        <f>AP2354</f>
        <v>4893.1950029025602</v>
      </c>
      <c r="AS2363" s="61"/>
      <c r="AT2363" s="69">
        <f>IFERROR(ABS(AS$23-AS2362),Q_max*10)</f>
        <v>5500</v>
      </c>
      <c r="AU2363" s="75">
        <f>AS2354</f>
        <v>5568.9123526531548</v>
      </c>
    </row>
    <row r="2364" spans="15:47" ht="14.5" x14ac:dyDescent="0.35">
      <c r="O2364" s="6"/>
      <c r="P2364" s="6"/>
      <c r="Q2364" s="60"/>
      <c r="R2364" s="67"/>
      <c r="S2364" s="56"/>
      <c r="T2364" s="72"/>
      <c r="V2364" s="11"/>
      <c r="W2364" s="38"/>
      <c r="Y2364" s="11"/>
      <c r="Z2364" s="38"/>
      <c r="AB2364" s="11"/>
      <c r="AC2364" s="38"/>
      <c r="AE2364" s="11"/>
      <c r="AF2364" s="38"/>
      <c r="AH2364" s="11"/>
      <c r="AI2364" s="38"/>
      <c r="AK2364" s="11"/>
      <c r="AL2364" s="38"/>
      <c r="AN2364" s="11"/>
      <c r="AO2364" s="38"/>
      <c r="AQ2364" s="11"/>
      <c r="AR2364" s="38"/>
      <c r="AT2364" s="11"/>
      <c r="AU2364" s="38"/>
    </row>
    <row r="2365" spans="15:47" ht="14" x14ac:dyDescent="0.3">
      <c r="O2365" s="8" t="s">
        <v>235</v>
      </c>
      <c r="P2365" s="6"/>
      <c r="Q2365" s="60"/>
      <c r="R2365" s="53">
        <f>R2354*1.02</f>
        <v>53.250832351203805</v>
      </c>
      <c r="S2365" s="58" t="s">
        <v>238</v>
      </c>
      <c r="T2365" s="73" t="s">
        <v>241</v>
      </c>
      <c r="U2365" s="84">
        <f>U2354*1.01</f>
        <v>232.94433113917157</v>
      </c>
      <c r="V2365" s="58" t="s">
        <v>238</v>
      </c>
      <c r="W2365" s="73" t="s">
        <v>241</v>
      </c>
      <c r="X2365" s="84">
        <f>X2354*1.01</f>
        <v>559.15606372072511</v>
      </c>
      <c r="Y2365" s="58" t="s">
        <v>238</v>
      </c>
      <c r="Z2365" s="73" t="s">
        <v>241</v>
      </c>
      <c r="AA2365" s="84">
        <f>AA2354*1.01</f>
        <v>1067.6338497278339</v>
      </c>
      <c r="AB2365" s="58" t="s">
        <v>238</v>
      </c>
      <c r="AC2365" s="73" t="s">
        <v>241</v>
      </c>
      <c r="AD2365" s="84">
        <f>AD2354*1.01</f>
        <v>1755.8646033400848</v>
      </c>
      <c r="AE2365" s="58" t="s">
        <v>238</v>
      </c>
      <c r="AF2365" s="73" t="s">
        <v>241</v>
      </c>
      <c r="AG2365" s="84">
        <f>AG2354*1.01</f>
        <v>2614.2431290043196</v>
      </c>
      <c r="AH2365" s="58" t="s">
        <v>238</v>
      </c>
      <c r="AI2365" s="73" t="s">
        <v>241</v>
      </c>
      <c r="AJ2365" s="84">
        <f>AJ2354*1.01</f>
        <v>3488.7175899455192</v>
      </c>
      <c r="AK2365" s="58" t="s">
        <v>238</v>
      </c>
      <c r="AL2365" s="73" t="s">
        <v>241</v>
      </c>
      <c r="AM2365" s="84">
        <f>AM2354*1.01</f>
        <v>4256.8984554427989</v>
      </c>
      <c r="AN2365" s="58" t="s">
        <v>238</v>
      </c>
      <c r="AO2365" s="73" t="s">
        <v>241</v>
      </c>
      <c r="AP2365" s="84">
        <f>AP2354*1.01</f>
        <v>4942.1269529315859</v>
      </c>
      <c r="AQ2365" s="58" t="s">
        <v>238</v>
      </c>
      <c r="AR2365" s="73" t="s">
        <v>241</v>
      </c>
      <c r="AS2365" s="84">
        <f>AS2354*1.01</f>
        <v>5624.601476179686</v>
      </c>
      <c r="AT2365" s="58" t="s">
        <v>238</v>
      </c>
      <c r="AU2365" s="73" t="s">
        <v>241</v>
      </c>
    </row>
    <row r="2366" spans="15:47" ht="13" x14ac:dyDescent="0.25">
      <c r="O2366" s="6"/>
      <c r="P2366" s="6"/>
      <c r="Q2366" s="60"/>
      <c r="R2366" s="70"/>
      <c r="S2366" s="63" t="s">
        <v>250</v>
      </c>
      <c r="T2366" s="71" t="s">
        <v>242</v>
      </c>
      <c r="U2366" s="61"/>
      <c r="V2366" s="63" t="s">
        <v>250</v>
      </c>
      <c r="W2366" s="71" t="s">
        <v>242</v>
      </c>
      <c r="X2366" s="61"/>
      <c r="Y2366" s="63" t="s">
        <v>250</v>
      </c>
      <c r="Z2366" s="71" t="s">
        <v>242</v>
      </c>
      <c r="AA2366" s="61"/>
      <c r="AB2366" s="63" t="s">
        <v>250</v>
      </c>
      <c r="AC2366" s="71" t="s">
        <v>242</v>
      </c>
      <c r="AD2366" s="61"/>
      <c r="AE2366" s="63" t="s">
        <v>250</v>
      </c>
      <c r="AF2366" s="71" t="s">
        <v>242</v>
      </c>
      <c r="AG2366" s="61"/>
      <c r="AH2366" s="63" t="s">
        <v>250</v>
      </c>
      <c r="AI2366" s="71" t="s">
        <v>242</v>
      </c>
      <c r="AJ2366" s="61"/>
      <c r="AK2366" s="63" t="s">
        <v>250</v>
      </c>
      <c r="AL2366" s="71" t="s">
        <v>242</v>
      </c>
      <c r="AM2366" s="61"/>
      <c r="AN2366" s="63" t="s">
        <v>250</v>
      </c>
      <c r="AO2366" s="71" t="s">
        <v>242</v>
      </c>
      <c r="AP2366" s="61"/>
      <c r="AQ2366" s="63" t="s">
        <v>250</v>
      </c>
      <c r="AR2366" s="71" t="s">
        <v>242</v>
      </c>
      <c r="AS2366" s="61"/>
      <c r="AT2366" s="63" t="s">
        <v>250</v>
      </c>
      <c r="AU2366" s="71" t="s">
        <v>242</v>
      </c>
    </row>
    <row r="2367" spans="15:47" ht="13" x14ac:dyDescent="0.3">
      <c r="O2367" s="6" t="s">
        <v>231</v>
      </c>
      <c r="P2367" s="6"/>
      <c r="Q2367" s="60"/>
      <c r="R2367" s="85">
        <f>P_1_minQ-(R2365^2*R_up)+dpup_minQ</f>
        <v>56.820376523265921</v>
      </c>
      <c r="S2367" s="56"/>
      <c r="T2367" s="72"/>
      <c r="U2367" s="53">
        <f>P_1_minQ-(U2365^2*R_up)+dpup_minQ</f>
        <v>55.083550779808306</v>
      </c>
      <c r="V2367" s="44"/>
      <c r="W2367" s="72"/>
      <c r="X2367" s="53">
        <f>P_1_minQ-(X2365^2*R_up)+dpup_minQ</f>
        <v>46.357024532399336</v>
      </c>
      <c r="Y2367" s="44"/>
      <c r="Z2367" s="72"/>
      <c r="AA2367" s="53">
        <f>P_1_minQ-(AA2365^2*R_up)+dpup_minQ</f>
        <v>18.420971391939386</v>
      </c>
      <c r="AB2367" s="44"/>
      <c r="AC2367" s="72"/>
      <c r="AD2367" s="53">
        <f>P_1_minQ-(AD2365^2*R_up)+dpup_minQ</f>
        <v>-47.206129863648549</v>
      </c>
      <c r="AE2367" s="44"/>
      <c r="AF2367" s="72"/>
      <c r="AG2367" s="53">
        <f>P_1_minQ-(AG2365^2*R_up)+dpup_minQ</f>
        <v>-173.89328394279957</v>
      </c>
      <c r="AH2367" s="44"/>
      <c r="AI2367" s="72"/>
      <c r="AJ2367" s="53">
        <f>P_1_minQ-(AJ2365^2*R_up)+dpup_minQ</f>
        <v>-354.13250328926961</v>
      </c>
      <c r="AK2367" s="44"/>
      <c r="AL2367" s="72"/>
      <c r="AM2367" s="53">
        <f>P_1_minQ-(AM2365^2*R_up)+dpup_minQ</f>
        <v>-555.07927929588936</v>
      </c>
      <c r="AN2367" s="44"/>
      <c r="AO2367" s="72"/>
      <c r="AP2367" s="53">
        <f>P_1_minQ-(AP2365^2*R_up)+dpup_minQ</f>
        <v>-767.96122319800213</v>
      </c>
      <c r="AQ2367" s="44"/>
      <c r="AR2367" s="72"/>
      <c r="AS2367" s="53">
        <f>P_1_minQ-(AS2365^2*R_up)+dpup_minQ</f>
        <v>-1011.5114746991794</v>
      </c>
      <c r="AT2367" s="44"/>
      <c r="AU2367" s="72"/>
    </row>
    <row r="2368" spans="15:47" ht="13" x14ac:dyDescent="0.3">
      <c r="O2368" s="6" t="s">
        <v>233</v>
      </c>
      <c r="P2368" s="6"/>
      <c r="Q2368" s="60"/>
      <c r="R2368" s="85">
        <f>P_2_minQ+(R2365^2*R_dn)-dpdn_minQ</f>
        <v>24.675924695346815</v>
      </c>
      <c r="S2368" s="66"/>
      <c r="T2368" s="74"/>
      <c r="U2368" s="53">
        <f>P_2_minQ+(U2365^2*R_dn)-dpdn_minQ</f>
        <v>25.023289844038338</v>
      </c>
      <c r="V2368" s="45"/>
      <c r="W2368" s="74"/>
      <c r="X2368" s="53">
        <f>P_2_minQ+(X2365^2*R_dn)-dpdn_minQ</f>
        <v>26.768595093520133</v>
      </c>
      <c r="Y2368" s="45"/>
      <c r="Z2368" s="74"/>
      <c r="AA2368" s="53">
        <f>P_2_minQ+(AA2365^2*R_dn)-dpdn_minQ</f>
        <v>32.355805721612128</v>
      </c>
      <c r="AB2368" s="45"/>
      <c r="AC2368" s="74"/>
      <c r="AD2368" s="53">
        <f>P_2_minQ+(AD2365^2*R_dn)-dpdn_minQ</f>
        <v>45.481225972729717</v>
      </c>
      <c r="AE2368" s="45"/>
      <c r="AF2368" s="74"/>
      <c r="AG2368" s="53">
        <f>P_2_minQ+(AG2365^2*R_dn)-dpdn_minQ</f>
        <v>70.81865678855992</v>
      </c>
      <c r="AH2368" s="45"/>
      <c r="AI2368" s="74"/>
      <c r="AJ2368" s="53">
        <f>P_2_minQ+(AJ2365^2*R_dn)-dpdn_minQ</f>
        <v>106.86650065785392</v>
      </c>
      <c r="AK2368" s="45"/>
      <c r="AL2368" s="74"/>
      <c r="AM2368" s="53">
        <f>P_2_minQ+(AM2365^2*R_dn)-dpdn_minQ</f>
        <v>147.05585585917788</v>
      </c>
      <c r="AN2368" s="45"/>
      <c r="AO2368" s="74"/>
      <c r="AP2368" s="53">
        <f>P_2_minQ+(AP2365^2*R_dn)-dpdn_minQ</f>
        <v>189.63224463960043</v>
      </c>
      <c r="AQ2368" s="45"/>
      <c r="AR2368" s="74"/>
      <c r="AS2368" s="53">
        <f>P_2_minQ+(AS2365^2*R_dn)-dpdn_minQ</f>
        <v>238.34229493983585</v>
      </c>
      <c r="AT2368" s="45"/>
      <c r="AU2368" s="74"/>
    </row>
    <row r="2369" spans="15:47" x14ac:dyDescent="0.25">
      <c r="O2369" s="6" t="s">
        <v>243</v>
      </c>
      <c r="Q2369" s="60"/>
      <c r="R2369" s="53">
        <f>R2367-R2368</f>
        <v>32.144451827919106</v>
      </c>
      <c r="S2369" s="56"/>
      <c r="T2369" s="72"/>
      <c r="U2369" s="64">
        <f>U2367-U2368</f>
        <v>30.060260935769968</v>
      </c>
      <c r="V2369" s="44"/>
      <c r="W2369" s="72"/>
      <c r="X2369" s="64">
        <f>X2367-X2368</f>
        <v>19.588429438879203</v>
      </c>
      <c r="Y2369" s="44"/>
      <c r="Z2369" s="72"/>
      <c r="AA2369" s="64">
        <f>AA2367-AA2368</f>
        <v>-13.934834329672743</v>
      </c>
      <c r="AB2369" s="44"/>
      <c r="AC2369" s="72"/>
      <c r="AD2369" s="64">
        <f>AD2367-AD2368</f>
        <v>-92.687355836378259</v>
      </c>
      <c r="AE2369" s="44"/>
      <c r="AF2369" s="72"/>
      <c r="AG2369" s="64">
        <f>AG2367-AG2368</f>
        <v>-244.7119407313595</v>
      </c>
      <c r="AH2369" s="44"/>
      <c r="AI2369" s="72"/>
      <c r="AJ2369" s="64">
        <f>AJ2367-AJ2368</f>
        <v>-460.99900394712353</v>
      </c>
      <c r="AK2369" s="44"/>
      <c r="AL2369" s="72"/>
      <c r="AM2369" s="64">
        <f>AM2367-AM2368</f>
        <v>-702.13513515506725</v>
      </c>
      <c r="AN2369" s="44"/>
      <c r="AO2369" s="72"/>
      <c r="AP2369" s="64">
        <f>AP2367-AP2368</f>
        <v>-957.59346783760259</v>
      </c>
      <c r="AQ2369" s="44"/>
      <c r="AR2369" s="72"/>
      <c r="AS2369" s="64">
        <f>AS2367-AS2368</f>
        <v>-1249.8537696390154</v>
      </c>
      <c r="AT2369" s="44"/>
      <c r="AU2369" s="72"/>
    </row>
    <row r="2370" spans="15:47" ht="13" x14ac:dyDescent="0.3">
      <c r="O2370" s="6" t="s">
        <v>75</v>
      </c>
      <c r="P2370" s="6">
        <v>3</v>
      </c>
      <c r="Q2370" s="65"/>
      <c r="R2370" s="85">
        <f>(F_LP_h/F_P_h)^2*(R2367-('Valve Sizing'!$V$4*'Valve Sizing'!$G$7))</f>
        <v>46.685863410845172</v>
      </c>
      <c r="S2370" s="58"/>
      <c r="T2370" s="73"/>
      <c r="U2370" s="53">
        <f>(U$29/U$27)^2*(U2367-('Valve Sizing'!$V$4*'Valve Sizing'!$G$7))</f>
        <v>45.235347880910737</v>
      </c>
      <c r="V2370" s="41"/>
      <c r="W2370" s="73"/>
      <c r="X2370" s="53">
        <f>(X$29/X$27)^2*(X2367-('Valve Sizing'!$V$4*'Valve Sizing'!$G$7))</f>
        <v>37.153877426424586</v>
      </c>
      <c r="Y2370" s="41"/>
      <c r="Z2370" s="73"/>
      <c r="AA2370" s="53">
        <f>(AA$29/AA$27)^2*(AA2367-('Valve Sizing'!$V$4*'Valve Sizing'!$G$7))</f>
        <v>13.895600162512729</v>
      </c>
      <c r="AB2370" s="41"/>
      <c r="AC2370" s="73"/>
      <c r="AD2370" s="53">
        <f>(AD$29/AD$27)^2*(AD2367-('Valve Sizing'!$V$4*'Valve Sizing'!$G$7))</f>
        <v>-34.361830448448551</v>
      </c>
      <c r="AE2370" s="41"/>
      <c r="AF2370" s="73"/>
      <c r="AG2370" s="53">
        <f>(AG$29/AG$27)^2*(AG2367-('Valve Sizing'!$V$4*'Valve Sizing'!$G$7))</f>
        <v>-112.27833415459075</v>
      </c>
      <c r="AH2370" s="41"/>
      <c r="AI2370" s="73"/>
      <c r="AJ2370" s="53">
        <f>(AJ$29/AJ$27)^2*(AJ2367-('Valve Sizing'!$V$4*'Valve Sizing'!$G$7))</f>
        <v>-205.07212354352174</v>
      </c>
      <c r="AK2370" s="41"/>
      <c r="AL2370" s="73"/>
      <c r="AM2370" s="53">
        <f>(AM$29/AM$27)^2*(AM2367-('Valve Sizing'!$V$4*'Valve Sizing'!$G$7))</f>
        <v>-265.80053113779269</v>
      </c>
      <c r="AN2370" s="41"/>
      <c r="AO2370" s="73"/>
      <c r="AP2370" s="53">
        <f>(AP$29/AP$27)^2*(AP2367-('Valve Sizing'!$V$4*'Valve Sizing'!$G$7))</f>
        <v>-303.23175960665969</v>
      </c>
      <c r="AQ2370" s="41"/>
      <c r="AR2370" s="73"/>
      <c r="AS2370" s="53">
        <f>(AS$29/AS$27)^2*(AS2367-('Valve Sizing'!$V$4*'Valve Sizing'!$G$7))</f>
        <v>-380.63625297952888</v>
      </c>
      <c r="AT2370" s="41"/>
      <c r="AU2370" s="73"/>
    </row>
    <row r="2371" spans="15:47" ht="13" x14ac:dyDescent="0.25">
      <c r="O2371" s="1" t="s">
        <v>69</v>
      </c>
      <c r="P2371" s="17">
        <v>7</v>
      </c>
      <c r="Q2371" s="65"/>
      <c r="R2371" s="53">
        <f>(R2365/(N_1*F_P_h))*SQRT('Valve Sizing'!$G$6/R2369)</f>
        <v>9.3937049935583108</v>
      </c>
      <c r="S2371" s="58"/>
      <c r="T2371" s="73"/>
      <c r="U2371" s="64">
        <f>(U2365/(N_1*U$27))*SQRT('Valve Sizing'!$G$6/U2369)</f>
        <v>42.522759820055171</v>
      </c>
      <c r="V2371" s="41"/>
      <c r="W2371" s="73"/>
      <c r="X2371" s="64">
        <f>(X2365/(N_1*X$27))*SQRT('Valve Sizing'!$G$6/X2369)</f>
        <v>126.72828228040639</v>
      </c>
      <c r="Y2371" s="41"/>
      <c r="Z2371" s="73"/>
      <c r="AA2371" s="64" t="e">
        <f>(AA2365/(N_1*AA$27))*SQRT('Valve Sizing'!$G$6/AA2369)</f>
        <v>#NUM!</v>
      </c>
      <c r="AB2371" s="41"/>
      <c r="AC2371" s="73"/>
      <c r="AD2371" s="64" t="e">
        <f>(AD2365/(N_1*AD$27))*SQRT('Valve Sizing'!$G$6/AD2369)</f>
        <v>#NUM!</v>
      </c>
      <c r="AE2371" s="41"/>
      <c r="AF2371" s="73"/>
      <c r="AG2371" s="64" t="e">
        <f>(AG2365/(N_1*AG$27))*SQRT('Valve Sizing'!$G$6/AG2369)</f>
        <v>#NUM!</v>
      </c>
      <c r="AH2371" s="41"/>
      <c r="AI2371" s="73"/>
      <c r="AJ2371" s="64" t="e">
        <f>(AJ2365/(N_1*AJ$27))*SQRT('Valve Sizing'!$G$6/AJ2369)</f>
        <v>#NUM!</v>
      </c>
      <c r="AK2371" s="41"/>
      <c r="AL2371" s="73"/>
      <c r="AM2371" s="64" t="e">
        <f>(AM2365/(N_1*AM$27))*SQRT('Valve Sizing'!$G$6/AM2369)</f>
        <v>#NUM!</v>
      </c>
      <c r="AN2371" s="41"/>
      <c r="AO2371" s="73"/>
      <c r="AP2371" s="64" t="e">
        <f>(AP2365/(N_1*AP$27))*SQRT('Valve Sizing'!$G$6/AP2369)</f>
        <v>#NUM!</v>
      </c>
      <c r="AQ2371" s="41"/>
      <c r="AR2371" s="73"/>
      <c r="AS2371" s="64" t="e">
        <f>(AS2365/(N_1*AS$27))*SQRT('Valve Sizing'!$G$6/AS2369)</f>
        <v>#NUM!</v>
      </c>
      <c r="AT2371" s="41"/>
      <c r="AU2371" s="73"/>
    </row>
    <row r="2372" spans="15:47" ht="13" x14ac:dyDescent="0.3">
      <c r="O2372" s="1" t="s">
        <v>72</v>
      </c>
      <c r="P2372" s="17">
        <v>7</v>
      </c>
      <c r="Q2372" s="65"/>
      <c r="R2372" s="53">
        <f>(R2365/(N_1*F_P_h))*SQRT('Valve Sizing'!$G$6/R2370)</f>
        <v>7.7946609949040093</v>
      </c>
      <c r="S2372" s="56"/>
      <c r="T2372" s="72"/>
      <c r="U2372" s="85">
        <f>(U2365/(N_1*U$27))*SQRT('Valve Sizing'!$G$6/U2370)</f>
        <v>34.664013821717155</v>
      </c>
      <c r="V2372" s="44"/>
      <c r="W2372" s="72"/>
      <c r="X2372" s="85">
        <f>(X2365/(N_1*X$27))*SQRT('Valve Sizing'!$G$6/X2370)</f>
        <v>92.017681101706685</v>
      </c>
      <c r="Y2372" s="44"/>
      <c r="Z2372" s="72"/>
      <c r="AA2372" s="85">
        <f>(AA2365/(N_1*AA$27))*SQRT('Valve Sizing'!$G$6/AA2370)</f>
        <v>288.94509271692937</v>
      </c>
      <c r="AB2372" s="44"/>
      <c r="AC2372" s="72"/>
      <c r="AD2372" s="85" t="e">
        <f>(AD2365/(N_1*AD$27))*SQRT('Valve Sizing'!$G$6/AD2370)</f>
        <v>#NUM!</v>
      </c>
      <c r="AE2372" s="44"/>
      <c r="AF2372" s="72"/>
      <c r="AG2372" s="85" t="e">
        <f>(AG2365/(N_1*AG$27))*SQRT('Valve Sizing'!$G$6/AG2370)</f>
        <v>#NUM!</v>
      </c>
      <c r="AH2372" s="44"/>
      <c r="AI2372" s="72"/>
      <c r="AJ2372" s="85" t="e">
        <f>(AJ2365/(N_1*AJ$27))*SQRT('Valve Sizing'!$G$6/AJ2370)</f>
        <v>#NUM!</v>
      </c>
      <c r="AK2372" s="44"/>
      <c r="AL2372" s="72"/>
      <c r="AM2372" s="85" t="e">
        <f>(AM2365/(N_1*AM$27))*SQRT('Valve Sizing'!$G$6/AM2370)</f>
        <v>#NUM!</v>
      </c>
      <c r="AN2372" s="44"/>
      <c r="AO2372" s="72"/>
      <c r="AP2372" s="85" t="e">
        <f>(AP2365/(N_1*AP$27))*SQRT('Valve Sizing'!$G$6/AP2370)</f>
        <v>#NUM!</v>
      </c>
      <c r="AQ2372" s="44"/>
      <c r="AR2372" s="72"/>
      <c r="AS2372" s="85" t="e">
        <f>(AS2365/(N_1*AS$27))*SQRT('Valve Sizing'!$G$6/AS2370)</f>
        <v>#NUM!</v>
      </c>
      <c r="AT2372" s="44"/>
      <c r="AU2372" s="72"/>
    </row>
    <row r="2373" spans="15:47" x14ac:dyDescent="0.25">
      <c r="O2373" s="1" t="s">
        <v>246</v>
      </c>
      <c r="P2373" s="18"/>
      <c r="Q2373" s="65"/>
      <c r="R2373" s="53">
        <f>IF(R2369&lt;R2370,R2371,R2372)</f>
        <v>9.3937049935583108</v>
      </c>
      <c r="S2373" s="49"/>
      <c r="T2373" s="72"/>
      <c r="U2373" s="64">
        <f>IF(U2369&lt;U2370,U2371,U2372)</f>
        <v>42.522759820055171</v>
      </c>
      <c r="V2373" s="44"/>
      <c r="W2373" s="72"/>
      <c r="X2373" s="64">
        <f>IF(X2369&lt;X2370,X2371,X2372)</f>
        <v>126.72828228040639</v>
      </c>
      <c r="Y2373" s="44"/>
      <c r="Z2373" s="72"/>
      <c r="AA2373" s="64" t="e">
        <f>IF(AA2369&lt;AA2370,AA2371,AA2372)</f>
        <v>#NUM!</v>
      </c>
      <c r="AB2373" s="44"/>
      <c r="AC2373" s="72"/>
      <c r="AD2373" s="64" t="e">
        <f>IF(AD2369&lt;AD2370,AD2371,AD2372)</f>
        <v>#NUM!</v>
      </c>
      <c r="AE2373" s="44"/>
      <c r="AF2373" s="72"/>
      <c r="AG2373" s="64" t="e">
        <f>IF(AG2369&lt;AG2370,AG2371,AG2372)</f>
        <v>#NUM!</v>
      </c>
      <c r="AH2373" s="44"/>
      <c r="AI2373" s="72"/>
      <c r="AJ2373" s="64" t="e">
        <f>IF(AJ2369&lt;AJ2370,AJ2371,AJ2372)</f>
        <v>#NUM!</v>
      </c>
      <c r="AK2373" s="44"/>
      <c r="AL2373" s="72"/>
      <c r="AM2373" s="64" t="e">
        <f>IF(AM2369&lt;AM2370,AM2371,AM2372)</f>
        <v>#NUM!</v>
      </c>
      <c r="AN2373" s="44"/>
      <c r="AO2373" s="72"/>
      <c r="AP2373" s="64" t="e">
        <f>IF(AP2369&lt;AP2370,AP2371,AP2372)</f>
        <v>#NUM!</v>
      </c>
      <c r="AQ2373" s="44"/>
      <c r="AR2373" s="72"/>
      <c r="AS2373" s="64" t="e">
        <f>IF(AS2369&lt;AS2370,AS2371,AS2372)</f>
        <v>#NUM!</v>
      </c>
      <c r="AT2373" s="44"/>
      <c r="AU2373" s="72"/>
    </row>
    <row r="2374" spans="15:47" ht="13" x14ac:dyDescent="0.3">
      <c r="O2374" s="7" t="s">
        <v>264</v>
      </c>
      <c r="Q2374" s="61"/>
      <c r="R2374" s="53"/>
      <c r="S2374" s="69">
        <f>IFERROR(ABS(C_h-R2373),Q_max*10)</f>
        <v>4.3937049935583108</v>
      </c>
      <c r="T2374" s="76">
        <f>R2365</f>
        <v>53.250832351203805</v>
      </c>
      <c r="U2374" s="61"/>
      <c r="V2374" s="69">
        <f>IFERROR(ABS(U$23-U2373),Q_max*10)</f>
        <v>30.522759820055171</v>
      </c>
      <c r="W2374" s="75">
        <f>U2365</f>
        <v>232.94433113917157</v>
      </c>
      <c r="X2374" s="61"/>
      <c r="Y2374" s="69">
        <f>IFERROR(ABS(X$23-X2373),Q_max*10)</f>
        <v>103.72828228040639</v>
      </c>
      <c r="Z2374" s="75">
        <f>X2365</f>
        <v>559.15606372072511</v>
      </c>
      <c r="AA2374" s="61"/>
      <c r="AB2374" s="69">
        <f>IFERROR(ABS(AA$23-AA2373),Q_max*10)</f>
        <v>5500</v>
      </c>
      <c r="AC2374" s="75">
        <f>AA2365</f>
        <v>1067.6338497278339</v>
      </c>
      <c r="AD2374" s="61"/>
      <c r="AE2374" s="69">
        <f>IFERROR(ABS(AD$23-AD2373),Q_max*10)</f>
        <v>5500</v>
      </c>
      <c r="AF2374" s="75">
        <f>AD2365</f>
        <v>1755.8646033400848</v>
      </c>
      <c r="AG2374" s="61"/>
      <c r="AH2374" s="69">
        <f>IFERROR(ABS(AG$23-AG2373),Q_max*10)</f>
        <v>5500</v>
      </c>
      <c r="AI2374" s="75">
        <f>AG2365</f>
        <v>2614.2431290043196</v>
      </c>
      <c r="AJ2374" s="61"/>
      <c r="AK2374" s="69">
        <f>IFERROR(ABS(AJ$23-AJ2373),Q_max*10)</f>
        <v>5500</v>
      </c>
      <c r="AL2374" s="75">
        <f>AJ2365</f>
        <v>3488.7175899455192</v>
      </c>
      <c r="AM2374" s="61"/>
      <c r="AN2374" s="69">
        <f>IFERROR(ABS(AM$23-AM2373),Q_max*10)</f>
        <v>5500</v>
      </c>
      <c r="AO2374" s="75">
        <f>AM2365</f>
        <v>4256.8984554427989</v>
      </c>
      <c r="AP2374" s="61"/>
      <c r="AQ2374" s="69">
        <f>IFERROR(ABS(AP$23-AP2373),Q_max*10)</f>
        <v>5500</v>
      </c>
      <c r="AR2374" s="75">
        <f>AP2365</f>
        <v>4942.1269529315859</v>
      </c>
      <c r="AS2374" s="61"/>
      <c r="AT2374" s="69">
        <f>IFERROR(ABS(AS$23-AS2373),Q_max*10)</f>
        <v>5500</v>
      </c>
      <c r="AU2374" s="75">
        <f>AS2365</f>
        <v>5624.601476179686</v>
      </c>
    </row>
    <row r="2375" spans="15:47" ht="14.5" x14ac:dyDescent="0.35">
      <c r="O2375" s="8"/>
      <c r="P2375" s="6"/>
      <c r="Q2375" s="60"/>
      <c r="R2375" s="67"/>
      <c r="S2375" s="58"/>
      <c r="T2375" s="73"/>
      <c r="V2375" s="11"/>
      <c r="W2375" s="38"/>
      <c r="Y2375" s="11"/>
      <c r="Z2375" s="38"/>
      <c r="AB2375" s="11"/>
      <c r="AC2375" s="38"/>
      <c r="AE2375" s="11"/>
      <c r="AF2375" s="38"/>
      <c r="AH2375" s="11"/>
      <c r="AI2375" s="38"/>
      <c r="AK2375" s="11"/>
      <c r="AL2375" s="38"/>
      <c r="AN2375" s="11"/>
      <c r="AO2375" s="38"/>
      <c r="AQ2375" s="11"/>
      <c r="AR2375" s="38"/>
      <c r="AT2375" s="11"/>
      <c r="AU2375" s="38"/>
    </row>
    <row r="2376" spans="15:47" ht="14" x14ac:dyDescent="0.3">
      <c r="O2376" s="8" t="s">
        <v>235</v>
      </c>
      <c r="P2376" s="6"/>
      <c r="Q2376" s="60"/>
      <c r="R2376" s="53">
        <f>R2365*1.02</f>
        <v>54.315848998227885</v>
      </c>
      <c r="S2376" s="58" t="s">
        <v>238</v>
      </c>
      <c r="T2376" s="73" t="s">
        <v>241</v>
      </c>
      <c r="U2376" s="84">
        <f>U2365*1.01</f>
        <v>235.27377445056328</v>
      </c>
      <c r="V2376" s="58" t="s">
        <v>238</v>
      </c>
      <c r="W2376" s="73" t="s">
        <v>241</v>
      </c>
      <c r="X2376" s="84">
        <f>X2365*1.01</f>
        <v>564.74762435793241</v>
      </c>
      <c r="Y2376" s="58" t="s">
        <v>238</v>
      </c>
      <c r="Z2376" s="73" t="s">
        <v>241</v>
      </c>
      <c r="AA2376" s="84">
        <f>AA2365*1.01</f>
        <v>1078.3101882251121</v>
      </c>
      <c r="AB2376" s="58" t="s">
        <v>238</v>
      </c>
      <c r="AC2376" s="73" t="s">
        <v>241</v>
      </c>
      <c r="AD2376" s="84">
        <f>AD2365*1.01</f>
        <v>1773.4232493734858</v>
      </c>
      <c r="AE2376" s="58" t="s">
        <v>238</v>
      </c>
      <c r="AF2376" s="73" t="s">
        <v>241</v>
      </c>
      <c r="AG2376" s="84">
        <f>AG2365*1.01</f>
        <v>2640.3855602943627</v>
      </c>
      <c r="AH2376" s="58" t="s">
        <v>238</v>
      </c>
      <c r="AI2376" s="73" t="s">
        <v>241</v>
      </c>
      <c r="AJ2376" s="84">
        <f>AJ2365*1.01</f>
        <v>3523.6047658449743</v>
      </c>
      <c r="AK2376" s="58" t="s">
        <v>238</v>
      </c>
      <c r="AL2376" s="73" t="s">
        <v>241</v>
      </c>
      <c r="AM2376" s="84">
        <f>AM2365*1.01</f>
        <v>4299.4674399972273</v>
      </c>
      <c r="AN2376" s="58" t="s">
        <v>238</v>
      </c>
      <c r="AO2376" s="73" t="s">
        <v>241</v>
      </c>
      <c r="AP2376" s="84">
        <f>AP2365*1.01</f>
        <v>4991.5482224609023</v>
      </c>
      <c r="AQ2376" s="58" t="s">
        <v>238</v>
      </c>
      <c r="AR2376" s="73" t="s">
        <v>241</v>
      </c>
      <c r="AS2376" s="84">
        <f>AS2365*1.01</f>
        <v>5680.8474909414826</v>
      </c>
      <c r="AT2376" s="58" t="s">
        <v>238</v>
      </c>
      <c r="AU2376" s="73" t="s">
        <v>241</v>
      </c>
    </row>
    <row r="2377" spans="15:47" ht="13" x14ac:dyDescent="0.25">
      <c r="O2377" s="6"/>
      <c r="P2377" s="6"/>
      <c r="Q2377" s="60"/>
      <c r="R2377" s="70"/>
      <c r="S2377" s="63" t="s">
        <v>250</v>
      </c>
      <c r="T2377" s="71" t="s">
        <v>242</v>
      </c>
      <c r="U2377" s="61"/>
      <c r="V2377" s="63" t="s">
        <v>250</v>
      </c>
      <c r="W2377" s="71" t="s">
        <v>242</v>
      </c>
      <c r="X2377" s="61"/>
      <c r="Y2377" s="63" t="s">
        <v>250</v>
      </c>
      <c r="Z2377" s="71" t="s">
        <v>242</v>
      </c>
      <c r="AA2377" s="61"/>
      <c r="AB2377" s="63" t="s">
        <v>250</v>
      </c>
      <c r="AC2377" s="71" t="s">
        <v>242</v>
      </c>
      <c r="AD2377" s="61"/>
      <c r="AE2377" s="63" t="s">
        <v>250</v>
      </c>
      <c r="AF2377" s="71" t="s">
        <v>242</v>
      </c>
      <c r="AG2377" s="61"/>
      <c r="AH2377" s="63" t="s">
        <v>250</v>
      </c>
      <c r="AI2377" s="71" t="s">
        <v>242</v>
      </c>
      <c r="AJ2377" s="61"/>
      <c r="AK2377" s="63" t="s">
        <v>250</v>
      </c>
      <c r="AL2377" s="71" t="s">
        <v>242</v>
      </c>
      <c r="AM2377" s="61"/>
      <c r="AN2377" s="63" t="s">
        <v>250</v>
      </c>
      <c r="AO2377" s="71" t="s">
        <v>242</v>
      </c>
      <c r="AP2377" s="61"/>
      <c r="AQ2377" s="63" t="s">
        <v>250</v>
      </c>
      <c r="AR2377" s="71" t="s">
        <v>242</v>
      </c>
      <c r="AS2377" s="61"/>
      <c r="AT2377" s="63" t="s">
        <v>250</v>
      </c>
      <c r="AU2377" s="71" t="s">
        <v>242</v>
      </c>
    </row>
    <row r="2378" spans="15:47" ht="13" x14ac:dyDescent="0.3">
      <c r="O2378" s="6" t="s">
        <v>231</v>
      </c>
      <c r="P2378" s="6"/>
      <c r="Q2378" s="60"/>
      <c r="R2378" s="85">
        <f>P_1_minQ-(R2376^2*R_up)+dpup_minQ</f>
        <v>56.816507549733259</v>
      </c>
      <c r="S2378" s="56"/>
      <c r="T2378" s="72"/>
      <c r="U2378" s="53">
        <f>P_1_minQ-(U2376^2*R_up)+dpup_minQ</f>
        <v>55.046715672265634</v>
      </c>
      <c r="V2378" s="44"/>
      <c r="W2378" s="72"/>
      <c r="X2378" s="53">
        <f>P_1_minQ-(X2376^2*R_up)+dpup_minQ</f>
        <v>46.14478624728374</v>
      </c>
      <c r="Y2378" s="44"/>
      <c r="Z2378" s="72"/>
      <c r="AA2378" s="53">
        <f>P_1_minQ-(AA2376^2*R_up)+dpup_minQ</f>
        <v>17.647218438700545</v>
      </c>
      <c r="AB2378" s="44"/>
      <c r="AC2378" s="72"/>
      <c r="AD2378" s="53">
        <f>P_1_minQ-(AD2376^2*R_up)+dpup_minQ</f>
        <v>-49.298987552124721</v>
      </c>
      <c r="AE2378" s="44"/>
      <c r="AF2378" s="72"/>
      <c r="AG2378" s="53">
        <f>P_1_minQ-(AG2376^2*R_up)+dpup_minQ</f>
        <v>-178.53255342826665</v>
      </c>
      <c r="AH2378" s="44"/>
      <c r="AI2378" s="72"/>
      <c r="AJ2378" s="53">
        <f>P_1_minQ-(AJ2376^2*R_up)+dpup_minQ</f>
        <v>-362.39458108360071</v>
      </c>
      <c r="AK2378" s="44"/>
      <c r="AL2378" s="72"/>
      <c r="AM2378" s="53">
        <f>P_1_minQ-(AM2376^2*R_up)+dpup_minQ</f>
        <v>-567.38038728795379</v>
      </c>
      <c r="AN2378" s="44"/>
      <c r="AO2378" s="72"/>
      <c r="AP2378" s="53">
        <f>P_1_minQ-(AP2376^2*R_up)+dpup_minQ</f>
        <v>-784.5412582624989</v>
      </c>
      <c r="AQ2378" s="44"/>
      <c r="AR2378" s="72"/>
      <c r="AS2378" s="53">
        <f>P_1_minQ-(AS2376^2*R_up)+dpup_minQ</f>
        <v>-1032.9868698188498</v>
      </c>
      <c r="AT2378" s="44"/>
      <c r="AU2378" s="72"/>
    </row>
    <row r="2379" spans="15:47" ht="13" x14ac:dyDescent="0.3">
      <c r="O2379" s="6" t="s">
        <v>233</v>
      </c>
      <c r="P2379" s="6"/>
      <c r="Q2379" s="60"/>
      <c r="R2379" s="85">
        <f>P_2_minQ+(R2376^2*R_dn)-dpdn_minQ</f>
        <v>24.676698490053351</v>
      </c>
      <c r="S2379" s="66"/>
      <c r="T2379" s="74"/>
      <c r="U2379" s="53">
        <f>P_2_minQ+(U2376^2*R_dn)-dpdn_minQ</f>
        <v>25.030656865546874</v>
      </c>
      <c r="V2379" s="45"/>
      <c r="W2379" s="74"/>
      <c r="X2379" s="53">
        <f>P_2_minQ+(X2376^2*R_dn)-dpdn_minQ</f>
        <v>26.811042750543251</v>
      </c>
      <c r="Y2379" s="45"/>
      <c r="Z2379" s="74"/>
      <c r="AA2379" s="53">
        <f>P_2_minQ+(AA2376^2*R_dn)-dpdn_minQ</f>
        <v>32.510556312259894</v>
      </c>
      <c r="AB2379" s="45"/>
      <c r="AC2379" s="74"/>
      <c r="AD2379" s="53">
        <f>P_2_minQ+(AD2376^2*R_dn)-dpdn_minQ</f>
        <v>45.899797510424946</v>
      </c>
      <c r="AE2379" s="45"/>
      <c r="AF2379" s="74"/>
      <c r="AG2379" s="53">
        <f>P_2_minQ+(AG2376^2*R_dn)-dpdn_minQ</f>
        <v>71.746510685653334</v>
      </c>
      <c r="AH2379" s="45"/>
      <c r="AI2379" s="74"/>
      <c r="AJ2379" s="53">
        <f>P_2_minQ+(AJ2376^2*R_dn)-dpdn_minQ</f>
        <v>108.51891621672013</v>
      </c>
      <c r="AK2379" s="45"/>
      <c r="AL2379" s="74"/>
      <c r="AM2379" s="53">
        <f>P_2_minQ+(AM2376^2*R_dn)-dpdn_minQ</f>
        <v>149.51607745759074</v>
      </c>
      <c r="AN2379" s="45"/>
      <c r="AO2379" s="74"/>
      <c r="AP2379" s="53">
        <f>P_2_minQ+(AP2376^2*R_dn)-dpdn_minQ</f>
        <v>192.94825165249981</v>
      </c>
      <c r="AQ2379" s="45"/>
      <c r="AR2379" s="74"/>
      <c r="AS2379" s="53">
        <f>P_2_minQ+(AS2376^2*R_dn)-dpdn_minQ</f>
        <v>242.63737396376993</v>
      </c>
      <c r="AT2379" s="45"/>
      <c r="AU2379" s="74"/>
    </row>
    <row r="2380" spans="15:47" x14ac:dyDescent="0.25">
      <c r="O2380" s="6" t="s">
        <v>243</v>
      </c>
      <c r="Q2380" s="60"/>
      <c r="R2380" s="53">
        <f>R2378-R2379</f>
        <v>32.139809059679905</v>
      </c>
      <c r="S2380" s="56"/>
      <c r="T2380" s="72"/>
      <c r="U2380" s="64">
        <f>U2378-U2379</f>
        <v>30.01605880671876</v>
      </c>
      <c r="V2380" s="44"/>
      <c r="W2380" s="72"/>
      <c r="X2380" s="64">
        <f>X2378-X2379</f>
        <v>19.333743496740489</v>
      </c>
      <c r="Y2380" s="44"/>
      <c r="Z2380" s="72"/>
      <c r="AA2380" s="64">
        <f>AA2378-AA2379</f>
        <v>-14.863337873559349</v>
      </c>
      <c r="AB2380" s="44"/>
      <c r="AC2380" s="72"/>
      <c r="AD2380" s="64">
        <f>AD2378-AD2379</f>
        <v>-95.198785062549661</v>
      </c>
      <c r="AE2380" s="44"/>
      <c r="AF2380" s="72"/>
      <c r="AG2380" s="64">
        <f>AG2378-AG2379</f>
        <v>-250.27906411391999</v>
      </c>
      <c r="AH2380" s="44"/>
      <c r="AI2380" s="72"/>
      <c r="AJ2380" s="64">
        <f>AJ2378-AJ2379</f>
        <v>-470.91349730032084</v>
      </c>
      <c r="AK2380" s="44"/>
      <c r="AL2380" s="72"/>
      <c r="AM2380" s="64">
        <f>AM2378-AM2379</f>
        <v>-716.89646474554456</v>
      </c>
      <c r="AN2380" s="44"/>
      <c r="AO2380" s="72"/>
      <c r="AP2380" s="64">
        <f>AP2378-AP2379</f>
        <v>-977.48950991499873</v>
      </c>
      <c r="AQ2380" s="44"/>
      <c r="AR2380" s="72"/>
      <c r="AS2380" s="64">
        <f>AS2378-AS2379</f>
        <v>-1275.6242437826197</v>
      </c>
      <c r="AT2380" s="44"/>
      <c r="AU2380" s="72"/>
    </row>
    <row r="2381" spans="15:47" ht="13" x14ac:dyDescent="0.3">
      <c r="O2381" s="6" t="s">
        <v>75</v>
      </c>
      <c r="P2381" s="6">
        <v>3</v>
      </c>
      <c r="Q2381" s="65"/>
      <c r="R2381" s="85">
        <f>(F_LP_h/F_P_h)^2*(R2378-('Valve Sizing'!$V$4*'Valve Sizing'!$G$7))</f>
        <v>46.682659697677941</v>
      </c>
      <c r="S2381" s="58"/>
      <c r="T2381" s="73"/>
      <c r="U2381" s="53">
        <f>(U$29/U$27)^2*(U2378-('Valve Sizing'!$V$4*'Valve Sizing'!$G$7))</f>
        <v>45.204854791815144</v>
      </c>
      <c r="V2381" s="41"/>
      <c r="W2381" s="73"/>
      <c r="X2381" s="53">
        <f>(X$29/X$27)^2*(X2378-('Valve Sizing'!$V$4*'Valve Sizing'!$G$7))</f>
        <v>36.982144061417458</v>
      </c>
      <c r="Y2381" s="41"/>
      <c r="Z2381" s="73"/>
      <c r="AA2381" s="53">
        <f>(AA$29/AA$27)^2*(AA2378-('Valve Sizing'!$V$4*'Valve Sizing'!$G$7))</f>
        <v>13.297646030235811</v>
      </c>
      <c r="AB2381" s="41"/>
      <c r="AC2381" s="73"/>
      <c r="AD2381" s="53">
        <f>(AD$29/AD$27)^2*(AD2378-('Valve Sizing'!$V$4*'Valve Sizing'!$G$7))</f>
        <v>-35.871173058388393</v>
      </c>
      <c r="AE2381" s="41"/>
      <c r="AF2381" s="73"/>
      <c r="AG2381" s="53">
        <f>(AG$29/AG$27)^2*(AG2378-('Valve Sizing'!$V$4*'Valve Sizing'!$G$7))</f>
        <v>-115.26622760461416</v>
      </c>
      <c r="AH2381" s="41"/>
      <c r="AI2381" s="73"/>
      <c r="AJ2381" s="53">
        <f>(AJ$29/AJ$27)^2*(AJ2378-('Valve Sizing'!$V$4*'Valve Sizing'!$G$7))</f>
        <v>-209.85061467545356</v>
      </c>
      <c r="AK2381" s="41"/>
      <c r="AL2381" s="73"/>
      <c r="AM2381" s="53">
        <f>(AM$29/AM$27)^2*(AM2378-('Valve Sizing'!$V$4*'Valve Sizing'!$G$7))</f>
        <v>-271.68626871758278</v>
      </c>
      <c r="AN2381" s="41"/>
      <c r="AO2381" s="73"/>
      <c r="AP2381" s="53">
        <f>(AP$29/AP$27)^2*(AP2378-('Valve Sizing'!$V$4*'Valve Sizing'!$G$7))</f>
        <v>-309.77468624165306</v>
      </c>
      <c r="AQ2381" s="41"/>
      <c r="AR2381" s="73"/>
      <c r="AS2381" s="53">
        <f>(AS$29/AS$27)^2*(AS2378-('Valve Sizing'!$V$4*'Valve Sizing'!$G$7))</f>
        <v>-388.71402515353492</v>
      </c>
      <c r="AT2381" s="41"/>
      <c r="AU2381" s="73"/>
    </row>
    <row r="2382" spans="15:47" ht="13" x14ac:dyDescent="0.25">
      <c r="O2382" s="1" t="s">
        <v>69</v>
      </c>
      <c r="P2382" s="17">
        <v>7</v>
      </c>
      <c r="Q2382" s="65"/>
      <c r="R2382" s="53">
        <f>(R2376/(N_1*F_P_h))*SQRT('Valve Sizing'!$G$6/R2380)</f>
        <v>9.5822711237493152</v>
      </c>
      <c r="S2382" s="58"/>
      <c r="T2382" s="73"/>
      <c r="U2382" s="64">
        <f>(U2376/(N_1*U$27))*SQRT('Valve Sizing'!$G$6/U2380)</f>
        <v>42.979598731851375</v>
      </c>
      <c r="V2382" s="41"/>
      <c r="W2382" s="73"/>
      <c r="X2382" s="64">
        <f>(X2376/(N_1*X$27))*SQRT('Valve Sizing'!$G$6/X2380)</f>
        <v>128.8358580292151</v>
      </c>
      <c r="Y2382" s="41"/>
      <c r="Z2382" s="73"/>
      <c r="AA2382" s="64" t="e">
        <f>(AA2376/(N_1*AA$27))*SQRT('Valve Sizing'!$G$6/AA2380)</f>
        <v>#NUM!</v>
      </c>
      <c r="AB2382" s="41"/>
      <c r="AC2382" s="73"/>
      <c r="AD2382" s="64" t="e">
        <f>(AD2376/(N_1*AD$27))*SQRT('Valve Sizing'!$G$6/AD2380)</f>
        <v>#NUM!</v>
      </c>
      <c r="AE2382" s="41"/>
      <c r="AF2382" s="73"/>
      <c r="AG2382" s="64" t="e">
        <f>(AG2376/(N_1*AG$27))*SQRT('Valve Sizing'!$G$6/AG2380)</f>
        <v>#NUM!</v>
      </c>
      <c r="AH2382" s="41"/>
      <c r="AI2382" s="73"/>
      <c r="AJ2382" s="64" t="e">
        <f>(AJ2376/(N_1*AJ$27))*SQRT('Valve Sizing'!$G$6/AJ2380)</f>
        <v>#NUM!</v>
      </c>
      <c r="AK2382" s="41"/>
      <c r="AL2382" s="73"/>
      <c r="AM2382" s="64" t="e">
        <f>(AM2376/(N_1*AM$27))*SQRT('Valve Sizing'!$G$6/AM2380)</f>
        <v>#NUM!</v>
      </c>
      <c r="AN2382" s="41"/>
      <c r="AO2382" s="73"/>
      <c r="AP2382" s="64" t="e">
        <f>(AP2376/(N_1*AP$27))*SQRT('Valve Sizing'!$G$6/AP2380)</f>
        <v>#NUM!</v>
      </c>
      <c r="AQ2382" s="41"/>
      <c r="AR2382" s="73"/>
      <c r="AS2382" s="64" t="e">
        <f>(AS2376/(N_1*AS$27))*SQRT('Valve Sizing'!$G$6/AS2380)</f>
        <v>#NUM!</v>
      </c>
      <c r="AT2382" s="41"/>
      <c r="AU2382" s="73"/>
    </row>
    <row r="2383" spans="15:47" ht="13" x14ac:dyDescent="0.3">
      <c r="O2383" s="1" t="s">
        <v>72</v>
      </c>
      <c r="P2383" s="17">
        <v>7</v>
      </c>
      <c r="Q2383" s="65"/>
      <c r="R2383" s="53">
        <f>(R2376/(N_1*F_P_h))*SQRT('Valve Sizing'!$G$6/R2381)</f>
        <v>7.9508270233609553</v>
      </c>
      <c r="S2383" s="56"/>
      <c r="T2383" s="72"/>
      <c r="U2383" s="85">
        <f>(U2376/(N_1*U$27))*SQRT('Valve Sizing'!$G$6/U2381)</f>
        <v>35.02246024734162</v>
      </c>
      <c r="V2383" s="44"/>
      <c r="W2383" s="72"/>
      <c r="X2383" s="85">
        <f>(X2376/(N_1*X$27))*SQRT('Valve Sizing'!$G$6/X2381)</f>
        <v>93.153394970732734</v>
      </c>
      <c r="Y2383" s="44"/>
      <c r="Z2383" s="72"/>
      <c r="AA2383" s="85">
        <f>(AA2376/(N_1*AA$27))*SQRT('Valve Sizing'!$G$6/AA2381)</f>
        <v>298.32384454828428</v>
      </c>
      <c r="AB2383" s="44"/>
      <c r="AC2383" s="72"/>
      <c r="AD2383" s="85" t="e">
        <f>(AD2376/(N_1*AD$27))*SQRT('Valve Sizing'!$G$6/AD2381)</f>
        <v>#NUM!</v>
      </c>
      <c r="AE2383" s="44"/>
      <c r="AF2383" s="72"/>
      <c r="AG2383" s="85" t="e">
        <f>(AG2376/(N_1*AG$27))*SQRT('Valve Sizing'!$G$6/AG2381)</f>
        <v>#NUM!</v>
      </c>
      <c r="AH2383" s="44"/>
      <c r="AI2383" s="72"/>
      <c r="AJ2383" s="85" t="e">
        <f>(AJ2376/(N_1*AJ$27))*SQRT('Valve Sizing'!$G$6/AJ2381)</f>
        <v>#NUM!</v>
      </c>
      <c r="AK2383" s="44"/>
      <c r="AL2383" s="72"/>
      <c r="AM2383" s="85" t="e">
        <f>(AM2376/(N_1*AM$27))*SQRT('Valve Sizing'!$G$6/AM2381)</f>
        <v>#NUM!</v>
      </c>
      <c r="AN2383" s="44"/>
      <c r="AO2383" s="72"/>
      <c r="AP2383" s="85" t="e">
        <f>(AP2376/(N_1*AP$27))*SQRT('Valve Sizing'!$G$6/AP2381)</f>
        <v>#NUM!</v>
      </c>
      <c r="AQ2383" s="44"/>
      <c r="AR2383" s="72"/>
      <c r="AS2383" s="85" t="e">
        <f>(AS2376/(N_1*AS$27))*SQRT('Valve Sizing'!$G$6/AS2381)</f>
        <v>#NUM!</v>
      </c>
      <c r="AT2383" s="44"/>
      <c r="AU2383" s="72"/>
    </row>
    <row r="2384" spans="15:47" x14ac:dyDescent="0.25">
      <c r="O2384" s="1" t="s">
        <v>246</v>
      </c>
      <c r="P2384" s="18"/>
      <c r="Q2384" s="65"/>
      <c r="R2384" s="53">
        <f>IF(R2380&lt;R2381,R2382,R2383)</f>
        <v>9.5822711237493152</v>
      </c>
      <c r="S2384" s="49"/>
      <c r="T2384" s="72"/>
      <c r="U2384" s="64">
        <f>IF(U2380&lt;U2381,U2382,U2383)</f>
        <v>42.979598731851375</v>
      </c>
      <c r="V2384" s="44"/>
      <c r="W2384" s="72"/>
      <c r="X2384" s="64">
        <f>IF(X2380&lt;X2381,X2382,X2383)</f>
        <v>128.8358580292151</v>
      </c>
      <c r="Y2384" s="44"/>
      <c r="Z2384" s="72"/>
      <c r="AA2384" s="64" t="e">
        <f>IF(AA2380&lt;AA2381,AA2382,AA2383)</f>
        <v>#NUM!</v>
      </c>
      <c r="AB2384" s="44"/>
      <c r="AC2384" s="72"/>
      <c r="AD2384" s="64" t="e">
        <f>IF(AD2380&lt;AD2381,AD2382,AD2383)</f>
        <v>#NUM!</v>
      </c>
      <c r="AE2384" s="44"/>
      <c r="AF2384" s="72"/>
      <c r="AG2384" s="64" t="e">
        <f>IF(AG2380&lt;AG2381,AG2382,AG2383)</f>
        <v>#NUM!</v>
      </c>
      <c r="AH2384" s="44"/>
      <c r="AI2384" s="72"/>
      <c r="AJ2384" s="64" t="e">
        <f>IF(AJ2380&lt;AJ2381,AJ2382,AJ2383)</f>
        <v>#NUM!</v>
      </c>
      <c r="AK2384" s="44"/>
      <c r="AL2384" s="72"/>
      <c r="AM2384" s="64" t="e">
        <f>IF(AM2380&lt;AM2381,AM2382,AM2383)</f>
        <v>#NUM!</v>
      </c>
      <c r="AN2384" s="44"/>
      <c r="AO2384" s="72"/>
      <c r="AP2384" s="64" t="e">
        <f>IF(AP2380&lt;AP2381,AP2382,AP2383)</f>
        <v>#NUM!</v>
      </c>
      <c r="AQ2384" s="44"/>
      <c r="AR2384" s="72"/>
      <c r="AS2384" s="64" t="e">
        <f>IF(AS2380&lt;AS2381,AS2382,AS2383)</f>
        <v>#NUM!</v>
      </c>
      <c r="AT2384" s="44"/>
      <c r="AU2384" s="72"/>
    </row>
    <row r="2385" spans="15:47" ht="13" x14ac:dyDescent="0.3">
      <c r="O2385" s="7" t="s">
        <v>264</v>
      </c>
      <c r="Q2385" s="61"/>
      <c r="R2385" s="53"/>
      <c r="S2385" s="69">
        <f>IFERROR(ABS(C_h-R2384),Q_max*10)</f>
        <v>4.5822711237493152</v>
      </c>
      <c r="T2385" s="76">
        <f>R2376</f>
        <v>54.315848998227885</v>
      </c>
      <c r="U2385" s="61"/>
      <c r="V2385" s="69">
        <f>IFERROR(ABS(U$23-U2384),Q_max*10)</f>
        <v>30.979598731851375</v>
      </c>
      <c r="W2385" s="75">
        <f>U2376</f>
        <v>235.27377445056328</v>
      </c>
      <c r="X2385" s="61"/>
      <c r="Y2385" s="69">
        <f>IFERROR(ABS(X$23-X2384),Q_max*10)</f>
        <v>105.8358580292151</v>
      </c>
      <c r="Z2385" s="75">
        <f>X2376</f>
        <v>564.74762435793241</v>
      </c>
      <c r="AA2385" s="61"/>
      <c r="AB2385" s="69">
        <f>IFERROR(ABS(AA$23-AA2384),Q_max*10)</f>
        <v>5500</v>
      </c>
      <c r="AC2385" s="75">
        <f>AA2376</f>
        <v>1078.3101882251121</v>
      </c>
      <c r="AD2385" s="61"/>
      <c r="AE2385" s="69">
        <f>IFERROR(ABS(AD$23-AD2384),Q_max*10)</f>
        <v>5500</v>
      </c>
      <c r="AF2385" s="75">
        <f>AD2376</f>
        <v>1773.4232493734858</v>
      </c>
      <c r="AG2385" s="61"/>
      <c r="AH2385" s="69">
        <f>IFERROR(ABS(AG$23-AG2384),Q_max*10)</f>
        <v>5500</v>
      </c>
      <c r="AI2385" s="75">
        <f>AG2376</f>
        <v>2640.3855602943627</v>
      </c>
      <c r="AJ2385" s="61"/>
      <c r="AK2385" s="69">
        <f>IFERROR(ABS(AJ$23-AJ2384),Q_max*10)</f>
        <v>5500</v>
      </c>
      <c r="AL2385" s="75">
        <f>AJ2376</f>
        <v>3523.6047658449743</v>
      </c>
      <c r="AM2385" s="61"/>
      <c r="AN2385" s="69">
        <f>IFERROR(ABS(AM$23-AM2384),Q_max*10)</f>
        <v>5500</v>
      </c>
      <c r="AO2385" s="75">
        <f>AM2376</f>
        <v>4299.4674399972273</v>
      </c>
      <c r="AP2385" s="61"/>
      <c r="AQ2385" s="69">
        <f>IFERROR(ABS(AP$23-AP2384),Q_max*10)</f>
        <v>5500</v>
      </c>
      <c r="AR2385" s="75">
        <f>AP2376</f>
        <v>4991.5482224609023</v>
      </c>
      <c r="AS2385" s="61"/>
      <c r="AT2385" s="69">
        <f>IFERROR(ABS(AS$23-AS2384),Q_max*10)</f>
        <v>5500</v>
      </c>
      <c r="AU2385" s="75">
        <f>AS2376</f>
        <v>5680.8474909414826</v>
      </c>
    </row>
    <row r="2386" spans="15:47" ht="14.5" x14ac:dyDescent="0.35">
      <c r="O2386" s="6"/>
      <c r="P2386" s="6"/>
      <c r="Q2386" s="60"/>
      <c r="R2386" s="67"/>
      <c r="S2386" s="56"/>
      <c r="T2386" s="72"/>
      <c r="V2386" s="11"/>
      <c r="W2386" s="38"/>
      <c r="Y2386" s="11"/>
      <c r="Z2386" s="38"/>
      <c r="AB2386" s="11"/>
      <c r="AC2386" s="38"/>
      <c r="AE2386" s="11"/>
      <c r="AF2386" s="38"/>
      <c r="AH2386" s="11"/>
      <c r="AI2386" s="38"/>
      <c r="AK2386" s="11"/>
      <c r="AL2386" s="38"/>
      <c r="AN2386" s="11"/>
      <c r="AO2386" s="38"/>
      <c r="AQ2386" s="11"/>
      <c r="AR2386" s="38"/>
      <c r="AT2386" s="11"/>
      <c r="AU2386" s="38"/>
    </row>
    <row r="2387" spans="15:47" ht="14" x14ac:dyDescent="0.3">
      <c r="O2387" s="8" t="s">
        <v>235</v>
      </c>
      <c r="P2387" s="6"/>
      <c r="Q2387" s="60"/>
      <c r="R2387" s="53">
        <f>R2376*1.02</f>
        <v>55.402165978192443</v>
      </c>
      <c r="S2387" s="58" t="s">
        <v>238</v>
      </c>
      <c r="T2387" s="73" t="s">
        <v>241</v>
      </c>
      <c r="U2387" s="84">
        <f>U2376*1.01</f>
        <v>237.62651219506893</v>
      </c>
      <c r="V2387" s="58" t="s">
        <v>238</v>
      </c>
      <c r="W2387" s="73" t="s">
        <v>241</v>
      </c>
      <c r="X2387" s="84">
        <f>X2376*1.01</f>
        <v>570.39510060151179</v>
      </c>
      <c r="Y2387" s="58" t="s">
        <v>238</v>
      </c>
      <c r="Z2387" s="73" t="s">
        <v>241</v>
      </c>
      <c r="AA2387" s="84">
        <f>AA2376*1.01</f>
        <v>1089.0932901073634</v>
      </c>
      <c r="AB2387" s="58" t="s">
        <v>238</v>
      </c>
      <c r="AC2387" s="73" t="s">
        <v>241</v>
      </c>
      <c r="AD2387" s="84">
        <f>AD2376*1.01</f>
        <v>1791.1574818672207</v>
      </c>
      <c r="AE2387" s="58" t="s">
        <v>238</v>
      </c>
      <c r="AF2387" s="73" t="s">
        <v>241</v>
      </c>
      <c r="AG2387" s="84">
        <f>AG2376*1.01</f>
        <v>2666.7894158973063</v>
      </c>
      <c r="AH2387" s="58" t="s">
        <v>238</v>
      </c>
      <c r="AI2387" s="73" t="s">
        <v>241</v>
      </c>
      <c r="AJ2387" s="84">
        <f>AJ2376*1.01</f>
        <v>3558.8408135034242</v>
      </c>
      <c r="AK2387" s="58" t="s">
        <v>238</v>
      </c>
      <c r="AL2387" s="73" t="s">
        <v>241</v>
      </c>
      <c r="AM2387" s="84">
        <f>AM2376*1.01</f>
        <v>4342.4621143971999</v>
      </c>
      <c r="AN2387" s="58" t="s">
        <v>238</v>
      </c>
      <c r="AO2387" s="73" t="s">
        <v>241</v>
      </c>
      <c r="AP2387" s="84">
        <f>AP2376*1.01</f>
        <v>5041.4637046855114</v>
      </c>
      <c r="AQ2387" s="58" t="s">
        <v>238</v>
      </c>
      <c r="AR2387" s="73" t="s">
        <v>241</v>
      </c>
      <c r="AS2387" s="84">
        <f>AS2376*1.01</f>
        <v>5737.6559658508977</v>
      </c>
      <c r="AT2387" s="58" t="s">
        <v>238</v>
      </c>
      <c r="AU2387" s="73" t="s">
        <v>241</v>
      </c>
    </row>
    <row r="2388" spans="15:47" ht="13" x14ac:dyDescent="0.25">
      <c r="O2388" s="6"/>
      <c r="P2388" s="6"/>
      <c r="Q2388" s="60"/>
      <c r="R2388" s="70"/>
      <c r="S2388" s="63" t="s">
        <v>250</v>
      </c>
      <c r="T2388" s="71" t="s">
        <v>242</v>
      </c>
      <c r="U2388" s="61"/>
      <c r="V2388" s="63" t="s">
        <v>250</v>
      </c>
      <c r="W2388" s="71" t="s">
        <v>242</v>
      </c>
      <c r="X2388" s="61"/>
      <c r="Y2388" s="63" t="s">
        <v>250</v>
      </c>
      <c r="Z2388" s="71" t="s">
        <v>242</v>
      </c>
      <c r="AA2388" s="61"/>
      <c r="AB2388" s="63" t="s">
        <v>250</v>
      </c>
      <c r="AC2388" s="71" t="s">
        <v>242</v>
      </c>
      <c r="AD2388" s="61"/>
      <c r="AE2388" s="63" t="s">
        <v>250</v>
      </c>
      <c r="AF2388" s="71" t="s">
        <v>242</v>
      </c>
      <c r="AG2388" s="61"/>
      <c r="AH2388" s="63" t="s">
        <v>250</v>
      </c>
      <c r="AI2388" s="71" t="s">
        <v>242</v>
      </c>
      <c r="AJ2388" s="61"/>
      <c r="AK2388" s="63" t="s">
        <v>250</v>
      </c>
      <c r="AL2388" s="71" t="s">
        <v>242</v>
      </c>
      <c r="AM2388" s="61"/>
      <c r="AN2388" s="63" t="s">
        <v>250</v>
      </c>
      <c r="AO2388" s="71" t="s">
        <v>242</v>
      </c>
      <c r="AP2388" s="61"/>
      <c r="AQ2388" s="63" t="s">
        <v>250</v>
      </c>
      <c r="AR2388" s="71" t="s">
        <v>242</v>
      </c>
      <c r="AS2388" s="61"/>
      <c r="AT2388" s="63" t="s">
        <v>250</v>
      </c>
      <c r="AU2388" s="71" t="s">
        <v>242</v>
      </c>
    </row>
    <row r="2389" spans="15:47" ht="13" x14ac:dyDescent="0.3">
      <c r="O2389" s="6" t="s">
        <v>231</v>
      </c>
      <c r="P2389" s="6"/>
      <c r="Q2389" s="60"/>
      <c r="R2389" s="85">
        <f>P_1_minQ-(R2387^2*R_up)+dpup_minQ</f>
        <v>56.812482269669871</v>
      </c>
      <c r="S2389" s="56"/>
      <c r="T2389" s="72"/>
      <c r="U2389" s="53">
        <f>P_1_minQ-(U2387^2*R_up)+dpup_minQ</f>
        <v>55.009140179061355</v>
      </c>
      <c r="V2389" s="44"/>
      <c r="W2389" s="72"/>
      <c r="X2389" s="53">
        <f>P_1_minQ-(X2387^2*R_up)+dpup_minQ</f>
        <v>45.928281972637329</v>
      </c>
      <c r="Y2389" s="44"/>
      <c r="Z2389" s="72"/>
      <c r="AA2389" s="53">
        <f>P_1_minQ-(AA2387^2*R_up)+dpup_minQ</f>
        <v>16.857913051101601</v>
      </c>
      <c r="AB2389" s="44"/>
      <c r="AC2389" s="72"/>
      <c r="AD2389" s="53">
        <f>P_1_minQ-(AD2387^2*R_up)+dpup_minQ</f>
        <v>-51.433911680139239</v>
      </c>
      <c r="AE2389" s="44"/>
      <c r="AF2389" s="72"/>
      <c r="AG2389" s="53">
        <f>P_1_minQ-(AG2387^2*R_up)+dpup_minQ</f>
        <v>-183.26507223039167</v>
      </c>
      <c r="AH2389" s="44"/>
      <c r="AI2389" s="72"/>
      <c r="AJ2389" s="53">
        <f>P_1_minQ-(AJ2387^2*R_up)+dpup_minQ</f>
        <v>-370.82272664159797</v>
      </c>
      <c r="AK2389" s="44"/>
      <c r="AL2389" s="72"/>
      <c r="AM2389" s="53">
        <f>P_1_minQ-(AM2387^2*R_up)+dpup_minQ</f>
        <v>-579.9287475506585</v>
      </c>
      <c r="AN2389" s="44"/>
      <c r="AO2389" s="72"/>
      <c r="AP2389" s="53">
        <f>P_1_minQ-(AP2387^2*R_up)+dpup_minQ</f>
        <v>-801.45455203179199</v>
      </c>
      <c r="AQ2389" s="44"/>
      <c r="AR2389" s="72"/>
      <c r="AS2389" s="53">
        <f>P_1_minQ-(AS2387^2*R_up)+dpup_minQ</f>
        <v>-1054.8939203804255</v>
      </c>
      <c r="AT2389" s="44"/>
      <c r="AU2389" s="72"/>
    </row>
    <row r="2390" spans="15:47" ht="13" x14ac:dyDescent="0.3">
      <c r="O2390" s="6" t="s">
        <v>233</v>
      </c>
      <c r="P2390" s="6"/>
      <c r="Q2390" s="60"/>
      <c r="R2390" s="85">
        <f>P_2_minQ+(R2387^2*R_dn)-dpdn_minQ</f>
        <v>24.677503546066028</v>
      </c>
      <c r="S2390" s="66"/>
      <c r="T2390" s="74"/>
      <c r="U2390" s="53">
        <f>P_2_minQ+(U2387^2*R_dn)-dpdn_minQ</f>
        <v>25.038171964187729</v>
      </c>
      <c r="V2390" s="45"/>
      <c r="W2390" s="74"/>
      <c r="X2390" s="53">
        <f>P_2_minQ+(X2387^2*R_dn)-dpdn_minQ</f>
        <v>26.854343605472536</v>
      </c>
      <c r="Y2390" s="45"/>
      <c r="Z2390" s="74"/>
      <c r="AA2390" s="53">
        <f>P_2_minQ+(AA2387^2*R_dn)-dpdn_minQ</f>
        <v>32.668417389779684</v>
      </c>
      <c r="AB2390" s="45"/>
      <c r="AC2390" s="74"/>
      <c r="AD2390" s="53">
        <f>P_2_minQ+(AD2387^2*R_dn)-dpdn_minQ</f>
        <v>46.326782336027847</v>
      </c>
      <c r="AE2390" s="45"/>
      <c r="AF2390" s="74"/>
      <c r="AG2390" s="53">
        <f>P_2_minQ+(AG2387^2*R_dn)-dpdn_minQ</f>
        <v>72.693014446078337</v>
      </c>
      <c r="AH2390" s="45"/>
      <c r="AI2390" s="74"/>
      <c r="AJ2390" s="53">
        <f>P_2_minQ+(AJ2387^2*R_dn)-dpdn_minQ</f>
        <v>110.2045453283196</v>
      </c>
      <c r="AK2390" s="45"/>
      <c r="AL2390" s="74"/>
      <c r="AM2390" s="53">
        <f>P_2_minQ+(AM2387^2*R_dn)-dpdn_minQ</f>
        <v>152.0257495101317</v>
      </c>
      <c r="AN2390" s="45"/>
      <c r="AO2390" s="74"/>
      <c r="AP2390" s="53">
        <f>P_2_minQ+(AP2387^2*R_dn)-dpdn_minQ</f>
        <v>196.33091040635841</v>
      </c>
      <c r="AQ2390" s="45"/>
      <c r="AR2390" s="74"/>
      <c r="AS2390" s="53">
        <f>P_2_minQ+(AS2387^2*R_dn)-dpdn_minQ</f>
        <v>247.0187840760851</v>
      </c>
      <c r="AT2390" s="45"/>
      <c r="AU2390" s="74"/>
    </row>
    <row r="2391" spans="15:47" x14ac:dyDescent="0.25">
      <c r="O2391" s="6" t="s">
        <v>243</v>
      </c>
      <c r="Q2391" s="60"/>
      <c r="R2391" s="53">
        <f>R2389-R2390</f>
        <v>32.134978723603844</v>
      </c>
      <c r="S2391" s="56"/>
      <c r="T2391" s="72"/>
      <c r="U2391" s="64">
        <f>U2389-U2390</f>
        <v>29.970968214873626</v>
      </c>
      <c r="V2391" s="44"/>
      <c r="W2391" s="72"/>
      <c r="X2391" s="64">
        <f>X2389-X2390</f>
        <v>19.073938367164793</v>
      </c>
      <c r="Y2391" s="44"/>
      <c r="Z2391" s="72"/>
      <c r="AA2391" s="64">
        <f>AA2389-AA2390</f>
        <v>-15.810504338678083</v>
      </c>
      <c r="AB2391" s="44"/>
      <c r="AC2391" s="72"/>
      <c r="AD2391" s="64">
        <f>AD2389-AD2390</f>
        <v>-97.760694016167093</v>
      </c>
      <c r="AE2391" s="44"/>
      <c r="AF2391" s="72"/>
      <c r="AG2391" s="64">
        <f>AG2389-AG2390</f>
        <v>-255.95808667647</v>
      </c>
      <c r="AH2391" s="44"/>
      <c r="AI2391" s="72"/>
      <c r="AJ2391" s="64">
        <f>AJ2389-AJ2390</f>
        <v>-481.02727196991759</v>
      </c>
      <c r="AK2391" s="44"/>
      <c r="AL2391" s="72"/>
      <c r="AM2391" s="64">
        <f>AM2389-AM2390</f>
        <v>-731.95449706079023</v>
      </c>
      <c r="AN2391" s="44"/>
      <c r="AO2391" s="72"/>
      <c r="AP2391" s="64">
        <f>AP2389-AP2390</f>
        <v>-997.78546243815038</v>
      </c>
      <c r="AQ2391" s="44"/>
      <c r="AR2391" s="72"/>
      <c r="AS2391" s="64">
        <f>AS2389-AS2390</f>
        <v>-1301.9127044565105</v>
      </c>
      <c r="AT2391" s="44"/>
      <c r="AU2391" s="72"/>
    </row>
    <row r="2392" spans="15:47" ht="13" x14ac:dyDescent="0.3">
      <c r="O2392" s="6" t="s">
        <v>75</v>
      </c>
      <c r="P2392" s="6">
        <v>3</v>
      </c>
      <c r="Q2392" s="65"/>
      <c r="R2392" s="85">
        <f>(F_LP_h/F_P_h)^2*(R2389-('Valve Sizing'!$V$4*'Valve Sizing'!$G$7))</f>
        <v>46.679326554498751</v>
      </c>
      <c r="S2392" s="58"/>
      <c r="T2392" s="73"/>
      <c r="U2392" s="53">
        <f>(U$29/U$27)^2*(U2389-('Valve Sizing'!$V$4*'Valve Sizing'!$G$7))</f>
        <v>45.173748791628732</v>
      </c>
      <c r="V2392" s="41"/>
      <c r="W2392" s="73"/>
      <c r="X2392" s="53">
        <f>(X$29/X$27)^2*(X2389-('Valve Sizing'!$V$4*'Valve Sizing'!$G$7))</f>
        <v>36.806958855773686</v>
      </c>
      <c r="Y2392" s="41"/>
      <c r="Z2392" s="73"/>
      <c r="AA2392" s="53">
        <f>(AA$29/AA$27)^2*(AA2389-('Valve Sizing'!$V$4*'Valve Sizing'!$G$7))</f>
        <v>12.687673019900126</v>
      </c>
      <c r="AB2392" s="41"/>
      <c r="AC2392" s="73"/>
      <c r="AD2392" s="53">
        <f>(AD$29/AD$27)^2*(AD2389-('Valve Sizing'!$V$4*'Valve Sizing'!$G$7))</f>
        <v>-37.410853454788004</v>
      </c>
      <c r="AE2392" s="41"/>
      <c r="AF2392" s="73"/>
      <c r="AG2392" s="53">
        <f>(AG$29/AG$27)^2*(AG2389-('Valve Sizing'!$V$4*'Valve Sizing'!$G$7))</f>
        <v>-118.31417771298307</v>
      </c>
      <c r="AH2392" s="41"/>
      <c r="AI2392" s="73"/>
      <c r="AJ2392" s="53">
        <f>(AJ$29/AJ$27)^2*(AJ2389-('Valve Sizing'!$V$4*'Valve Sizing'!$G$7))</f>
        <v>-214.72515347913728</v>
      </c>
      <c r="AK2392" s="41"/>
      <c r="AL2392" s="73"/>
      <c r="AM2392" s="53">
        <f>(AM$29/AM$27)^2*(AM2389-('Valve Sizing'!$V$4*'Valve Sizing'!$G$7))</f>
        <v>-277.69030962272649</v>
      </c>
      <c r="AN2392" s="41"/>
      <c r="AO2392" s="73"/>
      <c r="AP2392" s="53">
        <f>(AP$29/AP$27)^2*(AP2389-('Valve Sizing'!$V$4*'Valve Sizing'!$G$7))</f>
        <v>-316.44912570200978</v>
      </c>
      <c r="AQ2392" s="41"/>
      <c r="AR2392" s="73"/>
      <c r="AS2392" s="53">
        <f>(AS$29/AS$27)^2*(AS2389-('Valve Sizing'!$V$4*'Valve Sizing'!$G$7))</f>
        <v>-396.95416054823852</v>
      </c>
      <c r="AT2392" s="41"/>
      <c r="AU2392" s="73"/>
    </row>
    <row r="2393" spans="15:47" ht="13" x14ac:dyDescent="0.25">
      <c r="O2393" s="1" t="s">
        <v>69</v>
      </c>
      <c r="P2393" s="17">
        <v>7</v>
      </c>
      <c r="Q2393" s="65"/>
      <c r="R2393" s="53">
        <f>(R2387/(N_1*F_P_h))*SQRT('Valve Sizing'!$G$6/R2391)</f>
        <v>9.7746510966982196</v>
      </c>
      <c r="S2393" s="58"/>
      <c r="T2393" s="73"/>
      <c r="U2393" s="64">
        <f>(U2387/(N_1*U$27))*SQRT('Valve Sizing'!$G$6/U2391)</f>
        <v>43.44203663518055</v>
      </c>
      <c r="V2393" s="41"/>
      <c r="W2393" s="73"/>
      <c r="X2393" s="64">
        <f>(X2387/(N_1*X$27))*SQRT('Valve Sizing'!$G$6/X2391)</f>
        <v>131.00742685903234</v>
      </c>
      <c r="Y2393" s="41"/>
      <c r="Z2393" s="73"/>
      <c r="AA2393" s="64" t="e">
        <f>(AA2387/(N_1*AA$27))*SQRT('Valve Sizing'!$G$6/AA2391)</f>
        <v>#NUM!</v>
      </c>
      <c r="AB2393" s="41"/>
      <c r="AC2393" s="73"/>
      <c r="AD2393" s="64" t="e">
        <f>(AD2387/(N_1*AD$27))*SQRT('Valve Sizing'!$G$6/AD2391)</f>
        <v>#NUM!</v>
      </c>
      <c r="AE2393" s="41"/>
      <c r="AF2393" s="73"/>
      <c r="AG2393" s="64" t="e">
        <f>(AG2387/(N_1*AG$27))*SQRT('Valve Sizing'!$G$6/AG2391)</f>
        <v>#NUM!</v>
      </c>
      <c r="AH2393" s="41"/>
      <c r="AI2393" s="73"/>
      <c r="AJ2393" s="64" t="e">
        <f>(AJ2387/(N_1*AJ$27))*SQRT('Valve Sizing'!$G$6/AJ2391)</f>
        <v>#NUM!</v>
      </c>
      <c r="AK2393" s="41"/>
      <c r="AL2393" s="73"/>
      <c r="AM2393" s="64" t="e">
        <f>(AM2387/(N_1*AM$27))*SQRT('Valve Sizing'!$G$6/AM2391)</f>
        <v>#NUM!</v>
      </c>
      <c r="AN2393" s="41"/>
      <c r="AO2393" s="73"/>
      <c r="AP2393" s="64" t="e">
        <f>(AP2387/(N_1*AP$27))*SQRT('Valve Sizing'!$G$6/AP2391)</f>
        <v>#NUM!</v>
      </c>
      <c r="AQ2393" s="41"/>
      <c r="AR2393" s="73"/>
      <c r="AS2393" s="64" t="e">
        <f>(AS2387/(N_1*AS$27))*SQRT('Valve Sizing'!$G$6/AS2391)</f>
        <v>#NUM!</v>
      </c>
      <c r="AT2393" s="41"/>
      <c r="AU2393" s="73"/>
    </row>
    <row r="2394" spans="15:47" ht="13" x14ac:dyDescent="0.3">
      <c r="O2394" s="1" t="s">
        <v>72</v>
      </c>
      <c r="P2394" s="17">
        <v>7</v>
      </c>
      <c r="Q2394" s="65"/>
      <c r="R2394" s="53">
        <f>(R2387/(N_1*F_P_h))*SQRT('Valve Sizing'!$G$6/R2392)</f>
        <v>8.1101331008591107</v>
      </c>
      <c r="S2394" s="56"/>
      <c r="T2394" s="72"/>
      <c r="U2394" s="85">
        <f>(U2387/(N_1*U$27))*SQRT('Valve Sizing'!$G$6/U2392)</f>
        <v>35.384861317597156</v>
      </c>
      <c r="V2394" s="44"/>
      <c r="W2394" s="72"/>
      <c r="X2394" s="85">
        <f>(X2387/(N_1*X$27))*SQRT('Valve Sizing'!$G$6/X2392)</f>
        <v>94.308564919267226</v>
      </c>
      <c r="Y2394" s="44"/>
      <c r="Z2394" s="72"/>
      <c r="AA2394" s="85">
        <f>(AA2387/(N_1*AA$27))*SQRT('Valve Sizing'!$G$6/AA2392)</f>
        <v>308.46488804398268</v>
      </c>
      <c r="AB2394" s="44"/>
      <c r="AC2394" s="72"/>
      <c r="AD2394" s="85" t="e">
        <f>(AD2387/(N_1*AD$27))*SQRT('Valve Sizing'!$G$6/AD2392)</f>
        <v>#NUM!</v>
      </c>
      <c r="AE2394" s="44"/>
      <c r="AF2394" s="72"/>
      <c r="AG2394" s="85" t="e">
        <f>(AG2387/(N_1*AG$27))*SQRT('Valve Sizing'!$G$6/AG2392)</f>
        <v>#NUM!</v>
      </c>
      <c r="AH2394" s="44"/>
      <c r="AI2394" s="72"/>
      <c r="AJ2394" s="85" t="e">
        <f>(AJ2387/(N_1*AJ$27))*SQRT('Valve Sizing'!$G$6/AJ2392)</f>
        <v>#NUM!</v>
      </c>
      <c r="AK2394" s="44"/>
      <c r="AL2394" s="72"/>
      <c r="AM2394" s="85" t="e">
        <f>(AM2387/(N_1*AM$27))*SQRT('Valve Sizing'!$G$6/AM2392)</f>
        <v>#NUM!</v>
      </c>
      <c r="AN2394" s="44"/>
      <c r="AO2394" s="72"/>
      <c r="AP2394" s="85" t="e">
        <f>(AP2387/(N_1*AP$27))*SQRT('Valve Sizing'!$G$6/AP2392)</f>
        <v>#NUM!</v>
      </c>
      <c r="AQ2394" s="44"/>
      <c r="AR2394" s="72"/>
      <c r="AS2394" s="85" t="e">
        <f>(AS2387/(N_1*AS$27))*SQRT('Valve Sizing'!$G$6/AS2392)</f>
        <v>#NUM!</v>
      </c>
      <c r="AT2394" s="44"/>
      <c r="AU2394" s="72"/>
    </row>
    <row r="2395" spans="15:47" x14ac:dyDescent="0.25">
      <c r="O2395" s="1" t="s">
        <v>246</v>
      </c>
      <c r="P2395" s="18"/>
      <c r="Q2395" s="65"/>
      <c r="R2395" s="53">
        <f>IF(R2391&lt;R2392,R2393,R2394)</f>
        <v>9.7746510966982196</v>
      </c>
      <c r="S2395" s="49"/>
      <c r="T2395" s="72"/>
      <c r="U2395" s="64">
        <f>IF(U2391&lt;U2392,U2393,U2394)</f>
        <v>43.44203663518055</v>
      </c>
      <c r="V2395" s="44"/>
      <c r="W2395" s="72"/>
      <c r="X2395" s="64">
        <f>IF(X2391&lt;X2392,X2393,X2394)</f>
        <v>131.00742685903234</v>
      </c>
      <c r="Y2395" s="44"/>
      <c r="Z2395" s="72"/>
      <c r="AA2395" s="64" t="e">
        <f>IF(AA2391&lt;AA2392,AA2393,AA2394)</f>
        <v>#NUM!</v>
      </c>
      <c r="AB2395" s="44"/>
      <c r="AC2395" s="72"/>
      <c r="AD2395" s="64" t="e">
        <f>IF(AD2391&lt;AD2392,AD2393,AD2394)</f>
        <v>#NUM!</v>
      </c>
      <c r="AE2395" s="44"/>
      <c r="AF2395" s="72"/>
      <c r="AG2395" s="64" t="e">
        <f>IF(AG2391&lt;AG2392,AG2393,AG2394)</f>
        <v>#NUM!</v>
      </c>
      <c r="AH2395" s="44"/>
      <c r="AI2395" s="72"/>
      <c r="AJ2395" s="64" t="e">
        <f>IF(AJ2391&lt;AJ2392,AJ2393,AJ2394)</f>
        <v>#NUM!</v>
      </c>
      <c r="AK2395" s="44"/>
      <c r="AL2395" s="72"/>
      <c r="AM2395" s="64" t="e">
        <f>IF(AM2391&lt;AM2392,AM2393,AM2394)</f>
        <v>#NUM!</v>
      </c>
      <c r="AN2395" s="44"/>
      <c r="AO2395" s="72"/>
      <c r="AP2395" s="64" t="e">
        <f>IF(AP2391&lt;AP2392,AP2393,AP2394)</f>
        <v>#NUM!</v>
      </c>
      <c r="AQ2395" s="44"/>
      <c r="AR2395" s="72"/>
      <c r="AS2395" s="64" t="e">
        <f>IF(AS2391&lt;AS2392,AS2393,AS2394)</f>
        <v>#NUM!</v>
      </c>
      <c r="AT2395" s="44"/>
      <c r="AU2395" s="72"/>
    </row>
    <row r="2396" spans="15:47" ht="13" x14ac:dyDescent="0.3">
      <c r="O2396" s="7" t="s">
        <v>264</v>
      </c>
      <c r="Q2396" s="61"/>
      <c r="R2396" s="53"/>
      <c r="S2396" s="69">
        <f>IFERROR(ABS(C_h-R2395),Q_max*10)</f>
        <v>4.7746510966982196</v>
      </c>
      <c r="T2396" s="76">
        <f>R2387</f>
        <v>55.402165978192443</v>
      </c>
      <c r="U2396" s="61"/>
      <c r="V2396" s="69">
        <f>IFERROR(ABS(U$23-U2395),Q_max*10)</f>
        <v>31.44203663518055</v>
      </c>
      <c r="W2396" s="75">
        <f>U2387</f>
        <v>237.62651219506893</v>
      </c>
      <c r="X2396" s="61"/>
      <c r="Y2396" s="69">
        <f>IFERROR(ABS(X$23-X2395),Q_max*10)</f>
        <v>108.00742685903234</v>
      </c>
      <c r="Z2396" s="75">
        <f>X2387</f>
        <v>570.39510060151179</v>
      </c>
      <c r="AA2396" s="61"/>
      <c r="AB2396" s="69">
        <f>IFERROR(ABS(AA$23-AA2395),Q_max*10)</f>
        <v>5500</v>
      </c>
      <c r="AC2396" s="75">
        <f>AA2387</f>
        <v>1089.0932901073634</v>
      </c>
      <c r="AD2396" s="61"/>
      <c r="AE2396" s="69">
        <f>IFERROR(ABS(AD$23-AD2395),Q_max*10)</f>
        <v>5500</v>
      </c>
      <c r="AF2396" s="75">
        <f>AD2387</f>
        <v>1791.1574818672207</v>
      </c>
      <c r="AG2396" s="61"/>
      <c r="AH2396" s="69">
        <f>IFERROR(ABS(AG$23-AG2395),Q_max*10)</f>
        <v>5500</v>
      </c>
      <c r="AI2396" s="75">
        <f>AG2387</f>
        <v>2666.7894158973063</v>
      </c>
      <c r="AJ2396" s="61"/>
      <c r="AK2396" s="69">
        <f>IFERROR(ABS(AJ$23-AJ2395),Q_max*10)</f>
        <v>5500</v>
      </c>
      <c r="AL2396" s="75">
        <f>AJ2387</f>
        <v>3558.8408135034242</v>
      </c>
      <c r="AM2396" s="61"/>
      <c r="AN2396" s="69">
        <f>IFERROR(ABS(AM$23-AM2395),Q_max*10)</f>
        <v>5500</v>
      </c>
      <c r="AO2396" s="75">
        <f>AM2387</f>
        <v>4342.4621143971999</v>
      </c>
      <c r="AP2396" s="61"/>
      <c r="AQ2396" s="69">
        <f>IFERROR(ABS(AP$23-AP2395),Q_max*10)</f>
        <v>5500</v>
      </c>
      <c r="AR2396" s="75">
        <f>AP2387</f>
        <v>5041.4637046855114</v>
      </c>
      <c r="AS2396" s="61"/>
      <c r="AT2396" s="69">
        <f>IFERROR(ABS(AS$23-AS2395),Q_max*10)</f>
        <v>5500</v>
      </c>
      <c r="AU2396" s="75">
        <f>AS2387</f>
        <v>5737.6559658508977</v>
      </c>
    </row>
    <row r="2397" spans="15:47" ht="14.5" x14ac:dyDescent="0.35">
      <c r="O2397" s="8"/>
      <c r="P2397" s="6"/>
      <c r="Q2397" s="60"/>
      <c r="R2397" s="67"/>
      <c r="S2397" s="66"/>
      <c r="T2397" s="74"/>
      <c r="V2397" s="11"/>
      <c r="W2397" s="38"/>
      <c r="Y2397" s="11"/>
      <c r="Z2397" s="38"/>
      <c r="AB2397" s="11"/>
      <c r="AC2397" s="38"/>
      <c r="AE2397" s="11"/>
      <c r="AF2397" s="38"/>
      <c r="AH2397" s="11"/>
      <c r="AI2397" s="38"/>
      <c r="AK2397" s="11"/>
      <c r="AL2397" s="38"/>
      <c r="AN2397" s="11"/>
      <c r="AO2397" s="38"/>
      <c r="AQ2397" s="11"/>
      <c r="AR2397" s="38"/>
      <c r="AT2397" s="11"/>
      <c r="AU2397" s="38"/>
    </row>
    <row r="2398" spans="15:47" ht="14" x14ac:dyDescent="0.3">
      <c r="O2398" s="8" t="s">
        <v>235</v>
      </c>
      <c r="P2398" s="6"/>
      <c r="Q2398" s="60"/>
      <c r="R2398" s="53">
        <f>R2387*1.02</f>
        <v>56.51020929775629</v>
      </c>
      <c r="S2398" s="58" t="s">
        <v>238</v>
      </c>
      <c r="T2398" s="73" t="s">
        <v>241</v>
      </c>
      <c r="U2398" s="84">
        <f>U2387*1.01</f>
        <v>240.00277731701962</v>
      </c>
      <c r="V2398" s="58" t="s">
        <v>238</v>
      </c>
      <c r="W2398" s="73" t="s">
        <v>241</v>
      </c>
      <c r="X2398" s="84">
        <f>X2387*1.01</f>
        <v>576.09905160752692</v>
      </c>
      <c r="Y2398" s="58" t="s">
        <v>238</v>
      </c>
      <c r="Z2398" s="73" t="s">
        <v>241</v>
      </c>
      <c r="AA2398" s="84">
        <f>AA2387*1.01</f>
        <v>1099.9842230084371</v>
      </c>
      <c r="AB2398" s="58" t="s">
        <v>238</v>
      </c>
      <c r="AC2398" s="73" t="s">
        <v>241</v>
      </c>
      <c r="AD2398" s="84">
        <f>AD2387*1.01</f>
        <v>1809.069056685893</v>
      </c>
      <c r="AE2398" s="58" t="s">
        <v>238</v>
      </c>
      <c r="AF2398" s="73" t="s">
        <v>241</v>
      </c>
      <c r="AG2398" s="84">
        <f>AG2387*1.01</f>
        <v>2693.4573100562793</v>
      </c>
      <c r="AH2398" s="58" t="s">
        <v>238</v>
      </c>
      <c r="AI2398" s="73" t="s">
        <v>241</v>
      </c>
      <c r="AJ2398" s="84">
        <f>AJ2387*1.01</f>
        <v>3594.4292216384583</v>
      </c>
      <c r="AK2398" s="58" t="s">
        <v>238</v>
      </c>
      <c r="AL2398" s="73" t="s">
        <v>241</v>
      </c>
      <c r="AM2398" s="84">
        <f>AM2387*1.01</f>
        <v>4385.8867355411721</v>
      </c>
      <c r="AN2398" s="58" t="s">
        <v>238</v>
      </c>
      <c r="AO2398" s="73" t="s">
        <v>241</v>
      </c>
      <c r="AP2398" s="84">
        <f>AP2387*1.01</f>
        <v>5091.8783417323666</v>
      </c>
      <c r="AQ2398" s="58" t="s">
        <v>238</v>
      </c>
      <c r="AR2398" s="73" t="s">
        <v>241</v>
      </c>
      <c r="AS2398" s="84">
        <f>AS2387*1.01</f>
        <v>5795.0325255094067</v>
      </c>
      <c r="AT2398" s="58" t="s">
        <v>238</v>
      </c>
      <c r="AU2398" s="73" t="s">
        <v>241</v>
      </c>
    </row>
    <row r="2399" spans="15:47" ht="13" x14ac:dyDescent="0.25">
      <c r="O2399" s="6"/>
      <c r="P2399" s="6"/>
      <c r="Q2399" s="60"/>
      <c r="R2399" s="70"/>
      <c r="S2399" s="63" t="s">
        <v>250</v>
      </c>
      <c r="T2399" s="71" t="s">
        <v>242</v>
      </c>
      <c r="U2399" s="61"/>
      <c r="V2399" s="63" t="s">
        <v>250</v>
      </c>
      <c r="W2399" s="71" t="s">
        <v>242</v>
      </c>
      <c r="X2399" s="61"/>
      <c r="Y2399" s="63" t="s">
        <v>250</v>
      </c>
      <c r="Z2399" s="71" t="s">
        <v>242</v>
      </c>
      <c r="AA2399" s="61"/>
      <c r="AB2399" s="63" t="s">
        <v>250</v>
      </c>
      <c r="AC2399" s="71" t="s">
        <v>242</v>
      </c>
      <c r="AD2399" s="61"/>
      <c r="AE2399" s="63" t="s">
        <v>250</v>
      </c>
      <c r="AF2399" s="71" t="s">
        <v>242</v>
      </c>
      <c r="AG2399" s="61"/>
      <c r="AH2399" s="63" t="s">
        <v>250</v>
      </c>
      <c r="AI2399" s="71" t="s">
        <v>242</v>
      </c>
      <c r="AJ2399" s="61"/>
      <c r="AK2399" s="63" t="s">
        <v>250</v>
      </c>
      <c r="AL2399" s="71" t="s">
        <v>242</v>
      </c>
      <c r="AM2399" s="61"/>
      <c r="AN2399" s="63" t="s">
        <v>250</v>
      </c>
      <c r="AO2399" s="71" t="s">
        <v>242</v>
      </c>
      <c r="AP2399" s="61"/>
      <c r="AQ2399" s="63" t="s">
        <v>250</v>
      </c>
      <c r="AR2399" s="71" t="s">
        <v>242</v>
      </c>
      <c r="AS2399" s="61"/>
      <c r="AT2399" s="63" t="s">
        <v>250</v>
      </c>
      <c r="AU2399" s="71" t="s">
        <v>242</v>
      </c>
    </row>
    <row r="2400" spans="15:47" ht="13" x14ac:dyDescent="0.3">
      <c r="O2400" s="6" t="s">
        <v>231</v>
      </c>
      <c r="P2400" s="6"/>
      <c r="Q2400" s="60"/>
      <c r="R2400" s="85">
        <f>P_1_minQ-(R2398^2*R_up)+dpup_minQ</f>
        <v>56.808294368291918</v>
      </c>
      <c r="S2400" s="56"/>
      <c r="T2400" s="72"/>
      <c r="U2400" s="53">
        <f>P_1_minQ-(U2398^2*R_up)+dpup_minQ</f>
        <v>54.970809418443672</v>
      </c>
      <c r="V2400" s="44"/>
      <c r="W2400" s="72"/>
      <c r="X2400" s="53">
        <f>P_1_minQ-(X2398^2*R_up)+dpup_minQ</f>
        <v>45.707425962070516</v>
      </c>
      <c r="Y2400" s="44"/>
      <c r="Z2400" s="72"/>
      <c r="AA2400" s="53">
        <f>P_1_minQ-(AA2398^2*R_up)+dpup_minQ</f>
        <v>16.052742625211916</v>
      </c>
      <c r="AB2400" s="44"/>
      <c r="AC2400" s="72"/>
      <c r="AD2400" s="53">
        <f>P_1_minQ-(AD2398^2*R_up)+dpup_minQ</f>
        <v>-53.61174778312688</v>
      </c>
      <c r="AE2400" s="44"/>
      <c r="AF2400" s="72"/>
      <c r="AG2400" s="53">
        <f>P_1_minQ-(AG2398^2*R_up)+dpup_minQ</f>
        <v>-188.09271466043933</v>
      </c>
      <c r="AH2400" s="44"/>
      <c r="AI2400" s="72"/>
      <c r="AJ2400" s="53">
        <f>P_1_minQ-(AJ2398^2*R_up)+dpup_minQ</f>
        <v>-379.42027792531081</v>
      </c>
      <c r="AK2400" s="44"/>
      <c r="AL2400" s="72"/>
      <c r="AM2400" s="53">
        <f>P_1_minQ-(AM2398^2*R_up)+dpup_minQ</f>
        <v>-592.72932985464377</v>
      </c>
      <c r="AN2400" s="44"/>
      <c r="AO2400" s="72"/>
      <c r="AP2400" s="53">
        <f>P_1_minQ-(AP2398^2*R_up)+dpup_minQ</f>
        <v>-818.70780300584795</v>
      </c>
      <c r="AQ2400" s="44"/>
      <c r="AR2400" s="72"/>
      <c r="AS2400" s="53">
        <f>P_1_minQ-(AS2398^2*R_up)+dpup_minQ</f>
        <v>-1077.241302658289</v>
      </c>
      <c r="AT2400" s="44"/>
      <c r="AU2400" s="72"/>
    </row>
    <row r="2401" spans="15:47" ht="13" x14ac:dyDescent="0.3">
      <c r="O2401" s="6" t="s">
        <v>233</v>
      </c>
      <c r="P2401" s="6"/>
      <c r="Q2401" s="60"/>
      <c r="R2401" s="85">
        <f>P_2_minQ+(R2398^2*R_dn)-dpdn_minQ</f>
        <v>24.678341126341618</v>
      </c>
      <c r="S2401" s="66"/>
      <c r="T2401" s="74"/>
      <c r="U2401" s="53">
        <f>P_2_minQ+(U2398^2*R_dn)-dpdn_minQ</f>
        <v>25.045838116311266</v>
      </c>
      <c r="V2401" s="45"/>
      <c r="W2401" s="74"/>
      <c r="X2401" s="53">
        <f>P_2_minQ+(X2398^2*R_dn)-dpdn_minQ</f>
        <v>26.898514807585897</v>
      </c>
      <c r="Y2401" s="45"/>
      <c r="Z2401" s="74"/>
      <c r="AA2401" s="53">
        <f>P_2_minQ+(AA2398^2*R_dn)-dpdn_minQ</f>
        <v>32.829451474957622</v>
      </c>
      <c r="AB2401" s="45"/>
      <c r="AC2401" s="74"/>
      <c r="AD2401" s="53">
        <f>P_2_minQ+(AD2398^2*R_dn)-dpdn_minQ</f>
        <v>46.762349556625381</v>
      </c>
      <c r="AE2401" s="45"/>
      <c r="AF2401" s="74"/>
      <c r="AG2401" s="53">
        <f>P_2_minQ+(AG2398^2*R_dn)-dpdn_minQ</f>
        <v>73.658542932087869</v>
      </c>
      <c r="AH2401" s="45"/>
      <c r="AI2401" s="74"/>
      <c r="AJ2401" s="53">
        <f>P_2_minQ+(AJ2398^2*R_dn)-dpdn_minQ</f>
        <v>111.92405558506216</v>
      </c>
      <c r="AK2401" s="45"/>
      <c r="AL2401" s="74"/>
      <c r="AM2401" s="53">
        <f>P_2_minQ+(AM2398^2*R_dn)-dpdn_minQ</f>
        <v>154.58586597092872</v>
      </c>
      <c r="AN2401" s="45"/>
      <c r="AO2401" s="74"/>
      <c r="AP2401" s="53">
        <f>P_2_minQ+(AP2398^2*R_dn)-dpdn_minQ</f>
        <v>199.78156060116956</v>
      </c>
      <c r="AQ2401" s="45"/>
      <c r="AR2401" s="74"/>
      <c r="AS2401" s="53">
        <f>P_2_minQ+(AS2398^2*R_dn)-dpdn_minQ</f>
        <v>251.4882605316578</v>
      </c>
      <c r="AT2401" s="45"/>
      <c r="AU2401" s="74"/>
    </row>
    <row r="2402" spans="15:47" x14ac:dyDescent="0.25">
      <c r="O2402" s="6" t="s">
        <v>243</v>
      </c>
      <c r="Q2402" s="60"/>
      <c r="R2402" s="53">
        <f>R2400-R2401</f>
        <v>32.129953241950304</v>
      </c>
      <c r="S2402" s="56"/>
      <c r="T2402" s="72"/>
      <c r="U2402" s="64">
        <f>U2400-U2401</f>
        <v>29.924971302132406</v>
      </c>
      <c r="V2402" s="44"/>
      <c r="W2402" s="72"/>
      <c r="X2402" s="64">
        <f>X2400-X2401</f>
        <v>18.808911154484619</v>
      </c>
      <c r="Y2402" s="44"/>
      <c r="Z2402" s="72"/>
      <c r="AA2402" s="64">
        <f>AA2400-AA2401</f>
        <v>-16.776708849745706</v>
      </c>
      <c r="AB2402" s="44"/>
      <c r="AC2402" s="72"/>
      <c r="AD2402" s="64">
        <f>AD2400-AD2401</f>
        <v>-100.37409733975227</v>
      </c>
      <c r="AE2402" s="44"/>
      <c r="AF2402" s="72"/>
      <c r="AG2402" s="64">
        <f>AG2400-AG2401</f>
        <v>-261.75125759252717</v>
      </c>
      <c r="AH2402" s="44"/>
      <c r="AI2402" s="72"/>
      <c r="AJ2402" s="64">
        <f>AJ2400-AJ2401</f>
        <v>-491.34433351037296</v>
      </c>
      <c r="AK2402" s="44"/>
      <c r="AL2402" s="72"/>
      <c r="AM2402" s="64">
        <f>AM2400-AM2401</f>
        <v>-747.31519582557246</v>
      </c>
      <c r="AN2402" s="44"/>
      <c r="AO2402" s="72"/>
      <c r="AP2402" s="64">
        <f>AP2400-AP2401</f>
        <v>-1018.4893636070175</v>
      </c>
      <c r="AQ2402" s="44"/>
      <c r="AR2402" s="72"/>
      <c r="AS2402" s="64">
        <f>AS2400-AS2401</f>
        <v>-1328.7295631899467</v>
      </c>
      <c r="AT2402" s="44"/>
      <c r="AU2402" s="72"/>
    </row>
    <row r="2403" spans="15:47" ht="13" x14ac:dyDescent="0.3">
      <c r="O2403" s="6" t="s">
        <v>75</v>
      </c>
      <c r="P2403" s="6">
        <v>3</v>
      </c>
      <c r="Q2403" s="65"/>
      <c r="R2403" s="85">
        <f>(F_LP_h/F_P_h)^2*(R2400-('Valve Sizing'!$V$4*'Valve Sizing'!$G$7))</f>
        <v>46.675858752335124</v>
      </c>
      <c r="S2403" s="58"/>
      <c r="T2403" s="73"/>
      <c r="U2403" s="53">
        <f>(U$29/U$27)^2*(U2400-('Valve Sizing'!$V$4*'Valve Sizing'!$G$7))</f>
        <v>45.142017560838568</v>
      </c>
      <c r="V2403" s="41"/>
      <c r="W2403" s="73"/>
      <c r="X2403" s="53">
        <f>(X$29/X$27)^2*(X2400-('Valve Sizing'!$V$4*'Valve Sizing'!$G$7))</f>
        <v>36.628252427496477</v>
      </c>
      <c r="Y2403" s="41"/>
      <c r="Z2403" s="73"/>
      <c r="AA2403" s="53">
        <f>(AA$29/AA$27)^2*(AA2400-('Valve Sizing'!$V$4*'Valve Sizing'!$G$7))</f>
        <v>12.065439552056693</v>
      </c>
      <c r="AB2403" s="41"/>
      <c r="AC2403" s="73"/>
      <c r="AD2403" s="53">
        <f>(AD$29/AD$27)^2*(AD2400-('Valve Sizing'!$V$4*'Valve Sizing'!$G$7))</f>
        <v>-38.981481427155273</v>
      </c>
      <c r="AE2403" s="41"/>
      <c r="AF2403" s="73"/>
      <c r="AG2403" s="53">
        <f>(AG$29/AG$27)^2*(AG2400-('Valve Sizing'!$V$4*'Valve Sizing'!$G$7))</f>
        <v>-121.42339161853015</v>
      </c>
      <c r="AH2403" s="41"/>
      <c r="AI2403" s="73"/>
      <c r="AJ2403" s="53">
        <f>(AJ$29/AJ$27)^2*(AJ2400-('Valve Sizing'!$V$4*'Valve Sizing'!$G$7))</f>
        <v>-219.69767051277495</v>
      </c>
      <c r="AK2403" s="41"/>
      <c r="AL2403" s="73"/>
      <c r="AM2403" s="53">
        <f>(AM$29/AM$27)^2*(AM2400-('Valve Sizing'!$V$4*'Valve Sizing'!$G$7))</f>
        <v>-283.81503175006372</v>
      </c>
      <c r="AN2403" s="41"/>
      <c r="AO2403" s="73"/>
      <c r="AP2403" s="53">
        <f>(AP$29/AP$27)^2*(AP2400-('Valve Sizing'!$V$4*'Valve Sizing'!$G$7))</f>
        <v>-323.2577213955197</v>
      </c>
      <c r="AQ2403" s="41"/>
      <c r="AR2403" s="73"/>
      <c r="AS2403" s="53">
        <f>(AS$29/AS$27)^2*(AS2400-('Valve Sizing'!$V$4*'Valve Sizing'!$G$7))</f>
        <v>-405.35992266437574</v>
      </c>
      <c r="AT2403" s="41"/>
      <c r="AU2403" s="73"/>
    </row>
    <row r="2404" spans="15:47" ht="13" x14ac:dyDescent="0.25">
      <c r="O2404" s="1" t="s">
        <v>69</v>
      </c>
      <c r="P2404" s="17">
        <v>7</v>
      </c>
      <c r="Q2404" s="65"/>
      <c r="R2404" s="53">
        <f>(R2398/(N_1*F_P_h))*SQRT('Valve Sizing'!$G$6/R2402)</f>
        <v>9.9709238087999736</v>
      </c>
      <c r="S2404" s="58"/>
      <c r="T2404" s="73"/>
      <c r="U2404" s="64">
        <f>(U2398/(N_1*U$27))*SQRT('Valve Sizing'!$G$6/U2402)</f>
        <v>43.910164747068293</v>
      </c>
      <c r="V2404" s="41"/>
      <c r="W2404" s="73"/>
      <c r="X2404" s="64">
        <f>(X2398/(N_1*X$27))*SQRT('Valve Sizing'!$G$6/X2402)</f>
        <v>133.24645098367654</v>
      </c>
      <c r="Y2404" s="41"/>
      <c r="Z2404" s="73"/>
      <c r="AA2404" s="64" t="e">
        <f>(AA2398/(N_1*AA$27))*SQRT('Valve Sizing'!$G$6/AA2402)</f>
        <v>#NUM!</v>
      </c>
      <c r="AB2404" s="41"/>
      <c r="AC2404" s="73"/>
      <c r="AD2404" s="64" t="e">
        <f>(AD2398/(N_1*AD$27))*SQRT('Valve Sizing'!$G$6/AD2402)</f>
        <v>#NUM!</v>
      </c>
      <c r="AE2404" s="41"/>
      <c r="AF2404" s="73"/>
      <c r="AG2404" s="64" t="e">
        <f>(AG2398/(N_1*AG$27))*SQRT('Valve Sizing'!$G$6/AG2402)</f>
        <v>#NUM!</v>
      </c>
      <c r="AH2404" s="41"/>
      <c r="AI2404" s="73"/>
      <c r="AJ2404" s="64" t="e">
        <f>(AJ2398/(N_1*AJ$27))*SQRT('Valve Sizing'!$G$6/AJ2402)</f>
        <v>#NUM!</v>
      </c>
      <c r="AK2404" s="41"/>
      <c r="AL2404" s="73"/>
      <c r="AM2404" s="64" t="e">
        <f>(AM2398/(N_1*AM$27))*SQRT('Valve Sizing'!$G$6/AM2402)</f>
        <v>#NUM!</v>
      </c>
      <c r="AN2404" s="41"/>
      <c r="AO2404" s="73"/>
      <c r="AP2404" s="64" t="e">
        <f>(AP2398/(N_1*AP$27))*SQRT('Valve Sizing'!$G$6/AP2402)</f>
        <v>#NUM!</v>
      </c>
      <c r="AQ2404" s="41"/>
      <c r="AR2404" s="73"/>
      <c r="AS2404" s="64" t="e">
        <f>(AS2398/(N_1*AS$27))*SQRT('Valve Sizing'!$G$6/AS2402)</f>
        <v>#NUM!</v>
      </c>
      <c r="AT2404" s="41"/>
      <c r="AU2404" s="73"/>
    </row>
    <row r="2405" spans="15:47" ht="13" x14ac:dyDescent="0.3">
      <c r="O2405" s="1" t="s">
        <v>72</v>
      </c>
      <c r="P2405" s="17">
        <v>7</v>
      </c>
      <c r="Q2405" s="65"/>
      <c r="R2405" s="53">
        <f>(R2398/(N_1*F_P_h))*SQRT('Valve Sizing'!$G$6/R2403)</f>
        <v>8.2726430554662791</v>
      </c>
      <c r="S2405" s="56"/>
      <c r="T2405" s="72"/>
      <c r="U2405" s="85">
        <f>(U2398/(N_1*U$27))*SQRT('Valve Sizing'!$G$6/U2403)</f>
        <v>35.751268452750466</v>
      </c>
      <c r="V2405" s="44"/>
      <c r="W2405" s="72"/>
      <c r="X2405" s="85">
        <f>(X2398/(N_1*X$27))*SQRT('Valve Sizing'!$G$6/X2403)</f>
        <v>95.483730578713676</v>
      </c>
      <c r="Y2405" s="44"/>
      <c r="Z2405" s="72"/>
      <c r="AA2405" s="85">
        <f>(AA2398/(N_1*AA$27))*SQRT('Valve Sizing'!$G$6/AA2403)</f>
        <v>319.48209587445228</v>
      </c>
      <c r="AB2405" s="44"/>
      <c r="AC2405" s="72"/>
      <c r="AD2405" s="85" t="e">
        <f>(AD2398/(N_1*AD$27))*SQRT('Valve Sizing'!$G$6/AD2403)</f>
        <v>#NUM!</v>
      </c>
      <c r="AE2405" s="44"/>
      <c r="AF2405" s="72"/>
      <c r="AG2405" s="85" t="e">
        <f>(AG2398/(N_1*AG$27))*SQRT('Valve Sizing'!$G$6/AG2403)</f>
        <v>#NUM!</v>
      </c>
      <c r="AH2405" s="44"/>
      <c r="AI2405" s="72"/>
      <c r="AJ2405" s="85" t="e">
        <f>(AJ2398/(N_1*AJ$27))*SQRT('Valve Sizing'!$G$6/AJ2403)</f>
        <v>#NUM!</v>
      </c>
      <c r="AK2405" s="44"/>
      <c r="AL2405" s="72"/>
      <c r="AM2405" s="85" t="e">
        <f>(AM2398/(N_1*AM$27))*SQRT('Valve Sizing'!$G$6/AM2403)</f>
        <v>#NUM!</v>
      </c>
      <c r="AN2405" s="44"/>
      <c r="AO2405" s="72"/>
      <c r="AP2405" s="85" t="e">
        <f>(AP2398/(N_1*AP$27))*SQRT('Valve Sizing'!$G$6/AP2403)</f>
        <v>#NUM!</v>
      </c>
      <c r="AQ2405" s="44"/>
      <c r="AR2405" s="72"/>
      <c r="AS2405" s="85" t="e">
        <f>(AS2398/(N_1*AS$27))*SQRT('Valve Sizing'!$G$6/AS2403)</f>
        <v>#NUM!</v>
      </c>
      <c r="AT2405" s="44"/>
      <c r="AU2405" s="72"/>
    </row>
    <row r="2406" spans="15:47" x14ac:dyDescent="0.25">
      <c r="O2406" s="1" t="s">
        <v>246</v>
      </c>
      <c r="P2406" s="18"/>
      <c r="Q2406" s="65"/>
      <c r="R2406" s="53">
        <f>IF(R2402&lt;R2403,R2404,R2405)</f>
        <v>9.9709238087999736</v>
      </c>
      <c r="S2406" s="49"/>
      <c r="T2406" s="72"/>
      <c r="U2406" s="64">
        <f>IF(U2402&lt;U2403,U2404,U2405)</f>
        <v>43.910164747068293</v>
      </c>
      <c r="V2406" s="44"/>
      <c r="W2406" s="72"/>
      <c r="X2406" s="64">
        <f>IF(X2402&lt;X2403,X2404,X2405)</f>
        <v>133.24645098367654</v>
      </c>
      <c r="Y2406" s="44"/>
      <c r="Z2406" s="72"/>
      <c r="AA2406" s="64" t="e">
        <f>IF(AA2402&lt;AA2403,AA2404,AA2405)</f>
        <v>#NUM!</v>
      </c>
      <c r="AB2406" s="44"/>
      <c r="AC2406" s="72"/>
      <c r="AD2406" s="64" t="e">
        <f>IF(AD2402&lt;AD2403,AD2404,AD2405)</f>
        <v>#NUM!</v>
      </c>
      <c r="AE2406" s="44"/>
      <c r="AF2406" s="72"/>
      <c r="AG2406" s="64" t="e">
        <f>IF(AG2402&lt;AG2403,AG2404,AG2405)</f>
        <v>#NUM!</v>
      </c>
      <c r="AH2406" s="44"/>
      <c r="AI2406" s="72"/>
      <c r="AJ2406" s="64" t="e">
        <f>IF(AJ2402&lt;AJ2403,AJ2404,AJ2405)</f>
        <v>#NUM!</v>
      </c>
      <c r="AK2406" s="44"/>
      <c r="AL2406" s="72"/>
      <c r="AM2406" s="64" t="e">
        <f>IF(AM2402&lt;AM2403,AM2404,AM2405)</f>
        <v>#NUM!</v>
      </c>
      <c r="AN2406" s="44"/>
      <c r="AO2406" s="72"/>
      <c r="AP2406" s="64" t="e">
        <f>IF(AP2402&lt;AP2403,AP2404,AP2405)</f>
        <v>#NUM!</v>
      </c>
      <c r="AQ2406" s="44"/>
      <c r="AR2406" s="72"/>
      <c r="AS2406" s="64" t="e">
        <f>IF(AS2402&lt;AS2403,AS2404,AS2405)</f>
        <v>#NUM!</v>
      </c>
      <c r="AT2406" s="44"/>
      <c r="AU2406" s="72"/>
    </row>
    <row r="2407" spans="15:47" ht="13" x14ac:dyDescent="0.3">
      <c r="O2407" s="7" t="s">
        <v>264</v>
      </c>
      <c r="Q2407" s="61"/>
      <c r="R2407" s="53"/>
      <c r="S2407" s="69">
        <f>IFERROR(ABS(C_h-R2406),Q_max*10)</f>
        <v>4.9709238087999736</v>
      </c>
      <c r="T2407" s="76">
        <f>R2398</f>
        <v>56.51020929775629</v>
      </c>
      <c r="U2407" s="61"/>
      <c r="V2407" s="69">
        <f>IFERROR(ABS(U$23-U2406),Q_max*10)</f>
        <v>31.910164747068293</v>
      </c>
      <c r="W2407" s="75">
        <f>U2398</f>
        <v>240.00277731701962</v>
      </c>
      <c r="X2407" s="61"/>
      <c r="Y2407" s="69">
        <f>IFERROR(ABS(X$23-X2406),Q_max*10)</f>
        <v>110.24645098367654</v>
      </c>
      <c r="Z2407" s="75">
        <f>X2398</f>
        <v>576.09905160752692</v>
      </c>
      <c r="AA2407" s="61"/>
      <c r="AB2407" s="69">
        <f>IFERROR(ABS(AA$23-AA2406),Q_max*10)</f>
        <v>5500</v>
      </c>
      <c r="AC2407" s="75">
        <f>AA2398</f>
        <v>1099.9842230084371</v>
      </c>
      <c r="AD2407" s="61"/>
      <c r="AE2407" s="69">
        <f>IFERROR(ABS(AD$23-AD2406),Q_max*10)</f>
        <v>5500</v>
      </c>
      <c r="AF2407" s="75">
        <f>AD2398</f>
        <v>1809.069056685893</v>
      </c>
      <c r="AG2407" s="61"/>
      <c r="AH2407" s="69">
        <f>IFERROR(ABS(AG$23-AG2406),Q_max*10)</f>
        <v>5500</v>
      </c>
      <c r="AI2407" s="75">
        <f>AG2398</f>
        <v>2693.4573100562793</v>
      </c>
      <c r="AJ2407" s="61"/>
      <c r="AK2407" s="69">
        <f>IFERROR(ABS(AJ$23-AJ2406),Q_max*10)</f>
        <v>5500</v>
      </c>
      <c r="AL2407" s="75">
        <f>AJ2398</f>
        <v>3594.4292216384583</v>
      </c>
      <c r="AM2407" s="61"/>
      <c r="AN2407" s="69">
        <f>IFERROR(ABS(AM$23-AM2406),Q_max*10)</f>
        <v>5500</v>
      </c>
      <c r="AO2407" s="75">
        <f>AM2398</f>
        <v>4385.8867355411721</v>
      </c>
      <c r="AP2407" s="61"/>
      <c r="AQ2407" s="69">
        <f>IFERROR(ABS(AP$23-AP2406),Q_max*10)</f>
        <v>5500</v>
      </c>
      <c r="AR2407" s="75">
        <f>AP2398</f>
        <v>5091.8783417323666</v>
      </c>
      <c r="AS2407" s="61"/>
      <c r="AT2407" s="69">
        <f>IFERROR(ABS(AS$23-AS2406),Q_max*10)</f>
        <v>5500</v>
      </c>
      <c r="AU2407" s="75">
        <f>AS2398</f>
        <v>5795.0325255094067</v>
      </c>
    </row>
    <row r="2408" spans="15:47" ht="14.5" x14ac:dyDescent="0.35">
      <c r="O2408" s="6"/>
      <c r="P2408" s="6"/>
      <c r="Q2408" s="60"/>
      <c r="R2408" s="67"/>
      <c r="S2408" s="56"/>
      <c r="T2408" s="72"/>
      <c r="V2408" s="11"/>
      <c r="W2408" s="38"/>
      <c r="Y2408" s="11"/>
      <c r="Z2408" s="38"/>
      <c r="AB2408" s="11"/>
      <c r="AC2408" s="38"/>
      <c r="AE2408" s="11"/>
      <c r="AF2408" s="38"/>
      <c r="AH2408" s="11"/>
      <c r="AI2408" s="38"/>
      <c r="AK2408" s="11"/>
      <c r="AL2408" s="38"/>
      <c r="AN2408" s="11"/>
      <c r="AO2408" s="38"/>
      <c r="AQ2408" s="11"/>
      <c r="AR2408" s="38"/>
      <c r="AT2408" s="11"/>
      <c r="AU2408" s="38"/>
    </row>
    <row r="2409" spans="15:47" ht="14" x14ac:dyDescent="0.3">
      <c r="O2409" s="8" t="s">
        <v>235</v>
      </c>
      <c r="P2409" s="6"/>
      <c r="Q2409" s="60"/>
      <c r="R2409" s="53">
        <f>R2398*1.02</f>
        <v>57.64041348371142</v>
      </c>
      <c r="S2409" s="58" t="s">
        <v>238</v>
      </c>
      <c r="T2409" s="73" t="s">
        <v>241</v>
      </c>
      <c r="U2409" s="84">
        <f>U2398*1.01</f>
        <v>242.40280509018982</v>
      </c>
      <c r="V2409" s="58" t="s">
        <v>238</v>
      </c>
      <c r="W2409" s="73" t="s">
        <v>241</v>
      </c>
      <c r="X2409" s="84">
        <f>X2398*1.01</f>
        <v>581.86004212360217</v>
      </c>
      <c r="Y2409" s="58" t="s">
        <v>238</v>
      </c>
      <c r="Z2409" s="73" t="s">
        <v>241</v>
      </c>
      <c r="AA2409" s="84">
        <f>AA2398*1.01</f>
        <v>1110.9840652385215</v>
      </c>
      <c r="AB2409" s="58" t="s">
        <v>238</v>
      </c>
      <c r="AC2409" s="73" t="s">
        <v>241</v>
      </c>
      <c r="AD2409" s="84">
        <f>AD2398*1.01</f>
        <v>1827.1597472527519</v>
      </c>
      <c r="AE2409" s="58" t="s">
        <v>238</v>
      </c>
      <c r="AF2409" s="73" t="s">
        <v>241</v>
      </c>
      <c r="AG2409" s="84">
        <f>AG2398*1.01</f>
        <v>2720.3918831568421</v>
      </c>
      <c r="AH2409" s="58" t="s">
        <v>238</v>
      </c>
      <c r="AI2409" s="73" t="s">
        <v>241</v>
      </c>
      <c r="AJ2409" s="84">
        <f>AJ2398*1.01</f>
        <v>3630.3735138548432</v>
      </c>
      <c r="AK2409" s="58" t="s">
        <v>238</v>
      </c>
      <c r="AL2409" s="73" t="s">
        <v>241</v>
      </c>
      <c r="AM2409" s="84">
        <f>AM2398*1.01</f>
        <v>4429.7456028965835</v>
      </c>
      <c r="AN2409" s="58" t="s">
        <v>238</v>
      </c>
      <c r="AO2409" s="73" t="s">
        <v>241</v>
      </c>
      <c r="AP2409" s="84">
        <f>AP2398*1.01</f>
        <v>5142.7971251496901</v>
      </c>
      <c r="AQ2409" s="58" t="s">
        <v>238</v>
      </c>
      <c r="AR2409" s="73" t="s">
        <v>241</v>
      </c>
      <c r="AS2409" s="84">
        <f>AS2398*1.01</f>
        <v>5852.9828507645007</v>
      </c>
      <c r="AT2409" s="58" t="s">
        <v>238</v>
      </c>
      <c r="AU2409" s="73" t="s">
        <v>241</v>
      </c>
    </row>
    <row r="2410" spans="15:47" ht="13" x14ac:dyDescent="0.25">
      <c r="O2410" s="6"/>
      <c r="P2410" s="6"/>
      <c r="Q2410" s="60"/>
      <c r="R2410" s="70"/>
      <c r="S2410" s="63" t="s">
        <v>250</v>
      </c>
      <c r="T2410" s="71" t="s">
        <v>242</v>
      </c>
      <c r="U2410" s="61"/>
      <c r="V2410" s="63" t="s">
        <v>250</v>
      </c>
      <c r="W2410" s="71" t="s">
        <v>242</v>
      </c>
      <c r="X2410" s="61"/>
      <c r="Y2410" s="63" t="s">
        <v>250</v>
      </c>
      <c r="Z2410" s="71" t="s">
        <v>242</v>
      </c>
      <c r="AA2410" s="61"/>
      <c r="AB2410" s="63" t="s">
        <v>250</v>
      </c>
      <c r="AC2410" s="71" t="s">
        <v>242</v>
      </c>
      <c r="AD2410" s="61"/>
      <c r="AE2410" s="63" t="s">
        <v>250</v>
      </c>
      <c r="AF2410" s="71" t="s">
        <v>242</v>
      </c>
      <c r="AG2410" s="61"/>
      <c r="AH2410" s="63" t="s">
        <v>250</v>
      </c>
      <c r="AI2410" s="71" t="s">
        <v>242</v>
      </c>
      <c r="AJ2410" s="61"/>
      <c r="AK2410" s="63" t="s">
        <v>250</v>
      </c>
      <c r="AL2410" s="71" t="s">
        <v>242</v>
      </c>
      <c r="AM2410" s="61"/>
      <c r="AN2410" s="63" t="s">
        <v>250</v>
      </c>
      <c r="AO2410" s="71" t="s">
        <v>242</v>
      </c>
      <c r="AP2410" s="61"/>
      <c r="AQ2410" s="63" t="s">
        <v>250</v>
      </c>
      <c r="AR2410" s="71" t="s">
        <v>242</v>
      </c>
      <c r="AS2410" s="61"/>
      <c r="AT2410" s="63" t="s">
        <v>250</v>
      </c>
      <c r="AU2410" s="71" t="s">
        <v>242</v>
      </c>
    </row>
    <row r="2411" spans="15:47" ht="13" x14ac:dyDescent="0.3">
      <c r="O2411" s="6" t="s">
        <v>231</v>
      </c>
      <c r="P2411" s="6"/>
      <c r="Q2411" s="60"/>
      <c r="R2411" s="85">
        <f>P_1_minQ-(R2409^2*R_up)+dpup_minQ</f>
        <v>56.803937275698303</v>
      </c>
      <c r="S2411" s="56"/>
      <c r="T2411" s="72"/>
      <c r="U2411" s="53">
        <f>P_1_minQ-(U2409^2*R_up)+dpup_minQ</f>
        <v>54.931708209537568</v>
      </c>
      <c r="V2411" s="44"/>
      <c r="W2411" s="72"/>
      <c r="X2411" s="53">
        <f>P_1_minQ-(X2409^2*R_up)+dpup_minQ</f>
        <v>45.482130745691315</v>
      </c>
      <c r="Y2411" s="44"/>
      <c r="Z2411" s="72"/>
      <c r="AA2411" s="53">
        <f>P_1_minQ-(AA2409^2*R_up)+dpup_minQ</f>
        <v>15.231388273761855</v>
      </c>
      <c r="AB2411" s="44"/>
      <c r="AC2411" s="72"/>
      <c r="AD2411" s="53">
        <f>P_1_minQ-(AD2409^2*R_up)+dpup_minQ</f>
        <v>-55.83335839178455</v>
      </c>
      <c r="AE2411" s="44"/>
      <c r="AF2411" s="72"/>
      <c r="AG2411" s="53">
        <f>P_1_minQ-(AG2409^2*R_up)+dpup_minQ</f>
        <v>-193.01739270333101</v>
      </c>
      <c r="AH2411" s="44"/>
      <c r="AI2411" s="72"/>
      <c r="AJ2411" s="53">
        <f>P_1_minQ-(AJ2409^2*R_up)+dpup_minQ</f>
        <v>-388.19063998982648</v>
      </c>
      <c r="AK2411" s="44"/>
      <c r="AL2411" s="72"/>
      <c r="AM2411" s="53">
        <f>P_1_minQ-(AM2409^2*R_up)+dpup_minQ</f>
        <v>-605.78720386293878</v>
      </c>
      <c r="AN2411" s="44"/>
      <c r="AO2411" s="72"/>
      <c r="AP2411" s="53">
        <f>P_1_minQ-(AP2409^2*R_up)+dpup_minQ</f>
        <v>-836.30784432448218</v>
      </c>
      <c r="AQ2411" s="44"/>
      <c r="AR2411" s="72"/>
      <c r="AS2411" s="53">
        <f>P_1_minQ-(AS2409^2*R_up)+dpup_minQ</f>
        <v>-1100.0378673199373</v>
      </c>
      <c r="AT2411" s="44"/>
      <c r="AU2411" s="72"/>
    </row>
    <row r="2412" spans="15:47" ht="13" x14ac:dyDescent="0.3">
      <c r="O2412" s="6" t="s">
        <v>233</v>
      </c>
      <c r="P2412" s="6"/>
      <c r="Q2412" s="60"/>
      <c r="R2412" s="85">
        <f>P_2_minQ+(R2409^2*R_dn)-dpdn_minQ</f>
        <v>24.679212544860341</v>
      </c>
      <c r="S2412" s="66"/>
      <c r="T2412" s="74"/>
      <c r="U2412" s="53">
        <f>P_2_minQ+(U2409^2*R_dn)-dpdn_minQ</f>
        <v>25.053658358092488</v>
      </c>
      <c r="V2412" s="45"/>
      <c r="W2412" s="74"/>
      <c r="X2412" s="53">
        <f>P_2_minQ+(X2409^2*R_dn)-dpdn_minQ</f>
        <v>26.943573850861739</v>
      </c>
      <c r="Y2412" s="45"/>
      <c r="Z2412" s="74"/>
      <c r="AA2412" s="53">
        <f>P_2_minQ+(AA2409^2*R_dn)-dpdn_minQ</f>
        <v>32.993722345247633</v>
      </c>
      <c r="AB2412" s="45"/>
      <c r="AC2412" s="74"/>
      <c r="AD2412" s="53">
        <f>P_2_minQ+(AD2409^2*R_dn)-dpdn_minQ</f>
        <v>47.206671678356912</v>
      </c>
      <c r="AE2412" s="45"/>
      <c r="AF2412" s="74"/>
      <c r="AG2412" s="53">
        <f>P_2_minQ+(AG2409^2*R_dn)-dpdn_minQ</f>
        <v>74.643478540666194</v>
      </c>
      <c r="AH2412" s="45"/>
      <c r="AI2412" s="74"/>
      <c r="AJ2412" s="53">
        <f>P_2_minQ+(AJ2409^2*R_dn)-dpdn_minQ</f>
        <v>113.67812799796529</v>
      </c>
      <c r="AK2412" s="45"/>
      <c r="AL2412" s="74"/>
      <c r="AM2412" s="53">
        <f>P_2_minQ+(AM2409^2*R_dn)-dpdn_minQ</f>
        <v>157.19744077258778</v>
      </c>
      <c r="AN2412" s="45"/>
      <c r="AO2412" s="74"/>
      <c r="AP2412" s="53">
        <f>P_2_minQ+(AP2409^2*R_dn)-dpdn_minQ</f>
        <v>203.30156886489644</v>
      </c>
      <c r="AQ2412" s="45"/>
      <c r="AR2412" s="74"/>
      <c r="AS2412" s="53">
        <f>P_2_minQ+(AS2409^2*R_dn)-dpdn_minQ</f>
        <v>256.04757346398742</v>
      </c>
      <c r="AT2412" s="45"/>
      <c r="AU2412" s="74"/>
    </row>
    <row r="2413" spans="15:47" x14ac:dyDescent="0.25">
      <c r="O2413" s="6" t="s">
        <v>243</v>
      </c>
      <c r="Q2413" s="60"/>
      <c r="R2413" s="53">
        <f>R2411-R2412</f>
        <v>32.124724730837961</v>
      </c>
      <c r="S2413" s="56"/>
      <c r="T2413" s="72"/>
      <c r="U2413" s="64">
        <f>U2411-U2412</f>
        <v>29.878049851445081</v>
      </c>
      <c r="V2413" s="44"/>
      <c r="W2413" s="72"/>
      <c r="X2413" s="64">
        <f>X2411-X2412</f>
        <v>18.538556894829576</v>
      </c>
      <c r="Y2413" s="44"/>
      <c r="Z2413" s="72"/>
      <c r="AA2413" s="64">
        <f>AA2411-AA2412</f>
        <v>-17.762334071485778</v>
      </c>
      <c r="AB2413" s="44"/>
      <c r="AC2413" s="72"/>
      <c r="AD2413" s="64">
        <f>AD2411-AD2412</f>
        <v>-103.04003007014146</v>
      </c>
      <c r="AE2413" s="44"/>
      <c r="AF2413" s="72"/>
      <c r="AG2413" s="64">
        <f>AG2411-AG2412</f>
        <v>-267.66087124399724</v>
      </c>
      <c r="AH2413" s="44"/>
      <c r="AI2413" s="72"/>
      <c r="AJ2413" s="64">
        <f>AJ2411-AJ2412</f>
        <v>-501.86876798779178</v>
      </c>
      <c r="AK2413" s="44"/>
      <c r="AL2413" s="72"/>
      <c r="AM2413" s="64">
        <f>AM2411-AM2412</f>
        <v>-762.98464463552659</v>
      </c>
      <c r="AN2413" s="44"/>
      <c r="AO2413" s="72"/>
      <c r="AP2413" s="64">
        <f>AP2411-AP2412</f>
        <v>-1039.6094131893785</v>
      </c>
      <c r="AQ2413" s="44"/>
      <c r="AR2413" s="72"/>
      <c r="AS2413" s="64">
        <f>AS2411-AS2412</f>
        <v>-1356.0854407839247</v>
      </c>
      <c r="AT2413" s="44"/>
      <c r="AU2413" s="72"/>
    </row>
    <row r="2414" spans="15:47" ht="13" x14ac:dyDescent="0.3">
      <c r="O2414" s="6" t="s">
        <v>75</v>
      </c>
      <c r="P2414" s="6">
        <v>3</v>
      </c>
      <c r="Q2414" s="65"/>
      <c r="R2414" s="85">
        <f>(F_LP_h/F_P_h)^2*(R2411-('Valve Sizing'!$V$4*'Valve Sizing'!$G$7))</f>
        <v>46.672250850964083</v>
      </c>
      <c r="S2414" s="58"/>
      <c r="T2414" s="73"/>
      <c r="U2414" s="53">
        <f>(U$29/U$27)^2*(U2411-('Valve Sizing'!$V$4*'Valve Sizing'!$G$7))</f>
        <v>45.109648532309528</v>
      </c>
      <c r="V2414" s="41"/>
      <c r="W2414" s="73"/>
      <c r="X2414" s="53">
        <f>(X$29/X$27)^2*(X2411-('Valve Sizing'!$V$4*'Valve Sizing'!$G$7))</f>
        <v>36.445954000010893</v>
      </c>
      <c r="Y2414" s="41"/>
      <c r="Z2414" s="73"/>
      <c r="AA2414" s="53">
        <f>(AA$29/AA$27)^2*(AA2411-('Valve Sizing'!$V$4*'Valve Sizing'!$G$7))</f>
        <v>11.430699191509611</v>
      </c>
      <c r="AB2414" s="41"/>
      <c r="AC2414" s="73"/>
      <c r="AD2414" s="53">
        <f>(AD$29/AD$27)^2*(AD2411-('Valve Sizing'!$V$4*'Valve Sizing'!$G$7))</f>
        <v>-40.583679021767104</v>
      </c>
      <c r="AE2414" s="41"/>
      <c r="AF2414" s="73"/>
      <c r="AG2414" s="53">
        <f>(AG$29/AG$27)^2*(AG2411-('Valve Sizing'!$V$4*'Valve Sizing'!$G$7))</f>
        <v>-124.59510072357877</v>
      </c>
      <c r="AH2414" s="41"/>
      <c r="AI2414" s="73"/>
      <c r="AJ2414" s="53">
        <f>(AJ$29/AJ$27)^2*(AJ2411-('Valve Sizing'!$V$4*'Valve Sizing'!$G$7))</f>
        <v>-224.77013513878882</v>
      </c>
      <c r="AK2414" s="41"/>
      <c r="AL2414" s="73"/>
      <c r="AM2414" s="53">
        <f>(AM$29/AM$27)^2*(AM2411-('Valve Sizing'!$V$4*'Valve Sizing'!$G$7))</f>
        <v>-290.06286079216028</v>
      </c>
      <c r="AN2414" s="41"/>
      <c r="AO2414" s="73"/>
      <c r="AP2414" s="53">
        <f>(AP$29/AP$27)^2*(AP2411-('Valve Sizing'!$V$4*'Valve Sizing'!$G$7))</f>
        <v>-330.20316986246905</v>
      </c>
      <c r="AQ2414" s="41"/>
      <c r="AR2414" s="73"/>
      <c r="AS2414" s="53">
        <f>(AS$29/AS$27)^2*(AS2411-('Valve Sizing'!$V$4*'Valve Sizing'!$G$7))</f>
        <v>-413.93464059904721</v>
      </c>
      <c r="AT2414" s="41"/>
      <c r="AU2414" s="73"/>
    </row>
    <row r="2415" spans="15:47" ht="13" x14ac:dyDescent="0.25">
      <c r="O2415" s="1" t="s">
        <v>69</v>
      </c>
      <c r="P2415" s="17">
        <v>7</v>
      </c>
      <c r="Q2415" s="65"/>
      <c r="R2415" s="53">
        <f>(R2409/(N_1*F_P_h))*SQRT('Valve Sizing'!$G$6/R2413)</f>
        <v>10.17116989649014</v>
      </c>
      <c r="S2415" s="58"/>
      <c r="T2415" s="73"/>
      <c r="U2415" s="64">
        <f>(U2409/(N_1*U$27))*SQRT('Valve Sizing'!$G$6/U2413)</f>
        <v>44.384076490525352</v>
      </c>
      <c r="V2415" s="41"/>
      <c r="W2415" s="73"/>
      <c r="X2415" s="64">
        <f>(X2409/(N_1*X$27))*SQRT('Valve Sizing'!$G$6/X2413)</f>
        <v>135.55666936334106</v>
      </c>
      <c r="Y2415" s="41"/>
      <c r="Z2415" s="73"/>
      <c r="AA2415" s="64" t="e">
        <f>(AA2409/(N_1*AA$27))*SQRT('Valve Sizing'!$G$6/AA2413)</f>
        <v>#NUM!</v>
      </c>
      <c r="AB2415" s="41"/>
      <c r="AC2415" s="73"/>
      <c r="AD2415" s="64" t="e">
        <f>(AD2409/(N_1*AD$27))*SQRT('Valve Sizing'!$G$6/AD2413)</f>
        <v>#NUM!</v>
      </c>
      <c r="AE2415" s="41"/>
      <c r="AF2415" s="73"/>
      <c r="AG2415" s="64" t="e">
        <f>(AG2409/(N_1*AG$27))*SQRT('Valve Sizing'!$G$6/AG2413)</f>
        <v>#NUM!</v>
      </c>
      <c r="AH2415" s="41"/>
      <c r="AI2415" s="73"/>
      <c r="AJ2415" s="64" t="e">
        <f>(AJ2409/(N_1*AJ$27))*SQRT('Valve Sizing'!$G$6/AJ2413)</f>
        <v>#NUM!</v>
      </c>
      <c r="AK2415" s="41"/>
      <c r="AL2415" s="73"/>
      <c r="AM2415" s="64" t="e">
        <f>(AM2409/(N_1*AM$27))*SQRT('Valve Sizing'!$G$6/AM2413)</f>
        <v>#NUM!</v>
      </c>
      <c r="AN2415" s="41"/>
      <c r="AO2415" s="73"/>
      <c r="AP2415" s="64" t="e">
        <f>(AP2409/(N_1*AP$27))*SQRT('Valve Sizing'!$G$6/AP2413)</f>
        <v>#NUM!</v>
      </c>
      <c r="AQ2415" s="41"/>
      <c r="AR2415" s="73"/>
      <c r="AS2415" s="64" t="e">
        <f>(AS2409/(N_1*AS$27))*SQRT('Valve Sizing'!$G$6/AS2413)</f>
        <v>#NUM!</v>
      </c>
      <c r="AT2415" s="41"/>
      <c r="AU2415" s="73"/>
    </row>
    <row r="2416" spans="15:47" ht="13" x14ac:dyDescent="0.3">
      <c r="O2416" s="1" t="s">
        <v>72</v>
      </c>
      <c r="P2416" s="17">
        <v>7</v>
      </c>
      <c r="Q2416" s="65"/>
      <c r="R2416" s="53">
        <f>(R2409/(N_1*F_P_h))*SQRT('Valve Sizing'!$G$6/R2414)</f>
        <v>8.4384220550084557</v>
      </c>
      <c r="S2416" s="56"/>
      <c r="T2416" s="72"/>
      <c r="U2416" s="85">
        <f>(U2409/(N_1*U$27))*SQRT('Valve Sizing'!$G$6/U2414)</f>
        <v>36.121733982255613</v>
      </c>
      <c r="V2416" s="44"/>
      <c r="W2416" s="72"/>
      <c r="X2416" s="85">
        <f>(X2409/(N_1*X$27))*SQRT('Valve Sizing'!$G$6/X2414)</f>
        <v>96.67945429475985</v>
      </c>
      <c r="Y2416" s="44"/>
      <c r="Z2416" s="72"/>
      <c r="AA2416" s="85">
        <f>(AA2409/(N_1*AA$27))*SQRT('Valve Sizing'!$G$6/AA2414)</f>
        <v>331.51491682635515</v>
      </c>
      <c r="AB2416" s="44"/>
      <c r="AC2416" s="72"/>
      <c r="AD2416" s="85" t="e">
        <f>(AD2409/(N_1*AD$27))*SQRT('Valve Sizing'!$G$6/AD2414)</f>
        <v>#NUM!</v>
      </c>
      <c r="AE2416" s="44"/>
      <c r="AF2416" s="72"/>
      <c r="AG2416" s="85" t="e">
        <f>(AG2409/(N_1*AG$27))*SQRT('Valve Sizing'!$G$6/AG2414)</f>
        <v>#NUM!</v>
      </c>
      <c r="AH2416" s="44"/>
      <c r="AI2416" s="72"/>
      <c r="AJ2416" s="85" t="e">
        <f>(AJ2409/(N_1*AJ$27))*SQRT('Valve Sizing'!$G$6/AJ2414)</f>
        <v>#NUM!</v>
      </c>
      <c r="AK2416" s="44"/>
      <c r="AL2416" s="72"/>
      <c r="AM2416" s="85" t="e">
        <f>(AM2409/(N_1*AM$27))*SQRT('Valve Sizing'!$G$6/AM2414)</f>
        <v>#NUM!</v>
      </c>
      <c r="AN2416" s="44"/>
      <c r="AO2416" s="72"/>
      <c r="AP2416" s="85" t="e">
        <f>(AP2409/(N_1*AP$27))*SQRT('Valve Sizing'!$G$6/AP2414)</f>
        <v>#NUM!</v>
      </c>
      <c r="AQ2416" s="44"/>
      <c r="AR2416" s="72"/>
      <c r="AS2416" s="85" t="e">
        <f>(AS2409/(N_1*AS$27))*SQRT('Valve Sizing'!$G$6/AS2414)</f>
        <v>#NUM!</v>
      </c>
      <c r="AT2416" s="44"/>
      <c r="AU2416" s="72"/>
    </row>
    <row r="2417" spans="15:47" x14ac:dyDescent="0.25">
      <c r="O2417" s="1" t="s">
        <v>246</v>
      </c>
      <c r="P2417" s="18"/>
      <c r="Q2417" s="65"/>
      <c r="R2417" s="53">
        <f>IF(R2413&lt;R2414,R2415,R2416)</f>
        <v>10.17116989649014</v>
      </c>
      <c r="S2417" s="49"/>
      <c r="T2417" s="72"/>
      <c r="U2417" s="64">
        <f>IF(U2413&lt;U2414,U2415,U2416)</f>
        <v>44.384076490525352</v>
      </c>
      <c r="V2417" s="44"/>
      <c r="W2417" s="72"/>
      <c r="X2417" s="64">
        <f>IF(X2413&lt;X2414,X2415,X2416)</f>
        <v>135.55666936334106</v>
      </c>
      <c r="Y2417" s="44"/>
      <c r="Z2417" s="72"/>
      <c r="AA2417" s="64" t="e">
        <f>IF(AA2413&lt;AA2414,AA2415,AA2416)</f>
        <v>#NUM!</v>
      </c>
      <c r="AB2417" s="44"/>
      <c r="AC2417" s="72"/>
      <c r="AD2417" s="64" t="e">
        <f>IF(AD2413&lt;AD2414,AD2415,AD2416)</f>
        <v>#NUM!</v>
      </c>
      <c r="AE2417" s="44"/>
      <c r="AF2417" s="72"/>
      <c r="AG2417" s="64" t="e">
        <f>IF(AG2413&lt;AG2414,AG2415,AG2416)</f>
        <v>#NUM!</v>
      </c>
      <c r="AH2417" s="44"/>
      <c r="AI2417" s="72"/>
      <c r="AJ2417" s="64" t="e">
        <f>IF(AJ2413&lt;AJ2414,AJ2415,AJ2416)</f>
        <v>#NUM!</v>
      </c>
      <c r="AK2417" s="44"/>
      <c r="AL2417" s="72"/>
      <c r="AM2417" s="64" t="e">
        <f>IF(AM2413&lt;AM2414,AM2415,AM2416)</f>
        <v>#NUM!</v>
      </c>
      <c r="AN2417" s="44"/>
      <c r="AO2417" s="72"/>
      <c r="AP2417" s="64" t="e">
        <f>IF(AP2413&lt;AP2414,AP2415,AP2416)</f>
        <v>#NUM!</v>
      </c>
      <c r="AQ2417" s="44"/>
      <c r="AR2417" s="72"/>
      <c r="AS2417" s="64" t="e">
        <f>IF(AS2413&lt;AS2414,AS2415,AS2416)</f>
        <v>#NUM!</v>
      </c>
      <c r="AT2417" s="44"/>
      <c r="AU2417" s="72"/>
    </row>
    <row r="2418" spans="15:47" ht="13" x14ac:dyDescent="0.3">
      <c r="O2418" s="7" t="s">
        <v>264</v>
      </c>
      <c r="Q2418" s="61"/>
      <c r="R2418" s="53"/>
      <c r="S2418" s="69">
        <f>IFERROR(ABS(C_h-R2417),Q_max*10)</f>
        <v>5.1711698964901398</v>
      </c>
      <c r="T2418" s="76">
        <f>R2409</f>
        <v>57.64041348371142</v>
      </c>
      <c r="U2418" s="61"/>
      <c r="V2418" s="69">
        <f>IFERROR(ABS(U$23-U2417),Q_max*10)</f>
        <v>32.384076490525352</v>
      </c>
      <c r="W2418" s="75">
        <f>U2409</f>
        <v>242.40280509018982</v>
      </c>
      <c r="X2418" s="61"/>
      <c r="Y2418" s="69">
        <f>IFERROR(ABS(X$23-X2417),Q_max*10)</f>
        <v>112.55666936334106</v>
      </c>
      <c r="Z2418" s="75">
        <f>X2409</f>
        <v>581.86004212360217</v>
      </c>
      <c r="AA2418" s="61"/>
      <c r="AB2418" s="69">
        <f>IFERROR(ABS(AA$23-AA2417),Q_max*10)</f>
        <v>5500</v>
      </c>
      <c r="AC2418" s="75">
        <f>AA2409</f>
        <v>1110.9840652385215</v>
      </c>
      <c r="AD2418" s="61"/>
      <c r="AE2418" s="69">
        <f>IFERROR(ABS(AD$23-AD2417),Q_max*10)</f>
        <v>5500</v>
      </c>
      <c r="AF2418" s="75">
        <f>AD2409</f>
        <v>1827.1597472527519</v>
      </c>
      <c r="AG2418" s="61"/>
      <c r="AH2418" s="69">
        <f>IFERROR(ABS(AG$23-AG2417),Q_max*10)</f>
        <v>5500</v>
      </c>
      <c r="AI2418" s="75">
        <f>AG2409</f>
        <v>2720.3918831568421</v>
      </c>
      <c r="AJ2418" s="61"/>
      <c r="AK2418" s="69">
        <f>IFERROR(ABS(AJ$23-AJ2417),Q_max*10)</f>
        <v>5500</v>
      </c>
      <c r="AL2418" s="75">
        <f>AJ2409</f>
        <v>3630.3735138548432</v>
      </c>
      <c r="AM2418" s="61"/>
      <c r="AN2418" s="69">
        <f>IFERROR(ABS(AM$23-AM2417),Q_max*10)</f>
        <v>5500</v>
      </c>
      <c r="AO2418" s="75">
        <f>AM2409</f>
        <v>4429.7456028965835</v>
      </c>
      <c r="AP2418" s="61"/>
      <c r="AQ2418" s="69">
        <f>IFERROR(ABS(AP$23-AP2417),Q_max*10)</f>
        <v>5500</v>
      </c>
      <c r="AR2418" s="75">
        <f>AP2409</f>
        <v>5142.7971251496901</v>
      </c>
      <c r="AS2418" s="61"/>
      <c r="AT2418" s="69">
        <f>IFERROR(ABS(AS$23-AS2417),Q_max*10)</f>
        <v>5500</v>
      </c>
      <c r="AU2418" s="75">
        <f>AS2409</f>
        <v>5852.9828507645007</v>
      </c>
    </row>
    <row r="2419" spans="15:47" ht="14.5" x14ac:dyDescent="0.35">
      <c r="O2419" s="8"/>
      <c r="P2419" s="6"/>
      <c r="Q2419" s="60"/>
      <c r="R2419" s="67"/>
      <c r="S2419" s="58"/>
      <c r="T2419" s="73"/>
      <c r="V2419" s="11"/>
      <c r="W2419" s="38"/>
      <c r="Y2419" s="11"/>
      <c r="Z2419" s="38"/>
      <c r="AB2419" s="11"/>
      <c r="AC2419" s="38"/>
      <c r="AE2419" s="11"/>
      <c r="AF2419" s="38"/>
      <c r="AH2419" s="11"/>
      <c r="AI2419" s="38"/>
      <c r="AK2419" s="11"/>
      <c r="AL2419" s="38"/>
      <c r="AN2419" s="11"/>
      <c r="AO2419" s="38"/>
      <c r="AQ2419" s="11"/>
      <c r="AR2419" s="38"/>
      <c r="AT2419" s="11"/>
      <c r="AU2419" s="38"/>
    </row>
    <row r="2420" spans="15:47" ht="14" x14ac:dyDescent="0.3">
      <c r="O2420" s="8" t="s">
        <v>235</v>
      </c>
      <c r="P2420" s="6"/>
      <c r="Q2420" s="60"/>
      <c r="R2420" s="53">
        <f>R2409*1.02</f>
        <v>58.793221753385652</v>
      </c>
      <c r="S2420" s="58" t="s">
        <v>238</v>
      </c>
      <c r="T2420" s="73" t="s">
        <v>241</v>
      </c>
      <c r="U2420" s="84">
        <f>U2409*1.01</f>
        <v>244.82683314109173</v>
      </c>
      <c r="V2420" s="58" t="s">
        <v>238</v>
      </c>
      <c r="W2420" s="73" t="s">
        <v>241</v>
      </c>
      <c r="X2420" s="84">
        <f>X2409*1.01</f>
        <v>587.67864254483823</v>
      </c>
      <c r="Y2420" s="58" t="s">
        <v>238</v>
      </c>
      <c r="Z2420" s="73" t="s">
        <v>241</v>
      </c>
      <c r="AA2420" s="84">
        <f>AA2409*1.01</f>
        <v>1122.0939058909066</v>
      </c>
      <c r="AB2420" s="58" t="s">
        <v>238</v>
      </c>
      <c r="AC2420" s="73" t="s">
        <v>241</v>
      </c>
      <c r="AD2420" s="84">
        <f>AD2409*1.01</f>
        <v>1845.4313447252794</v>
      </c>
      <c r="AE2420" s="58" t="s">
        <v>238</v>
      </c>
      <c r="AF2420" s="73" t="s">
        <v>241</v>
      </c>
      <c r="AG2420" s="84">
        <f>AG2409*1.01</f>
        <v>2747.5958019884106</v>
      </c>
      <c r="AH2420" s="58" t="s">
        <v>238</v>
      </c>
      <c r="AI2420" s="73" t="s">
        <v>241</v>
      </c>
      <c r="AJ2420" s="84">
        <f>AJ2409*1.01</f>
        <v>3666.6772489933915</v>
      </c>
      <c r="AK2420" s="58" t="s">
        <v>238</v>
      </c>
      <c r="AL2420" s="73" t="s">
        <v>241</v>
      </c>
      <c r="AM2420" s="84">
        <f>AM2409*1.01</f>
        <v>4474.0430589255493</v>
      </c>
      <c r="AN2420" s="58" t="s">
        <v>238</v>
      </c>
      <c r="AO2420" s="73" t="s">
        <v>241</v>
      </c>
      <c r="AP2420" s="84">
        <f>AP2409*1.01</f>
        <v>5194.2250964011873</v>
      </c>
      <c r="AQ2420" s="58" t="s">
        <v>238</v>
      </c>
      <c r="AR2420" s="73" t="s">
        <v>241</v>
      </c>
      <c r="AS2420" s="84">
        <f>AS2409*1.01</f>
        <v>5911.5126792721458</v>
      </c>
      <c r="AT2420" s="58" t="s">
        <v>238</v>
      </c>
      <c r="AU2420" s="73" t="s">
        <v>241</v>
      </c>
    </row>
    <row r="2421" spans="15:47" ht="13" x14ac:dyDescent="0.25">
      <c r="O2421" s="6"/>
      <c r="P2421" s="6"/>
      <c r="Q2421" s="60"/>
      <c r="R2421" s="70"/>
      <c r="S2421" s="63" t="s">
        <v>250</v>
      </c>
      <c r="T2421" s="71" t="s">
        <v>242</v>
      </c>
      <c r="U2421" s="61"/>
      <c r="V2421" s="63" t="s">
        <v>250</v>
      </c>
      <c r="W2421" s="71" t="s">
        <v>242</v>
      </c>
      <c r="X2421" s="61"/>
      <c r="Y2421" s="63" t="s">
        <v>250</v>
      </c>
      <c r="Z2421" s="71" t="s">
        <v>242</v>
      </c>
      <c r="AA2421" s="61"/>
      <c r="AB2421" s="63" t="s">
        <v>250</v>
      </c>
      <c r="AC2421" s="71" t="s">
        <v>242</v>
      </c>
      <c r="AD2421" s="61"/>
      <c r="AE2421" s="63" t="s">
        <v>250</v>
      </c>
      <c r="AF2421" s="71" t="s">
        <v>242</v>
      </c>
      <c r="AG2421" s="61"/>
      <c r="AH2421" s="63" t="s">
        <v>250</v>
      </c>
      <c r="AI2421" s="71" t="s">
        <v>242</v>
      </c>
      <c r="AJ2421" s="61"/>
      <c r="AK2421" s="63" t="s">
        <v>250</v>
      </c>
      <c r="AL2421" s="71" t="s">
        <v>242</v>
      </c>
      <c r="AM2421" s="61"/>
      <c r="AN2421" s="63" t="s">
        <v>250</v>
      </c>
      <c r="AO2421" s="71" t="s">
        <v>242</v>
      </c>
      <c r="AP2421" s="61"/>
      <c r="AQ2421" s="63" t="s">
        <v>250</v>
      </c>
      <c r="AR2421" s="71" t="s">
        <v>242</v>
      </c>
      <c r="AS2421" s="61"/>
      <c r="AT2421" s="63" t="s">
        <v>250</v>
      </c>
      <c r="AU2421" s="71" t="s">
        <v>242</v>
      </c>
    </row>
    <row r="2422" spans="15:47" ht="13" x14ac:dyDescent="0.3">
      <c r="O2422" s="6" t="s">
        <v>231</v>
      </c>
      <c r="P2422" s="6"/>
      <c r="Q2422" s="60"/>
      <c r="R2422" s="85">
        <f>P_1_minQ-(R2420^2*R_up)+dpup_minQ</f>
        <v>56.799404156563902</v>
      </c>
      <c r="S2422" s="56"/>
      <c r="T2422" s="72"/>
      <c r="U2422" s="53">
        <f>P_1_minQ-(U2420^2*R_up)+dpup_minQ</f>
        <v>54.891821066332454</v>
      </c>
      <c r="V2422" s="44"/>
      <c r="W2422" s="72"/>
      <c r="X2422" s="53">
        <f>P_1_minQ-(X2420^2*R_up)+dpup_minQ</f>
        <v>45.252307095462889</v>
      </c>
      <c r="Y2422" s="44"/>
      <c r="Z2422" s="72"/>
      <c r="AA2422" s="53">
        <f>P_1_minQ-(AA2420^2*R_up)+dpup_minQ</f>
        <v>14.393524699847664</v>
      </c>
      <c r="AB2422" s="44"/>
      <c r="AC2422" s="72"/>
      <c r="AD2422" s="53">
        <f>P_1_minQ-(AD2420^2*R_up)+dpup_minQ</f>
        <v>-58.099623373676231</v>
      </c>
      <c r="AE2422" s="44"/>
      <c r="AF2422" s="72"/>
      <c r="AG2422" s="53">
        <f>P_1_minQ-(AG2420^2*R_up)+dpup_minQ</f>
        <v>-198.04105677488477</v>
      </c>
      <c r="AH2422" s="44"/>
      <c r="AI2422" s="72"/>
      <c r="AJ2422" s="53">
        <f>P_1_minQ-(AJ2420^2*R_up)+dpup_minQ</f>
        <v>-397.13728633183877</v>
      </c>
      <c r="AK2422" s="44"/>
      <c r="AL2422" s="72"/>
      <c r="AM2422" s="53">
        <f>P_1_minQ-(AM2420^2*R_up)+dpup_minQ</f>
        <v>-619.10754113880057</v>
      </c>
      <c r="AN2422" s="44"/>
      <c r="AO2422" s="72"/>
      <c r="AP2422" s="53">
        <f>P_1_minQ-(AP2420^2*R_up)+dpup_minQ</f>
        <v>-854.26164647362123</v>
      </c>
      <c r="AQ2422" s="44"/>
      <c r="AR2422" s="72"/>
      <c r="AS2422" s="53">
        <f>P_1_minQ-(AS2420^2*R_up)+dpup_minQ</f>
        <v>-1123.2926429312849</v>
      </c>
      <c r="AT2422" s="44"/>
      <c r="AU2422" s="72"/>
    </row>
    <row r="2423" spans="15:47" ht="13" x14ac:dyDescent="0.3">
      <c r="O2423" s="6" t="s">
        <v>233</v>
      </c>
      <c r="P2423" s="6"/>
      <c r="Q2423" s="60"/>
      <c r="R2423" s="85">
        <f>P_2_minQ+(R2420^2*R_dn)-dpdn_minQ</f>
        <v>24.68011916868722</v>
      </c>
      <c r="S2423" s="66"/>
      <c r="T2423" s="74"/>
      <c r="U2423" s="53">
        <f>P_2_minQ+(U2420^2*R_dn)-dpdn_minQ</f>
        <v>25.061635786733511</v>
      </c>
      <c r="V2423" s="45"/>
      <c r="W2423" s="74"/>
      <c r="X2423" s="53">
        <f>P_2_minQ+(X2420^2*R_dn)-dpdn_minQ</f>
        <v>26.989538580907421</v>
      </c>
      <c r="Y2423" s="45"/>
      <c r="Z2423" s="74"/>
      <c r="AA2423" s="53">
        <f>P_2_minQ+(AA2420^2*R_dn)-dpdn_minQ</f>
        <v>33.161295060030469</v>
      </c>
      <c r="AB2423" s="45"/>
      <c r="AC2423" s="74"/>
      <c r="AD2423" s="53">
        <f>P_2_minQ+(AD2420^2*R_dn)-dpdn_minQ</f>
        <v>47.659924674735251</v>
      </c>
      <c r="AE2423" s="45"/>
      <c r="AF2423" s="74"/>
      <c r="AG2423" s="53">
        <f>P_2_minQ+(AG2420^2*R_dn)-dpdn_minQ</f>
        <v>75.648211354976951</v>
      </c>
      <c r="AH2423" s="45"/>
      <c r="AI2423" s="74"/>
      <c r="AJ2423" s="53">
        <f>P_2_minQ+(AJ2420^2*R_dn)-dpdn_minQ</f>
        <v>115.46745726636775</v>
      </c>
      <c r="AK2423" s="45"/>
      <c r="AL2423" s="74"/>
      <c r="AM2423" s="53">
        <f>P_2_minQ+(AM2420^2*R_dn)-dpdn_minQ</f>
        <v>159.86150822776014</v>
      </c>
      <c r="AN2423" s="45"/>
      <c r="AO2423" s="74"/>
      <c r="AP2423" s="53">
        <f>P_2_minQ+(AP2420^2*R_dn)-dpdn_minQ</f>
        <v>206.89232929472425</v>
      </c>
      <c r="AQ2423" s="45"/>
      <c r="AR2423" s="74"/>
      <c r="AS2423" s="53">
        <f>P_2_minQ+(AS2420^2*R_dn)-dpdn_minQ</f>
        <v>260.69852858625694</v>
      </c>
      <c r="AT2423" s="45"/>
      <c r="AU2423" s="74"/>
    </row>
    <row r="2424" spans="15:47" x14ac:dyDescent="0.25">
      <c r="O2424" s="6" t="s">
        <v>243</v>
      </c>
      <c r="Q2424" s="60"/>
      <c r="R2424" s="53">
        <f>R2422-R2423</f>
        <v>32.119284987876682</v>
      </c>
      <c r="S2424" s="56"/>
      <c r="T2424" s="72"/>
      <c r="U2424" s="64">
        <f>U2422-U2423</f>
        <v>29.830185279598943</v>
      </c>
      <c r="V2424" s="44"/>
      <c r="W2424" s="72"/>
      <c r="X2424" s="64">
        <f>X2422-X2423</f>
        <v>18.262768514555468</v>
      </c>
      <c r="Y2424" s="44"/>
      <c r="Z2424" s="72"/>
      <c r="AA2424" s="64">
        <f>AA2422-AA2423</f>
        <v>-18.767770360182805</v>
      </c>
      <c r="AB2424" s="44"/>
      <c r="AC2424" s="72"/>
      <c r="AD2424" s="64">
        <f>AD2422-AD2423</f>
        <v>-105.75954804841149</v>
      </c>
      <c r="AE2424" s="44"/>
      <c r="AF2424" s="72"/>
      <c r="AG2424" s="64">
        <f>AG2422-AG2423</f>
        <v>-273.68926812986172</v>
      </c>
      <c r="AH2424" s="44"/>
      <c r="AI2424" s="72"/>
      <c r="AJ2424" s="64">
        <f>AJ2422-AJ2423</f>
        <v>-512.60474359820648</v>
      </c>
      <c r="AK2424" s="44"/>
      <c r="AL2424" s="72"/>
      <c r="AM2424" s="64">
        <f>AM2422-AM2423</f>
        <v>-778.96904936656074</v>
      </c>
      <c r="AN2424" s="44"/>
      <c r="AO2424" s="72"/>
      <c r="AP2424" s="64">
        <f>AP2422-AP2423</f>
        <v>-1061.1539757683454</v>
      </c>
      <c r="AQ2424" s="44"/>
      <c r="AR2424" s="72"/>
      <c r="AS2424" s="64">
        <f>AS2422-AS2423</f>
        <v>-1383.9911715175419</v>
      </c>
      <c r="AT2424" s="44"/>
      <c r="AU2424" s="72"/>
    </row>
    <row r="2425" spans="15:47" ht="13" x14ac:dyDescent="0.3">
      <c r="O2425" s="6" t="s">
        <v>75</v>
      </c>
      <c r="P2425" s="6">
        <v>3</v>
      </c>
      <c r="Q2425" s="65"/>
      <c r="R2425" s="85">
        <f>(F_LP_h/F_P_h)^2*(R2422-('Valve Sizing'!$V$4*'Valve Sizing'!$G$7))</f>
        <v>46.668497190377657</v>
      </c>
      <c r="S2425" s="58"/>
      <c r="T2425" s="73"/>
      <c r="U2425" s="53">
        <f>(U$29/U$27)^2*(U2422-('Valve Sizing'!$V$4*'Valve Sizing'!$G$7))</f>
        <v>45.076628886307049</v>
      </c>
      <c r="V2425" s="41"/>
      <c r="W2425" s="73"/>
      <c r="X2425" s="53">
        <f>(X$29/X$27)^2*(X2422-('Valve Sizing'!$V$4*'Valve Sizing'!$G$7))</f>
        <v>36.259991374132845</v>
      </c>
      <c r="Y2425" s="41"/>
      <c r="Z2425" s="73"/>
      <c r="AA2425" s="53">
        <f>(AA$29/AA$27)^2*(AA2422-('Valve Sizing'!$V$4*'Valve Sizing'!$G$7))</f>
        <v>10.783200549715545</v>
      </c>
      <c r="AB2425" s="41"/>
      <c r="AC2425" s="73"/>
      <c r="AD2425" s="53">
        <f>(AD$29/AD$27)^2*(AD2422-('Valve Sizing'!$V$4*'Valve Sizing'!$G$7))</f>
        <v>-42.218080788030626</v>
      </c>
      <c r="AE2425" s="41"/>
      <c r="AF2425" s="73"/>
      <c r="AG2425" s="53">
        <f>(AG$29/AG$27)^2*(AG2422-('Valve Sizing'!$V$4*'Valve Sizing'!$G$7))</f>
        <v>-127.83056118163883</v>
      </c>
      <c r="AH2425" s="41"/>
      <c r="AI2425" s="73"/>
      <c r="AJ2425" s="53">
        <f>(AJ$29/AJ$27)^2*(AJ2422-('Valve Sizing'!$V$4*'Valve Sizing'!$G$7))</f>
        <v>-229.9445563037855</v>
      </c>
      <c r="AK2425" s="41"/>
      <c r="AL2425" s="73"/>
      <c r="AM2425" s="53">
        <f>(AM$29/AM$27)^2*(AM2422-('Valve Sizing'!$V$4*'Valve Sizing'!$G$7))</f>
        <v>-296.43627119800294</v>
      </c>
      <c r="AN2425" s="41"/>
      <c r="AO2425" s="73"/>
      <c r="AP2425" s="53">
        <f>(AP$29/AP$27)^2*(AP2422-('Valve Sizing'!$V$4*'Valve Sizing'!$G$7))</f>
        <v>-337.28822184360422</v>
      </c>
      <c r="AQ2425" s="41"/>
      <c r="AR2425" s="73"/>
      <c r="AS2425" s="53">
        <f>(AS$29/AS$27)^2*(AS2422-('Valve Sizing'!$V$4*'Valve Sizing'!$G$7))</f>
        <v>-422.68171036420563</v>
      </c>
      <c r="AT2425" s="41"/>
      <c r="AU2425" s="73"/>
    </row>
    <row r="2426" spans="15:47" ht="13" x14ac:dyDescent="0.25">
      <c r="O2426" s="1" t="s">
        <v>69</v>
      </c>
      <c r="P2426" s="17">
        <v>7</v>
      </c>
      <c r="Q2426" s="65"/>
      <c r="R2426" s="53">
        <f>(R2420/(N_1*F_P_h))*SQRT('Valve Sizing'!$G$6/R2424)</f>
        <v>10.375471781154639</v>
      </c>
      <c r="S2426" s="58"/>
      <c r="T2426" s="73"/>
      <c r="U2426" s="64">
        <f>(U2420/(N_1*U$27))*SQRT('Valve Sizing'!$G$6/U2424)</f>
        <v>44.863867569143892</v>
      </c>
      <c r="V2426" s="41"/>
      <c r="W2426" s="73"/>
      <c r="X2426" s="64">
        <f>(X2420/(N_1*X$27))*SQRT('Valve Sizing'!$G$6/X2424)</f>
        <v>137.94212700569526</v>
      </c>
      <c r="Y2426" s="41"/>
      <c r="Z2426" s="73"/>
      <c r="AA2426" s="64" t="e">
        <f>(AA2420/(N_1*AA$27))*SQRT('Valve Sizing'!$G$6/AA2424)</f>
        <v>#NUM!</v>
      </c>
      <c r="AB2426" s="41"/>
      <c r="AC2426" s="73"/>
      <c r="AD2426" s="64" t="e">
        <f>(AD2420/(N_1*AD$27))*SQRT('Valve Sizing'!$G$6/AD2424)</f>
        <v>#NUM!</v>
      </c>
      <c r="AE2426" s="41"/>
      <c r="AF2426" s="73"/>
      <c r="AG2426" s="64" t="e">
        <f>(AG2420/(N_1*AG$27))*SQRT('Valve Sizing'!$G$6/AG2424)</f>
        <v>#NUM!</v>
      </c>
      <c r="AH2426" s="41"/>
      <c r="AI2426" s="73"/>
      <c r="AJ2426" s="64" t="e">
        <f>(AJ2420/(N_1*AJ$27))*SQRT('Valve Sizing'!$G$6/AJ2424)</f>
        <v>#NUM!</v>
      </c>
      <c r="AK2426" s="41"/>
      <c r="AL2426" s="73"/>
      <c r="AM2426" s="64" t="e">
        <f>(AM2420/(N_1*AM$27))*SQRT('Valve Sizing'!$G$6/AM2424)</f>
        <v>#NUM!</v>
      </c>
      <c r="AN2426" s="41"/>
      <c r="AO2426" s="73"/>
      <c r="AP2426" s="64" t="e">
        <f>(AP2420/(N_1*AP$27))*SQRT('Valve Sizing'!$G$6/AP2424)</f>
        <v>#NUM!</v>
      </c>
      <c r="AQ2426" s="41"/>
      <c r="AR2426" s="73"/>
      <c r="AS2426" s="64" t="e">
        <f>(AS2420/(N_1*AS$27))*SQRT('Valve Sizing'!$G$6/AS2424)</f>
        <v>#NUM!</v>
      </c>
      <c r="AT2426" s="41"/>
      <c r="AU2426" s="73"/>
    </row>
    <row r="2427" spans="15:47" ht="13" x14ac:dyDescent="0.3">
      <c r="O2427" s="1" t="s">
        <v>72</v>
      </c>
      <c r="P2427" s="17">
        <v>7</v>
      </c>
      <c r="Q2427" s="65"/>
      <c r="R2427" s="53">
        <f>(R2420/(N_1*F_P_h))*SQRT('Valve Sizing'!$G$6/R2425)</f>
        <v>8.6075366377677103</v>
      </c>
      <c r="S2427" s="56"/>
      <c r="T2427" s="72"/>
      <c r="U2427" s="85">
        <f>(U2420/(N_1*U$27))*SQRT('Valve Sizing'!$G$6/U2425)</f>
        <v>36.496311167736877</v>
      </c>
      <c r="V2427" s="44"/>
      <c r="W2427" s="72"/>
      <c r="X2427" s="85">
        <f>(X2420/(N_1*X$27))*SQRT('Valve Sizing'!$G$6/X2425)</f>
        <v>97.896322399808568</v>
      </c>
      <c r="Y2427" s="44"/>
      <c r="Z2427" s="72"/>
      <c r="AA2427" s="85">
        <f>(AA2420/(N_1*AA$27))*SQRT('Valve Sizing'!$G$6/AA2425)</f>
        <v>344.73629140051185</v>
      </c>
      <c r="AB2427" s="44"/>
      <c r="AC2427" s="72"/>
      <c r="AD2427" s="85" t="e">
        <f>(AD2420/(N_1*AD$27))*SQRT('Valve Sizing'!$G$6/AD2425)</f>
        <v>#NUM!</v>
      </c>
      <c r="AE2427" s="44"/>
      <c r="AF2427" s="72"/>
      <c r="AG2427" s="85" t="e">
        <f>(AG2420/(N_1*AG$27))*SQRT('Valve Sizing'!$G$6/AG2425)</f>
        <v>#NUM!</v>
      </c>
      <c r="AH2427" s="44"/>
      <c r="AI2427" s="72"/>
      <c r="AJ2427" s="85" t="e">
        <f>(AJ2420/(N_1*AJ$27))*SQRT('Valve Sizing'!$G$6/AJ2425)</f>
        <v>#NUM!</v>
      </c>
      <c r="AK2427" s="44"/>
      <c r="AL2427" s="72"/>
      <c r="AM2427" s="85" t="e">
        <f>(AM2420/(N_1*AM$27))*SQRT('Valve Sizing'!$G$6/AM2425)</f>
        <v>#NUM!</v>
      </c>
      <c r="AN2427" s="44"/>
      <c r="AO2427" s="72"/>
      <c r="AP2427" s="85" t="e">
        <f>(AP2420/(N_1*AP$27))*SQRT('Valve Sizing'!$G$6/AP2425)</f>
        <v>#NUM!</v>
      </c>
      <c r="AQ2427" s="44"/>
      <c r="AR2427" s="72"/>
      <c r="AS2427" s="85" t="e">
        <f>(AS2420/(N_1*AS$27))*SQRT('Valve Sizing'!$G$6/AS2425)</f>
        <v>#NUM!</v>
      </c>
      <c r="AT2427" s="44"/>
      <c r="AU2427" s="72"/>
    </row>
    <row r="2428" spans="15:47" x14ac:dyDescent="0.25">
      <c r="O2428" s="1" t="s">
        <v>246</v>
      </c>
      <c r="P2428" s="18"/>
      <c r="Q2428" s="65"/>
      <c r="R2428" s="53">
        <f>IF(R2424&lt;R2425,R2426,R2427)</f>
        <v>10.375471781154639</v>
      </c>
      <c r="S2428" s="49"/>
      <c r="T2428" s="72"/>
      <c r="U2428" s="64">
        <f>IF(U2424&lt;U2425,U2426,U2427)</f>
        <v>44.863867569143892</v>
      </c>
      <c r="V2428" s="44"/>
      <c r="W2428" s="72"/>
      <c r="X2428" s="64">
        <f>IF(X2424&lt;X2425,X2426,X2427)</f>
        <v>137.94212700569526</v>
      </c>
      <c r="Y2428" s="44"/>
      <c r="Z2428" s="72"/>
      <c r="AA2428" s="64" t="e">
        <f>IF(AA2424&lt;AA2425,AA2426,AA2427)</f>
        <v>#NUM!</v>
      </c>
      <c r="AB2428" s="44"/>
      <c r="AC2428" s="72"/>
      <c r="AD2428" s="64" t="e">
        <f>IF(AD2424&lt;AD2425,AD2426,AD2427)</f>
        <v>#NUM!</v>
      </c>
      <c r="AE2428" s="44"/>
      <c r="AF2428" s="72"/>
      <c r="AG2428" s="64" t="e">
        <f>IF(AG2424&lt;AG2425,AG2426,AG2427)</f>
        <v>#NUM!</v>
      </c>
      <c r="AH2428" s="44"/>
      <c r="AI2428" s="72"/>
      <c r="AJ2428" s="64" t="e">
        <f>IF(AJ2424&lt;AJ2425,AJ2426,AJ2427)</f>
        <v>#NUM!</v>
      </c>
      <c r="AK2428" s="44"/>
      <c r="AL2428" s="72"/>
      <c r="AM2428" s="64" t="e">
        <f>IF(AM2424&lt;AM2425,AM2426,AM2427)</f>
        <v>#NUM!</v>
      </c>
      <c r="AN2428" s="44"/>
      <c r="AO2428" s="72"/>
      <c r="AP2428" s="64" t="e">
        <f>IF(AP2424&lt;AP2425,AP2426,AP2427)</f>
        <v>#NUM!</v>
      </c>
      <c r="AQ2428" s="44"/>
      <c r="AR2428" s="72"/>
      <c r="AS2428" s="64" t="e">
        <f>IF(AS2424&lt;AS2425,AS2426,AS2427)</f>
        <v>#NUM!</v>
      </c>
      <c r="AT2428" s="44"/>
      <c r="AU2428" s="72"/>
    </row>
    <row r="2429" spans="15:47" ht="13" x14ac:dyDescent="0.3">
      <c r="O2429" s="7" t="s">
        <v>264</v>
      </c>
      <c r="Q2429" s="61"/>
      <c r="R2429" s="53"/>
      <c r="S2429" s="69">
        <f>IFERROR(ABS(C_h-R2428),Q_max*10)</f>
        <v>5.3754717811546389</v>
      </c>
      <c r="T2429" s="76">
        <f>R2420</f>
        <v>58.793221753385652</v>
      </c>
      <c r="U2429" s="61"/>
      <c r="V2429" s="69">
        <f>IFERROR(ABS(U$23-U2428),Q_max*10)</f>
        <v>32.863867569143892</v>
      </c>
      <c r="W2429" s="75">
        <f>U2420</f>
        <v>244.82683314109173</v>
      </c>
      <c r="X2429" s="61"/>
      <c r="Y2429" s="69">
        <f>IFERROR(ABS(X$23-X2428),Q_max*10)</f>
        <v>114.94212700569526</v>
      </c>
      <c r="Z2429" s="75">
        <f>X2420</f>
        <v>587.67864254483823</v>
      </c>
      <c r="AA2429" s="61"/>
      <c r="AB2429" s="69">
        <f>IFERROR(ABS(AA$23-AA2428),Q_max*10)</f>
        <v>5500</v>
      </c>
      <c r="AC2429" s="75">
        <f>AA2420</f>
        <v>1122.0939058909066</v>
      </c>
      <c r="AD2429" s="61"/>
      <c r="AE2429" s="69">
        <f>IFERROR(ABS(AD$23-AD2428),Q_max*10)</f>
        <v>5500</v>
      </c>
      <c r="AF2429" s="75">
        <f>AD2420</f>
        <v>1845.4313447252794</v>
      </c>
      <c r="AG2429" s="61"/>
      <c r="AH2429" s="69">
        <f>IFERROR(ABS(AG$23-AG2428),Q_max*10)</f>
        <v>5500</v>
      </c>
      <c r="AI2429" s="75">
        <f>AG2420</f>
        <v>2747.5958019884106</v>
      </c>
      <c r="AJ2429" s="61"/>
      <c r="AK2429" s="69">
        <f>IFERROR(ABS(AJ$23-AJ2428),Q_max*10)</f>
        <v>5500</v>
      </c>
      <c r="AL2429" s="75">
        <f>AJ2420</f>
        <v>3666.6772489933915</v>
      </c>
      <c r="AM2429" s="61"/>
      <c r="AN2429" s="69">
        <f>IFERROR(ABS(AM$23-AM2428),Q_max*10)</f>
        <v>5500</v>
      </c>
      <c r="AO2429" s="75">
        <f>AM2420</f>
        <v>4474.0430589255493</v>
      </c>
      <c r="AP2429" s="61"/>
      <c r="AQ2429" s="69">
        <f>IFERROR(ABS(AP$23-AP2428),Q_max*10)</f>
        <v>5500</v>
      </c>
      <c r="AR2429" s="75">
        <f>AP2420</f>
        <v>5194.2250964011873</v>
      </c>
      <c r="AS2429" s="61"/>
      <c r="AT2429" s="69">
        <f>IFERROR(ABS(AS$23-AS2428),Q_max*10)</f>
        <v>5500</v>
      </c>
      <c r="AU2429" s="75">
        <f>AS2420</f>
        <v>5911.5126792721458</v>
      </c>
    </row>
    <row r="2430" spans="15:47" ht="14.5" x14ac:dyDescent="0.35">
      <c r="O2430" s="6"/>
      <c r="P2430" s="6"/>
      <c r="Q2430" s="60"/>
      <c r="R2430" s="67"/>
      <c r="S2430" s="56"/>
      <c r="T2430" s="72"/>
      <c r="V2430" s="11"/>
      <c r="W2430" s="38"/>
      <c r="Y2430" s="11"/>
      <c r="Z2430" s="38"/>
      <c r="AB2430" s="11"/>
      <c r="AC2430" s="38"/>
      <c r="AE2430" s="11"/>
      <c r="AF2430" s="38"/>
      <c r="AH2430" s="11"/>
      <c r="AI2430" s="38"/>
      <c r="AK2430" s="11"/>
      <c r="AL2430" s="38"/>
      <c r="AN2430" s="11"/>
      <c r="AO2430" s="38"/>
      <c r="AQ2430" s="11"/>
      <c r="AR2430" s="38"/>
      <c r="AT2430" s="11"/>
      <c r="AU2430" s="38"/>
    </row>
    <row r="2431" spans="15:47" ht="14" x14ac:dyDescent="0.3">
      <c r="O2431" s="8" t="s">
        <v>235</v>
      </c>
      <c r="P2431" s="6"/>
      <c r="Q2431" s="60"/>
      <c r="R2431" s="53">
        <f>R2420*1.02</f>
        <v>59.969086188453367</v>
      </c>
      <c r="S2431" s="58" t="s">
        <v>238</v>
      </c>
      <c r="T2431" s="73" t="s">
        <v>241</v>
      </c>
      <c r="U2431" s="84">
        <f>U2420*1.01</f>
        <v>247.27510147250266</v>
      </c>
      <c r="V2431" s="58" t="s">
        <v>238</v>
      </c>
      <c r="W2431" s="73" t="s">
        <v>241</v>
      </c>
      <c r="X2431" s="84">
        <f>X2420*1.01</f>
        <v>593.55542897028658</v>
      </c>
      <c r="Y2431" s="58" t="s">
        <v>238</v>
      </c>
      <c r="Z2431" s="73" t="s">
        <v>241</v>
      </c>
      <c r="AA2431" s="84">
        <f>AA2420*1.01</f>
        <v>1133.3148449498158</v>
      </c>
      <c r="AB2431" s="58" t="s">
        <v>238</v>
      </c>
      <c r="AC2431" s="73" t="s">
        <v>241</v>
      </c>
      <c r="AD2431" s="84">
        <f>AD2420*1.01</f>
        <v>1863.8856581725322</v>
      </c>
      <c r="AE2431" s="58" t="s">
        <v>238</v>
      </c>
      <c r="AF2431" s="73" t="s">
        <v>241</v>
      </c>
      <c r="AG2431" s="84">
        <f>AG2420*1.01</f>
        <v>2775.0717600082949</v>
      </c>
      <c r="AH2431" s="58" t="s">
        <v>238</v>
      </c>
      <c r="AI2431" s="73" t="s">
        <v>241</v>
      </c>
      <c r="AJ2431" s="84">
        <f>AJ2420*1.01</f>
        <v>3703.3440214833254</v>
      </c>
      <c r="AK2431" s="58" t="s">
        <v>238</v>
      </c>
      <c r="AL2431" s="73" t="s">
        <v>241</v>
      </c>
      <c r="AM2431" s="84">
        <f>AM2420*1.01</f>
        <v>4518.7834895148044</v>
      </c>
      <c r="AN2431" s="58" t="s">
        <v>238</v>
      </c>
      <c r="AO2431" s="73" t="s">
        <v>241</v>
      </c>
      <c r="AP2431" s="84">
        <f>AP2420*1.01</f>
        <v>5246.167347365199</v>
      </c>
      <c r="AQ2431" s="58" t="s">
        <v>238</v>
      </c>
      <c r="AR2431" s="73" t="s">
        <v>241</v>
      </c>
      <c r="AS2431" s="84">
        <f>AS2420*1.01</f>
        <v>5970.6278060648674</v>
      </c>
      <c r="AT2431" s="58" t="s">
        <v>238</v>
      </c>
      <c r="AU2431" s="73" t="s">
        <v>241</v>
      </c>
    </row>
    <row r="2432" spans="15:47" ht="13" x14ac:dyDescent="0.25">
      <c r="O2432" s="6"/>
      <c r="P2432" s="6"/>
      <c r="Q2432" s="60"/>
      <c r="R2432" s="70"/>
      <c r="S2432" s="63" t="s">
        <v>250</v>
      </c>
      <c r="T2432" s="71" t="s">
        <v>242</v>
      </c>
      <c r="U2432" s="61"/>
      <c r="V2432" s="63" t="s">
        <v>250</v>
      </c>
      <c r="W2432" s="71" t="s">
        <v>242</v>
      </c>
      <c r="X2432" s="61"/>
      <c r="Y2432" s="63" t="s">
        <v>250</v>
      </c>
      <c r="Z2432" s="71" t="s">
        <v>242</v>
      </c>
      <c r="AA2432" s="61"/>
      <c r="AB2432" s="63" t="s">
        <v>250</v>
      </c>
      <c r="AC2432" s="71" t="s">
        <v>242</v>
      </c>
      <c r="AD2432" s="61"/>
      <c r="AE2432" s="63" t="s">
        <v>250</v>
      </c>
      <c r="AF2432" s="71" t="s">
        <v>242</v>
      </c>
      <c r="AG2432" s="61"/>
      <c r="AH2432" s="63" t="s">
        <v>250</v>
      </c>
      <c r="AI2432" s="71" t="s">
        <v>242</v>
      </c>
      <c r="AJ2432" s="61"/>
      <c r="AK2432" s="63" t="s">
        <v>250</v>
      </c>
      <c r="AL2432" s="71" t="s">
        <v>242</v>
      </c>
      <c r="AM2432" s="61"/>
      <c r="AN2432" s="63" t="s">
        <v>250</v>
      </c>
      <c r="AO2432" s="71" t="s">
        <v>242</v>
      </c>
      <c r="AP2432" s="61"/>
      <c r="AQ2432" s="63" t="s">
        <v>250</v>
      </c>
      <c r="AR2432" s="71" t="s">
        <v>242</v>
      </c>
      <c r="AS2432" s="61"/>
      <c r="AT2432" s="63" t="s">
        <v>250</v>
      </c>
      <c r="AU2432" s="71" t="s">
        <v>242</v>
      </c>
    </row>
    <row r="2433" spans="15:47" ht="13" x14ac:dyDescent="0.3">
      <c r="O2433" s="6" t="s">
        <v>231</v>
      </c>
      <c r="P2433" s="6"/>
      <c r="Q2433" s="60"/>
      <c r="R2433" s="85">
        <f>P_1_minQ-(R2431^2*R_up)+dpup_minQ</f>
        <v>56.794687899416473</v>
      </c>
      <c r="S2433" s="56"/>
      <c r="T2433" s="72"/>
      <c r="U2433" s="53">
        <f>P_1_minQ-(U2431^2*R_up)+dpup_minQ</f>
        <v>54.851132191548921</v>
      </c>
      <c r="V2433" s="44"/>
      <c r="W2433" s="72"/>
      <c r="X2433" s="53">
        <f>P_1_minQ-(X2431^2*R_up)+dpup_minQ</f>
        <v>45.017863989864878</v>
      </c>
      <c r="Y2433" s="44"/>
      <c r="Z2433" s="72"/>
      <c r="AA2433" s="53">
        <f>P_1_minQ-(AA2431^2*R_up)+dpup_minQ</f>
        <v>13.538820068097767</v>
      </c>
      <c r="AB2433" s="44"/>
      <c r="AC2433" s="72"/>
      <c r="AD2433" s="53">
        <f>P_1_minQ-(AD2431^2*R_up)+dpup_minQ</f>
        <v>-60.411440281703939</v>
      </c>
      <c r="AE2433" s="44"/>
      <c r="AF2433" s="72"/>
      <c r="AG2433" s="53">
        <f>P_1_minQ-(AG2431^2*R_up)+dpup_minQ</f>
        <v>-203.16569649427683</v>
      </c>
      <c r="AH2433" s="44"/>
      <c r="AI2433" s="72"/>
      <c r="AJ2433" s="53">
        <f>P_1_minQ-(AJ2431^2*R_up)+dpup_minQ</f>
        <v>-406.26376026532552</v>
      </c>
      <c r="AK2433" s="44"/>
      <c r="AL2433" s="72"/>
      <c r="AM2433" s="53">
        <f>P_1_minQ-(AM2431^2*R_up)+dpup_minQ</f>
        <v>-632.6956171939072</v>
      </c>
      <c r="AN2433" s="44"/>
      <c r="AO2433" s="72"/>
      <c r="AP2433" s="53">
        <f>P_1_minQ-(AP2431^2*R_up)+dpup_minQ</f>
        <v>-872.57632004595769</v>
      </c>
      <c r="AQ2433" s="44"/>
      <c r="AR2433" s="72"/>
      <c r="AS2433" s="53">
        <f>P_1_minQ-(AS2431^2*R_up)+dpup_minQ</f>
        <v>-1147.0148395324206</v>
      </c>
      <c r="AT2433" s="44"/>
      <c r="AU2433" s="72"/>
    </row>
    <row r="2434" spans="15:47" ht="13" x14ac:dyDescent="0.3">
      <c r="O2434" s="6" t="s">
        <v>233</v>
      </c>
      <c r="P2434" s="6"/>
      <c r="Q2434" s="60"/>
      <c r="R2434" s="85">
        <f>P_2_minQ+(R2431^2*R_dn)-dpdn_minQ</f>
        <v>24.681062420116707</v>
      </c>
      <c r="S2434" s="66"/>
      <c r="T2434" s="74"/>
      <c r="U2434" s="53">
        <f>P_2_minQ+(U2431^2*R_dn)-dpdn_minQ</f>
        <v>25.069773561690216</v>
      </c>
      <c r="V2434" s="45"/>
      <c r="W2434" s="74"/>
      <c r="X2434" s="53">
        <f>P_2_minQ+(X2431^2*R_dn)-dpdn_minQ</f>
        <v>27.036427202027024</v>
      </c>
      <c r="Y2434" s="45"/>
      <c r="Z2434" s="74"/>
      <c r="AA2434" s="53">
        <f>P_2_minQ+(AA2431^2*R_dn)-dpdn_minQ</f>
        <v>33.332235986380454</v>
      </c>
      <c r="AB2434" s="45"/>
      <c r="AC2434" s="74"/>
      <c r="AD2434" s="53">
        <f>P_2_minQ+(AD2431^2*R_dn)-dpdn_minQ</f>
        <v>48.122288056340793</v>
      </c>
      <c r="AE2434" s="45"/>
      <c r="AF2434" s="74"/>
      <c r="AG2434" s="53">
        <f>P_2_minQ+(AG2431^2*R_dn)-dpdn_minQ</f>
        <v>76.673139298855347</v>
      </c>
      <c r="AH2434" s="45"/>
      <c r="AI2434" s="74"/>
      <c r="AJ2434" s="53">
        <f>P_2_minQ+(AJ2431^2*R_dn)-dpdn_minQ</f>
        <v>117.2927520530651</v>
      </c>
      <c r="AK2434" s="45"/>
      <c r="AL2434" s="74"/>
      <c r="AM2434" s="53">
        <f>P_2_minQ+(AM2431^2*R_dn)-dpdn_minQ</f>
        <v>162.57912343878147</v>
      </c>
      <c r="AN2434" s="45"/>
      <c r="AO2434" s="74"/>
      <c r="AP2434" s="53">
        <f>P_2_minQ+(AP2431^2*R_dn)-dpdn_minQ</f>
        <v>210.55526400919152</v>
      </c>
      <c r="AQ2434" s="45"/>
      <c r="AR2434" s="74"/>
      <c r="AS2434" s="53">
        <f>P_2_minQ+(AS2431^2*R_dn)-dpdn_minQ</f>
        <v>265.44296790648406</v>
      </c>
      <c r="AT2434" s="45"/>
      <c r="AU2434" s="74"/>
    </row>
    <row r="2435" spans="15:47" x14ac:dyDescent="0.25">
      <c r="O2435" s="6" t="s">
        <v>243</v>
      </c>
      <c r="Q2435" s="60"/>
      <c r="R2435" s="53">
        <f>R2433-R2434</f>
        <v>32.11362547929977</v>
      </c>
      <c r="S2435" s="56"/>
      <c r="T2435" s="72"/>
      <c r="U2435" s="64">
        <f>U2433-U2434</f>
        <v>29.781358629858705</v>
      </c>
      <c r="V2435" s="44"/>
      <c r="W2435" s="72"/>
      <c r="X2435" s="64">
        <f>X2433-X2434</f>
        <v>17.981436787837854</v>
      </c>
      <c r="Y2435" s="44"/>
      <c r="Z2435" s="72"/>
      <c r="AA2435" s="64">
        <f>AA2433-AA2434</f>
        <v>-19.793415918282687</v>
      </c>
      <c r="AB2435" s="44"/>
      <c r="AC2435" s="72"/>
      <c r="AD2435" s="64">
        <f>AD2433-AD2434</f>
        <v>-108.53372833804474</v>
      </c>
      <c r="AE2435" s="44"/>
      <c r="AF2435" s="72"/>
      <c r="AG2435" s="64">
        <f>AG2433-AG2434</f>
        <v>-279.83883579313215</v>
      </c>
      <c r="AH2435" s="44"/>
      <c r="AI2435" s="72"/>
      <c r="AJ2435" s="64">
        <f>AJ2433-AJ2434</f>
        <v>-523.55651231839056</v>
      </c>
      <c r="AK2435" s="44"/>
      <c r="AL2435" s="72"/>
      <c r="AM2435" s="64">
        <f>AM2433-AM2434</f>
        <v>-795.27474063268869</v>
      </c>
      <c r="AN2435" s="44"/>
      <c r="AO2435" s="72"/>
      <c r="AP2435" s="64">
        <f>AP2433-AP2434</f>
        <v>-1083.1315840551492</v>
      </c>
      <c r="AQ2435" s="44"/>
      <c r="AR2435" s="72"/>
      <c r="AS2435" s="64">
        <f>AS2433-AS2434</f>
        <v>-1412.4578074389046</v>
      </c>
      <c r="AT2435" s="44"/>
      <c r="AU2435" s="72"/>
    </row>
    <row r="2436" spans="15:47" ht="13" x14ac:dyDescent="0.3">
      <c r="O2436" s="6" t="s">
        <v>75</v>
      </c>
      <c r="P2436" s="6">
        <v>3</v>
      </c>
      <c r="Q2436" s="65"/>
      <c r="R2436" s="85">
        <f>(F_LP_h/F_P_h)^2*(R2433-('Valve Sizing'!$V$4*'Valve Sizing'!$G$7))</f>
        <v>46.66459188190354</v>
      </c>
      <c r="S2436" s="58"/>
      <c r="T2436" s="73"/>
      <c r="U2436" s="53">
        <f>(U$29/U$27)^2*(U2433-('Valve Sizing'!$V$4*'Valve Sizing'!$G$7))</f>
        <v>45.042945545419926</v>
      </c>
      <c r="V2436" s="41"/>
      <c r="W2436" s="73"/>
      <c r="X2436" s="53">
        <f>(X$29/X$27)^2*(X2433-('Valve Sizing'!$V$4*'Valve Sizing'!$G$7))</f>
        <v>36.070290899474656</v>
      </c>
      <c r="Y2436" s="41"/>
      <c r="Z2436" s="73"/>
      <c r="AA2436" s="53">
        <f>(AA$29/AA$27)^2*(AA2433-('Valve Sizing'!$V$4*'Valve Sizing'!$G$7))</f>
        <v>10.122687185221395</v>
      </c>
      <c r="AB2436" s="41"/>
      <c r="AC2436" s="73"/>
      <c r="AD2436" s="53">
        <f>(AD$29/AD$27)^2*(AD2433-('Valve Sizing'!$V$4*'Valve Sizing'!$G$7))</f>
        <v>-43.885334029796049</v>
      </c>
      <c r="AE2436" s="41"/>
      <c r="AF2436" s="73"/>
      <c r="AG2436" s="53">
        <f>(AG$29/AG$27)^2*(AG2433-('Valve Sizing'!$V$4*'Valve Sizing'!$G$7))</f>
        <v>-131.13105439490593</v>
      </c>
      <c r="AH2436" s="41"/>
      <c r="AI2436" s="73"/>
      <c r="AJ2436" s="53">
        <f>(AJ$29/AJ$27)^2*(AJ2433-('Valve Sizing'!$V$4*'Valve Sizing'!$G$7))</f>
        <v>-235.22298333419863</v>
      </c>
      <c r="AK2436" s="41"/>
      <c r="AL2436" s="73"/>
      <c r="AM2436" s="53">
        <f>(AM$29/AM$27)^2*(AM2433-('Valve Sizing'!$V$4*'Valve Sizing'!$G$7))</f>
        <v>-302.93778715300306</v>
      </c>
      <c r="AN2436" s="41"/>
      <c r="AO2436" s="73"/>
      <c r="AP2436" s="53">
        <f>(AP$29/AP$27)^2*(AP2433-('Valve Sizing'!$V$4*'Valve Sizing'!$G$7))</f>
        <v>-344.51568336956012</v>
      </c>
      <c r="AQ2436" s="41"/>
      <c r="AR2436" s="73"/>
      <c r="AS2436" s="53">
        <f>(AS$29/AS$27)^2*(AS2433-('Valve Sizing'!$V$4*'Valve Sizing'!$G$7))</f>
        <v>-431.60459623164371</v>
      </c>
      <c r="AT2436" s="41"/>
      <c r="AU2436" s="73"/>
    </row>
    <row r="2437" spans="15:47" ht="13" x14ac:dyDescent="0.25">
      <c r="O2437" s="1" t="s">
        <v>69</v>
      </c>
      <c r="P2437" s="17">
        <v>7</v>
      </c>
      <c r="Q2437" s="65"/>
      <c r="R2437" s="53">
        <f>(R2431/(N_1*F_P_h))*SQRT('Valve Sizing'!$G$6/R2435)</f>
        <v>10.58391371557607</v>
      </c>
      <c r="S2437" s="58"/>
      <c r="T2437" s="73"/>
      <c r="U2437" s="64">
        <f>(U2431/(N_1*U$27))*SQRT('Valve Sizing'!$G$6/U2435)</f>
        <v>45.349636044857512</v>
      </c>
      <c r="V2437" s="41"/>
      <c r="W2437" s="73"/>
      <c r="X2437" s="64">
        <f>(X2431/(N_1*X$27))*SQRT('Valve Sizing'!$G$6/X2435)</f>
        <v>140.40720816007973</v>
      </c>
      <c r="Y2437" s="41"/>
      <c r="Z2437" s="73"/>
      <c r="AA2437" s="64" t="e">
        <f>(AA2431/(N_1*AA$27))*SQRT('Valve Sizing'!$G$6/AA2435)</f>
        <v>#NUM!</v>
      </c>
      <c r="AB2437" s="41"/>
      <c r="AC2437" s="73"/>
      <c r="AD2437" s="64" t="e">
        <f>(AD2431/(N_1*AD$27))*SQRT('Valve Sizing'!$G$6/AD2435)</f>
        <v>#NUM!</v>
      </c>
      <c r="AE2437" s="41"/>
      <c r="AF2437" s="73"/>
      <c r="AG2437" s="64" t="e">
        <f>(AG2431/(N_1*AG$27))*SQRT('Valve Sizing'!$G$6/AG2435)</f>
        <v>#NUM!</v>
      </c>
      <c r="AH2437" s="41"/>
      <c r="AI2437" s="73"/>
      <c r="AJ2437" s="64" t="e">
        <f>(AJ2431/(N_1*AJ$27))*SQRT('Valve Sizing'!$G$6/AJ2435)</f>
        <v>#NUM!</v>
      </c>
      <c r="AK2437" s="41"/>
      <c r="AL2437" s="73"/>
      <c r="AM2437" s="64" t="e">
        <f>(AM2431/(N_1*AM$27))*SQRT('Valve Sizing'!$G$6/AM2435)</f>
        <v>#NUM!</v>
      </c>
      <c r="AN2437" s="41"/>
      <c r="AO2437" s="73"/>
      <c r="AP2437" s="64" t="e">
        <f>(AP2431/(N_1*AP$27))*SQRT('Valve Sizing'!$G$6/AP2435)</f>
        <v>#NUM!</v>
      </c>
      <c r="AQ2437" s="41"/>
      <c r="AR2437" s="73"/>
      <c r="AS2437" s="64" t="e">
        <f>(AS2431/(N_1*AS$27))*SQRT('Valve Sizing'!$G$6/AS2435)</f>
        <v>#NUM!</v>
      </c>
      <c r="AT2437" s="41"/>
      <c r="AU2437" s="73"/>
    </row>
    <row r="2438" spans="15:47" ht="13" x14ac:dyDescent="0.3">
      <c r="O2438" s="1" t="s">
        <v>72</v>
      </c>
      <c r="P2438" s="17">
        <v>7</v>
      </c>
      <c r="Q2438" s="65"/>
      <c r="R2438" s="53">
        <f>(R2431/(N_1*F_P_h))*SQRT('Valve Sizing'!$G$6/R2436)</f>
        <v>8.780054744036546</v>
      </c>
      <c r="S2438" s="56"/>
      <c r="T2438" s="72"/>
      <c r="U2438" s="85">
        <f>(U2431/(N_1*U$27))*SQRT('Valve Sizing'!$G$6/U2436)</f>
        <v>36.875054226730029</v>
      </c>
      <c r="V2438" s="44"/>
      <c r="W2438" s="72"/>
      <c r="X2438" s="85">
        <f>(X2431/(N_1*X$27))*SQRT('Valve Sizing'!$G$6/X2436)</f>
        <v>99.134946573886111</v>
      </c>
      <c r="Y2438" s="44"/>
      <c r="Z2438" s="72"/>
      <c r="AA2438" s="85">
        <f>(AA2431/(N_1*AA$27))*SQRT('Valve Sizing'!$G$6/AA2436)</f>
        <v>359.36378772348985</v>
      </c>
      <c r="AB2438" s="44"/>
      <c r="AC2438" s="72"/>
      <c r="AD2438" s="85" t="e">
        <f>(AD2431/(N_1*AD$27))*SQRT('Valve Sizing'!$G$6/AD2436)</f>
        <v>#NUM!</v>
      </c>
      <c r="AE2438" s="44"/>
      <c r="AF2438" s="72"/>
      <c r="AG2438" s="85" t="e">
        <f>(AG2431/(N_1*AG$27))*SQRT('Valve Sizing'!$G$6/AG2436)</f>
        <v>#NUM!</v>
      </c>
      <c r="AH2438" s="44"/>
      <c r="AI2438" s="72"/>
      <c r="AJ2438" s="85" t="e">
        <f>(AJ2431/(N_1*AJ$27))*SQRT('Valve Sizing'!$G$6/AJ2436)</f>
        <v>#NUM!</v>
      </c>
      <c r="AK2438" s="44"/>
      <c r="AL2438" s="72"/>
      <c r="AM2438" s="85" t="e">
        <f>(AM2431/(N_1*AM$27))*SQRT('Valve Sizing'!$G$6/AM2436)</f>
        <v>#NUM!</v>
      </c>
      <c r="AN2438" s="44"/>
      <c r="AO2438" s="72"/>
      <c r="AP2438" s="85" t="e">
        <f>(AP2431/(N_1*AP$27))*SQRT('Valve Sizing'!$G$6/AP2436)</f>
        <v>#NUM!</v>
      </c>
      <c r="AQ2438" s="44"/>
      <c r="AR2438" s="72"/>
      <c r="AS2438" s="85" t="e">
        <f>(AS2431/(N_1*AS$27))*SQRT('Valve Sizing'!$G$6/AS2436)</f>
        <v>#NUM!</v>
      </c>
      <c r="AT2438" s="44"/>
      <c r="AU2438" s="72"/>
    </row>
    <row r="2439" spans="15:47" x14ac:dyDescent="0.25">
      <c r="O2439" s="1" t="s">
        <v>246</v>
      </c>
      <c r="P2439" s="18"/>
      <c r="Q2439" s="65"/>
      <c r="R2439" s="53">
        <f>IF(R2435&lt;R2436,R2437,R2438)</f>
        <v>10.58391371557607</v>
      </c>
      <c r="S2439" s="49"/>
      <c r="T2439" s="72"/>
      <c r="U2439" s="64">
        <f>IF(U2435&lt;U2436,U2437,U2438)</f>
        <v>45.349636044857512</v>
      </c>
      <c r="V2439" s="44"/>
      <c r="W2439" s="72"/>
      <c r="X2439" s="64">
        <f>IF(X2435&lt;X2436,X2437,X2438)</f>
        <v>140.40720816007973</v>
      </c>
      <c r="Y2439" s="44"/>
      <c r="Z2439" s="72"/>
      <c r="AA2439" s="64" t="e">
        <f>IF(AA2435&lt;AA2436,AA2437,AA2438)</f>
        <v>#NUM!</v>
      </c>
      <c r="AB2439" s="44"/>
      <c r="AC2439" s="72"/>
      <c r="AD2439" s="64" t="e">
        <f>IF(AD2435&lt;AD2436,AD2437,AD2438)</f>
        <v>#NUM!</v>
      </c>
      <c r="AE2439" s="44"/>
      <c r="AF2439" s="72"/>
      <c r="AG2439" s="64" t="e">
        <f>IF(AG2435&lt;AG2436,AG2437,AG2438)</f>
        <v>#NUM!</v>
      </c>
      <c r="AH2439" s="44"/>
      <c r="AI2439" s="72"/>
      <c r="AJ2439" s="64" t="e">
        <f>IF(AJ2435&lt;AJ2436,AJ2437,AJ2438)</f>
        <v>#NUM!</v>
      </c>
      <c r="AK2439" s="44"/>
      <c r="AL2439" s="72"/>
      <c r="AM2439" s="64" t="e">
        <f>IF(AM2435&lt;AM2436,AM2437,AM2438)</f>
        <v>#NUM!</v>
      </c>
      <c r="AN2439" s="44"/>
      <c r="AO2439" s="72"/>
      <c r="AP2439" s="64" t="e">
        <f>IF(AP2435&lt;AP2436,AP2437,AP2438)</f>
        <v>#NUM!</v>
      </c>
      <c r="AQ2439" s="44"/>
      <c r="AR2439" s="72"/>
      <c r="AS2439" s="64" t="e">
        <f>IF(AS2435&lt;AS2436,AS2437,AS2438)</f>
        <v>#NUM!</v>
      </c>
      <c r="AT2439" s="44"/>
      <c r="AU2439" s="72"/>
    </row>
    <row r="2440" spans="15:47" ht="13" x14ac:dyDescent="0.3">
      <c r="O2440" s="7" t="s">
        <v>264</v>
      </c>
      <c r="Q2440" s="61"/>
      <c r="R2440" s="53"/>
      <c r="S2440" s="69">
        <f>IFERROR(ABS(C_h-R2439),Q_max*10)</f>
        <v>5.5839137155760703</v>
      </c>
      <c r="T2440" s="76">
        <f>R2431</f>
        <v>59.969086188453367</v>
      </c>
      <c r="U2440" s="61"/>
      <c r="V2440" s="69">
        <f>IFERROR(ABS(U$23-U2439),Q_max*10)</f>
        <v>33.349636044857512</v>
      </c>
      <c r="W2440" s="75">
        <f>U2431</f>
        <v>247.27510147250266</v>
      </c>
      <c r="X2440" s="61"/>
      <c r="Y2440" s="69">
        <f>IFERROR(ABS(X$23-X2439),Q_max*10)</f>
        <v>117.40720816007973</v>
      </c>
      <c r="Z2440" s="75">
        <f>X2431</f>
        <v>593.55542897028658</v>
      </c>
      <c r="AA2440" s="61"/>
      <c r="AB2440" s="69">
        <f>IFERROR(ABS(AA$23-AA2439),Q_max*10)</f>
        <v>5500</v>
      </c>
      <c r="AC2440" s="75">
        <f>AA2431</f>
        <v>1133.3148449498158</v>
      </c>
      <c r="AD2440" s="61"/>
      <c r="AE2440" s="69">
        <f>IFERROR(ABS(AD$23-AD2439),Q_max*10)</f>
        <v>5500</v>
      </c>
      <c r="AF2440" s="75">
        <f>AD2431</f>
        <v>1863.8856581725322</v>
      </c>
      <c r="AG2440" s="61"/>
      <c r="AH2440" s="69">
        <f>IFERROR(ABS(AG$23-AG2439),Q_max*10)</f>
        <v>5500</v>
      </c>
      <c r="AI2440" s="75">
        <f>AG2431</f>
        <v>2775.0717600082949</v>
      </c>
      <c r="AJ2440" s="61"/>
      <c r="AK2440" s="69">
        <f>IFERROR(ABS(AJ$23-AJ2439),Q_max*10)</f>
        <v>5500</v>
      </c>
      <c r="AL2440" s="75">
        <f>AJ2431</f>
        <v>3703.3440214833254</v>
      </c>
      <c r="AM2440" s="61"/>
      <c r="AN2440" s="69">
        <f>IFERROR(ABS(AM$23-AM2439),Q_max*10)</f>
        <v>5500</v>
      </c>
      <c r="AO2440" s="75">
        <f>AM2431</f>
        <v>4518.7834895148044</v>
      </c>
      <c r="AP2440" s="61"/>
      <c r="AQ2440" s="69">
        <f>IFERROR(ABS(AP$23-AP2439),Q_max*10)</f>
        <v>5500</v>
      </c>
      <c r="AR2440" s="75">
        <f>AP2431</f>
        <v>5246.167347365199</v>
      </c>
      <c r="AS2440" s="61"/>
      <c r="AT2440" s="69">
        <f>IFERROR(ABS(AS$23-AS2439),Q_max*10)</f>
        <v>5500</v>
      </c>
      <c r="AU2440" s="75">
        <f>AS2431</f>
        <v>5970.6278060648674</v>
      </c>
    </row>
    <row r="2441" spans="15:47" ht="14.5" x14ac:dyDescent="0.35">
      <c r="O2441" s="6"/>
      <c r="P2441" s="6"/>
      <c r="Q2441" s="60"/>
      <c r="R2441" s="67"/>
      <c r="S2441" s="56"/>
      <c r="T2441" s="72"/>
      <c r="V2441" s="11"/>
      <c r="W2441" s="38"/>
      <c r="Y2441" s="11"/>
      <c r="Z2441" s="38"/>
      <c r="AB2441" s="11"/>
      <c r="AC2441" s="38"/>
      <c r="AE2441" s="11"/>
      <c r="AF2441" s="38"/>
      <c r="AH2441" s="11"/>
      <c r="AI2441" s="38"/>
      <c r="AK2441" s="11"/>
      <c r="AL2441" s="38"/>
      <c r="AN2441" s="11"/>
      <c r="AO2441" s="38"/>
      <c r="AQ2441" s="11"/>
      <c r="AR2441" s="38"/>
      <c r="AT2441" s="11"/>
      <c r="AU2441" s="38"/>
    </row>
    <row r="2442" spans="15:47" ht="14" x14ac:dyDescent="0.3">
      <c r="O2442" s="8" t="s">
        <v>235</v>
      </c>
      <c r="P2442" s="6"/>
      <c r="Q2442" s="60"/>
      <c r="R2442" s="53">
        <f>R2431*1.02</f>
        <v>61.168467912222432</v>
      </c>
      <c r="S2442" s="58" t="s">
        <v>238</v>
      </c>
      <c r="T2442" s="73" t="s">
        <v>241</v>
      </c>
      <c r="U2442" s="84">
        <f>U2431*1.01</f>
        <v>249.74785248722768</v>
      </c>
      <c r="V2442" s="58" t="s">
        <v>238</v>
      </c>
      <c r="W2442" s="73" t="s">
        <v>241</v>
      </c>
      <c r="X2442" s="84">
        <f>X2431*1.01</f>
        <v>599.49098325998943</v>
      </c>
      <c r="Y2442" s="58" t="s">
        <v>238</v>
      </c>
      <c r="Z2442" s="73" t="s">
        <v>241</v>
      </c>
      <c r="AA2442" s="84">
        <f>AA2431*1.01</f>
        <v>1144.6479933993139</v>
      </c>
      <c r="AB2442" s="58" t="s">
        <v>238</v>
      </c>
      <c r="AC2442" s="73" t="s">
        <v>241</v>
      </c>
      <c r="AD2442" s="84">
        <f>AD2431*1.01</f>
        <v>1882.5245147542576</v>
      </c>
      <c r="AE2442" s="58" t="s">
        <v>238</v>
      </c>
      <c r="AF2442" s="73" t="s">
        <v>241</v>
      </c>
      <c r="AG2442" s="84">
        <f>AG2431*1.01</f>
        <v>2802.822477608378</v>
      </c>
      <c r="AH2442" s="58" t="s">
        <v>238</v>
      </c>
      <c r="AI2442" s="73" t="s">
        <v>241</v>
      </c>
      <c r="AJ2442" s="84">
        <f>AJ2431*1.01</f>
        <v>3740.3774616981586</v>
      </c>
      <c r="AK2442" s="58" t="s">
        <v>238</v>
      </c>
      <c r="AL2442" s="73" t="s">
        <v>241</v>
      </c>
      <c r="AM2442" s="84">
        <f>AM2431*1.01</f>
        <v>4563.9713244099521</v>
      </c>
      <c r="AN2442" s="58" t="s">
        <v>238</v>
      </c>
      <c r="AO2442" s="73" t="s">
        <v>241</v>
      </c>
      <c r="AP2442" s="84">
        <f>AP2431*1.01</f>
        <v>5298.6290208388509</v>
      </c>
      <c r="AQ2442" s="58" t="s">
        <v>238</v>
      </c>
      <c r="AR2442" s="73" t="s">
        <v>241</v>
      </c>
      <c r="AS2442" s="84">
        <f>AS2431*1.01</f>
        <v>6030.3340841255158</v>
      </c>
      <c r="AT2442" s="58" t="s">
        <v>238</v>
      </c>
      <c r="AU2442" s="73" t="s">
        <v>241</v>
      </c>
    </row>
    <row r="2443" spans="15:47" ht="13" x14ac:dyDescent="0.25">
      <c r="O2443" s="6"/>
      <c r="P2443" s="6"/>
      <c r="Q2443" s="60"/>
      <c r="R2443" s="70"/>
      <c r="S2443" s="63" t="s">
        <v>250</v>
      </c>
      <c r="T2443" s="71" t="s">
        <v>242</v>
      </c>
      <c r="U2443" s="61"/>
      <c r="V2443" s="63" t="s">
        <v>250</v>
      </c>
      <c r="W2443" s="71" t="s">
        <v>242</v>
      </c>
      <c r="X2443" s="61"/>
      <c r="Y2443" s="63" t="s">
        <v>250</v>
      </c>
      <c r="Z2443" s="71" t="s">
        <v>242</v>
      </c>
      <c r="AA2443" s="61"/>
      <c r="AB2443" s="63" t="s">
        <v>250</v>
      </c>
      <c r="AC2443" s="71" t="s">
        <v>242</v>
      </c>
      <c r="AD2443" s="61"/>
      <c r="AE2443" s="63" t="s">
        <v>250</v>
      </c>
      <c r="AF2443" s="71" t="s">
        <v>242</v>
      </c>
      <c r="AG2443" s="61"/>
      <c r="AH2443" s="63" t="s">
        <v>250</v>
      </c>
      <c r="AI2443" s="71" t="s">
        <v>242</v>
      </c>
      <c r="AJ2443" s="61"/>
      <c r="AK2443" s="63" t="s">
        <v>250</v>
      </c>
      <c r="AL2443" s="71" t="s">
        <v>242</v>
      </c>
      <c r="AM2443" s="61"/>
      <c r="AN2443" s="63" t="s">
        <v>250</v>
      </c>
      <c r="AO2443" s="71" t="s">
        <v>242</v>
      </c>
      <c r="AP2443" s="61"/>
      <c r="AQ2443" s="63" t="s">
        <v>250</v>
      </c>
      <c r="AR2443" s="71" t="s">
        <v>242</v>
      </c>
      <c r="AS2443" s="61"/>
      <c r="AT2443" s="63" t="s">
        <v>250</v>
      </c>
      <c r="AU2443" s="71" t="s">
        <v>242</v>
      </c>
    </row>
    <row r="2444" spans="15:47" ht="13" x14ac:dyDescent="0.3">
      <c r="O2444" s="6" t="s">
        <v>231</v>
      </c>
      <c r="P2444" s="6"/>
      <c r="Q2444" s="60"/>
      <c r="R2444" s="85">
        <f>P_1_minQ-(R2442^2*R_up)+dpup_minQ</f>
        <v>56.789781105480294</v>
      </c>
      <c r="S2444" s="56"/>
      <c r="T2444" s="72"/>
      <c r="U2444" s="53">
        <f>P_1_minQ-(U2442^2*R_up)+dpup_minQ</f>
        <v>54.809625470382237</v>
      </c>
      <c r="V2444" s="44"/>
      <c r="W2444" s="72"/>
      <c r="X2444" s="53">
        <f>P_1_minQ-(X2442^2*R_up)+dpup_minQ</f>
        <v>44.778708577844341</v>
      </c>
      <c r="Y2444" s="44"/>
      <c r="Z2444" s="72"/>
      <c r="AA2444" s="53">
        <f>P_1_minQ-(AA2442^2*R_up)+dpup_minQ</f>
        <v>12.666935873249717</v>
      </c>
      <c r="AB2444" s="44"/>
      <c r="AC2444" s="72"/>
      <c r="AD2444" s="53">
        <f>P_1_minQ-(AD2442^2*R_up)+dpup_minQ</f>
        <v>-62.769724709583009</v>
      </c>
      <c r="AE2444" s="44"/>
      <c r="AF2444" s="72"/>
      <c r="AG2444" s="53">
        <f>P_1_minQ-(AG2442^2*R_up)+dpup_minQ</f>
        <v>-208.39334147202865</v>
      </c>
      <c r="AH2444" s="44"/>
      <c r="AI2444" s="72"/>
      <c r="AJ2444" s="53">
        <f>P_1_minQ-(AJ2442^2*R_up)+dpup_minQ</f>
        <v>-415.57367632487546</v>
      </c>
      <c r="AK2444" s="44"/>
      <c r="AL2444" s="72"/>
      <c r="AM2444" s="53">
        <f>P_1_minQ-(AM2442^2*R_up)+dpup_minQ</f>
        <v>-646.55681357772141</v>
      </c>
      <c r="AN2444" s="44"/>
      <c r="AO2444" s="72"/>
      <c r="AP2444" s="53">
        <f>P_1_minQ-(AP2442^2*R_up)+dpup_minQ</f>
        <v>-891.25911855709819</v>
      </c>
      <c r="AQ2444" s="44"/>
      <c r="AR2444" s="72"/>
      <c r="AS2444" s="53">
        <f>P_1_minQ-(AS2442^2*R_up)+dpup_minQ</f>
        <v>-1171.213852285239</v>
      </c>
      <c r="AT2444" s="44"/>
      <c r="AU2444" s="72"/>
    </row>
    <row r="2445" spans="15:47" ht="13" x14ac:dyDescent="0.3">
      <c r="O2445" s="6" t="s">
        <v>233</v>
      </c>
      <c r="P2445" s="6"/>
      <c r="Q2445" s="60"/>
      <c r="R2445" s="85">
        <f>P_2_minQ+(R2442^2*R_dn)-dpdn_minQ</f>
        <v>24.682043778903942</v>
      </c>
      <c r="S2445" s="66"/>
      <c r="T2445" s="74"/>
      <c r="U2445" s="53">
        <f>P_2_minQ+(U2442^2*R_dn)-dpdn_minQ</f>
        <v>25.078074905923554</v>
      </c>
      <c r="V2445" s="45"/>
      <c r="W2445" s="74"/>
      <c r="X2445" s="53">
        <f>P_2_minQ+(X2442^2*R_dn)-dpdn_minQ</f>
        <v>27.084258284431133</v>
      </c>
      <c r="Y2445" s="45"/>
      <c r="Z2445" s="74"/>
      <c r="AA2445" s="53">
        <f>P_2_minQ+(AA2442^2*R_dn)-dpdn_minQ</f>
        <v>33.506612825350061</v>
      </c>
      <c r="AB2445" s="45"/>
      <c r="AC2445" s="74"/>
      <c r="AD2445" s="53">
        <f>P_2_minQ+(AD2442^2*R_dn)-dpdn_minQ</f>
        <v>48.593944941916604</v>
      </c>
      <c r="AE2445" s="45"/>
      <c r="AF2445" s="74"/>
      <c r="AG2445" s="53">
        <f>P_2_minQ+(AG2442^2*R_dn)-dpdn_minQ</f>
        <v>77.718668294405717</v>
      </c>
      <c r="AH2445" s="45"/>
      <c r="AI2445" s="74"/>
      <c r="AJ2445" s="53">
        <f>P_2_minQ+(AJ2442^2*R_dn)-dpdn_minQ</f>
        <v>119.15473526497509</v>
      </c>
      <c r="AK2445" s="45"/>
      <c r="AL2445" s="74"/>
      <c r="AM2445" s="53">
        <f>P_2_minQ+(AM2442^2*R_dn)-dpdn_minQ</f>
        <v>165.3513627155443</v>
      </c>
      <c r="AN2445" s="45"/>
      <c r="AO2445" s="74"/>
      <c r="AP2445" s="53">
        <f>P_2_minQ+(AP2442^2*R_dn)-dpdn_minQ</f>
        <v>214.29182371141965</v>
      </c>
      <c r="AQ2445" s="45"/>
      <c r="AR2445" s="74"/>
      <c r="AS2445" s="53">
        <f>P_2_minQ+(AS2442^2*R_dn)-dpdn_minQ</f>
        <v>270.28277045704777</v>
      </c>
      <c r="AT2445" s="45"/>
      <c r="AU2445" s="74"/>
    </row>
    <row r="2446" spans="15:47" x14ac:dyDescent="0.25">
      <c r="O2446" s="6" t="s">
        <v>243</v>
      </c>
      <c r="Q2446" s="60"/>
      <c r="R2446" s="53">
        <f>R2444-R2445</f>
        <v>32.107737326576355</v>
      </c>
      <c r="S2446" s="56"/>
      <c r="T2446" s="72"/>
      <c r="U2446" s="64">
        <f>U2444-U2445</f>
        <v>29.731550564458683</v>
      </c>
      <c r="V2446" s="44"/>
      <c r="W2446" s="72"/>
      <c r="X2446" s="64">
        <f>X2444-X2445</f>
        <v>17.694450293413208</v>
      </c>
      <c r="Y2446" s="44"/>
      <c r="Z2446" s="72"/>
      <c r="AA2446" s="64">
        <f>AA2444-AA2445</f>
        <v>-20.839676952100344</v>
      </c>
      <c r="AB2446" s="44"/>
      <c r="AC2446" s="72"/>
      <c r="AD2446" s="64">
        <f>AD2444-AD2445</f>
        <v>-111.36366965149961</v>
      </c>
      <c r="AE2446" s="44"/>
      <c r="AF2446" s="72"/>
      <c r="AG2446" s="64">
        <f>AG2444-AG2445</f>
        <v>-286.11200976643437</v>
      </c>
      <c r="AH2446" s="44"/>
      <c r="AI2446" s="72"/>
      <c r="AJ2446" s="64">
        <f>AJ2444-AJ2445</f>
        <v>-534.72841158985057</v>
      </c>
      <c r="AK2446" s="44"/>
      <c r="AL2446" s="72"/>
      <c r="AM2446" s="64">
        <f>AM2444-AM2445</f>
        <v>-811.90817629326568</v>
      </c>
      <c r="AN2446" s="44"/>
      <c r="AO2446" s="72"/>
      <c r="AP2446" s="64">
        <f>AP2444-AP2445</f>
        <v>-1105.5509422685179</v>
      </c>
      <c r="AQ2446" s="44"/>
      <c r="AR2446" s="72"/>
      <c r="AS2446" s="64">
        <f>AS2444-AS2445</f>
        <v>-1441.4966227422867</v>
      </c>
      <c r="AT2446" s="44"/>
      <c r="AU2446" s="72"/>
    </row>
    <row r="2447" spans="15:47" ht="13" x14ac:dyDescent="0.3">
      <c r="O2447" s="6" t="s">
        <v>75</v>
      </c>
      <c r="P2447" s="6">
        <v>3</v>
      </c>
      <c r="Q2447" s="65"/>
      <c r="R2447" s="85">
        <f>(F_LP_h/F_P_h)^2*(R2444-('Valve Sizing'!$V$4*'Valve Sizing'!$G$7))</f>
        <v>46.660528798967064</v>
      </c>
      <c r="S2447" s="58"/>
      <c r="T2447" s="73"/>
      <c r="U2447" s="53">
        <f>(U$29/U$27)^2*(U2444-('Valve Sizing'!$V$4*'Valve Sizing'!$G$7))</f>
        <v>45.008585169380964</v>
      </c>
      <c r="V2447" s="41"/>
      <c r="W2447" s="73"/>
      <c r="X2447" s="53">
        <f>(X$29/X$27)^2*(X2444-('Valve Sizing'!$V$4*'Valve Sizing'!$G$7))</f>
        <v>35.876777445275835</v>
      </c>
      <c r="Y2447" s="41"/>
      <c r="Z2447" s="73"/>
      <c r="AA2447" s="53">
        <f>(AA$29/AA$27)^2*(AA2444-('Valve Sizing'!$V$4*'Valve Sizing'!$G$7))</f>
        <v>9.4488975021009267</v>
      </c>
      <c r="AB2447" s="41"/>
      <c r="AC2447" s="73"/>
      <c r="AD2447" s="53">
        <f>(AD$29/AD$27)^2*(AD2444-('Valve Sizing'!$V$4*'Valve Sizing'!$G$7))</f>
        <v>-45.586099061720965</v>
      </c>
      <c r="AE2447" s="41"/>
      <c r="AF2447" s="73"/>
      <c r="AG2447" s="53">
        <f>(AG$29/AG$27)^2*(AG2444-('Valve Sizing'!$V$4*'Valve Sizing'!$G$7))</f>
        <v>-134.49788752175971</v>
      </c>
      <c r="AH2447" s="41"/>
      <c r="AI2447" s="73"/>
      <c r="AJ2447" s="53">
        <f>(AJ$29/AJ$27)^2*(AJ2444-('Valve Sizing'!$V$4*'Valve Sizing'!$G$7))</f>
        <v>-240.60750674792314</v>
      </c>
      <c r="AK2447" s="41"/>
      <c r="AL2447" s="73"/>
      <c r="AM2447" s="53">
        <f>(AM$29/AM$27)^2*(AM2444-('Valve Sizing'!$V$4*'Valve Sizing'!$G$7))</f>
        <v>-309.56998357869867</v>
      </c>
      <c r="AN2447" s="41"/>
      <c r="AO2447" s="73"/>
      <c r="AP2447" s="53">
        <f>(AP$29/AP$27)^2*(AP2444-('Valve Sizing'!$V$4*'Valve Sizing'!$G$7))</f>
        <v>-351.88841687218769</v>
      </c>
      <c r="AQ2447" s="41"/>
      <c r="AR2447" s="73"/>
      <c r="AS2447" s="53">
        <f>(AS$29/AS$27)^2*(AS2444-('Valve Sizing'!$V$4*'Valve Sizing'!$G$7))</f>
        <v>-440.70683210501727</v>
      </c>
      <c r="AT2447" s="41"/>
      <c r="AU2447" s="73"/>
    </row>
    <row r="2448" spans="15:47" ht="13" x14ac:dyDescent="0.25">
      <c r="O2448" s="1" t="s">
        <v>69</v>
      </c>
      <c r="P2448" s="17">
        <v>7</v>
      </c>
      <c r="Q2448" s="65"/>
      <c r="R2448" s="53">
        <f>(R2442/(N_1*F_P_h))*SQRT('Valve Sizing'!$G$6/R2446)</f>
        <v>10.796581831988462</v>
      </c>
      <c r="S2448" s="58"/>
      <c r="T2448" s="73"/>
      <c r="U2448" s="64">
        <f>(U2442/(N_1*U$27))*SQRT('Valve Sizing'!$G$6/U2446)</f>
        <v>45.841482419024551</v>
      </c>
      <c r="V2448" s="41"/>
      <c r="W2448" s="73"/>
      <c r="X2448" s="64">
        <f>(X2442/(N_1*X$27))*SQRT('Valve Sizing'!$G$6/X2446)</f>
        <v>142.95667403221432</v>
      </c>
      <c r="Y2448" s="41"/>
      <c r="Z2448" s="73"/>
      <c r="AA2448" s="64" t="e">
        <f>(AA2442/(N_1*AA$27))*SQRT('Valve Sizing'!$G$6/AA2446)</f>
        <v>#NUM!</v>
      </c>
      <c r="AB2448" s="41"/>
      <c r="AC2448" s="73"/>
      <c r="AD2448" s="64" t="e">
        <f>(AD2442/(N_1*AD$27))*SQRT('Valve Sizing'!$G$6/AD2446)</f>
        <v>#NUM!</v>
      </c>
      <c r="AE2448" s="41"/>
      <c r="AF2448" s="73"/>
      <c r="AG2448" s="64" t="e">
        <f>(AG2442/(N_1*AG$27))*SQRT('Valve Sizing'!$G$6/AG2446)</f>
        <v>#NUM!</v>
      </c>
      <c r="AH2448" s="41"/>
      <c r="AI2448" s="73"/>
      <c r="AJ2448" s="64" t="e">
        <f>(AJ2442/(N_1*AJ$27))*SQRT('Valve Sizing'!$G$6/AJ2446)</f>
        <v>#NUM!</v>
      </c>
      <c r="AK2448" s="41"/>
      <c r="AL2448" s="73"/>
      <c r="AM2448" s="64" t="e">
        <f>(AM2442/(N_1*AM$27))*SQRT('Valve Sizing'!$G$6/AM2446)</f>
        <v>#NUM!</v>
      </c>
      <c r="AN2448" s="41"/>
      <c r="AO2448" s="73"/>
      <c r="AP2448" s="64" t="e">
        <f>(AP2442/(N_1*AP$27))*SQRT('Valve Sizing'!$G$6/AP2446)</f>
        <v>#NUM!</v>
      </c>
      <c r="AQ2448" s="41"/>
      <c r="AR2448" s="73"/>
      <c r="AS2448" s="64" t="e">
        <f>(AS2442/(N_1*AS$27))*SQRT('Valve Sizing'!$G$6/AS2446)</f>
        <v>#NUM!</v>
      </c>
      <c r="AT2448" s="41"/>
      <c r="AU2448" s="73"/>
    </row>
    <row r="2449" spans="15:47" ht="13" x14ac:dyDescent="0.3">
      <c r="O2449" s="1" t="s">
        <v>72</v>
      </c>
      <c r="P2449" s="17">
        <v>7</v>
      </c>
      <c r="Q2449" s="65"/>
      <c r="R2449" s="53">
        <f>(R2442/(N_1*F_P_h))*SQRT('Valve Sizing'!$G$6/R2447)</f>
        <v>8.9560457485610421</v>
      </c>
      <c r="S2449" s="56"/>
      <c r="T2449" s="72"/>
      <c r="U2449" s="85">
        <f>(U2442/(N_1*U$27))*SQRT('Valve Sizing'!$G$6/U2447)</f>
        <v>37.258018357212094</v>
      </c>
      <c r="V2449" s="44"/>
      <c r="W2449" s="72"/>
      <c r="X2449" s="85">
        <f>(X2442/(N_1*X$27))*SQRT('Valve Sizing'!$G$6/X2447)</f>
        <v>100.39596530140516</v>
      </c>
      <c r="Y2449" s="44"/>
      <c r="Z2449" s="72"/>
      <c r="AA2449" s="85">
        <f>(AA2442/(N_1*AA$27))*SQRT('Valve Sizing'!$G$6/AA2447)</f>
        <v>375.67563146315047</v>
      </c>
      <c r="AB2449" s="44"/>
      <c r="AC2449" s="72"/>
      <c r="AD2449" s="85" t="e">
        <f>(AD2442/(N_1*AD$27))*SQRT('Valve Sizing'!$G$6/AD2447)</f>
        <v>#NUM!</v>
      </c>
      <c r="AE2449" s="44"/>
      <c r="AF2449" s="72"/>
      <c r="AG2449" s="85" t="e">
        <f>(AG2442/(N_1*AG$27))*SQRT('Valve Sizing'!$G$6/AG2447)</f>
        <v>#NUM!</v>
      </c>
      <c r="AH2449" s="44"/>
      <c r="AI2449" s="72"/>
      <c r="AJ2449" s="85" t="e">
        <f>(AJ2442/(N_1*AJ$27))*SQRT('Valve Sizing'!$G$6/AJ2447)</f>
        <v>#NUM!</v>
      </c>
      <c r="AK2449" s="44"/>
      <c r="AL2449" s="72"/>
      <c r="AM2449" s="85" t="e">
        <f>(AM2442/(N_1*AM$27))*SQRT('Valve Sizing'!$G$6/AM2447)</f>
        <v>#NUM!</v>
      </c>
      <c r="AN2449" s="44"/>
      <c r="AO2449" s="72"/>
      <c r="AP2449" s="85" t="e">
        <f>(AP2442/(N_1*AP$27))*SQRT('Valve Sizing'!$G$6/AP2447)</f>
        <v>#NUM!</v>
      </c>
      <c r="AQ2449" s="44"/>
      <c r="AR2449" s="72"/>
      <c r="AS2449" s="85" t="e">
        <f>(AS2442/(N_1*AS$27))*SQRT('Valve Sizing'!$G$6/AS2447)</f>
        <v>#NUM!</v>
      </c>
      <c r="AT2449" s="44"/>
      <c r="AU2449" s="72"/>
    </row>
    <row r="2450" spans="15:47" x14ac:dyDescent="0.25">
      <c r="O2450" s="1" t="s">
        <v>246</v>
      </c>
      <c r="P2450" s="18"/>
      <c r="Q2450" s="65"/>
      <c r="R2450" s="53">
        <f>IF(R2446&lt;R2447,R2448,R2449)</f>
        <v>10.796581831988462</v>
      </c>
      <c r="S2450" s="49"/>
      <c r="T2450" s="72"/>
      <c r="U2450" s="64">
        <f>IF(U2446&lt;U2447,U2448,U2449)</f>
        <v>45.841482419024551</v>
      </c>
      <c r="V2450" s="44"/>
      <c r="W2450" s="72"/>
      <c r="X2450" s="64">
        <f>IF(X2446&lt;X2447,X2448,X2449)</f>
        <v>142.95667403221432</v>
      </c>
      <c r="Y2450" s="44"/>
      <c r="Z2450" s="72"/>
      <c r="AA2450" s="64" t="e">
        <f>IF(AA2446&lt;AA2447,AA2448,AA2449)</f>
        <v>#NUM!</v>
      </c>
      <c r="AB2450" s="44"/>
      <c r="AC2450" s="72"/>
      <c r="AD2450" s="64" t="e">
        <f>IF(AD2446&lt;AD2447,AD2448,AD2449)</f>
        <v>#NUM!</v>
      </c>
      <c r="AE2450" s="44"/>
      <c r="AF2450" s="72"/>
      <c r="AG2450" s="64" t="e">
        <f>IF(AG2446&lt;AG2447,AG2448,AG2449)</f>
        <v>#NUM!</v>
      </c>
      <c r="AH2450" s="44"/>
      <c r="AI2450" s="72"/>
      <c r="AJ2450" s="64" t="e">
        <f>IF(AJ2446&lt;AJ2447,AJ2448,AJ2449)</f>
        <v>#NUM!</v>
      </c>
      <c r="AK2450" s="44"/>
      <c r="AL2450" s="72"/>
      <c r="AM2450" s="64" t="e">
        <f>IF(AM2446&lt;AM2447,AM2448,AM2449)</f>
        <v>#NUM!</v>
      </c>
      <c r="AN2450" s="44"/>
      <c r="AO2450" s="72"/>
      <c r="AP2450" s="64" t="e">
        <f>IF(AP2446&lt;AP2447,AP2448,AP2449)</f>
        <v>#NUM!</v>
      </c>
      <c r="AQ2450" s="44"/>
      <c r="AR2450" s="72"/>
      <c r="AS2450" s="64" t="e">
        <f>IF(AS2446&lt;AS2447,AS2448,AS2449)</f>
        <v>#NUM!</v>
      </c>
      <c r="AT2450" s="44"/>
      <c r="AU2450" s="72"/>
    </row>
    <row r="2451" spans="15:47" ht="13" x14ac:dyDescent="0.3">
      <c r="O2451" s="7" t="s">
        <v>264</v>
      </c>
      <c r="Q2451" s="61"/>
      <c r="R2451" s="53"/>
      <c r="S2451" s="69">
        <f>IFERROR(ABS(C_h-R2450),Q_max*10)</f>
        <v>5.7965818319884619</v>
      </c>
      <c r="T2451" s="76">
        <f>R2442</f>
        <v>61.168467912222432</v>
      </c>
      <c r="U2451" s="61"/>
      <c r="V2451" s="69">
        <f>IFERROR(ABS(U$23-U2450),Q_max*10)</f>
        <v>33.841482419024551</v>
      </c>
      <c r="W2451" s="75">
        <f>U2442</f>
        <v>249.74785248722768</v>
      </c>
      <c r="X2451" s="61"/>
      <c r="Y2451" s="69">
        <f>IFERROR(ABS(X$23-X2450),Q_max*10)</f>
        <v>119.95667403221432</v>
      </c>
      <c r="Z2451" s="75">
        <f>X2442</f>
        <v>599.49098325998943</v>
      </c>
      <c r="AA2451" s="61"/>
      <c r="AB2451" s="69">
        <f>IFERROR(ABS(AA$23-AA2450),Q_max*10)</f>
        <v>5500</v>
      </c>
      <c r="AC2451" s="75">
        <f>AA2442</f>
        <v>1144.6479933993139</v>
      </c>
      <c r="AD2451" s="61"/>
      <c r="AE2451" s="69">
        <f>IFERROR(ABS(AD$23-AD2450),Q_max*10)</f>
        <v>5500</v>
      </c>
      <c r="AF2451" s="75">
        <f>AD2442</f>
        <v>1882.5245147542576</v>
      </c>
      <c r="AG2451" s="61"/>
      <c r="AH2451" s="69">
        <f>IFERROR(ABS(AG$23-AG2450),Q_max*10)</f>
        <v>5500</v>
      </c>
      <c r="AI2451" s="75">
        <f>AG2442</f>
        <v>2802.822477608378</v>
      </c>
      <c r="AJ2451" s="61"/>
      <c r="AK2451" s="69">
        <f>IFERROR(ABS(AJ$23-AJ2450),Q_max*10)</f>
        <v>5500</v>
      </c>
      <c r="AL2451" s="75">
        <f>AJ2442</f>
        <v>3740.3774616981586</v>
      </c>
      <c r="AM2451" s="61"/>
      <c r="AN2451" s="69">
        <f>IFERROR(ABS(AM$23-AM2450),Q_max*10)</f>
        <v>5500</v>
      </c>
      <c r="AO2451" s="75">
        <f>AM2442</f>
        <v>4563.9713244099521</v>
      </c>
      <c r="AP2451" s="61"/>
      <c r="AQ2451" s="69">
        <f>IFERROR(ABS(AP$23-AP2450),Q_max*10)</f>
        <v>5500</v>
      </c>
      <c r="AR2451" s="75">
        <f>AP2442</f>
        <v>5298.6290208388509</v>
      </c>
      <c r="AS2451" s="61"/>
      <c r="AT2451" s="69">
        <f>IFERROR(ABS(AS$23-AS2450),Q_max*10)</f>
        <v>5500</v>
      </c>
      <c r="AU2451" s="75">
        <f>AS2442</f>
        <v>6030.3340841255158</v>
      </c>
    </row>
    <row r="2452" spans="15:47" ht="14.5" x14ac:dyDescent="0.35">
      <c r="O2452" s="6"/>
      <c r="P2452" s="6"/>
      <c r="Q2452" s="60"/>
      <c r="R2452" s="67"/>
      <c r="S2452" s="58"/>
      <c r="T2452" s="73"/>
      <c r="V2452" s="11"/>
      <c r="W2452" s="38"/>
      <c r="Y2452" s="11"/>
      <c r="Z2452" s="38"/>
      <c r="AB2452" s="11"/>
      <c r="AC2452" s="38"/>
      <c r="AE2452" s="11"/>
      <c r="AF2452" s="38"/>
      <c r="AH2452" s="11"/>
      <c r="AI2452" s="38"/>
      <c r="AK2452" s="11"/>
      <c r="AL2452" s="38"/>
      <c r="AN2452" s="11"/>
      <c r="AO2452" s="38"/>
      <c r="AQ2452" s="11"/>
      <c r="AR2452" s="38"/>
      <c r="AT2452" s="11"/>
      <c r="AU2452" s="38"/>
    </row>
    <row r="2453" spans="15:47" ht="14" x14ac:dyDescent="0.3">
      <c r="O2453" s="8" t="s">
        <v>235</v>
      </c>
      <c r="P2453" s="6"/>
      <c r="Q2453" s="60"/>
      <c r="R2453" s="53">
        <f>R2442*1.02</f>
        <v>62.39183727046688</v>
      </c>
      <c r="S2453" s="58" t="s">
        <v>238</v>
      </c>
      <c r="T2453" s="73" t="s">
        <v>241</v>
      </c>
      <c r="U2453" s="84">
        <f>U2442*1.01</f>
        <v>252.24533101209997</v>
      </c>
      <c r="V2453" s="58" t="s">
        <v>238</v>
      </c>
      <c r="W2453" s="73" t="s">
        <v>241</v>
      </c>
      <c r="X2453" s="84">
        <f>X2442*1.01</f>
        <v>605.48589309258932</v>
      </c>
      <c r="Y2453" s="58" t="s">
        <v>238</v>
      </c>
      <c r="Z2453" s="73" t="s">
        <v>241</v>
      </c>
      <c r="AA2453" s="84">
        <f>AA2442*1.01</f>
        <v>1156.0944733333072</v>
      </c>
      <c r="AB2453" s="58" t="s">
        <v>238</v>
      </c>
      <c r="AC2453" s="73" t="s">
        <v>241</v>
      </c>
      <c r="AD2453" s="84">
        <f>AD2442*1.01</f>
        <v>1901.3497599018001</v>
      </c>
      <c r="AE2453" s="58" t="s">
        <v>238</v>
      </c>
      <c r="AF2453" s="73" t="s">
        <v>241</v>
      </c>
      <c r="AG2453" s="84">
        <f>AG2442*1.01</f>
        <v>2830.8507023844618</v>
      </c>
      <c r="AH2453" s="58" t="s">
        <v>238</v>
      </c>
      <c r="AI2453" s="73" t="s">
        <v>241</v>
      </c>
      <c r="AJ2453" s="84">
        <f>AJ2442*1.01</f>
        <v>3777.7812363151402</v>
      </c>
      <c r="AK2453" s="58" t="s">
        <v>238</v>
      </c>
      <c r="AL2453" s="73" t="s">
        <v>241</v>
      </c>
      <c r="AM2453" s="84">
        <f>AM2442*1.01</f>
        <v>4609.6110376540519</v>
      </c>
      <c r="AN2453" s="58" t="s">
        <v>238</v>
      </c>
      <c r="AO2453" s="73" t="s">
        <v>241</v>
      </c>
      <c r="AP2453" s="84">
        <f>AP2442*1.01</f>
        <v>5351.6153110472396</v>
      </c>
      <c r="AQ2453" s="58" t="s">
        <v>238</v>
      </c>
      <c r="AR2453" s="73" t="s">
        <v>241</v>
      </c>
      <c r="AS2453" s="84">
        <f>AS2442*1.01</f>
        <v>6090.6374249667706</v>
      </c>
      <c r="AT2453" s="58" t="s">
        <v>238</v>
      </c>
      <c r="AU2453" s="73" t="s">
        <v>241</v>
      </c>
    </row>
    <row r="2454" spans="15:47" ht="13" x14ac:dyDescent="0.25">
      <c r="O2454" s="6"/>
      <c r="P2454" s="6"/>
      <c r="Q2454" s="60"/>
      <c r="R2454" s="70"/>
      <c r="S2454" s="63" t="s">
        <v>250</v>
      </c>
      <c r="T2454" s="71" t="s">
        <v>242</v>
      </c>
      <c r="U2454" s="61"/>
      <c r="V2454" s="63" t="s">
        <v>250</v>
      </c>
      <c r="W2454" s="71" t="s">
        <v>242</v>
      </c>
      <c r="X2454" s="61"/>
      <c r="Y2454" s="63" t="s">
        <v>250</v>
      </c>
      <c r="Z2454" s="71" t="s">
        <v>242</v>
      </c>
      <c r="AA2454" s="61"/>
      <c r="AB2454" s="63" t="s">
        <v>250</v>
      </c>
      <c r="AC2454" s="71" t="s">
        <v>242</v>
      </c>
      <c r="AD2454" s="61"/>
      <c r="AE2454" s="63" t="s">
        <v>250</v>
      </c>
      <c r="AF2454" s="71" t="s">
        <v>242</v>
      </c>
      <c r="AG2454" s="61"/>
      <c r="AH2454" s="63" t="s">
        <v>250</v>
      </c>
      <c r="AI2454" s="71" t="s">
        <v>242</v>
      </c>
      <c r="AJ2454" s="61"/>
      <c r="AK2454" s="63" t="s">
        <v>250</v>
      </c>
      <c r="AL2454" s="71" t="s">
        <v>242</v>
      </c>
      <c r="AM2454" s="61"/>
      <c r="AN2454" s="63" t="s">
        <v>250</v>
      </c>
      <c r="AO2454" s="71" t="s">
        <v>242</v>
      </c>
      <c r="AP2454" s="61"/>
      <c r="AQ2454" s="63" t="s">
        <v>250</v>
      </c>
      <c r="AR2454" s="71" t="s">
        <v>242</v>
      </c>
      <c r="AS2454" s="61"/>
      <c r="AT2454" s="63" t="s">
        <v>250</v>
      </c>
      <c r="AU2454" s="71" t="s">
        <v>242</v>
      </c>
    </row>
    <row r="2455" spans="15:47" ht="13" x14ac:dyDescent="0.3">
      <c r="O2455" s="6" t="s">
        <v>231</v>
      </c>
      <c r="P2455" s="6"/>
      <c r="Q2455" s="60"/>
      <c r="R2455" s="85">
        <f>P_1_minQ-(R2453^2*R_up)+dpup_minQ</f>
        <v>56.784676077069086</v>
      </c>
      <c r="S2455" s="56"/>
      <c r="T2455" s="72"/>
      <c r="U2455" s="53">
        <f>P_1_minQ-(U2453^2*R_up)+dpup_minQ</f>
        <v>54.767284464120095</v>
      </c>
      <c r="V2455" s="44"/>
      <c r="W2455" s="72"/>
      <c r="X2455" s="53">
        <f>P_1_minQ-(X2453^2*R_up)+dpup_minQ</f>
        <v>44.534746142042195</v>
      </c>
      <c r="Y2455" s="44"/>
      <c r="Z2455" s="72"/>
      <c r="AA2455" s="53">
        <f>P_1_minQ-(AA2453^2*R_up)+dpup_minQ</f>
        <v>11.777526806085216</v>
      </c>
      <c r="AB2455" s="44"/>
      <c r="AC2455" s="72"/>
      <c r="AD2455" s="53">
        <f>P_1_minQ-(AD2453^2*R_up)+dpup_minQ</f>
        <v>-65.175410654462439</v>
      </c>
      <c r="AE2455" s="44"/>
      <c r="AF2455" s="72"/>
      <c r="AG2455" s="53">
        <f>P_1_minQ-(AG2453^2*R_up)+dpup_minQ</f>
        <v>-213.72606211383325</v>
      </c>
      <c r="AH2455" s="44"/>
      <c r="AI2455" s="72"/>
      <c r="AJ2455" s="53">
        <f>P_1_minQ-(AJ2453^2*R_up)+dpup_minQ</f>
        <v>-425.07072169722221</v>
      </c>
      <c r="AK2455" s="44"/>
      <c r="AL2455" s="72"/>
      <c r="AM2455" s="53">
        <f>P_1_minQ-(AM2453^2*R_up)+dpup_minQ</f>
        <v>-660.69662000885046</v>
      </c>
      <c r="AN2455" s="44"/>
      <c r="AO2455" s="72"/>
      <c r="AP2455" s="53">
        <f>P_1_minQ-(AP2453^2*R_up)+dpup_minQ</f>
        <v>-910.31744131831283</v>
      </c>
      <c r="AQ2455" s="44"/>
      <c r="AR2455" s="72"/>
      <c r="AS2455" s="53">
        <f>P_1_minQ-(AS2453^2*R_up)+dpup_minQ</f>
        <v>-1195.8992651943888</v>
      </c>
      <c r="AT2455" s="44"/>
      <c r="AU2455" s="72"/>
    </row>
    <row r="2456" spans="15:47" ht="13" x14ac:dyDescent="0.3">
      <c r="O2456" s="6" t="s">
        <v>233</v>
      </c>
      <c r="P2456" s="6"/>
      <c r="Q2456" s="60"/>
      <c r="R2456" s="85">
        <f>P_2_minQ+(R2453^2*R_dn)-dpdn_minQ</f>
        <v>24.683064784586186</v>
      </c>
      <c r="S2456" s="66"/>
      <c r="T2456" s="74"/>
      <c r="U2456" s="53">
        <f>P_2_minQ+(U2453^2*R_dn)-dpdn_minQ</f>
        <v>25.086543107175981</v>
      </c>
      <c r="V2456" s="45"/>
      <c r="W2456" s="74"/>
      <c r="X2456" s="53">
        <f>P_2_minQ+(X2453^2*R_dn)-dpdn_minQ</f>
        <v>27.133050771591563</v>
      </c>
      <c r="Y2456" s="45"/>
      <c r="Z2456" s="74"/>
      <c r="AA2456" s="53">
        <f>P_2_minQ+(AA2453^2*R_dn)-dpdn_minQ</f>
        <v>33.684494638782965</v>
      </c>
      <c r="AB2456" s="45"/>
      <c r="AC2456" s="74"/>
      <c r="AD2456" s="53">
        <f>P_2_minQ+(AD2453^2*R_dn)-dpdn_minQ</f>
        <v>49.07508213089249</v>
      </c>
      <c r="AE2456" s="45"/>
      <c r="AF2456" s="74"/>
      <c r="AG2456" s="53">
        <f>P_2_minQ+(AG2453^2*R_dn)-dpdn_minQ</f>
        <v>78.785212422766648</v>
      </c>
      <c r="AH2456" s="45"/>
      <c r="AI2456" s="74"/>
      <c r="AJ2456" s="53">
        <f>P_2_minQ+(AJ2453^2*R_dn)-dpdn_minQ</f>
        <v>121.05414433944443</v>
      </c>
      <c r="AK2456" s="45"/>
      <c r="AL2456" s="74"/>
      <c r="AM2456" s="53">
        <f>P_2_minQ+(AM2453^2*R_dn)-dpdn_minQ</f>
        <v>168.17932400177008</v>
      </c>
      <c r="AN2456" s="45"/>
      <c r="AO2456" s="74"/>
      <c r="AP2456" s="53">
        <f>P_2_minQ+(AP2453^2*R_dn)-dpdn_minQ</f>
        <v>218.10348826366257</v>
      </c>
      <c r="AQ2456" s="45"/>
      <c r="AR2456" s="74"/>
      <c r="AS2456" s="53">
        <f>P_2_minQ+(AS2453^2*R_dn)-dpdn_minQ</f>
        <v>275.21985303887772</v>
      </c>
      <c r="AT2456" s="45"/>
      <c r="AU2456" s="74"/>
    </row>
    <row r="2457" spans="15:47" x14ac:dyDescent="0.25">
      <c r="O2457" s="6" t="s">
        <v>243</v>
      </c>
      <c r="Q2457" s="60"/>
      <c r="R2457" s="53">
        <f>R2455-R2456</f>
        <v>32.1016112924829</v>
      </c>
      <c r="S2457" s="56"/>
      <c r="T2457" s="72"/>
      <c r="U2457" s="64">
        <f>U2455-U2456</f>
        <v>29.680741356944115</v>
      </c>
      <c r="V2457" s="44"/>
      <c r="W2457" s="72"/>
      <c r="X2457" s="64">
        <f>X2455-X2456</f>
        <v>17.401695370450632</v>
      </c>
      <c r="Y2457" s="44"/>
      <c r="Z2457" s="72"/>
      <c r="AA2457" s="64">
        <f>AA2455-AA2456</f>
        <v>-21.906967832697749</v>
      </c>
      <c r="AB2457" s="44"/>
      <c r="AC2457" s="72"/>
      <c r="AD2457" s="64">
        <f>AD2455-AD2456</f>
        <v>-114.25049278535494</v>
      </c>
      <c r="AE2457" s="44"/>
      <c r="AF2457" s="72"/>
      <c r="AG2457" s="64">
        <f>AG2455-AG2456</f>
        <v>-292.5112745365999</v>
      </c>
      <c r="AH2457" s="44"/>
      <c r="AI2457" s="72"/>
      <c r="AJ2457" s="64">
        <f>AJ2455-AJ2456</f>
        <v>-546.12486603666662</v>
      </c>
      <c r="AK2457" s="44"/>
      <c r="AL2457" s="72"/>
      <c r="AM2457" s="64">
        <f>AM2455-AM2456</f>
        <v>-828.87594401062051</v>
      </c>
      <c r="AN2457" s="44"/>
      <c r="AO2457" s="72"/>
      <c r="AP2457" s="64">
        <f>AP2455-AP2456</f>
        <v>-1128.4209295819753</v>
      </c>
      <c r="AQ2457" s="44"/>
      <c r="AR2457" s="72"/>
      <c r="AS2457" s="64">
        <f>AS2455-AS2456</f>
        <v>-1471.1191182332666</v>
      </c>
      <c r="AT2457" s="44"/>
      <c r="AU2457" s="72"/>
    </row>
    <row r="2458" spans="15:47" ht="13" x14ac:dyDescent="0.3">
      <c r="O2458" s="6" t="s">
        <v>75</v>
      </c>
      <c r="P2458" s="6">
        <v>3</v>
      </c>
      <c r="Q2458" s="65"/>
      <c r="R2458" s="85">
        <f>(F_LP_h/F_P_h)^2*(R2455-('Valve Sizing'!$V$4*'Valve Sizing'!$G$7))</f>
        <v>46.656301567479957</v>
      </c>
      <c r="S2458" s="58"/>
      <c r="T2458" s="73"/>
      <c r="U2458" s="53">
        <f>(U$29/U$27)^2*(U2455-('Valve Sizing'!$V$4*'Valve Sizing'!$G$7))</f>
        <v>44.973534149783617</v>
      </c>
      <c r="V2458" s="41"/>
      <c r="W2458" s="73"/>
      <c r="X2458" s="53">
        <f>(X$29/X$27)^2*(X2455-('Valve Sizing'!$V$4*'Valve Sizing'!$G$7))</f>
        <v>35.679374370647615</v>
      </c>
      <c r="Y2458" s="41"/>
      <c r="Z2458" s="73"/>
      <c r="AA2458" s="53">
        <f>(AA$29/AA$27)^2*(AA2455-('Valve Sizing'!$V$4*'Valve Sizing'!$G$7))</f>
        <v>8.7615646463497345</v>
      </c>
      <c r="AB2458" s="41"/>
      <c r="AC2458" s="73"/>
      <c r="AD2458" s="53">
        <f>(AD$29/AD$27)^2*(AD2455-('Valve Sizing'!$V$4*'Valve Sizing'!$G$7))</f>
        <v>-47.321049470787564</v>
      </c>
      <c r="AE2458" s="41"/>
      <c r="AF2458" s="73"/>
      <c r="AG2458" s="53">
        <f>(AG$29/AG$27)^2*(AG2455-('Valve Sizing'!$V$4*'Valve Sizing'!$G$7))</f>
        <v>-137.93239399446324</v>
      </c>
      <c r="AH2458" s="41"/>
      <c r="AI2458" s="73"/>
      <c r="AJ2458" s="53">
        <f>(AJ$29/AJ$27)^2*(AJ2455-('Valve Sizing'!$V$4*'Valve Sizing'!$G$7))</f>
        <v>-246.10025908226342</v>
      </c>
      <c r="AK2458" s="41"/>
      <c r="AL2458" s="73"/>
      <c r="AM2458" s="53">
        <f>(AM$29/AM$27)^2*(AM2455-('Valve Sizing'!$V$4*'Valve Sizing'!$G$7))</f>
        <v>-316.33548715255085</v>
      </c>
      <c r="AN2458" s="41"/>
      <c r="AO2458" s="73"/>
      <c r="AP2458" s="53">
        <f>(AP$29/AP$27)^2*(AP2455-('Valve Sizing'!$V$4*'Valve Sizing'!$G$7))</f>
        <v>-359.40934231821819</v>
      </c>
      <c r="AQ2458" s="41"/>
      <c r="AR2458" s="73"/>
      <c r="AS2458" s="53">
        <f>(AS$29/AS$27)^2*(AS2455-('Valve Sizing'!$V$4*'Valve Sizing'!$G$7))</f>
        <v>-449.99202291944556</v>
      </c>
      <c r="AT2458" s="41"/>
      <c r="AU2458" s="73"/>
    </row>
    <row r="2459" spans="15:47" ht="13" x14ac:dyDescent="0.25">
      <c r="O2459" s="1" t="s">
        <v>69</v>
      </c>
      <c r="P2459" s="17">
        <v>7</v>
      </c>
      <c r="Q2459" s="65"/>
      <c r="R2459" s="53">
        <f>(R2453/(N_1*F_P_h))*SQRT('Valve Sizing'!$G$6/R2457)</f>
        <v>11.013564191816535</v>
      </c>
      <c r="S2459" s="58"/>
      <c r="T2459" s="73"/>
      <c r="U2459" s="64">
        <f>(U2453/(N_1*U$27))*SQRT('Valve Sizing'!$G$6/U2457)</f>
        <v>46.339509717003168</v>
      </c>
      <c r="V2459" s="41"/>
      <c r="W2459" s="73"/>
      <c r="X2459" s="64">
        <f>(X2453/(N_1*X$27))*SQRT('Valve Sizing'!$G$6/X2457)</f>
        <v>145.59570576659112</v>
      </c>
      <c r="Y2459" s="41"/>
      <c r="Z2459" s="73"/>
      <c r="AA2459" s="64" t="e">
        <f>(AA2453/(N_1*AA$27))*SQRT('Valve Sizing'!$G$6/AA2457)</f>
        <v>#NUM!</v>
      </c>
      <c r="AB2459" s="41"/>
      <c r="AC2459" s="73"/>
      <c r="AD2459" s="64" t="e">
        <f>(AD2453/(N_1*AD$27))*SQRT('Valve Sizing'!$G$6/AD2457)</f>
        <v>#NUM!</v>
      </c>
      <c r="AE2459" s="41"/>
      <c r="AF2459" s="73"/>
      <c r="AG2459" s="64" t="e">
        <f>(AG2453/(N_1*AG$27))*SQRT('Valve Sizing'!$G$6/AG2457)</f>
        <v>#NUM!</v>
      </c>
      <c r="AH2459" s="41"/>
      <c r="AI2459" s="73"/>
      <c r="AJ2459" s="64" t="e">
        <f>(AJ2453/(N_1*AJ$27))*SQRT('Valve Sizing'!$G$6/AJ2457)</f>
        <v>#NUM!</v>
      </c>
      <c r="AK2459" s="41"/>
      <c r="AL2459" s="73"/>
      <c r="AM2459" s="64" t="e">
        <f>(AM2453/(N_1*AM$27))*SQRT('Valve Sizing'!$G$6/AM2457)</f>
        <v>#NUM!</v>
      </c>
      <c r="AN2459" s="41"/>
      <c r="AO2459" s="73"/>
      <c r="AP2459" s="64" t="e">
        <f>(AP2453/(N_1*AP$27))*SQRT('Valve Sizing'!$G$6/AP2457)</f>
        <v>#NUM!</v>
      </c>
      <c r="AQ2459" s="41"/>
      <c r="AR2459" s="73"/>
      <c r="AS2459" s="64" t="e">
        <f>(AS2453/(N_1*AS$27))*SQRT('Valve Sizing'!$G$6/AS2457)</f>
        <v>#NUM!</v>
      </c>
      <c r="AT2459" s="41"/>
      <c r="AU2459" s="73"/>
    </row>
    <row r="2460" spans="15:47" ht="13" x14ac:dyDescent="0.3">
      <c r="O2460" s="1" t="s">
        <v>72</v>
      </c>
      <c r="P2460" s="17">
        <v>7</v>
      </c>
      <c r="Q2460" s="65"/>
      <c r="R2460" s="53">
        <f>(R2453/(N_1*F_P_h))*SQRT('Valve Sizing'!$G$6/R2458)</f>
        <v>9.1355804939067689</v>
      </c>
      <c r="S2460" s="56"/>
      <c r="T2460" s="72"/>
      <c r="U2460" s="85">
        <f>(U2453/(N_1*U$27))*SQRT('Valve Sizing'!$G$6/U2458)</f>
        <v>37.645259762950715</v>
      </c>
      <c r="V2460" s="44"/>
      <c r="W2460" s="72"/>
      <c r="X2460" s="85">
        <f>(X2453/(N_1*X$27))*SQRT('Valve Sizing'!$G$6/X2458)</f>
        <v>101.6800454318786</v>
      </c>
      <c r="Y2460" s="44"/>
      <c r="Z2460" s="72"/>
      <c r="AA2460" s="85">
        <f>(AA2453/(N_1*AA$27))*SQRT('Valve Sizing'!$G$6/AA2458)</f>
        <v>394.03439520775453</v>
      </c>
      <c r="AB2460" s="44"/>
      <c r="AC2460" s="72"/>
      <c r="AD2460" s="85" t="e">
        <f>(AD2453/(N_1*AD$27))*SQRT('Valve Sizing'!$G$6/AD2458)</f>
        <v>#NUM!</v>
      </c>
      <c r="AE2460" s="44"/>
      <c r="AF2460" s="72"/>
      <c r="AG2460" s="85" t="e">
        <f>(AG2453/(N_1*AG$27))*SQRT('Valve Sizing'!$G$6/AG2458)</f>
        <v>#NUM!</v>
      </c>
      <c r="AH2460" s="44"/>
      <c r="AI2460" s="72"/>
      <c r="AJ2460" s="85" t="e">
        <f>(AJ2453/(N_1*AJ$27))*SQRT('Valve Sizing'!$G$6/AJ2458)</f>
        <v>#NUM!</v>
      </c>
      <c r="AK2460" s="44"/>
      <c r="AL2460" s="72"/>
      <c r="AM2460" s="85" t="e">
        <f>(AM2453/(N_1*AM$27))*SQRT('Valve Sizing'!$G$6/AM2458)</f>
        <v>#NUM!</v>
      </c>
      <c r="AN2460" s="44"/>
      <c r="AO2460" s="72"/>
      <c r="AP2460" s="85" t="e">
        <f>(AP2453/(N_1*AP$27))*SQRT('Valve Sizing'!$G$6/AP2458)</f>
        <v>#NUM!</v>
      </c>
      <c r="AQ2460" s="44"/>
      <c r="AR2460" s="72"/>
      <c r="AS2460" s="85" t="e">
        <f>(AS2453/(N_1*AS$27))*SQRT('Valve Sizing'!$G$6/AS2458)</f>
        <v>#NUM!</v>
      </c>
      <c r="AT2460" s="44"/>
      <c r="AU2460" s="72"/>
    </row>
    <row r="2461" spans="15:47" x14ac:dyDescent="0.25">
      <c r="O2461" s="1" t="s">
        <v>246</v>
      </c>
      <c r="P2461" s="18"/>
      <c r="Q2461" s="65"/>
      <c r="R2461" s="53">
        <f>IF(R2457&lt;R2458,R2459,R2460)</f>
        <v>11.013564191816535</v>
      </c>
      <c r="S2461" s="49"/>
      <c r="T2461" s="72"/>
      <c r="U2461" s="64">
        <f>IF(U2457&lt;U2458,U2459,U2460)</f>
        <v>46.339509717003168</v>
      </c>
      <c r="V2461" s="44"/>
      <c r="W2461" s="72"/>
      <c r="X2461" s="64">
        <f>IF(X2457&lt;X2458,X2459,X2460)</f>
        <v>145.59570576659112</v>
      </c>
      <c r="Y2461" s="44"/>
      <c r="Z2461" s="72"/>
      <c r="AA2461" s="64" t="e">
        <f>IF(AA2457&lt;AA2458,AA2459,AA2460)</f>
        <v>#NUM!</v>
      </c>
      <c r="AB2461" s="44"/>
      <c r="AC2461" s="72"/>
      <c r="AD2461" s="64" t="e">
        <f>IF(AD2457&lt;AD2458,AD2459,AD2460)</f>
        <v>#NUM!</v>
      </c>
      <c r="AE2461" s="44"/>
      <c r="AF2461" s="72"/>
      <c r="AG2461" s="64" t="e">
        <f>IF(AG2457&lt;AG2458,AG2459,AG2460)</f>
        <v>#NUM!</v>
      </c>
      <c r="AH2461" s="44"/>
      <c r="AI2461" s="72"/>
      <c r="AJ2461" s="64" t="e">
        <f>IF(AJ2457&lt;AJ2458,AJ2459,AJ2460)</f>
        <v>#NUM!</v>
      </c>
      <c r="AK2461" s="44"/>
      <c r="AL2461" s="72"/>
      <c r="AM2461" s="64" t="e">
        <f>IF(AM2457&lt;AM2458,AM2459,AM2460)</f>
        <v>#NUM!</v>
      </c>
      <c r="AN2461" s="44"/>
      <c r="AO2461" s="72"/>
      <c r="AP2461" s="64" t="e">
        <f>IF(AP2457&lt;AP2458,AP2459,AP2460)</f>
        <v>#NUM!</v>
      </c>
      <c r="AQ2461" s="44"/>
      <c r="AR2461" s="72"/>
      <c r="AS2461" s="64" t="e">
        <f>IF(AS2457&lt;AS2458,AS2459,AS2460)</f>
        <v>#NUM!</v>
      </c>
      <c r="AT2461" s="44"/>
      <c r="AU2461" s="72"/>
    </row>
    <row r="2462" spans="15:47" ht="13" x14ac:dyDescent="0.3">
      <c r="O2462" s="7" t="s">
        <v>264</v>
      </c>
      <c r="Q2462" s="61"/>
      <c r="R2462" s="53"/>
      <c r="S2462" s="69">
        <f>IFERROR(ABS(C_h-R2461),Q_max*10)</f>
        <v>6.0135641918165348</v>
      </c>
      <c r="T2462" s="76">
        <f>R2453</f>
        <v>62.39183727046688</v>
      </c>
      <c r="U2462" s="61"/>
      <c r="V2462" s="69">
        <f>IFERROR(ABS(U$23-U2461),Q_max*10)</f>
        <v>34.339509717003168</v>
      </c>
      <c r="W2462" s="75">
        <f>U2453</f>
        <v>252.24533101209997</v>
      </c>
      <c r="X2462" s="61"/>
      <c r="Y2462" s="69">
        <f>IFERROR(ABS(X$23-X2461),Q_max*10)</f>
        <v>122.59570576659112</v>
      </c>
      <c r="Z2462" s="75">
        <f>X2453</f>
        <v>605.48589309258932</v>
      </c>
      <c r="AA2462" s="61"/>
      <c r="AB2462" s="69">
        <f>IFERROR(ABS(AA$23-AA2461),Q_max*10)</f>
        <v>5500</v>
      </c>
      <c r="AC2462" s="75">
        <f>AA2453</f>
        <v>1156.0944733333072</v>
      </c>
      <c r="AD2462" s="61"/>
      <c r="AE2462" s="69">
        <f>IFERROR(ABS(AD$23-AD2461),Q_max*10)</f>
        <v>5500</v>
      </c>
      <c r="AF2462" s="75">
        <f>AD2453</f>
        <v>1901.3497599018001</v>
      </c>
      <c r="AG2462" s="61"/>
      <c r="AH2462" s="69">
        <f>IFERROR(ABS(AG$23-AG2461),Q_max*10)</f>
        <v>5500</v>
      </c>
      <c r="AI2462" s="75">
        <f>AG2453</f>
        <v>2830.8507023844618</v>
      </c>
      <c r="AJ2462" s="61"/>
      <c r="AK2462" s="69">
        <f>IFERROR(ABS(AJ$23-AJ2461),Q_max*10)</f>
        <v>5500</v>
      </c>
      <c r="AL2462" s="75">
        <f>AJ2453</f>
        <v>3777.7812363151402</v>
      </c>
      <c r="AM2462" s="61"/>
      <c r="AN2462" s="69">
        <f>IFERROR(ABS(AM$23-AM2461),Q_max*10)</f>
        <v>5500</v>
      </c>
      <c r="AO2462" s="75">
        <f>AM2453</f>
        <v>4609.6110376540519</v>
      </c>
      <c r="AP2462" s="61"/>
      <c r="AQ2462" s="69">
        <f>IFERROR(ABS(AP$23-AP2461),Q_max*10)</f>
        <v>5500</v>
      </c>
      <c r="AR2462" s="75">
        <f>AP2453</f>
        <v>5351.6153110472396</v>
      </c>
      <c r="AS2462" s="61"/>
      <c r="AT2462" s="69">
        <f>IFERROR(ABS(AS$23-AS2461),Q_max*10)</f>
        <v>5500</v>
      </c>
      <c r="AU2462" s="75">
        <f>AS2453</f>
        <v>6090.6374249667706</v>
      </c>
    </row>
    <row r="2463" spans="15:47" ht="14.5" x14ac:dyDescent="0.35">
      <c r="O2463" s="8"/>
      <c r="P2463" s="6"/>
      <c r="Q2463" s="60"/>
      <c r="R2463" s="67"/>
      <c r="S2463" s="56"/>
      <c r="T2463" s="72"/>
      <c r="V2463" s="11"/>
      <c r="W2463" s="38"/>
      <c r="Y2463" s="11"/>
      <c r="Z2463" s="38"/>
      <c r="AB2463" s="11"/>
      <c r="AC2463" s="38"/>
      <c r="AE2463" s="11"/>
      <c r="AF2463" s="38"/>
      <c r="AH2463" s="11"/>
      <c r="AI2463" s="38"/>
      <c r="AK2463" s="11"/>
      <c r="AL2463" s="38"/>
      <c r="AN2463" s="11"/>
      <c r="AO2463" s="38"/>
      <c r="AQ2463" s="11"/>
      <c r="AR2463" s="38"/>
      <c r="AT2463" s="11"/>
      <c r="AU2463" s="38"/>
    </row>
    <row r="2464" spans="15:47" ht="14" x14ac:dyDescent="0.3">
      <c r="O2464" s="8" t="s">
        <v>235</v>
      </c>
      <c r="P2464" s="6"/>
      <c r="Q2464" s="60"/>
      <c r="R2464" s="53">
        <f>R2453*1.02</f>
        <v>63.639674015876217</v>
      </c>
      <c r="S2464" s="58" t="s">
        <v>238</v>
      </c>
      <c r="T2464" s="73" t="s">
        <v>241</v>
      </c>
      <c r="U2464" s="84">
        <f>U2453*1.01</f>
        <v>254.76778432222096</v>
      </c>
      <c r="V2464" s="58" t="s">
        <v>238</v>
      </c>
      <c r="W2464" s="73" t="s">
        <v>241</v>
      </c>
      <c r="X2464" s="84">
        <f>X2453*1.01</f>
        <v>611.54075202351521</v>
      </c>
      <c r="Y2464" s="58" t="s">
        <v>238</v>
      </c>
      <c r="Z2464" s="73" t="s">
        <v>241</v>
      </c>
      <c r="AA2464" s="84">
        <f>AA2453*1.01</f>
        <v>1167.6554180666403</v>
      </c>
      <c r="AB2464" s="58" t="s">
        <v>238</v>
      </c>
      <c r="AC2464" s="73" t="s">
        <v>241</v>
      </c>
      <c r="AD2464" s="84">
        <f>AD2453*1.01</f>
        <v>1920.363257500818</v>
      </c>
      <c r="AE2464" s="58" t="s">
        <v>238</v>
      </c>
      <c r="AF2464" s="73" t="s">
        <v>241</v>
      </c>
      <c r="AG2464" s="84">
        <f>AG2453*1.01</f>
        <v>2859.1592094083067</v>
      </c>
      <c r="AH2464" s="58" t="s">
        <v>238</v>
      </c>
      <c r="AI2464" s="73" t="s">
        <v>241</v>
      </c>
      <c r="AJ2464" s="84">
        <f>AJ2453*1.01</f>
        <v>3815.5590486782917</v>
      </c>
      <c r="AK2464" s="58" t="s">
        <v>238</v>
      </c>
      <c r="AL2464" s="73" t="s">
        <v>241</v>
      </c>
      <c r="AM2464" s="84">
        <f>AM2453*1.01</f>
        <v>4655.7071480305922</v>
      </c>
      <c r="AN2464" s="58" t="s">
        <v>238</v>
      </c>
      <c r="AO2464" s="73" t="s">
        <v>241</v>
      </c>
      <c r="AP2464" s="84">
        <f>AP2453*1.01</f>
        <v>5405.1314641577119</v>
      </c>
      <c r="AQ2464" s="58" t="s">
        <v>238</v>
      </c>
      <c r="AR2464" s="73" t="s">
        <v>241</v>
      </c>
      <c r="AS2464" s="84">
        <f>AS2453*1.01</f>
        <v>6151.5437992164379</v>
      </c>
      <c r="AT2464" s="58" t="s">
        <v>238</v>
      </c>
      <c r="AU2464" s="73" t="s">
        <v>241</v>
      </c>
    </row>
    <row r="2465" spans="15:47" ht="13" x14ac:dyDescent="0.25">
      <c r="O2465" s="6"/>
      <c r="P2465" s="6"/>
      <c r="Q2465" s="60"/>
      <c r="R2465" s="70"/>
      <c r="S2465" s="63" t="s">
        <v>250</v>
      </c>
      <c r="T2465" s="71" t="s">
        <v>242</v>
      </c>
      <c r="U2465" s="61"/>
      <c r="V2465" s="63" t="s">
        <v>250</v>
      </c>
      <c r="W2465" s="71" t="s">
        <v>242</v>
      </c>
      <c r="X2465" s="61"/>
      <c r="Y2465" s="63" t="s">
        <v>250</v>
      </c>
      <c r="Z2465" s="71" t="s">
        <v>242</v>
      </c>
      <c r="AA2465" s="61"/>
      <c r="AB2465" s="63" t="s">
        <v>250</v>
      </c>
      <c r="AC2465" s="71" t="s">
        <v>242</v>
      </c>
      <c r="AD2465" s="61"/>
      <c r="AE2465" s="63" t="s">
        <v>250</v>
      </c>
      <c r="AF2465" s="71" t="s">
        <v>242</v>
      </c>
      <c r="AG2465" s="61"/>
      <c r="AH2465" s="63" t="s">
        <v>250</v>
      </c>
      <c r="AI2465" s="71" t="s">
        <v>242</v>
      </c>
      <c r="AJ2465" s="61"/>
      <c r="AK2465" s="63" t="s">
        <v>250</v>
      </c>
      <c r="AL2465" s="71" t="s">
        <v>242</v>
      </c>
      <c r="AM2465" s="61"/>
      <c r="AN2465" s="63" t="s">
        <v>250</v>
      </c>
      <c r="AO2465" s="71" t="s">
        <v>242</v>
      </c>
      <c r="AP2465" s="61"/>
      <c r="AQ2465" s="63" t="s">
        <v>250</v>
      </c>
      <c r="AR2465" s="71" t="s">
        <v>242</v>
      </c>
      <c r="AS2465" s="61"/>
      <c r="AT2465" s="63" t="s">
        <v>250</v>
      </c>
      <c r="AU2465" s="71" t="s">
        <v>242</v>
      </c>
    </row>
    <row r="2466" spans="15:47" ht="13" x14ac:dyDescent="0.3">
      <c r="O2466" s="6" t="s">
        <v>231</v>
      </c>
      <c r="P2466" s="6"/>
      <c r="Q2466" s="60"/>
      <c r="R2466" s="85">
        <f>P_1_minQ-(R2464^2*R_up)+dpup_minQ</f>
        <v>56.779364805510063</v>
      </c>
      <c r="S2466" s="56"/>
      <c r="T2466" s="72"/>
      <c r="U2466" s="53">
        <f>P_1_minQ-(U2464^2*R_up)+dpup_minQ</f>
        <v>54.724092403632092</v>
      </c>
      <c r="V2466" s="44"/>
      <c r="W2466" s="72"/>
      <c r="X2466" s="53">
        <f>P_1_minQ-(X2464^2*R_up)+dpup_minQ</f>
        <v>44.28588006128043</v>
      </c>
      <c r="Y2466" s="44"/>
      <c r="Z2466" s="72"/>
      <c r="AA2466" s="53">
        <f>P_1_minQ-(AA2464^2*R_up)+dpup_minQ</f>
        <v>10.870240616670703</v>
      </c>
      <c r="AB2466" s="44"/>
      <c r="AC2466" s="72"/>
      <c r="AD2466" s="53">
        <f>P_1_minQ-(AD2464^2*R_up)+dpup_minQ</f>
        <v>-67.629450886833951</v>
      </c>
      <c r="AE2466" s="44"/>
      <c r="AF2466" s="72"/>
      <c r="AG2466" s="53">
        <f>P_1_minQ-(AG2464^2*R_up)+dpup_minQ</f>
        <v>-219.16597044053813</v>
      </c>
      <c r="AH2466" s="44"/>
      <c r="AI2466" s="72"/>
      <c r="AJ2466" s="53">
        <f>P_1_minQ-(AJ2464^2*R_up)+dpup_minQ</f>
        <v>-434.75865768155325</v>
      </c>
      <c r="AK2466" s="44"/>
      <c r="AL2466" s="72"/>
      <c r="AM2466" s="53">
        <f>P_1_minQ-(AM2464^2*R_up)+dpup_minQ</f>
        <v>-675.12063654924509</v>
      </c>
      <c r="AN2466" s="44"/>
      <c r="AO2466" s="72"/>
      <c r="AP2466" s="53">
        <f>P_1_minQ-(AP2464^2*R_up)+dpup_minQ</f>
        <v>-929.7588363670277</v>
      </c>
      <c r="AQ2466" s="44"/>
      <c r="AR2466" s="72"/>
      <c r="AS2466" s="53">
        <f>P_1_minQ-(AS2464^2*R_up)+dpup_minQ</f>
        <v>-1221.0808549030128</v>
      </c>
      <c r="AT2466" s="44"/>
      <c r="AU2466" s="72"/>
    </row>
    <row r="2467" spans="15:47" ht="13" x14ac:dyDescent="0.3">
      <c r="O2467" s="6" t="s">
        <v>233</v>
      </c>
      <c r="P2467" s="6"/>
      <c r="Q2467" s="60"/>
      <c r="R2467" s="85">
        <f>P_2_minQ+(R2464^2*R_dn)-dpdn_minQ</f>
        <v>24.684127038897987</v>
      </c>
      <c r="S2467" s="66"/>
      <c r="T2467" s="74"/>
      <c r="U2467" s="53">
        <f>P_2_minQ+(U2464^2*R_dn)-dpdn_minQ</f>
        <v>25.095181519273581</v>
      </c>
      <c r="V2467" s="45"/>
      <c r="W2467" s="74"/>
      <c r="X2467" s="53">
        <f>P_2_minQ+(X2464^2*R_dn)-dpdn_minQ</f>
        <v>27.182823987743916</v>
      </c>
      <c r="Y2467" s="45"/>
      <c r="Z2467" s="74"/>
      <c r="AA2467" s="53">
        <f>P_2_minQ+(AA2464^2*R_dn)-dpdn_minQ</f>
        <v>33.865951876665861</v>
      </c>
      <c r="AB2467" s="45"/>
      <c r="AC2467" s="74"/>
      <c r="AD2467" s="53">
        <f>P_2_minQ+(AD2464^2*R_dn)-dpdn_minQ</f>
        <v>49.565890177366796</v>
      </c>
      <c r="AE2467" s="45"/>
      <c r="AF2467" s="74"/>
      <c r="AG2467" s="53">
        <f>P_2_minQ+(AG2464^2*R_dn)-dpdn_minQ</f>
        <v>79.873194088107624</v>
      </c>
      <c r="AH2467" s="45"/>
      <c r="AI2467" s="74"/>
      <c r="AJ2467" s="53">
        <f>P_2_minQ+(AJ2464^2*R_dn)-dpdn_minQ</f>
        <v>122.99173153631065</v>
      </c>
      <c r="AK2467" s="45"/>
      <c r="AL2467" s="74"/>
      <c r="AM2467" s="53">
        <f>P_2_minQ+(AM2464^2*R_dn)-dpdn_minQ</f>
        <v>171.06412730984906</v>
      </c>
      <c r="AN2467" s="45"/>
      <c r="AO2467" s="74"/>
      <c r="AP2467" s="53">
        <f>P_2_minQ+(AP2464^2*R_dn)-dpdn_minQ</f>
        <v>221.99176727340554</v>
      </c>
      <c r="AQ2467" s="45"/>
      <c r="AR2467" s="74"/>
      <c r="AS2467" s="53">
        <f>P_2_minQ+(AS2464^2*R_dn)-dpdn_minQ</f>
        <v>280.25617098060252</v>
      </c>
      <c r="AT2467" s="45"/>
      <c r="AU2467" s="74"/>
    </row>
    <row r="2468" spans="15:47" x14ac:dyDescent="0.25">
      <c r="O2468" s="6" t="s">
        <v>243</v>
      </c>
      <c r="Q2468" s="60"/>
      <c r="R2468" s="53">
        <f>R2466-R2467</f>
        <v>32.095237766612073</v>
      </c>
      <c r="S2468" s="56"/>
      <c r="T2468" s="72"/>
      <c r="U2468" s="64">
        <f>U2466-U2467</f>
        <v>29.628910884358511</v>
      </c>
      <c r="V2468" s="44"/>
      <c r="W2468" s="72"/>
      <c r="X2468" s="64">
        <f>X2466-X2467</f>
        <v>17.103056073536514</v>
      </c>
      <c r="Y2468" s="44"/>
      <c r="Z2468" s="72"/>
      <c r="AA2468" s="64">
        <f>AA2466-AA2467</f>
        <v>-22.995711259995158</v>
      </c>
      <c r="AB2468" s="44"/>
      <c r="AC2468" s="72"/>
      <c r="AD2468" s="64">
        <f>AD2466-AD2467</f>
        <v>-117.19534106420075</v>
      </c>
      <c r="AE2468" s="44"/>
      <c r="AF2468" s="72"/>
      <c r="AG2468" s="64">
        <f>AG2466-AG2467</f>
        <v>-299.03916452864576</v>
      </c>
      <c r="AH2468" s="44"/>
      <c r="AI2468" s="72"/>
      <c r="AJ2468" s="64">
        <f>AJ2466-AJ2467</f>
        <v>-557.75038921786393</v>
      </c>
      <c r="AK2468" s="44"/>
      <c r="AL2468" s="72"/>
      <c r="AM2468" s="64">
        <f>AM2466-AM2467</f>
        <v>-846.18476385909412</v>
      </c>
      <c r="AN2468" s="44"/>
      <c r="AO2468" s="72"/>
      <c r="AP2468" s="64">
        <f>AP2466-AP2467</f>
        <v>-1151.7506036404332</v>
      </c>
      <c r="AQ2468" s="44"/>
      <c r="AR2468" s="72"/>
      <c r="AS2468" s="64">
        <f>AS2466-AS2467</f>
        <v>-1501.3370258836153</v>
      </c>
      <c r="AT2468" s="44"/>
      <c r="AU2468" s="72"/>
    </row>
    <row r="2469" spans="15:47" ht="13" x14ac:dyDescent="0.3">
      <c r="O2469" s="6" t="s">
        <v>75</v>
      </c>
      <c r="P2469" s="6">
        <v>3</v>
      </c>
      <c r="Q2469" s="65"/>
      <c r="R2469" s="85">
        <f>(F_LP_h/F_P_h)^2*(R2466-('Valve Sizing'!$V$4*'Valve Sizing'!$G$7))</f>
        <v>46.651903555840768</v>
      </c>
      <c r="S2469" s="58"/>
      <c r="T2469" s="73"/>
      <c r="U2469" s="53">
        <f>(U$29/U$27)^2*(U2466-('Valve Sizing'!$V$4*'Valve Sizing'!$G$7))</f>
        <v>44.937778604692376</v>
      </c>
      <c r="V2469" s="41"/>
      <c r="W2469" s="73"/>
      <c r="X2469" s="53">
        <f>(X$29/X$27)^2*(X2466-('Valve Sizing'!$V$4*'Valve Sizing'!$G$7))</f>
        <v>35.478003494219372</v>
      </c>
      <c r="Y2469" s="41"/>
      <c r="Z2469" s="73"/>
      <c r="AA2469" s="53">
        <f>(AA$29/AA$27)^2*(AA2466-('Valve Sizing'!$V$4*'Valve Sizing'!$G$7))</f>
        <v>8.0604164001979388</v>
      </c>
      <c r="AB2469" s="41"/>
      <c r="AC2469" s="73"/>
      <c r="AD2469" s="53">
        <f>(AD$29/AD$27)^2*(AD2466-('Valve Sizing'!$V$4*'Valve Sizing'!$G$7))</f>
        <v>-49.090872383076402</v>
      </c>
      <c r="AE2469" s="41"/>
      <c r="AF2469" s="73"/>
      <c r="AG2469" s="53">
        <f>(AG$29/AG$27)^2*(AG2466-('Valve Sizing'!$V$4*'Valve Sizing'!$G$7))</f>
        <v>-141.43593404726809</v>
      </c>
      <c r="AH2469" s="41"/>
      <c r="AI2469" s="73"/>
      <c r="AJ2469" s="53">
        <f>(AJ$29/AJ$27)^2*(AJ2466-('Valve Sizing'!$V$4*'Valve Sizing'!$G$7))</f>
        <v>-251.703415738524</v>
      </c>
      <c r="AK2469" s="41"/>
      <c r="AL2469" s="73"/>
      <c r="AM2469" s="53">
        <f>(AM$29/AM$27)^2*(AM2466-('Valve Sizing'!$V$4*'Valve Sizing'!$G$7))</f>
        <v>-323.23697734823742</v>
      </c>
      <c r="AN2469" s="41"/>
      <c r="AO2469" s="73"/>
      <c r="AP2469" s="53">
        <f>(AP$29/AP$27)^2*(AP2466-('Valve Sizing'!$V$4*'Valve Sizing'!$G$7))</f>
        <v>-367.08143836571384</v>
      </c>
      <c r="AQ2469" s="41"/>
      <c r="AR2469" s="73"/>
      <c r="AS2469" s="53">
        <f>(AS$29/AS$27)^2*(AS2466-('Valve Sizing'!$V$4*'Valve Sizing'!$G$7))</f>
        <v>-459.46384606924397</v>
      </c>
      <c r="AT2469" s="41"/>
      <c r="AU2469" s="73"/>
    </row>
    <row r="2470" spans="15:47" ht="13" x14ac:dyDescent="0.25">
      <c r="O2470" s="1" t="s">
        <v>69</v>
      </c>
      <c r="P2470" s="17">
        <v>7</v>
      </c>
      <c r="Q2470" s="65"/>
      <c r="R2470" s="53">
        <f>(R2464/(N_1*F_P_h))*SQRT('Valve Sizing'!$G$6/R2468)</f>
        <v>11.234950837179973</v>
      </c>
      <c r="S2470" s="58"/>
      <c r="T2470" s="73"/>
      <c r="U2470" s="64">
        <f>(U2464/(N_1*U$27))*SQRT('Valve Sizing'!$G$6/U2468)</f>
        <v>46.843823576396993</v>
      </c>
      <c r="V2470" s="41"/>
      <c r="W2470" s="73"/>
      <c r="X2470" s="64">
        <f>(X2464/(N_1*X$27))*SQRT('Valve Sizing'!$G$6/X2468)</f>
        <v>148.32995359008157</v>
      </c>
      <c r="Y2470" s="41"/>
      <c r="Z2470" s="73"/>
      <c r="AA2470" s="64" t="e">
        <f>(AA2464/(N_1*AA$27))*SQRT('Valve Sizing'!$G$6/AA2468)</f>
        <v>#NUM!</v>
      </c>
      <c r="AB2470" s="41"/>
      <c r="AC2470" s="73"/>
      <c r="AD2470" s="64" t="e">
        <f>(AD2464/(N_1*AD$27))*SQRT('Valve Sizing'!$G$6/AD2468)</f>
        <v>#NUM!</v>
      </c>
      <c r="AE2470" s="41"/>
      <c r="AF2470" s="73"/>
      <c r="AG2470" s="64" t="e">
        <f>(AG2464/(N_1*AG$27))*SQRT('Valve Sizing'!$G$6/AG2468)</f>
        <v>#NUM!</v>
      </c>
      <c r="AH2470" s="41"/>
      <c r="AI2470" s="73"/>
      <c r="AJ2470" s="64" t="e">
        <f>(AJ2464/(N_1*AJ$27))*SQRT('Valve Sizing'!$G$6/AJ2468)</f>
        <v>#NUM!</v>
      </c>
      <c r="AK2470" s="41"/>
      <c r="AL2470" s="73"/>
      <c r="AM2470" s="64" t="e">
        <f>(AM2464/(N_1*AM$27))*SQRT('Valve Sizing'!$G$6/AM2468)</f>
        <v>#NUM!</v>
      </c>
      <c r="AN2470" s="41"/>
      <c r="AO2470" s="73"/>
      <c r="AP2470" s="64" t="e">
        <f>(AP2464/(N_1*AP$27))*SQRT('Valve Sizing'!$G$6/AP2468)</f>
        <v>#NUM!</v>
      </c>
      <c r="AQ2470" s="41"/>
      <c r="AR2470" s="73"/>
      <c r="AS2470" s="64" t="e">
        <f>(AS2464/(N_1*AS$27))*SQRT('Valve Sizing'!$G$6/AS2468)</f>
        <v>#NUM!</v>
      </c>
      <c r="AT2470" s="41"/>
      <c r="AU2470" s="73"/>
    </row>
    <row r="2471" spans="15:47" ht="13" x14ac:dyDescent="0.3">
      <c r="O2471" s="1" t="s">
        <v>72</v>
      </c>
      <c r="P2471" s="17">
        <v>7</v>
      </c>
      <c r="Q2471" s="65"/>
      <c r="R2471" s="53">
        <f>(R2464/(N_1*F_P_h))*SQRT('Valve Sizing'!$G$6/R2469)</f>
        <v>9.3187313247831849</v>
      </c>
      <c r="S2471" s="56"/>
      <c r="T2471" s="72"/>
      <c r="U2471" s="85">
        <f>(U2464/(N_1*U$27))*SQRT('Valve Sizing'!$G$6/U2469)</f>
        <v>38.036835679705675</v>
      </c>
      <c r="V2471" s="44"/>
      <c r="W2471" s="72"/>
      <c r="X2471" s="85">
        <f>(X2464/(N_1*X$27))*SQRT('Valve Sizing'!$G$6/X2469)</f>
        <v>102.98788385348205</v>
      </c>
      <c r="Y2471" s="44"/>
      <c r="Z2471" s="72"/>
      <c r="AA2471" s="85">
        <f>(AA2464/(N_1*AA$27))*SQRT('Valve Sizing'!$G$6/AA2469)</f>
        <v>414.92308916850754</v>
      </c>
      <c r="AB2471" s="44"/>
      <c r="AC2471" s="72"/>
      <c r="AD2471" s="85" t="e">
        <f>(AD2464/(N_1*AD$27))*SQRT('Valve Sizing'!$G$6/AD2469)</f>
        <v>#NUM!</v>
      </c>
      <c r="AE2471" s="44"/>
      <c r="AF2471" s="72"/>
      <c r="AG2471" s="85" t="e">
        <f>(AG2464/(N_1*AG$27))*SQRT('Valve Sizing'!$G$6/AG2469)</f>
        <v>#NUM!</v>
      </c>
      <c r="AH2471" s="44"/>
      <c r="AI2471" s="72"/>
      <c r="AJ2471" s="85" t="e">
        <f>(AJ2464/(N_1*AJ$27))*SQRT('Valve Sizing'!$G$6/AJ2469)</f>
        <v>#NUM!</v>
      </c>
      <c r="AK2471" s="44"/>
      <c r="AL2471" s="72"/>
      <c r="AM2471" s="85" t="e">
        <f>(AM2464/(N_1*AM$27))*SQRT('Valve Sizing'!$G$6/AM2469)</f>
        <v>#NUM!</v>
      </c>
      <c r="AN2471" s="44"/>
      <c r="AO2471" s="72"/>
      <c r="AP2471" s="85" t="e">
        <f>(AP2464/(N_1*AP$27))*SQRT('Valve Sizing'!$G$6/AP2469)</f>
        <v>#NUM!</v>
      </c>
      <c r="AQ2471" s="44"/>
      <c r="AR2471" s="72"/>
      <c r="AS2471" s="85" t="e">
        <f>(AS2464/(N_1*AS$27))*SQRT('Valve Sizing'!$G$6/AS2469)</f>
        <v>#NUM!</v>
      </c>
      <c r="AT2471" s="44"/>
      <c r="AU2471" s="72"/>
    </row>
    <row r="2472" spans="15:47" x14ac:dyDescent="0.25">
      <c r="O2472" s="1" t="s">
        <v>246</v>
      </c>
      <c r="P2472" s="18"/>
      <c r="Q2472" s="65"/>
      <c r="R2472" s="53">
        <f>IF(R2468&lt;R2469,R2470,R2471)</f>
        <v>11.234950837179973</v>
      </c>
      <c r="S2472" s="49"/>
      <c r="T2472" s="72"/>
      <c r="U2472" s="64">
        <f>IF(U2468&lt;U2469,U2470,U2471)</f>
        <v>46.843823576396993</v>
      </c>
      <c r="V2472" s="44"/>
      <c r="W2472" s="72"/>
      <c r="X2472" s="64">
        <f>IF(X2468&lt;X2469,X2470,X2471)</f>
        <v>148.32995359008157</v>
      </c>
      <c r="Y2472" s="44"/>
      <c r="Z2472" s="72"/>
      <c r="AA2472" s="64" t="e">
        <f>IF(AA2468&lt;AA2469,AA2470,AA2471)</f>
        <v>#NUM!</v>
      </c>
      <c r="AB2472" s="44"/>
      <c r="AC2472" s="72"/>
      <c r="AD2472" s="64" t="e">
        <f>IF(AD2468&lt;AD2469,AD2470,AD2471)</f>
        <v>#NUM!</v>
      </c>
      <c r="AE2472" s="44"/>
      <c r="AF2472" s="72"/>
      <c r="AG2472" s="64" t="e">
        <f>IF(AG2468&lt;AG2469,AG2470,AG2471)</f>
        <v>#NUM!</v>
      </c>
      <c r="AH2472" s="44"/>
      <c r="AI2472" s="72"/>
      <c r="AJ2472" s="64" t="e">
        <f>IF(AJ2468&lt;AJ2469,AJ2470,AJ2471)</f>
        <v>#NUM!</v>
      </c>
      <c r="AK2472" s="44"/>
      <c r="AL2472" s="72"/>
      <c r="AM2472" s="64" t="e">
        <f>IF(AM2468&lt;AM2469,AM2470,AM2471)</f>
        <v>#NUM!</v>
      </c>
      <c r="AN2472" s="44"/>
      <c r="AO2472" s="72"/>
      <c r="AP2472" s="64" t="e">
        <f>IF(AP2468&lt;AP2469,AP2470,AP2471)</f>
        <v>#NUM!</v>
      </c>
      <c r="AQ2472" s="44"/>
      <c r="AR2472" s="72"/>
      <c r="AS2472" s="64" t="e">
        <f>IF(AS2468&lt;AS2469,AS2470,AS2471)</f>
        <v>#NUM!</v>
      </c>
      <c r="AT2472" s="44"/>
      <c r="AU2472" s="72"/>
    </row>
    <row r="2473" spans="15:47" ht="13" x14ac:dyDescent="0.3">
      <c r="O2473" s="7" t="s">
        <v>264</v>
      </c>
      <c r="Q2473" s="61"/>
      <c r="R2473" s="53"/>
      <c r="S2473" s="69">
        <f>IFERROR(ABS(C_h-R2472),Q_max*10)</f>
        <v>6.2349508371799729</v>
      </c>
      <c r="T2473" s="76">
        <f>R2464</f>
        <v>63.639674015876217</v>
      </c>
      <c r="U2473" s="61"/>
      <c r="V2473" s="69">
        <f>IFERROR(ABS(U$23-U2472),Q_max*10)</f>
        <v>34.843823576396993</v>
      </c>
      <c r="W2473" s="75">
        <f>U2464</f>
        <v>254.76778432222096</v>
      </c>
      <c r="X2473" s="61"/>
      <c r="Y2473" s="69">
        <f>IFERROR(ABS(X$23-X2472),Q_max*10)</f>
        <v>125.32995359008157</v>
      </c>
      <c r="Z2473" s="75">
        <f>X2464</f>
        <v>611.54075202351521</v>
      </c>
      <c r="AA2473" s="61"/>
      <c r="AB2473" s="69">
        <f>IFERROR(ABS(AA$23-AA2472),Q_max*10)</f>
        <v>5500</v>
      </c>
      <c r="AC2473" s="75">
        <f>AA2464</f>
        <v>1167.6554180666403</v>
      </c>
      <c r="AD2473" s="61"/>
      <c r="AE2473" s="69">
        <f>IFERROR(ABS(AD$23-AD2472),Q_max*10)</f>
        <v>5500</v>
      </c>
      <c r="AF2473" s="75">
        <f>AD2464</f>
        <v>1920.363257500818</v>
      </c>
      <c r="AG2473" s="61"/>
      <c r="AH2473" s="69">
        <f>IFERROR(ABS(AG$23-AG2472),Q_max*10)</f>
        <v>5500</v>
      </c>
      <c r="AI2473" s="75">
        <f>AG2464</f>
        <v>2859.1592094083067</v>
      </c>
      <c r="AJ2473" s="61"/>
      <c r="AK2473" s="69">
        <f>IFERROR(ABS(AJ$23-AJ2472),Q_max*10)</f>
        <v>5500</v>
      </c>
      <c r="AL2473" s="75">
        <f>AJ2464</f>
        <v>3815.5590486782917</v>
      </c>
      <c r="AM2473" s="61"/>
      <c r="AN2473" s="69">
        <f>IFERROR(ABS(AM$23-AM2472),Q_max*10)</f>
        <v>5500</v>
      </c>
      <c r="AO2473" s="75">
        <f>AM2464</f>
        <v>4655.7071480305922</v>
      </c>
      <c r="AP2473" s="61"/>
      <c r="AQ2473" s="69">
        <f>IFERROR(ABS(AP$23-AP2472),Q_max*10)</f>
        <v>5500</v>
      </c>
      <c r="AR2473" s="75">
        <f>AP2464</f>
        <v>5405.1314641577119</v>
      </c>
      <c r="AS2473" s="61"/>
      <c r="AT2473" s="69">
        <f>IFERROR(ABS(AS$23-AS2472),Q_max*10)</f>
        <v>5500</v>
      </c>
      <c r="AU2473" s="75">
        <f>AS2464</f>
        <v>6151.5437992164379</v>
      </c>
    </row>
    <row r="2474" spans="15:47" ht="14.5" x14ac:dyDescent="0.35">
      <c r="O2474" s="6"/>
      <c r="P2474" s="6"/>
      <c r="Q2474" s="60"/>
      <c r="R2474" s="67"/>
      <c r="S2474" s="66"/>
      <c r="T2474" s="74"/>
      <c r="V2474" s="11"/>
      <c r="W2474" s="38"/>
      <c r="Y2474" s="11"/>
      <c r="Z2474" s="38"/>
      <c r="AB2474" s="11"/>
      <c r="AC2474" s="38"/>
      <c r="AE2474" s="11"/>
      <c r="AF2474" s="38"/>
      <c r="AH2474" s="11"/>
      <c r="AI2474" s="38"/>
      <c r="AK2474" s="11"/>
      <c r="AL2474" s="38"/>
      <c r="AN2474" s="11"/>
      <c r="AO2474" s="38"/>
      <c r="AQ2474" s="11"/>
      <c r="AR2474" s="38"/>
      <c r="AT2474" s="11"/>
      <c r="AU2474" s="38"/>
    </row>
    <row r="2475" spans="15:47" ht="14" x14ac:dyDescent="0.3">
      <c r="O2475" s="8" t="s">
        <v>235</v>
      </c>
      <c r="P2475" s="6"/>
      <c r="Q2475" s="60"/>
      <c r="R2475" s="53">
        <f>R2464*1.02</f>
        <v>64.912467496193742</v>
      </c>
      <c r="S2475" s="58" t="s">
        <v>238</v>
      </c>
      <c r="T2475" s="73" t="s">
        <v>241</v>
      </c>
      <c r="U2475" s="84">
        <f>U2464*1.01</f>
        <v>257.31546216544319</v>
      </c>
      <c r="V2475" s="58" t="s">
        <v>238</v>
      </c>
      <c r="W2475" s="73" t="s">
        <v>241</v>
      </c>
      <c r="X2475" s="84">
        <f>X2464*1.01</f>
        <v>617.65615954375039</v>
      </c>
      <c r="Y2475" s="58" t="s">
        <v>238</v>
      </c>
      <c r="Z2475" s="73" t="s">
        <v>241</v>
      </c>
      <c r="AA2475" s="84">
        <f>AA2464*1.01</f>
        <v>1179.3319722473068</v>
      </c>
      <c r="AB2475" s="58" t="s">
        <v>238</v>
      </c>
      <c r="AC2475" s="73" t="s">
        <v>241</v>
      </c>
      <c r="AD2475" s="84">
        <f>AD2464*1.01</f>
        <v>1939.5668900758262</v>
      </c>
      <c r="AE2475" s="58" t="s">
        <v>238</v>
      </c>
      <c r="AF2475" s="73" t="s">
        <v>241</v>
      </c>
      <c r="AG2475" s="84">
        <f>AG2464*1.01</f>
        <v>2887.7508015023895</v>
      </c>
      <c r="AH2475" s="58" t="s">
        <v>238</v>
      </c>
      <c r="AI2475" s="73" t="s">
        <v>241</v>
      </c>
      <c r="AJ2475" s="84">
        <f>AJ2464*1.01</f>
        <v>3853.7146391650745</v>
      </c>
      <c r="AK2475" s="58" t="s">
        <v>238</v>
      </c>
      <c r="AL2475" s="73" t="s">
        <v>241</v>
      </c>
      <c r="AM2475" s="84">
        <f>AM2464*1.01</f>
        <v>4702.2642195108983</v>
      </c>
      <c r="AN2475" s="58" t="s">
        <v>238</v>
      </c>
      <c r="AO2475" s="73" t="s">
        <v>241</v>
      </c>
      <c r="AP2475" s="84">
        <f>AP2464*1.01</f>
        <v>5459.1827787992888</v>
      </c>
      <c r="AQ2475" s="58" t="s">
        <v>238</v>
      </c>
      <c r="AR2475" s="73" t="s">
        <v>241</v>
      </c>
      <c r="AS2475" s="84">
        <f>AS2464*1.01</f>
        <v>6213.0592372086021</v>
      </c>
      <c r="AT2475" s="58" t="s">
        <v>238</v>
      </c>
      <c r="AU2475" s="73" t="s">
        <v>241</v>
      </c>
    </row>
    <row r="2476" spans="15:47" ht="13" x14ac:dyDescent="0.25">
      <c r="O2476" s="6"/>
      <c r="P2476" s="6"/>
      <c r="Q2476" s="60"/>
      <c r="R2476" s="70"/>
      <c r="S2476" s="63" t="s">
        <v>250</v>
      </c>
      <c r="T2476" s="71" t="s">
        <v>242</v>
      </c>
      <c r="U2476" s="61"/>
      <c r="V2476" s="63" t="s">
        <v>250</v>
      </c>
      <c r="W2476" s="71" t="s">
        <v>242</v>
      </c>
      <c r="X2476" s="61"/>
      <c r="Y2476" s="63" t="s">
        <v>250</v>
      </c>
      <c r="Z2476" s="71" t="s">
        <v>242</v>
      </c>
      <c r="AA2476" s="61"/>
      <c r="AB2476" s="63" t="s">
        <v>250</v>
      </c>
      <c r="AC2476" s="71" t="s">
        <v>242</v>
      </c>
      <c r="AD2476" s="61"/>
      <c r="AE2476" s="63" t="s">
        <v>250</v>
      </c>
      <c r="AF2476" s="71" t="s">
        <v>242</v>
      </c>
      <c r="AG2476" s="61"/>
      <c r="AH2476" s="63" t="s">
        <v>250</v>
      </c>
      <c r="AI2476" s="71" t="s">
        <v>242</v>
      </c>
      <c r="AJ2476" s="61"/>
      <c r="AK2476" s="63" t="s">
        <v>250</v>
      </c>
      <c r="AL2476" s="71" t="s">
        <v>242</v>
      </c>
      <c r="AM2476" s="61"/>
      <c r="AN2476" s="63" t="s">
        <v>250</v>
      </c>
      <c r="AO2476" s="71" t="s">
        <v>242</v>
      </c>
      <c r="AP2476" s="61"/>
      <c r="AQ2476" s="63" t="s">
        <v>250</v>
      </c>
      <c r="AR2476" s="71" t="s">
        <v>242</v>
      </c>
      <c r="AS2476" s="61"/>
      <c r="AT2476" s="63" t="s">
        <v>250</v>
      </c>
      <c r="AU2476" s="71" t="s">
        <v>242</v>
      </c>
    </row>
    <row r="2477" spans="15:47" ht="13" x14ac:dyDescent="0.3">
      <c r="O2477" s="6" t="s">
        <v>231</v>
      </c>
      <c r="P2477" s="6"/>
      <c r="Q2477" s="60"/>
      <c r="R2477" s="85">
        <f>P_1_minQ-(R2475^2*R_up)+dpup_minQ</f>
        <v>56.773838958580058</v>
      </c>
      <c r="S2477" s="56"/>
      <c r="T2477" s="72"/>
      <c r="U2477" s="53">
        <f>P_1_minQ-(U2475^2*R_up)+dpup_minQ</f>
        <v>54.680032182728283</v>
      </c>
      <c r="V2477" s="44"/>
      <c r="W2477" s="72"/>
      <c r="X2477" s="53">
        <f>P_1_minQ-(X2475^2*R_up)+dpup_minQ</f>
        <v>44.032011772295341</v>
      </c>
      <c r="Y2477" s="44"/>
      <c r="Z2477" s="72"/>
      <c r="AA2477" s="53">
        <f>P_1_minQ-(AA2475^2*R_up)+dpup_minQ</f>
        <v>9.9447179748489596</v>
      </c>
      <c r="AB2477" s="44"/>
      <c r="AC2477" s="72"/>
      <c r="AD2477" s="53">
        <f>P_1_minQ-(AD2475^2*R_up)+dpup_minQ</f>
        <v>-70.132817327876126</v>
      </c>
      <c r="AE2477" s="44"/>
      <c r="AF2477" s="72"/>
      <c r="AG2477" s="53">
        <f>P_1_minQ-(AG2475^2*R_up)+dpup_minQ</f>
        <v>-224.71522092460972</v>
      </c>
      <c r="AH2477" s="44"/>
      <c r="AI2477" s="72"/>
      <c r="AJ2477" s="53">
        <f>P_1_minQ-(AJ2475^2*R_up)+dpup_minQ</f>
        <v>-444.64132117916927</v>
      </c>
      <c r="AK2477" s="44"/>
      <c r="AL2477" s="72"/>
      <c r="AM2477" s="53">
        <f>P_1_minQ-(AM2475^2*R_up)+dpup_minQ</f>
        <v>-689.8345758221019</v>
      </c>
      <c r="AN2477" s="44"/>
      <c r="AO2477" s="72"/>
      <c r="AP2477" s="53">
        <f>P_1_minQ-(AP2475^2*R_up)+dpup_minQ</f>
        <v>-949.59100345622176</v>
      </c>
      <c r="AQ2477" s="44"/>
      <c r="AR2477" s="72"/>
      <c r="AS2477" s="53">
        <f>P_1_minQ-(AS2475^2*R_up)+dpup_minQ</f>
        <v>-1246.76859456478</v>
      </c>
      <c r="AT2477" s="44"/>
      <c r="AU2477" s="72"/>
    </row>
    <row r="2478" spans="15:47" ht="13" x14ac:dyDescent="0.3">
      <c r="O2478" s="6" t="s">
        <v>233</v>
      </c>
      <c r="P2478" s="6"/>
      <c r="Q2478" s="60"/>
      <c r="R2478" s="85">
        <f>P_2_minQ+(R2475^2*R_dn)-dpdn_minQ</f>
        <v>24.685232208283988</v>
      </c>
      <c r="S2478" s="66"/>
      <c r="T2478" s="74"/>
      <c r="U2478" s="53">
        <f>P_2_minQ+(U2475^2*R_dn)-dpdn_minQ</f>
        <v>25.103993563454345</v>
      </c>
      <c r="V2478" s="45"/>
      <c r="W2478" s="74"/>
      <c r="X2478" s="53">
        <f>P_2_minQ+(X2475^2*R_dn)-dpdn_minQ</f>
        <v>27.233597645540932</v>
      </c>
      <c r="Y2478" s="45"/>
      <c r="Z2478" s="74"/>
      <c r="AA2478" s="53">
        <f>P_2_minQ+(AA2475^2*R_dn)-dpdn_minQ</f>
        <v>34.051056405030209</v>
      </c>
      <c r="AB2478" s="45"/>
      <c r="AC2478" s="74"/>
      <c r="AD2478" s="53">
        <f>P_2_minQ+(AD2475^2*R_dn)-dpdn_minQ</f>
        <v>50.066563465575229</v>
      </c>
      <c r="AE2478" s="45"/>
      <c r="AF2478" s="74"/>
      <c r="AG2478" s="53">
        <f>P_2_minQ+(AG2475^2*R_dn)-dpdn_minQ</f>
        <v>80.983044184921937</v>
      </c>
      <c r="AH2478" s="45"/>
      <c r="AI2478" s="74"/>
      <c r="AJ2478" s="53">
        <f>P_2_minQ+(AJ2475^2*R_dn)-dpdn_minQ</f>
        <v>124.96826423583384</v>
      </c>
      <c r="AK2478" s="45"/>
      <c r="AL2478" s="74"/>
      <c r="AM2478" s="53">
        <f>P_2_minQ+(AM2475^2*R_dn)-dpdn_minQ</f>
        <v>174.00691516442041</v>
      </c>
      <c r="AN2478" s="45"/>
      <c r="AO2478" s="74"/>
      <c r="AP2478" s="53">
        <f>P_2_minQ+(AP2475^2*R_dn)-dpdn_minQ</f>
        <v>225.95820069124434</v>
      </c>
      <c r="AQ2478" s="45"/>
      <c r="AR2478" s="74"/>
      <c r="AS2478" s="53">
        <f>P_2_minQ+(AS2475^2*R_dn)-dpdn_minQ</f>
        <v>285.39371891295599</v>
      </c>
      <c r="AT2478" s="45"/>
      <c r="AU2478" s="74"/>
    </row>
    <row r="2479" spans="15:47" x14ac:dyDescent="0.25">
      <c r="O2479" s="6" t="s">
        <v>243</v>
      </c>
      <c r="Q2479" s="60"/>
      <c r="R2479" s="53">
        <f>R2477-R2478</f>
        <v>32.088606750296066</v>
      </c>
      <c r="S2479" s="56"/>
      <c r="T2479" s="72"/>
      <c r="U2479" s="64">
        <f>U2477-U2478</f>
        <v>29.576038619273938</v>
      </c>
      <c r="V2479" s="44"/>
      <c r="W2479" s="72"/>
      <c r="X2479" s="64">
        <f>X2477-X2478</f>
        <v>16.798414126754409</v>
      </c>
      <c r="Y2479" s="44"/>
      <c r="Z2479" s="72"/>
      <c r="AA2479" s="64">
        <f>AA2477-AA2478</f>
        <v>-24.10633843018125</v>
      </c>
      <c r="AB2479" s="44"/>
      <c r="AC2479" s="72"/>
      <c r="AD2479" s="64">
        <f>AD2477-AD2478</f>
        <v>-120.19938079345135</v>
      </c>
      <c r="AE2479" s="44"/>
      <c r="AF2479" s="72"/>
      <c r="AG2479" s="64">
        <f>AG2477-AG2478</f>
        <v>-305.69826510953169</v>
      </c>
      <c r="AH2479" s="44"/>
      <c r="AI2479" s="72"/>
      <c r="AJ2479" s="64">
        <f>AJ2477-AJ2478</f>
        <v>-569.60958541500315</v>
      </c>
      <c r="AK2479" s="44"/>
      <c r="AL2479" s="72"/>
      <c r="AM2479" s="64">
        <f>AM2477-AM2478</f>
        <v>-863.84149098652233</v>
      </c>
      <c r="AN2479" s="44"/>
      <c r="AO2479" s="72"/>
      <c r="AP2479" s="64">
        <f>AP2477-AP2478</f>
        <v>-1175.5492041474661</v>
      </c>
      <c r="AQ2479" s="44"/>
      <c r="AR2479" s="72"/>
      <c r="AS2479" s="64">
        <f>AS2477-AS2478</f>
        <v>-1532.162313477736</v>
      </c>
      <c r="AT2479" s="44"/>
      <c r="AU2479" s="72"/>
    </row>
    <row r="2480" spans="15:47" ht="13" x14ac:dyDescent="0.3">
      <c r="O2480" s="6" t="s">
        <v>75</v>
      </c>
      <c r="P2480" s="6">
        <v>3</v>
      </c>
      <c r="Q2480" s="65"/>
      <c r="R2480" s="85">
        <f>(F_LP_h/F_P_h)^2*(R2477-('Valve Sizing'!$V$4*'Valve Sizing'!$G$7))</f>
        <v>46.647327864531356</v>
      </c>
      <c r="S2480" s="58"/>
      <c r="T2480" s="73"/>
      <c r="U2480" s="53">
        <f>(U$29/U$27)^2*(U2477-('Valve Sizing'!$V$4*'Valve Sizing'!$G$7))</f>
        <v>44.901304373144797</v>
      </c>
      <c r="V2480" s="41"/>
      <c r="W2480" s="73"/>
      <c r="X2480" s="53">
        <f>(X$29/X$27)^2*(X2477-('Valve Sizing'!$V$4*'Valve Sizing'!$G$7))</f>
        <v>35.272585063174915</v>
      </c>
      <c r="Y2480" s="41"/>
      <c r="Z2480" s="73"/>
      <c r="AA2480" s="53">
        <f>(AA$29/AA$27)^2*(AA2477-('Valve Sizing'!$V$4*'Valve Sizing'!$G$7))</f>
        <v>7.3451750742984929</v>
      </c>
      <c r="AB2480" s="41"/>
      <c r="AC2480" s="73"/>
      <c r="AD2480" s="53">
        <f>(AD$29/AD$27)^2*(AD2477-('Valve Sizing'!$V$4*'Valve Sizing'!$G$7))</f>
        <v>-50.89626873590224</v>
      </c>
      <c r="AE2480" s="41"/>
      <c r="AF2480" s="73"/>
      <c r="AG2480" s="53">
        <f>(AG$29/AG$27)^2*(AG2477-('Valve Sizing'!$V$4*'Valve Sizing'!$G$7))</f>
        <v>-145.0098952551343</v>
      </c>
      <c r="AH2480" s="41"/>
      <c r="AI2480" s="73"/>
      <c r="AJ2480" s="53">
        <f>(AJ$29/AJ$27)^2*(AJ2477-('Valve Sizing'!$V$4*'Valve Sizing'!$G$7))</f>
        <v>-257.41919584357538</v>
      </c>
      <c r="AK2480" s="41"/>
      <c r="AL2480" s="73"/>
      <c r="AM2480" s="53">
        <f>(AM$29/AM$27)^2*(AM2477-('Valve Sizing'!$V$4*'Valve Sizing'!$G$7))</f>
        <v>-330.27718749685738</v>
      </c>
      <c r="AN2480" s="41"/>
      <c r="AO2480" s="73"/>
      <c r="AP2480" s="53">
        <f>(AP$29/AP$27)^2*(AP2477-('Valve Sizing'!$V$4*'Valve Sizing'!$G$7))</f>
        <v>-374.90774354376418</v>
      </c>
      <c r="AQ2480" s="41"/>
      <c r="AR2480" s="73"/>
      <c r="AS2480" s="53">
        <f>(AS$29/AS$27)^2*(AS2477-('Valve Sizing'!$V$4*'Valve Sizing'!$G$7))</f>
        <v>-469.12605286435326</v>
      </c>
      <c r="AT2480" s="41"/>
      <c r="AU2480" s="73"/>
    </row>
    <row r="2481" spans="15:47" ht="13" x14ac:dyDescent="0.25">
      <c r="O2481" s="1" t="s">
        <v>69</v>
      </c>
      <c r="P2481" s="17">
        <v>7</v>
      </c>
      <c r="Q2481" s="65"/>
      <c r="R2481" s="53">
        <f>(R2475/(N_1*F_P_h))*SQRT('Valve Sizing'!$G$6/R2479)</f>
        <v>11.460833844247951</v>
      </c>
      <c r="S2481" s="58"/>
      <c r="T2481" s="73"/>
      <c r="U2481" s="64">
        <f>(U2475/(N_1*U$27))*SQRT('Valve Sizing'!$G$6/U2479)</f>
        <v>47.354532339160663</v>
      </c>
      <c r="V2481" s="41"/>
      <c r="W2481" s="73"/>
      <c r="X2481" s="64">
        <f>(X2475/(N_1*X$27))*SQRT('Valve Sizing'!$G$6/X2479)</f>
        <v>151.16559319002374</v>
      </c>
      <c r="Y2481" s="41"/>
      <c r="Z2481" s="73"/>
      <c r="AA2481" s="64" t="e">
        <f>(AA2475/(N_1*AA$27))*SQRT('Valve Sizing'!$G$6/AA2479)</f>
        <v>#NUM!</v>
      </c>
      <c r="AB2481" s="41"/>
      <c r="AC2481" s="73"/>
      <c r="AD2481" s="64" t="e">
        <f>(AD2475/(N_1*AD$27))*SQRT('Valve Sizing'!$G$6/AD2479)</f>
        <v>#NUM!</v>
      </c>
      <c r="AE2481" s="41"/>
      <c r="AF2481" s="73"/>
      <c r="AG2481" s="64" t="e">
        <f>(AG2475/(N_1*AG$27))*SQRT('Valve Sizing'!$G$6/AG2479)</f>
        <v>#NUM!</v>
      </c>
      <c r="AH2481" s="41"/>
      <c r="AI2481" s="73"/>
      <c r="AJ2481" s="64" t="e">
        <f>(AJ2475/(N_1*AJ$27))*SQRT('Valve Sizing'!$G$6/AJ2479)</f>
        <v>#NUM!</v>
      </c>
      <c r="AK2481" s="41"/>
      <c r="AL2481" s="73"/>
      <c r="AM2481" s="64" t="e">
        <f>(AM2475/(N_1*AM$27))*SQRT('Valve Sizing'!$G$6/AM2479)</f>
        <v>#NUM!</v>
      </c>
      <c r="AN2481" s="41"/>
      <c r="AO2481" s="73"/>
      <c r="AP2481" s="64" t="e">
        <f>(AP2475/(N_1*AP$27))*SQRT('Valve Sizing'!$G$6/AP2479)</f>
        <v>#NUM!</v>
      </c>
      <c r="AQ2481" s="41"/>
      <c r="AR2481" s="73"/>
      <c r="AS2481" s="64" t="e">
        <f>(AS2475/(N_1*AS$27))*SQRT('Valve Sizing'!$G$6/AS2479)</f>
        <v>#NUM!</v>
      </c>
      <c r="AT2481" s="41"/>
      <c r="AU2481" s="73"/>
    </row>
    <row r="2482" spans="15:47" ht="13" x14ac:dyDescent="0.3">
      <c r="O2482" s="1" t="s">
        <v>72</v>
      </c>
      <c r="P2482" s="17">
        <v>7</v>
      </c>
      <c r="Q2482" s="65"/>
      <c r="R2482" s="53">
        <f>(R2475/(N_1*F_P_h))*SQRT('Valve Sizing'!$G$6/R2480)</f>
        <v>9.5055721233639776</v>
      </c>
      <c r="S2482" s="56"/>
      <c r="T2482" s="72"/>
      <c r="U2482" s="85">
        <f>(U2475/(N_1*U$27))*SQRT('Valve Sizing'!$G$6/U2480)</f>
        <v>38.432804402316961</v>
      </c>
      <c r="V2482" s="44"/>
      <c r="W2482" s="72"/>
      <c r="X2482" s="85">
        <f>(X2475/(N_1*X$27))*SQRT('Valve Sizing'!$G$6/X2480)</f>
        <v>104.32020928925425</v>
      </c>
      <c r="Y2482" s="44"/>
      <c r="Z2482" s="72"/>
      <c r="AA2482" s="85">
        <f>(AA2475/(N_1*AA$27))*SQRT('Valve Sizing'!$G$6/AA2480)</f>
        <v>439.00214223916117</v>
      </c>
      <c r="AB2482" s="44"/>
      <c r="AC2482" s="72"/>
      <c r="AD2482" s="85" t="e">
        <f>(AD2475/(N_1*AD$27))*SQRT('Valve Sizing'!$G$6/AD2480)</f>
        <v>#NUM!</v>
      </c>
      <c r="AE2482" s="44"/>
      <c r="AF2482" s="72"/>
      <c r="AG2482" s="85" t="e">
        <f>(AG2475/(N_1*AG$27))*SQRT('Valve Sizing'!$G$6/AG2480)</f>
        <v>#NUM!</v>
      </c>
      <c r="AH2482" s="44"/>
      <c r="AI2482" s="72"/>
      <c r="AJ2482" s="85" t="e">
        <f>(AJ2475/(N_1*AJ$27))*SQRT('Valve Sizing'!$G$6/AJ2480)</f>
        <v>#NUM!</v>
      </c>
      <c r="AK2482" s="44"/>
      <c r="AL2482" s="72"/>
      <c r="AM2482" s="85" t="e">
        <f>(AM2475/(N_1*AM$27))*SQRT('Valve Sizing'!$G$6/AM2480)</f>
        <v>#NUM!</v>
      </c>
      <c r="AN2482" s="44"/>
      <c r="AO2482" s="72"/>
      <c r="AP2482" s="85" t="e">
        <f>(AP2475/(N_1*AP$27))*SQRT('Valve Sizing'!$G$6/AP2480)</f>
        <v>#NUM!</v>
      </c>
      <c r="AQ2482" s="44"/>
      <c r="AR2482" s="72"/>
      <c r="AS2482" s="85" t="e">
        <f>(AS2475/(N_1*AS$27))*SQRT('Valve Sizing'!$G$6/AS2480)</f>
        <v>#NUM!</v>
      </c>
      <c r="AT2482" s="44"/>
      <c r="AU2482" s="72"/>
    </row>
    <row r="2483" spans="15:47" x14ac:dyDescent="0.25">
      <c r="O2483" s="1" t="s">
        <v>246</v>
      </c>
      <c r="P2483" s="18"/>
      <c r="Q2483" s="65"/>
      <c r="R2483" s="53">
        <f>IF(R2479&lt;R2480,R2481,R2482)</f>
        <v>11.460833844247951</v>
      </c>
      <c r="S2483" s="49"/>
      <c r="T2483" s="72"/>
      <c r="U2483" s="64">
        <f>IF(U2479&lt;U2480,U2481,U2482)</f>
        <v>47.354532339160663</v>
      </c>
      <c r="V2483" s="44"/>
      <c r="W2483" s="72"/>
      <c r="X2483" s="64">
        <f>IF(X2479&lt;X2480,X2481,X2482)</f>
        <v>151.16559319002374</v>
      </c>
      <c r="Y2483" s="44"/>
      <c r="Z2483" s="72"/>
      <c r="AA2483" s="64" t="e">
        <f>IF(AA2479&lt;AA2480,AA2481,AA2482)</f>
        <v>#NUM!</v>
      </c>
      <c r="AB2483" s="44"/>
      <c r="AC2483" s="72"/>
      <c r="AD2483" s="64" t="e">
        <f>IF(AD2479&lt;AD2480,AD2481,AD2482)</f>
        <v>#NUM!</v>
      </c>
      <c r="AE2483" s="44"/>
      <c r="AF2483" s="72"/>
      <c r="AG2483" s="64" t="e">
        <f>IF(AG2479&lt;AG2480,AG2481,AG2482)</f>
        <v>#NUM!</v>
      </c>
      <c r="AH2483" s="44"/>
      <c r="AI2483" s="72"/>
      <c r="AJ2483" s="64" t="e">
        <f>IF(AJ2479&lt;AJ2480,AJ2481,AJ2482)</f>
        <v>#NUM!</v>
      </c>
      <c r="AK2483" s="44"/>
      <c r="AL2483" s="72"/>
      <c r="AM2483" s="64" t="e">
        <f>IF(AM2479&lt;AM2480,AM2481,AM2482)</f>
        <v>#NUM!</v>
      </c>
      <c r="AN2483" s="44"/>
      <c r="AO2483" s="72"/>
      <c r="AP2483" s="64" t="e">
        <f>IF(AP2479&lt;AP2480,AP2481,AP2482)</f>
        <v>#NUM!</v>
      </c>
      <c r="AQ2483" s="44"/>
      <c r="AR2483" s="72"/>
      <c r="AS2483" s="64" t="e">
        <f>IF(AS2479&lt;AS2480,AS2481,AS2482)</f>
        <v>#NUM!</v>
      </c>
      <c r="AT2483" s="44"/>
      <c r="AU2483" s="72"/>
    </row>
    <row r="2484" spans="15:47" ht="13" x14ac:dyDescent="0.3">
      <c r="O2484" s="7" t="s">
        <v>264</v>
      </c>
      <c r="Q2484" s="61"/>
      <c r="R2484" s="53"/>
      <c r="S2484" s="69">
        <f>IFERROR(ABS(C_h-R2483),Q_max*10)</f>
        <v>6.4608338442479507</v>
      </c>
      <c r="T2484" s="76">
        <f>R2475</f>
        <v>64.912467496193742</v>
      </c>
      <c r="U2484" s="61"/>
      <c r="V2484" s="69">
        <f>IFERROR(ABS(U$23-U2483),Q_max*10)</f>
        <v>35.354532339160663</v>
      </c>
      <c r="W2484" s="75">
        <f>U2475</f>
        <v>257.31546216544319</v>
      </c>
      <c r="X2484" s="61"/>
      <c r="Y2484" s="69">
        <f>IFERROR(ABS(X$23-X2483),Q_max*10)</f>
        <v>128.16559319002374</v>
      </c>
      <c r="Z2484" s="75">
        <f>X2475</f>
        <v>617.65615954375039</v>
      </c>
      <c r="AA2484" s="61"/>
      <c r="AB2484" s="69">
        <f>IFERROR(ABS(AA$23-AA2483),Q_max*10)</f>
        <v>5500</v>
      </c>
      <c r="AC2484" s="75">
        <f>AA2475</f>
        <v>1179.3319722473068</v>
      </c>
      <c r="AD2484" s="61"/>
      <c r="AE2484" s="69">
        <f>IFERROR(ABS(AD$23-AD2483),Q_max*10)</f>
        <v>5500</v>
      </c>
      <c r="AF2484" s="75">
        <f>AD2475</f>
        <v>1939.5668900758262</v>
      </c>
      <c r="AG2484" s="61"/>
      <c r="AH2484" s="69">
        <f>IFERROR(ABS(AG$23-AG2483),Q_max*10)</f>
        <v>5500</v>
      </c>
      <c r="AI2484" s="75">
        <f>AG2475</f>
        <v>2887.7508015023895</v>
      </c>
      <c r="AJ2484" s="61"/>
      <c r="AK2484" s="69">
        <f>IFERROR(ABS(AJ$23-AJ2483),Q_max*10)</f>
        <v>5500</v>
      </c>
      <c r="AL2484" s="75">
        <f>AJ2475</f>
        <v>3853.7146391650745</v>
      </c>
      <c r="AM2484" s="61"/>
      <c r="AN2484" s="69">
        <f>IFERROR(ABS(AM$23-AM2483),Q_max*10)</f>
        <v>5500</v>
      </c>
      <c r="AO2484" s="75">
        <f>AM2475</f>
        <v>4702.2642195108983</v>
      </c>
      <c r="AP2484" s="61"/>
      <c r="AQ2484" s="69">
        <f>IFERROR(ABS(AP$23-AP2483),Q_max*10)</f>
        <v>5500</v>
      </c>
      <c r="AR2484" s="75">
        <f>AP2475</f>
        <v>5459.1827787992888</v>
      </c>
      <c r="AS2484" s="61"/>
      <c r="AT2484" s="69">
        <f>IFERROR(ABS(AS$23-AS2483),Q_max*10)</f>
        <v>5500</v>
      </c>
      <c r="AU2484" s="75">
        <f>AS2475</f>
        <v>6213.0592372086021</v>
      </c>
    </row>
    <row r="2485" spans="15:47" ht="14.5" x14ac:dyDescent="0.35">
      <c r="O2485" s="8"/>
      <c r="P2485" s="6"/>
      <c r="Q2485" s="60"/>
      <c r="R2485" s="67"/>
      <c r="S2485" s="56"/>
      <c r="T2485" s="72"/>
      <c r="V2485" s="11"/>
      <c r="W2485" s="38"/>
      <c r="Y2485" s="11"/>
      <c r="Z2485" s="38"/>
      <c r="AB2485" s="11"/>
      <c r="AC2485" s="38"/>
      <c r="AE2485" s="11"/>
      <c r="AF2485" s="38"/>
      <c r="AH2485" s="11"/>
      <c r="AI2485" s="38"/>
      <c r="AK2485" s="11"/>
      <c r="AL2485" s="38"/>
      <c r="AN2485" s="11"/>
      <c r="AO2485" s="38"/>
      <c r="AQ2485" s="11"/>
      <c r="AR2485" s="38"/>
      <c r="AT2485" s="11"/>
      <c r="AU2485" s="38"/>
    </row>
    <row r="2486" spans="15:47" ht="14" x14ac:dyDescent="0.3">
      <c r="O2486" s="8" t="s">
        <v>235</v>
      </c>
      <c r="P2486" s="6"/>
      <c r="Q2486" s="60"/>
      <c r="R2486" s="53">
        <f>R2475*1.02</f>
        <v>66.21071684611762</v>
      </c>
      <c r="S2486" s="58" t="s">
        <v>238</v>
      </c>
      <c r="T2486" s="73" t="s">
        <v>241</v>
      </c>
      <c r="U2486" s="84">
        <f>U2475*1.01</f>
        <v>259.88861678709765</v>
      </c>
      <c r="V2486" s="58" t="s">
        <v>238</v>
      </c>
      <c r="W2486" s="73" t="s">
        <v>241</v>
      </c>
      <c r="X2486" s="84">
        <f>X2475*1.01</f>
        <v>623.83272113918792</v>
      </c>
      <c r="Y2486" s="58" t="s">
        <v>238</v>
      </c>
      <c r="Z2486" s="73" t="s">
        <v>241</v>
      </c>
      <c r="AA2486" s="84">
        <f>AA2475*1.01</f>
        <v>1191.1252919697799</v>
      </c>
      <c r="AB2486" s="58" t="s">
        <v>238</v>
      </c>
      <c r="AC2486" s="73" t="s">
        <v>241</v>
      </c>
      <c r="AD2486" s="84">
        <f>AD2475*1.01</f>
        <v>1958.9625589765844</v>
      </c>
      <c r="AE2486" s="58" t="s">
        <v>238</v>
      </c>
      <c r="AF2486" s="73" t="s">
        <v>241</v>
      </c>
      <c r="AG2486" s="84">
        <f>AG2475*1.01</f>
        <v>2916.6283095174135</v>
      </c>
      <c r="AH2486" s="58" t="s">
        <v>238</v>
      </c>
      <c r="AI2486" s="73" t="s">
        <v>241</v>
      </c>
      <c r="AJ2486" s="84">
        <f>AJ2475*1.01</f>
        <v>3892.2517855567253</v>
      </c>
      <c r="AK2486" s="58" t="s">
        <v>238</v>
      </c>
      <c r="AL2486" s="73" t="s">
        <v>241</v>
      </c>
      <c r="AM2486" s="84">
        <f>AM2475*1.01</f>
        <v>4749.2868617060076</v>
      </c>
      <c r="AN2486" s="58" t="s">
        <v>238</v>
      </c>
      <c r="AO2486" s="73" t="s">
        <v>241</v>
      </c>
      <c r="AP2486" s="84">
        <f>AP2475*1.01</f>
        <v>5513.7746065872816</v>
      </c>
      <c r="AQ2486" s="58" t="s">
        <v>238</v>
      </c>
      <c r="AR2486" s="73" t="s">
        <v>241</v>
      </c>
      <c r="AS2486" s="84">
        <f>AS2475*1.01</f>
        <v>6275.1898295806877</v>
      </c>
      <c r="AT2486" s="58" t="s">
        <v>238</v>
      </c>
      <c r="AU2486" s="73" t="s">
        <v>241</v>
      </c>
    </row>
    <row r="2487" spans="15:47" ht="13" x14ac:dyDescent="0.25">
      <c r="O2487" s="6"/>
      <c r="P2487" s="6"/>
      <c r="Q2487" s="60"/>
      <c r="R2487" s="70"/>
      <c r="S2487" s="63" t="s">
        <v>250</v>
      </c>
      <c r="T2487" s="71" t="s">
        <v>242</v>
      </c>
      <c r="U2487" s="61"/>
      <c r="V2487" s="63" t="s">
        <v>250</v>
      </c>
      <c r="W2487" s="71" t="s">
        <v>242</v>
      </c>
      <c r="X2487" s="61"/>
      <c r="Y2487" s="63" t="s">
        <v>250</v>
      </c>
      <c r="Z2487" s="71" t="s">
        <v>242</v>
      </c>
      <c r="AA2487" s="61"/>
      <c r="AB2487" s="63" t="s">
        <v>250</v>
      </c>
      <c r="AC2487" s="71" t="s">
        <v>242</v>
      </c>
      <c r="AD2487" s="61"/>
      <c r="AE2487" s="63" t="s">
        <v>250</v>
      </c>
      <c r="AF2487" s="71" t="s">
        <v>242</v>
      </c>
      <c r="AG2487" s="61"/>
      <c r="AH2487" s="63" t="s">
        <v>250</v>
      </c>
      <c r="AI2487" s="71" t="s">
        <v>242</v>
      </c>
      <c r="AJ2487" s="61"/>
      <c r="AK2487" s="63" t="s">
        <v>250</v>
      </c>
      <c r="AL2487" s="71" t="s">
        <v>242</v>
      </c>
      <c r="AM2487" s="61"/>
      <c r="AN2487" s="63" t="s">
        <v>250</v>
      </c>
      <c r="AO2487" s="71" t="s">
        <v>242</v>
      </c>
      <c r="AP2487" s="61"/>
      <c r="AQ2487" s="63" t="s">
        <v>250</v>
      </c>
      <c r="AR2487" s="71" t="s">
        <v>242</v>
      </c>
      <c r="AS2487" s="61"/>
      <c r="AT2487" s="63" t="s">
        <v>250</v>
      </c>
      <c r="AU2487" s="71" t="s">
        <v>242</v>
      </c>
    </row>
    <row r="2488" spans="15:47" ht="13" x14ac:dyDescent="0.3">
      <c r="O2488" s="6" t="s">
        <v>231</v>
      </c>
      <c r="P2488" s="6"/>
      <c r="Q2488" s="60"/>
      <c r="R2488" s="85">
        <f>P_1_minQ-(R2486^2*R_up)+dpup_minQ</f>
        <v>56.768089867434085</v>
      </c>
      <c r="S2488" s="56"/>
      <c r="T2488" s="72"/>
      <c r="U2488" s="53">
        <f>P_1_minQ-(U2486^2*R_up)+dpup_minQ</f>
        <v>54.635086351384302</v>
      </c>
      <c r="V2488" s="44"/>
      <c r="W2488" s="72"/>
      <c r="X2488" s="53">
        <f>P_1_minQ-(X2486^2*R_up)+dpup_minQ</f>
        <v>43.773040730701659</v>
      </c>
      <c r="Y2488" s="44"/>
      <c r="Z2488" s="72"/>
      <c r="AA2488" s="53">
        <f>P_1_minQ-(AA2486^2*R_up)+dpup_minQ</f>
        <v>9.0005923279266007</v>
      </c>
      <c r="AB2488" s="44"/>
      <c r="AC2488" s="72"/>
      <c r="AD2488" s="53">
        <f>P_1_minQ-(AD2486^2*R_up)+dpup_minQ</f>
        <v>-72.686501434383246</v>
      </c>
      <c r="AE2488" s="44"/>
      <c r="AF2488" s="72"/>
      <c r="AG2488" s="53">
        <f>P_1_minQ-(AG2486^2*R_up)+dpup_minQ</f>
        <v>-230.37601134341125</v>
      </c>
      <c r="AH2488" s="44"/>
      <c r="AI2488" s="72"/>
      <c r="AJ2488" s="53">
        <f>P_1_minQ-(AJ2486^2*R_up)+dpup_minQ</f>
        <v>-454.72262621308738</v>
      </c>
      <c r="AK2488" s="44"/>
      <c r="AL2488" s="72"/>
      <c r="AM2488" s="53">
        <f>P_1_minQ-(AM2486^2*R_up)+dpup_minQ</f>
        <v>-704.844265274343</v>
      </c>
      <c r="AN2488" s="44"/>
      <c r="AO2488" s="72"/>
      <c r="AP2488" s="53">
        <f>P_1_minQ-(AP2486^2*R_up)+dpup_minQ</f>
        <v>-969.82179710390847</v>
      </c>
      <c r="AQ2488" s="44"/>
      <c r="AR2488" s="72"/>
      <c r="AS2488" s="53">
        <f>P_1_minQ-(AS2486^2*R_up)+dpup_minQ</f>
        <v>-1272.9726577937488</v>
      </c>
      <c r="AT2488" s="44"/>
      <c r="AU2488" s="72"/>
    </row>
    <row r="2489" spans="15:47" ht="13" x14ac:dyDescent="0.3">
      <c r="O2489" s="6" t="s">
        <v>233</v>
      </c>
      <c r="P2489" s="6"/>
      <c r="Q2489" s="60"/>
      <c r="R2489" s="85">
        <f>P_2_minQ+(R2486^2*R_dn)-dpdn_minQ</f>
        <v>24.686382026513183</v>
      </c>
      <c r="S2489" s="66"/>
      <c r="T2489" s="74"/>
      <c r="U2489" s="53">
        <f>P_2_minQ+(U2486^2*R_dn)-dpdn_minQ</f>
        <v>25.112982729723143</v>
      </c>
      <c r="V2489" s="45"/>
      <c r="W2489" s="74"/>
      <c r="X2489" s="53">
        <f>P_2_minQ+(X2486^2*R_dn)-dpdn_minQ</f>
        <v>27.285391853859668</v>
      </c>
      <c r="Y2489" s="45"/>
      <c r="Z2489" s="74"/>
      <c r="AA2489" s="53">
        <f>P_2_minQ+(AA2486^2*R_dn)-dpdn_minQ</f>
        <v>34.239881534414685</v>
      </c>
      <c r="AB2489" s="45"/>
      <c r="AC2489" s="74"/>
      <c r="AD2489" s="53">
        <f>P_2_minQ+(AD2486^2*R_dn)-dpdn_minQ</f>
        <v>50.57730028687665</v>
      </c>
      <c r="AE2489" s="45"/>
      <c r="AF2489" s="74"/>
      <c r="AG2489" s="53">
        <f>P_2_minQ+(AG2486^2*R_dn)-dpdn_minQ</f>
        <v>82.115202268682239</v>
      </c>
      <c r="AH2489" s="45"/>
      <c r="AI2489" s="74"/>
      <c r="AJ2489" s="53">
        <f>P_2_minQ+(AJ2486^2*R_dn)-dpdn_minQ</f>
        <v>126.98452524261748</v>
      </c>
      <c r="AK2489" s="45"/>
      <c r="AL2489" s="74"/>
      <c r="AM2489" s="53">
        <f>P_2_minQ+(AM2486^2*R_dn)-dpdn_minQ</f>
        <v>177.00885305486864</v>
      </c>
      <c r="AN2489" s="45"/>
      <c r="AO2489" s="74"/>
      <c r="AP2489" s="53">
        <f>P_2_minQ+(AP2486^2*R_dn)-dpdn_minQ</f>
        <v>230.0043594207817</v>
      </c>
      <c r="AQ2489" s="45"/>
      <c r="AR2489" s="74"/>
      <c r="AS2489" s="53">
        <f>P_2_minQ+(AS2486^2*R_dn)-dpdn_minQ</f>
        <v>290.6345315587497</v>
      </c>
      <c r="AT2489" s="45"/>
      <c r="AU2489" s="74"/>
    </row>
    <row r="2490" spans="15:47" x14ac:dyDescent="0.25">
      <c r="O2490" s="6" t="s">
        <v>243</v>
      </c>
      <c r="Q2490" s="60"/>
      <c r="R2490" s="53">
        <f>R2488-R2489</f>
        <v>32.081707840920899</v>
      </c>
      <c r="S2490" s="56"/>
      <c r="T2490" s="72"/>
      <c r="U2490" s="64">
        <f>U2488-U2489</f>
        <v>29.522103621661159</v>
      </c>
      <c r="V2490" s="44"/>
      <c r="W2490" s="72"/>
      <c r="X2490" s="64">
        <f>X2488-X2489</f>
        <v>16.487648876841991</v>
      </c>
      <c r="Y2490" s="44"/>
      <c r="Z2490" s="72"/>
      <c r="AA2490" s="64">
        <f>AA2488-AA2489</f>
        <v>-25.239289206488085</v>
      </c>
      <c r="AB2490" s="44"/>
      <c r="AC2490" s="72"/>
      <c r="AD2490" s="64">
        <f>AD2488-AD2489</f>
        <v>-123.2638017212599</v>
      </c>
      <c r="AE2490" s="44"/>
      <c r="AF2490" s="72"/>
      <c r="AG2490" s="64">
        <f>AG2488-AG2489</f>
        <v>-312.49121361209347</v>
      </c>
      <c r="AH2490" s="44"/>
      <c r="AI2490" s="72"/>
      <c r="AJ2490" s="64">
        <f>AJ2488-AJ2489</f>
        <v>-581.70715145570489</v>
      </c>
      <c r="AK2490" s="44"/>
      <c r="AL2490" s="72"/>
      <c r="AM2490" s="64">
        <f>AM2488-AM2489</f>
        <v>-881.85311832921161</v>
      </c>
      <c r="AN2490" s="44"/>
      <c r="AO2490" s="72"/>
      <c r="AP2490" s="64">
        <f>AP2488-AP2489</f>
        <v>-1199.8261565246901</v>
      </c>
      <c r="AQ2490" s="44"/>
      <c r="AR2490" s="72"/>
      <c r="AS2490" s="64">
        <f>AS2488-AS2489</f>
        <v>-1563.6071893524986</v>
      </c>
      <c r="AT2490" s="44"/>
      <c r="AU2490" s="72"/>
    </row>
    <row r="2491" spans="15:47" ht="13" x14ac:dyDescent="0.3">
      <c r="O2491" s="6" t="s">
        <v>75</v>
      </c>
      <c r="P2491" s="6">
        <v>3</v>
      </c>
      <c r="Q2491" s="65"/>
      <c r="R2491" s="85">
        <f>(F_LP_h/F_P_h)^2*(R2488-('Valve Sizing'!$V$4*'Valve Sizing'!$G$7))</f>
        <v>46.64256731529305</v>
      </c>
      <c r="S2491" s="58"/>
      <c r="T2491" s="73"/>
      <c r="U2491" s="53">
        <f>(U$29/U$27)^2*(U2488-('Valve Sizing'!$V$4*'Valve Sizing'!$G$7))</f>
        <v>44.864097009543109</v>
      </c>
      <c r="V2491" s="41"/>
      <c r="W2491" s="73"/>
      <c r="X2491" s="53">
        <f>(X$29/X$27)^2*(X2488-('Valve Sizing'!$V$4*'Valve Sizing'!$G$7))</f>
        <v>35.063037721666468</v>
      </c>
      <c r="Y2491" s="41"/>
      <c r="Z2491" s="73"/>
      <c r="AA2491" s="53">
        <f>(AA$29/AA$27)^2*(AA2488-('Valve Sizing'!$V$4*'Valve Sizing'!$G$7))</f>
        <v>6.6155573977484687</v>
      </c>
      <c r="AB2491" s="41"/>
      <c r="AC2491" s="73"/>
      <c r="AD2491" s="53">
        <f>(AD$29/AD$27)^2*(AD2488-('Valve Sizing'!$V$4*'Valve Sizing'!$G$7))</f>
        <v>-52.737953555419878</v>
      </c>
      <c r="AE2491" s="41"/>
      <c r="AF2491" s="73"/>
      <c r="AG2491" s="53">
        <f>(AG$29/AG$27)^2*(AG2488-('Valve Sizing'!$V$4*'Valve Sizing'!$G$7))</f>
        <v>-148.65569308327866</v>
      </c>
      <c r="AH2491" s="41"/>
      <c r="AI2491" s="73"/>
      <c r="AJ2491" s="53">
        <f>(AJ$29/AJ$27)^2*(AJ2488-('Valve Sizing'!$V$4*'Valve Sizing'!$G$7))</f>
        <v>-263.2498631287383</v>
      </c>
      <c r="AK2491" s="41"/>
      <c r="AL2491" s="73"/>
      <c r="AM2491" s="53">
        <f>(AM$29/AM$27)^2*(AM2488-('Valve Sizing'!$V$4*'Valve Sizing'!$G$7))</f>
        <v>-337.45890586946456</v>
      </c>
      <c r="AN2491" s="41"/>
      <c r="AO2491" s="73"/>
      <c r="AP2491" s="53">
        <f>(AP$29/AP$27)^2*(AP2488-('Valve Sizing'!$V$4*'Valve Sizing'!$G$7))</f>
        <v>-382.89135745589323</v>
      </c>
      <c r="AQ2491" s="41"/>
      <c r="AR2491" s="73"/>
      <c r="AS2491" s="53">
        <f>(AS$29/AS$27)^2*(AS2488-('Valve Sizing'!$V$4*'Valve Sizing'!$G$7))</f>
        <v>-478.98247001604426</v>
      </c>
      <c r="AT2491" s="41"/>
      <c r="AU2491" s="73"/>
    </row>
    <row r="2492" spans="15:47" ht="13" x14ac:dyDescent="0.25">
      <c r="O2492" s="1" t="s">
        <v>69</v>
      </c>
      <c r="P2492" s="17">
        <v>7</v>
      </c>
      <c r="Q2492" s="65"/>
      <c r="R2492" s="53">
        <f>(R2486/(N_1*F_P_h))*SQRT('Valve Sizing'!$G$6/R2490)</f>
        <v>11.69130737853428</v>
      </c>
      <c r="S2492" s="58"/>
      <c r="T2492" s="73"/>
      <c r="U2492" s="64">
        <f>(U2486/(N_1*U$27))*SQRT('Valve Sizing'!$G$6/U2490)</f>
        <v>47.87174714776566</v>
      </c>
      <c r="V2492" s="41"/>
      <c r="W2492" s="73"/>
      <c r="X2492" s="64">
        <f>(X2486/(N_1*X$27))*SQRT('Valve Sizing'!$G$6/X2490)</f>
        <v>154.10939062192438</v>
      </c>
      <c r="Y2492" s="41"/>
      <c r="Z2492" s="73"/>
      <c r="AA2492" s="64" t="e">
        <f>(AA2486/(N_1*AA$27))*SQRT('Valve Sizing'!$G$6/AA2490)</f>
        <v>#NUM!</v>
      </c>
      <c r="AB2492" s="41"/>
      <c r="AC2492" s="73"/>
      <c r="AD2492" s="64" t="e">
        <f>(AD2486/(N_1*AD$27))*SQRT('Valve Sizing'!$G$6/AD2490)</f>
        <v>#NUM!</v>
      </c>
      <c r="AE2492" s="41"/>
      <c r="AF2492" s="73"/>
      <c r="AG2492" s="64" t="e">
        <f>(AG2486/(N_1*AG$27))*SQRT('Valve Sizing'!$G$6/AG2490)</f>
        <v>#NUM!</v>
      </c>
      <c r="AH2492" s="41"/>
      <c r="AI2492" s="73"/>
      <c r="AJ2492" s="64" t="e">
        <f>(AJ2486/(N_1*AJ$27))*SQRT('Valve Sizing'!$G$6/AJ2490)</f>
        <v>#NUM!</v>
      </c>
      <c r="AK2492" s="41"/>
      <c r="AL2492" s="73"/>
      <c r="AM2492" s="64" t="e">
        <f>(AM2486/(N_1*AM$27))*SQRT('Valve Sizing'!$G$6/AM2490)</f>
        <v>#NUM!</v>
      </c>
      <c r="AN2492" s="41"/>
      <c r="AO2492" s="73"/>
      <c r="AP2492" s="64" t="e">
        <f>(AP2486/(N_1*AP$27))*SQRT('Valve Sizing'!$G$6/AP2490)</f>
        <v>#NUM!</v>
      </c>
      <c r="AQ2492" s="41"/>
      <c r="AR2492" s="73"/>
      <c r="AS2492" s="64" t="e">
        <f>(AS2486/(N_1*AS$27))*SQRT('Valve Sizing'!$G$6/AS2490)</f>
        <v>#NUM!</v>
      </c>
      <c r="AT2492" s="41"/>
      <c r="AU2492" s="73"/>
    </row>
    <row r="2493" spans="15:47" ht="13" x14ac:dyDescent="0.3">
      <c r="O2493" s="1" t="s">
        <v>72</v>
      </c>
      <c r="P2493" s="17">
        <v>7</v>
      </c>
      <c r="Q2493" s="65"/>
      <c r="R2493" s="53">
        <f>(R2486/(N_1*F_P_h))*SQRT('Valve Sizing'!$G$6/R2491)</f>
        <v>9.696178345642803</v>
      </c>
      <c r="S2493" s="56"/>
      <c r="T2493" s="72"/>
      <c r="U2493" s="85">
        <f>(U2486/(N_1*U$27))*SQRT('Valve Sizing'!$G$6/U2491)</f>
        <v>38.833225312714788</v>
      </c>
      <c r="V2493" s="44"/>
      <c r="W2493" s="72"/>
      <c r="X2493" s="85">
        <f>(X2486/(N_1*X$27))*SQRT('Valve Sizing'!$G$6/X2491)</f>
        <v>105.67778422671944</v>
      </c>
      <c r="Y2493" s="44"/>
      <c r="Z2493" s="72"/>
      <c r="AA2493" s="85">
        <f>(AA2486/(N_1*AA$27))*SQRT('Valve Sizing'!$G$6/AA2491)</f>
        <v>467.20326408327827</v>
      </c>
      <c r="AB2493" s="44"/>
      <c r="AC2493" s="72"/>
      <c r="AD2493" s="85" t="e">
        <f>(AD2486/(N_1*AD$27))*SQRT('Valve Sizing'!$G$6/AD2491)</f>
        <v>#NUM!</v>
      </c>
      <c r="AE2493" s="44"/>
      <c r="AF2493" s="72"/>
      <c r="AG2493" s="85" t="e">
        <f>(AG2486/(N_1*AG$27))*SQRT('Valve Sizing'!$G$6/AG2491)</f>
        <v>#NUM!</v>
      </c>
      <c r="AH2493" s="44"/>
      <c r="AI2493" s="72"/>
      <c r="AJ2493" s="85" t="e">
        <f>(AJ2486/(N_1*AJ$27))*SQRT('Valve Sizing'!$G$6/AJ2491)</f>
        <v>#NUM!</v>
      </c>
      <c r="AK2493" s="44"/>
      <c r="AL2493" s="72"/>
      <c r="AM2493" s="85" t="e">
        <f>(AM2486/(N_1*AM$27))*SQRT('Valve Sizing'!$G$6/AM2491)</f>
        <v>#NUM!</v>
      </c>
      <c r="AN2493" s="44"/>
      <c r="AO2493" s="72"/>
      <c r="AP2493" s="85" t="e">
        <f>(AP2486/(N_1*AP$27))*SQRT('Valve Sizing'!$G$6/AP2491)</f>
        <v>#NUM!</v>
      </c>
      <c r="AQ2493" s="44"/>
      <c r="AR2493" s="72"/>
      <c r="AS2493" s="85" t="e">
        <f>(AS2486/(N_1*AS$27))*SQRT('Valve Sizing'!$G$6/AS2491)</f>
        <v>#NUM!</v>
      </c>
      <c r="AT2493" s="44"/>
      <c r="AU2493" s="72"/>
    </row>
    <row r="2494" spans="15:47" x14ac:dyDescent="0.25">
      <c r="O2494" s="1" t="s">
        <v>246</v>
      </c>
      <c r="P2494" s="18"/>
      <c r="Q2494" s="65"/>
      <c r="R2494" s="53">
        <f>IF(R2490&lt;R2491,R2492,R2493)</f>
        <v>11.69130737853428</v>
      </c>
      <c r="S2494" s="49"/>
      <c r="T2494" s="72"/>
      <c r="U2494" s="64">
        <f>IF(U2490&lt;U2491,U2492,U2493)</f>
        <v>47.87174714776566</v>
      </c>
      <c r="V2494" s="44"/>
      <c r="W2494" s="72"/>
      <c r="X2494" s="64">
        <f>IF(X2490&lt;X2491,X2492,X2493)</f>
        <v>154.10939062192438</v>
      </c>
      <c r="Y2494" s="44"/>
      <c r="Z2494" s="72"/>
      <c r="AA2494" s="64" t="e">
        <f>IF(AA2490&lt;AA2491,AA2492,AA2493)</f>
        <v>#NUM!</v>
      </c>
      <c r="AB2494" s="44"/>
      <c r="AC2494" s="72"/>
      <c r="AD2494" s="64" t="e">
        <f>IF(AD2490&lt;AD2491,AD2492,AD2493)</f>
        <v>#NUM!</v>
      </c>
      <c r="AE2494" s="44"/>
      <c r="AF2494" s="72"/>
      <c r="AG2494" s="64" t="e">
        <f>IF(AG2490&lt;AG2491,AG2492,AG2493)</f>
        <v>#NUM!</v>
      </c>
      <c r="AH2494" s="44"/>
      <c r="AI2494" s="72"/>
      <c r="AJ2494" s="64" t="e">
        <f>IF(AJ2490&lt;AJ2491,AJ2492,AJ2493)</f>
        <v>#NUM!</v>
      </c>
      <c r="AK2494" s="44"/>
      <c r="AL2494" s="72"/>
      <c r="AM2494" s="64" t="e">
        <f>IF(AM2490&lt;AM2491,AM2492,AM2493)</f>
        <v>#NUM!</v>
      </c>
      <c r="AN2494" s="44"/>
      <c r="AO2494" s="72"/>
      <c r="AP2494" s="64" t="e">
        <f>IF(AP2490&lt;AP2491,AP2492,AP2493)</f>
        <v>#NUM!</v>
      </c>
      <c r="AQ2494" s="44"/>
      <c r="AR2494" s="72"/>
      <c r="AS2494" s="64" t="e">
        <f>IF(AS2490&lt;AS2491,AS2492,AS2493)</f>
        <v>#NUM!</v>
      </c>
      <c r="AT2494" s="44"/>
      <c r="AU2494" s="72"/>
    </row>
    <row r="2495" spans="15:47" ht="13" x14ac:dyDescent="0.3">
      <c r="O2495" s="7" t="s">
        <v>264</v>
      </c>
      <c r="Q2495" s="61"/>
      <c r="R2495" s="53"/>
      <c r="S2495" s="69">
        <f>IFERROR(ABS(C_h-R2494),Q_max*10)</f>
        <v>6.6913073785342796</v>
      </c>
      <c r="T2495" s="76">
        <f>R2486</f>
        <v>66.21071684611762</v>
      </c>
      <c r="U2495" s="61"/>
      <c r="V2495" s="69">
        <f>IFERROR(ABS(U$23-U2494),Q_max*10)</f>
        <v>35.87174714776566</v>
      </c>
      <c r="W2495" s="75">
        <f>U2486</f>
        <v>259.88861678709765</v>
      </c>
      <c r="X2495" s="61"/>
      <c r="Y2495" s="69">
        <f>IFERROR(ABS(X$23-X2494),Q_max*10)</f>
        <v>131.10939062192438</v>
      </c>
      <c r="Z2495" s="75">
        <f>X2486</f>
        <v>623.83272113918792</v>
      </c>
      <c r="AA2495" s="61"/>
      <c r="AB2495" s="69">
        <f>IFERROR(ABS(AA$23-AA2494),Q_max*10)</f>
        <v>5500</v>
      </c>
      <c r="AC2495" s="75">
        <f>AA2486</f>
        <v>1191.1252919697799</v>
      </c>
      <c r="AD2495" s="61"/>
      <c r="AE2495" s="69">
        <f>IFERROR(ABS(AD$23-AD2494),Q_max*10)</f>
        <v>5500</v>
      </c>
      <c r="AF2495" s="75">
        <f>AD2486</f>
        <v>1958.9625589765844</v>
      </c>
      <c r="AG2495" s="61"/>
      <c r="AH2495" s="69">
        <f>IFERROR(ABS(AG$23-AG2494),Q_max*10)</f>
        <v>5500</v>
      </c>
      <c r="AI2495" s="75">
        <f>AG2486</f>
        <v>2916.6283095174135</v>
      </c>
      <c r="AJ2495" s="61"/>
      <c r="AK2495" s="69">
        <f>IFERROR(ABS(AJ$23-AJ2494),Q_max*10)</f>
        <v>5500</v>
      </c>
      <c r="AL2495" s="75">
        <f>AJ2486</f>
        <v>3892.2517855567253</v>
      </c>
      <c r="AM2495" s="61"/>
      <c r="AN2495" s="69">
        <f>IFERROR(ABS(AM$23-AM2494),Q_max*10)</f>
        <v>5500</v>
      </c>
      <c r="AO2495" s="75">
        <f>AM2486</f>
        <v>4749.2868617060076</v>
      </c>
      <c r="AP2495" s="61"/>
      <c r="AQ2495" s="69">
        <f>IFERROR(ABS(AP$23-AP2494),Q_max*10)</f>
        <v>5500</v>
      </c>
      <c r="AR2495" s="75">
        <f>AP2486</f>
        <v>5513.7746065872816</v>
      </c>
      <c r="AS2495" s="61"/>
      <c r="AT2495" s="69">
        <f>IFERROR(ABS(AS$23-AS2494),Q_max*10)</f>
        <v>5500</v>
      </c>
      <c r="AU2495" s="75">
        <f>AS2486</f>
        <v>6275.1898295806877</v>
      </c>
    </row>
    <row r="2496" spans="15:47" ht="14.5" x14ac:dyDescent="0.35">
      <c r="O2496" s="6"/>
      <c r="P2496" s="6"/>
      <c r="Q2496" s="60"/>
      <c r="R2496" s="67"/>
      <c r="S2496" s="58"/>
      <c r="T2496" s="73"/>
      <c r="V2496" s="11"/>
      <c r="W2496" s="38"/>
      <c r="Y2496" s="11"/>
      <c r="Z2496" s="38"/>
      <c r="AB2496" s="11"/>
      <c r="AC2496" s="38"/>
      <c r="AE2496" s="11"/>
      <c r="AF2496" s="38"/>
      <c r="AH2496" s="11"/>
      <c r="AI2496" s="38"/>
      <c r="AK2496" s="11"/>
      <c r="AL2496" s="38"/>
      <c r="AN2496" s="11"/>
      <c r="AO2496" s="38"/>
      <c r="AQ2496" s="11"/>
      <c r="AR2496" s="38"/>
      <c r="AT2496" s="11"/>
      <c r="AU2496" s="38"/>
    </row>
    <row r="2497" spans="15:47" ht="14" x14ac:dyDescent="0.3">
      <c r="O2497" s="8" t="s">
        <v>235</v>
      </c>
      <c r="P2497" s="6"/>
      <c r="Q2497" s="60"/>
      <c r="R2497" s="53">
        <f>R2486*1.02</f>
        <v>67.534931183039973</v>
      </c>
      <c r="S2497" s="58" t="s">
        <v>238</v>
      </c>
      <c r="T2497" s="73" t="s">
        <v>241</v>
      </c>
      <c r="U2497" s="84">
        <f>U2486*1.01</f>
        <v>262.48750295496865</v>
      </c>
      <c r="V2497" s="58" t="s">
        <v>238</v>
      </c>
      <c r="W2497" s="73" t="s">
        <v>241</v>
      </c>
      <c r="X2497" s="84">
        <f>X2486*1.01</f>
        <v>630.07104835057976</v>
      </c>
      <c r="Y2497" s="58" t="s">
        <v>238</v>
      </c>
      <c r="Z2497" s="73" t="s">
        <v>241</v>
      </c>
      <c r="AA2497" s="84">
        <f>AA2486*1.01</f>
        <v>1203.0365448894777</v>
      </c>
      <c r="AB2497" s="58" t="s">
        <v>238</v>
      </c>
      <c r="AC2497" s="73" t="s">
        <v>241</v>
      </c>
      <c r="AD2497" s="84">
        <f>AD2486*1.01</f>
        <v>1978.5521845663502</v>
      </c>
      <c r="AE2497" s="58" t="s">
        <v>238</v>
      </c>
      <c r="AF2497" s="73" t="s">
        <v>241</v>
      </c>
      <c r="AG2497" s="84">
        <f>AG2486*1.01</f>
        <v>2945.7945926125876</v>
      </c>
      <c r="AH2497" s="58" t="s">
        <v>238</v>
      </c>
      <c r="AI2497" s="73" t="s">
        <v>241</v>
      </c>
      <c r="AJ2497" s="84">
        <f>AJ2486*1.01</f>
        <v>3931.1743034122924</v>
      </c>
      <c r="AK2497" s="58" t="s">
        <v>238</v>
      </c>
      <c r="AL2497" s="73" t="s">
        <v>241</v>
      </c>
      <c r="AM2497" s="84">
        <f>AM2486*1.01</f>
        <v>4796.7797303230673</v>
      </c>
      <c r="AN2497" s="58" t="s">
        <v>238</v>
      </c>
      <c r="AO2497" s="73" t="s">
        <v>241</v>
      </c>
      <c r="AP2497" s="84">
        <f>AP2486*1.01</f>
        <v>5568.9123526531548</v>
      </c>
      <c r="AQ2497" s="58" t="s">
        <v>238</v>
      </c>
      <c r="AR2497" s="73" t="s">
        <v>241</v>
      </c>
      <c r="AS2497" s="84">
        <f>AS2486*1.01</f>
        <v>6337.941727876495</v>
      </c>
      <c r="AT2497" s="58" t="s">
        <v>238</v>
      </c>
      <c r="AU2497" s="73" t="s">
        <v>241</v>
      </c>
    </row>
    <row r="2498" spans="15:47" ht="13" x14ac:dyDescent="0.25">
      <c r="O2498" s="6"/>
      <c r="P2498" s="6"/>
      <c r="Q2498" s="60"/>
      <c r="R2498" s="70"/>
      <c r="S2498" s="63" t="s">
        <v>250</v>
      </c>
      <c r="T2498" s="71" t="s">
        <v>242</v>
      </c>
      <c r="U2498" s="61"/>
      <c r="V2498" s="63" t="s">
        <v>250</v>
      </c>
      <c r="W2498" s="71" t="s">
        <v>242</v>
      </c>
      <c r="X2498" s="61"/>
      <c r="Y2498" s="63" t="s">
        <v>250</v>
      </c>
      <c r="Z2498" s="71" t="s">
        <v>242</v>
      </c>
      <c r="AA2498" s="61"/>
      <c r="AB2498" s="63" t="s">
        <v>250</v>
      </c>
      <c r="AC2498" s="71" t="s">
        <v>242</v>
      </c>
      <c r="AD2498" s="61"/>
      <c r="AE2498" s="63" t="s">
        <v>250</v>
      </c>
      <c r="AF2498" s="71" t="s">
        <v>242</v>
      </c>
      <c r="AG2498" s="61"/>
      <c r="AH2498" s="63" t="s">
        <v>250</v>
      </c>
      <c r="AI2498" s="71" t="s">
        <v>242</v>
      </c>
      <c r="AJ2498" s="61"/>
      <c r="AK2498" s="63" t="s">
        <v>250</v>
      </c>
      <c r="AL2498" s="71" t="s">
        <v>242</v>
      </c>
      <c r="AM2498" s="61"/>
      <c r="AN2498" s="63" t="s">
        <v>250</v>
      </c>
      <c r="AO2498" s="71" t="s">
        <v>242</v>
      </c>
      <c r="AP2498" s="61"/>
      <c r="AQ2498" s="63" t="s">
        <v>250</v>
      </c>
      <c r="AR2498" s="71" t="s">
        <v>242</v>
      </c>
      <c r="AS2498" s="61"/>
      <c r="AT2498" s="63" t="s">
        <v>250</v>
      </c>
      <c r="AU2498" s="71" t="s">
        <v>242</v>
      </c>
    </row>
    <row r="2499" spans="15:47" ht="13" x14ac:dyDescent="0.3">
      <c r="O2499" s="6" t="s">
        <v>231</v>
      </c>
      <c r="P2499" s="6"/>
      <c r="Q2499" s="60"/>
      <c r="R2499" s="85">
        <f>P_1_minQ-(R2497^2*R_up)+dpup_minQ</f>
        <v>56.762108513005813</v>
      </c>
      <c r="S2499" s="56"/>
      <c r="T2499" s="72"/>
      <c r="U2499" s="53">
        <f>P_1_minQ-(U2497^2*R_up)+dpup_minQ</f>
        <v>54.589237108830304</v>
      </c>
      <c r="V2499" s="44"/>
      <c r="W2499" s="72"/>
      <c r="X2499" s="53">
        <f>P_1_minQ-(X2497^2*R_up)+dpup_minQ</f>
        <v>43.508864371171946</v>
      </c>
      <c r="Y2499" s="44"/>
      <c r="Z2499" s="72"/>
      <c r="AA2499" s="53">
        <f>P_1_minQ-(AA2497^2*R_up)+dpup_minQ</f>
        <v>8.0374897555011096</v>
      </c>
      <c r="AB2499" s="44"/>
      <c r="AC2499" s="72"/>
      <c r="AD2499" s="53">
        <f>P_1_minQ-(AD2497^2*R_up)+dpup_minQ</f>
        <v>-75.291514591431167</v>
      </c>
      <c r="AE2499" s="44"/>
      <c r="AF2499" s="72"/>
      <c r="AG2499" s="53">
        <f>P_1_minQ-(AG2497^2*R_up)+dpup_minQ</f>
        <v>-236.15058364963059</v>
      </c>
      <c r="AH2499" s="44"/>
      <c r="AI2499" s="72"/>
      <c r="AJ2499" s="53">
        <f>P_1_minQ-(AJ2497^2*R_up)+dpup_minQ</f>
        <v>-465.00656547818727</v>
      </c>
      <c r="AK2499" s="44"/>
      <c r="AL2499" s="72"/>
      <c r="AM2499" s="53">
        <f>P_1_minQ-(AM2497^2*R_up)+dpup_minQ</f>
        <v>-720.15564948457404</v>
      </c>
      <c r="AN2499" s="44"/>
      <c r="AO2499" s="72"/>
      <c r="AP2499" s="53">
        <f>P_1_minQ-(AP2497^2*R_up)+dpup_minQ</f>
        <v>-990.45922970391416</v>
      </c>
      <c r="AQ2499" s="44"/>
      <c r="AR2499" s="72"/>
      <c r="AS2499" s="53">
        <f>P_1_minQ-(AS2497^2*R_up)+dpup_minQ</f>
        <v>-1299.70342269362</v>
      </c>
      <c r="AT2499" s="44"/>
      <c r="AU2499" s="72"/>
    </row>
    <row r="2500" spans="15:47" ht="13" x14ac:dyDescent="0.3">
      <c r="O2500" s="6" t="s">
        <v>233</v>
      </c>
      <c r="P2500" s="6"/>
      <c r="Q2500" s="60"/>
      <c r="R2500" s="85">
        <f>P_2_minQ+(R2497^2*R_dn)-dpdn_minQ</f>
        <v>24.68757829739884</v>
      </c>
      <c r="S2500" s="66"/>
      <c r="T2500" s="74"/>
      <c r="U2500" s="53">
        <f>P_2_minQ+(U2497^2*R_dn)-dpdn_minQ</f>
        <v>25.122152578233941</v>
      </c>
      <c r="V2500" s="45"/>
      <c r="W2500" s="74"/>
      <c r="X2500" s="53">
        <f>P_2_minQ+(X2497^2*R_dn)-dpdn_minQ</f>
        <v>27.338227125765613</v>
      </c>
      <c r="Y2500" s="45"/>
      <c r="Z2500" s="74"/>
      <c r="AA2500" s="53">
        <f>P_2_minQ+(AA2497^2*R_dn)-dpdn_minQ</f>
        <v>34.432502048899785</v>
      </c>
      <c r="AB2500" s="45"/>
      <c r="AC2500" s="74"/>
      <c r="AD2500" s="53">
        <f>P_2_minQ+(AD2497^2*R_dn)-dpdn_minQ</f>
        <v>51.098302918286237</v>
      </c>
      <c r="AE2500" s="45"/>
      <c r="AF2500" s="74"/>
      <c r="AG2500" s="53">
        <f>P_2_minQ+(AG2497^2*R_dn)-dpdn_minQ</f>
        <v>83.270116729926116</v>
      </c>
      <c r="AH2500" s="45"/>
      <c r="AI2500" s="74"/>
      <c r="AJ2500" s="53">
        <f>P_2_minQ+(AJ2497^2*R_dn)-dpdn_minQ</f>
        <v>129.04131309563743</v>
      </c>
      <c r="AK2500" s="45"/>
      <c r="AL2500" s="74"/>
      <c r="AM2500" s="53">
        <f>P_2_minQ+(AM2497^2*R_dn)-dpdn_minQ</f>
        <v>180.07112989691481</v>
      </c>
      <c r="AN2500" s="45"/>
      <c r="AO2500" s="74"/>
      <c r="AP2500" s="53">
        <f>P_2_minQ+(AP2497^2*R_dn)-dpdn_minQ</f>
        <v>234.13184594078282</v>
      </c>
      <c r="AQ2500" s="45"/>
      <c r="AR2500" s="74"/>
      <c r="AS2500" s="53">
        <f>P_2_minQ+(AS2497^2*R_dn)-dpdn_minQ</f>
        <v>295.98068453872395</v>
      </c>
      <c r="AT2500" s="45"/>
      <c r="AU2500" s="74"/>
    </row>
    <row r="2501" spans="15:47" x14ac:dyDescent="0.25">
      <c r="O2501" s="6" t="s">
        <v>243</v>
      </c>
      <c r="Q2501" s="60"/>
      <c r="R2501" s="53">
        <f>R2499-R2500</f>
        <v>32.07453021560697</v>
      </c>
      <c r="S2501" s="56"/>
      <c r="T2501" s="72"/>
      <c r="U2501" s="64">
        <f>U2499-U2500</f>
        <v>29.467084530596363</v>
      </c>
      <c r="V2501" s="44"/>
      <c r="W2501" s="72"/>
      <c r="X2501" s="64">
        <f>X2499-X2500</f>
        <v>16.170637245406333</v>
      </c>
      <c r="Y2501" s="44"/>
      <c r="Z2501" s="72"/>
      <c r="AA2501" s="64">
        <f>AA2499-AA2500</f>
        <v>-26.395012293398675</v>
      </c>
      <c r="AB2501" s="44"/>
      <c r="AC2501" s="72"/>
      <c r="AD2501" s="64">
        <f>AD2499-AD2500</f>
        <v>-126.3898175097174</v>
      </c>
      <c r="AE2501" s="44"/>
      <c r="AF2501" s="72"/>
      <c r="AG2501" s="64">
        <f>AG2499-AG2500</f>
        <v>-319.42070037955671</v>
      </c>
      <c r="AH2501" s="44"/>
      <c r="AI2501" s="72"/>
      <c r="AJ2501" s="64">
        <f>AJ2499-AJ2500</f>
        <v>-594.04787857382473</v>
      </c>
      <c r="AK2501" s="44"/>
      <c r="AL2501" s="72"/>
      <c r="AM2501" s="64">
        <f>AM2499-AM2500</f>
        <v>-900.22677938148888</v>
      </c>
      <c r="AN2501" s="44"/>
      <c r="AO2501" s="72"/>
      <c r="AP2501" s="64">
        <f>AP2499-AP2500</f>
        <v>-1224.591075644697</v>
      </c>
      <c r="AQ2501" s="44"/>
      <c r="AR2501" s="72"/>
      <c r="AS2501" s="64">
        <f>AS2499-AS2500</f>
        <v>-1595.6841072323441</v>
      </c>
      <c r="AT2501" s="44"/>
      <c r="AU2501" s="72"/>
    </row>
    <row r="2502" spans="15:47" ht="13" x14ac:dyDescent="0.3">
      <c r="O2502" s="6" t="s">
        <v>75</v>
      </c>
      <c r="P2502" s="6">
        <v>3</v>
      </c>
      <c r="Q2502" s="65"/>
      <c r="R2502" s="85">
        <f>(F_LP_h/F_P_h)^2*(R2499-('Valve Sizing'!$V$4*'Valve Sizing'!$G$7))</f>
        <v>46.637614439865516</v>
      </c>
      <c r="S2502" s="58"/>
      <c r="T2502" s="73"/>
      <c r="U2502" s="53">
        <f>(U$29/U$27)^2*(U2499-('Valve Sizing'!$V$4*'Valve Sizing'!$G$7))</f>
        <v>44.826141777933024</v>
      </c>
      <c r="V2502" s="41"/>
      <c r="W2502" s="73"/>
      <c r="X2502" s="53">
        <f>(X$29/X$27)^2*(X2499-('Valve Sizing'!$V$4*'Valve Sizing'!$G$7))</f>
        <v>34.849278478593703</v>
      </c>
      <c r="Y2502" s="41"/>
      <c r="Z2502" s="73"/>
      <c r="AA2502" s="53">
        <f>(AA$29/AA$27)^2*(AA2499-('Valve Sizing'!$V$4*'Valve Sizing'!$G$7))</f>
        <v>5.8712744058997943</v>
      </c>
      <c r="AB2502" s="41"/>
      <c r="AC2502" s="73"/>
      <c r="AD2502" s="53">
        <f>(AD$29/AD$27)^2*(AD2499-('Valve Sizing'!$V$4*'Valve Sizing'!$G$7))</f>
        <v>-54.616656239809828</v>
      </c>
      <c r="AE2502" s="41"/>
      <c r="AF2502" s="73"/>
      <c r="AG2502" s="53">
        <f>(AG$29/AG$27)^2*(AG2499-('Valve Sizing'!$V$4*'Valve Sizing'!$G$7))</f>
        <v>-152.37477144776867</v>
      </c>
      <c r="AH2502" s="41"/>
      <c r="AI2502" s="73"/>
      <c r="AJ2502" s="53">
        <f>(AJ$29/AJ$27)^2*(AJ2499-('Valve Sizing'!$V$4*'Valve Sizing'!$G$7))</f>
        <v>-269.197726826333</v>
      </c>
      <c r="AK2502" s="41"/>
      <c r="AL2502" s="73"/>
      <c r="AM2502" s="53">
        <f>(AM$29/AM$27)^2*(AM2499-('Valve Sizing'!$V$4*'Valve Sizing'!$G$7))</f>
        <v>-344.78497678136108</v>
      </c>
      <c r="AN2502" s="41"/>
      <c r="AO2502" s="73"/>
      <c r="AP2502" s="53">
        <f>(AP$29/AP$27)^2*(AP2499-('Valve Sizing'!$V$4*'Valve Sizing'!$G$7))</f>
        <v>-391.03544200765629</v>
      </c>
      <c r="AQ2502" s="41"/>
      <c r="AR2502" s="73"/>
      <c r="AS2502" s="53">
        <f>(AS$29/AS$27)^2*(AS2499-('Valve Sizing'!$V$4*'Valve Sizing'!$G$7))</f>
        <v>-489.03700115248438</v>
      </c>
      <c r="AT2502" s="41"/>
      <c r="AU2502" s="73"/>
    </row>
    <row r="2503" spans="15:47" ht="13" x14ac:dyDescent="0.25">
      <c r="O2503" s="1" t="s">
        <v>69</v>
      </c>
      <c r="P2503" s="17">
        <v>7</v>
      </c>
      <c r="Q2503" s="65"/>
      <c r="R2503" s="53">
        <f>(R2497/(N_1*F_P_h))*SQRT('Valve Sizing'!$G$6/R2501)</f>
        <v>11.926467752228836</v>
      </c>
      <c r="S2503" s="58"/>
      <c r="T2503" s="73"/>
      <c r="U2503" s="64">
        <f>(U2497/(N_1*U$27))*SQRT('Valve Sizing'!$G$6/U2501)</f>
        <v>48.395582045639337</v>
      </c>
      <c r="V2503" s="41"/>
      <c r="W2503" s="73"/>
      <c r="X2503" s="64">
        <f>(X2497/(N_1*X$27))*SQRT('Valve Sizing'!$G$6/X2501)</f>
        <v>157.16877731727072</v>
      </c>
      <c r="Y2503" s="41"/>
      <c r="Z2503" s="73"/>
      <c r="AA2503" s="64" t="e">
        <f>(AA2497/(N_1*AA$27))*SQRT('Valve Sizing'!$G$6/AA2501)</f>
        <v>#NUM!</v>
      </c>
      <c r="AB2503" s="41"/>
      <c r="AC2503" s="73"/>
      <c r="AD2503" s="64" t="e">
        <f>(AD2497/(N_1*AD$27))*SQRT('Valve Sizing'!$G$6/AD2501)</f>
        <v>#NUM!</v>
      </c>
      <c r="AE2503" s="41"/>
      <c r="AF2503" s="73"/>
      <c r="AG2503" s="64" t="e">
        <f>(AG2497/(N_1*AG$27))*SQRT('Valve Sizing'!$G$6/AG2501)</f>
        <v>#NUM!</v>
      </c>
      <c r="AH2503" s="41"/>
      <c r="AI2503" s="73"/>
      <c r="AJ2503" s="64" t="e">
        <f>(AJ2497/(N_1*AJ$27))*SQRT('Valve Sizing'!$G$6/AJ2501)</f>
        <v>#NUM!</v>
      </c>
      <c r="AK2503" s="41"/>
      <c r="AL2503" s="73"/>
      <c r="AM2503" s="64" t="e">
        <f>(AM2497/(N_1*AM$27))*SQRT('Valve Sizing'!$G$6/AM2501)</f>
        <v>#NUM!</v>
      </c>
      <c r="AN2503" s="41"/>
      <c r="AO2503" s="73"/>
      <c r="AP2503" s="64" t="e">
        <f>(AP2497/(N_1*AP$27))*SQRT('Valve Sizing'!$G$6/AP2501)</f>
        <v>#NUM!</v>
      </c>
      <c r="AQ2503" s="41"/>
      <c r="AR2503" s="73"/>
      <c r="AS2503" s="64" t="e">
        <f>(AS2497/(N_1*AS$27))*SQRT('Valve Sizing'!$G$6/AS2501)</f>
        <v>#NUM!</v>
      </c>
      <c r="AT2503" s="41"/>
      <c r="AU2503" s="73"/>
    </row>
    <row r="2504" spans="15:47" ht="13" x14ac:dyDescent="0.3">
      <c r="O2504" s="1" t="s">
        <v>72</v>
      </c>
      <c r="P2504" s="17">
        <v>7</v>
      </c>
      <c r="Q2504" s="65"/>
      <c r="R2504" s="53">
        <f>(R2497/(N_1*F_P_h))*SQRT('Valve Sizing'!$G$6/R2502)</f>
        <v>9.890627058865876</v>
      </c>
      <c r="S2504" s="56"/>
      <c r="T2504" s="72"/>
      <c r="U2504" s="85">
        <f>(U2497/(N_1*U$27))*SQRT('Valve Sizing'!$G$6/U2502)</f>
        <v>39.238158908889091</v>
      </c>
      <c r="V2504" s="44"/>
      <c r="W2504" s="72"/>
      <c r="X2504" s="85">
        <f>(X2497/(N_1*X$27))*SQRT('Valve Sizing'!$G$6/X2502)</f>
        <v>107.0614069928267</v>
      </c>
      <c r="Y2504" s="44"/>
      <c r="Z2504" s="72"/>
      <c r="AA2504" s="85">
        <f>(AA2497/(N_1*AA$27))*SQRT('Valve Sizing'!$G$6/AA2502)</f>
        <v>500.8922056642906</v>
      </c>
      <c r="AB2504" s="44"/>
      <c r="AC2504" s="72"/>
      <c r="AD2504" s="85" t="e">
        <f>(AD2497/(N_1*AD$27))*SQRT('Valve Sizing'!$G$6/AD2502)</f>
        <v>#NUM!</v>
      </c>
      <c r="AE2504" s="44"/>
      <c r="AF2504" s="72"/>
      <c r="AG2504" s="85" t="e">
        <f>(AG2497/(N_1*AG$27))*SQRT('Valve Sizing'!$G$6/AG2502)</f>
        <v>#NUM!</v>
      </c>
      <c r="AH2504" s="44"/>
      <c r="AI2504" s="72"/>
      <c r="AJ2504" s="85" t="e">
        <f>(AJ2497/(N_1*AJ$27))*SQRT('Valve Sizing'!$G$6/AJ2502)</f>
        <v>#NUM!</v>
      </c>
      <c r="AK2504" s="44"/>
      <c r="AL2504" s="72"/>
      <c r="AM2504" s="85" t="e">
        <f>(AM2497/(N_1*AM$27))*SQRT('Valve Sizing'!$G$6/AM2502)</f>
        <v>#NUM!</v>
      </c>
      <c r="AN2504" s="44"/>
      <c r="AO2504" s="72"/>
      <c r="AP2504" s="85" t="e">
        <f>(AP2497/(N_1*AP$27))*SQRT('Valve Sizing'!$G$6/AP2502)</f>
        <v>#NUM!</v>
      </c>
      <c r="AQ2504" s="44"/>
      <c r="AR2504" s="72"/>
      <c r="AS2504" s="85" t="e">
        <f>(AS2497/(N_1*AS$27))*SQRT('Valve Sizing'!$G$6/AS2502)</f>
        <v>#NUM!</v>
      </c>
      <c r="AT2504" s="44"/>
      <c r="AU2504" s="72"/>
    </row>
    <row r="2505" spans="15:47" x14ac:dyDescent="0.25">
      <c r="O2505" s="1" t="s">
        <v>246</v>
      </c>
      <c r="P2505" s="18"/>
      <c r="Q2505" s="65"/>
      <c r="R2505" s="53">
        <f>IF(R2501&lt;R2502,R2503,R2504)</f>
        <v>11.926467752228836</v>
      </c>
      <c r="S2505" s="49"/>
      <c r="T2505" s="72"/>
      <c r="U2505" s="64">
        <f>IF(U2501&lt;U2502,U2503,U2504)</f>
        <v>48.395582045639337</v>
      </c>
      <c r="V2505" s="44"/>
      <c r="W2505" s="72"/>
      <c r="X2505" s="64">
        <f>IF(X2501&lt;X2502,X2503,X2504)</f>
        <v>157.16877731727072</v>
      </c>
      <c r="Y2505" s="44"/>
      <c r="Z2505" s="72"/>
      <c r="AA2505" s="64" t="e">
        <f>IF(AA2501&lt;AA2502,AA2503,AA2504)</f>
        <v>#NUM!</v>
      </c>
      <c r="AB2505" s="44"/>
      <c r="AC2505" s="72"/>
      <c r="AD2505" s="64" t="e">
        <f>IF(AD2501&lt;AD2502,AD2503,AD2504)</f>
        <v>#NUM!</v>
      </c>
      <c r="AE2505" s="44"/>
      <c r="AF2505" s="72"/>
      <c r="AG2505" s="64" t="e">
        <f>IF(AG2501&lt;AG2502,AG2503,AG2504)</f>
        <v>#NUM!</v>
      </c>
      <c r="AH2505" s="44"/>
      <c r="AI2505" s="72"/>
      <c r="AJ2505" s="64" t="e">
        <f>IF(AJ2501&lt;AJ2502,AJ2503,AJ2504)</f>
        <v>#NUM!</v>
      </c>
      <c r="AK2505" s="44"/>
      <c r="AL2505" s="72"/>
      <c r="AM2505" s="64" t="e">
        <f>IF(AM2501&lt;AM2502,AM2503,AM2504)</f>
        <v>#NUM!</v>
      </c>
      <c r="AN2505" s="44"/>
      <c r="AO2505" s="72"/>
      <c r="AP2505" s="64" t="e">
        <f>IF(AP2501&lt;AP2502,AP2503,AP2504)</f>
        <v>#NUM!</v>
      </c>
      <c r="AQ2505" s="44"/>
      <c r="AR2505" s="72"/>
      <c r="AS2505" s="64" t="e">
        <f>IF(AS2501&lt;AS2502,AS2503,AS2504)</f>
        <v>#NUM!</v>
      </c>
      <c r="AT2505" s="44"/>
      <c r="AU2505" s="72"/>
    </row>
    <row r="2506" spans="15:47" ht="13" x14ac:dyDescent="0.3">
      <c r="O2506" s="7" t="s">
        <v>264</v>
      </c>
      <c r="Q2506" s="61"/>
      <c r="R2506" s="53"/>
      <c r="S2506" s="69">
        <f>IFERROR(ABS(C_h-R2505),Q_max*10)</f>
        <v>6.9264677522288363</v>
      </c>
      <c r="T2506" s="76">
        <f>R2497</f>
        <v>67.534931183039973</v>
      </c>
      <c r="U2506" s="61"/>
      <c r="V2506" s="69">
        <f>IFERROR(ABS(U$23-U2505),Q_max*10)</f>
        <v>36.395582045639337</v>
      </c>
      <c r="W2506" s="75">
        <f>U2497</f>
        <v>262.48750295496865</v>
      </c>
      <c r="X2506" s="61"/>
      <c r="Y2506" s="69">
        <f>IFERROR(ABS(X$23-X2505),Q_max*10)</f>
        <v>134.16877731727072</v>
      </c>
      <c r="Z2506" s="75">
        <f>X2497</f>
        <v>630.07104835057976</v>
      </c>
      <c r="AA2506" s="61"/>
      <c r="AB2506" s="69">
        <f>IFERROR(ABS(AA$23-AA2505),Q_max*10)</f>
        <v>5500</v>
      </c>
      <c r="AC2506" s="75">
        <f>AA2497</f>
        <v>1203.0365448894777</v>
      </c>
      <c r="AD2506" s="61"/>
      <c r="AE2506" s="69">
        <f>IFERROR(ABS(AD$23-AD2505),Q_max*10)</f>
        <v>5500</v>
      </c>
      <c r="AF2506" s="75">
        <f>AD2497</f>
        <v>1978.5521845663502</v>
      </c>
      <c r="AG2506" s="61"/>
      <c r="AH2506" s="69">
        <f>IFERROR(ABS(AG$23-AG2505),Q_max*10)</f>
        <v>5500</v>
      </c>
      <c r="AI2506" s="75">
        <f>AG2497</f>
        <v>2945.7945926125876</v>
      </c>
      <c r="AJ2506" s="61"/>
      <c r="AK2506" s="69">
        <f>IFERROR(ABS(AJ$23-AJ2505),Q_max*10)</f>
        <v>5500</v>
      </c>
      <c r="AL2506" s="75">
        <f>AJ2497</f>
        <v>3931.1743034122924</v>
      </c>
      <c r="AM2506" s="61"/>
      <c r="AN2506" s="69">
        <f>IFERROR(ABS(AM$23-AM2505),Q_max*10)</f>
        <v>5500</v>
      </c>
      <c r="AO2506" s="75">
        <f>AM2497</f>
        <v>4796.7797303230673</v>
      </c>
      <c r="AP2506" s="61"/>
      <c r="AQ2506" s="69">
        <f>IFERROR(ABS(AP$23-AP2505),Q_max*10)</f>
        <v>5500</v>
      </c>
      <c r="AR2506" s="75">
        <f>AP2497</f>
        <v>5568.9123526531548</v>
      </c>
      <c r="AS2506" s="61"/>
      <c r="AT2506" s="69">
        <f>IFERROR(ABS(AS$23-AS2505),Q_max*10)</f>
        <v>5500</v>
      </c>
      <c r="AU2506" s="75">
        <f>AS2497</f>
        <v>6337.941727876495</v>
      </c>
    </row>
    <row r="2507" spans="15:47" ht="14.5" x14ac:dyDescent="0.35">
      <c r="O2507" s="8"/>
      <c r="P2507" s="6"/>
      <c r="Q2507" s="60"/>
      <c r="R2507" s="67"/>
      <c r="S2507" s="56"/>
      <c r="T2507" s="72"/>
      <c r="V2507" s="11"/>
      <c r="W2507" s="38"/>
      <c r="Y2507" s="11"/>
      <c r="Z2507" s="38"/>
      <c r="AB2507" s="11"/>
      <c r="AC2507" s="38"/>
      <c r="AE2507" s="11"/>
      <c r="AF2507" s="38"/>
      <c r="AH2507" s="11"/>
      <c r="AI2507" s="38"/>
      <c r="AK2507" s="11"/>
      <c r="AL2507" s="38"/>
      <c r="AN2507" s="11"/>
      <c r="AO2507" s="38"/>
      <c r="AQ2507" s="11"/>
      <c r="AR2507" s="38"/>
      <c r="AT2507" s="11"/>
      <c r="AU2507" s="38"/>
    </row>
    <row r="2508" spans="15:47" ht="14" x14ac:dyDescent="0.3">
      <c r="O2508" s="8" t="s">
        <v>235</v>
      </c>
      <c r="P2508" s="6"/>
      <c r="Q2508" s="60"/>
      <c r="R2508" s="53">
        <f>R2497*1.02</f>
        <v>68.885629806700777</v>
      </c>
      <c r="S2508" s="58" t="s">
        <v>238</v>
      </c>
      <c r="T2508" s="73" t="s">
        <v>241</v>
      </c>
      <c r="U2508" s="84">
        <f>U2497*1.01</f>
        <v>265.11237798451833</v>
      </c>
      <c r="V2508" s="58" t="s">
        <v>238</v>
      </c>
      <c r="W2508" s="73" t="s">
        <v>241</v>
      </c>
      <c r="X2508" s="84">
        <f>X2497*1.01</f>
        <v>636.37175883408554</v>
      </c>
      <c r="Y2508" s="58" t="s">
        <v>238</v>
      </c>
      <c r="Z2508" s="73" t="s">
        <v>241</v>
      </c>
      <c r="AA2508" s="84">
        <f>AA2497*1.01</f>
        <v>1215.0669103383725</v>
      </c>
      <c r="AB2508" s="58" t="s">
        <v>238</v>
      </c>
      <c r="AC2508" s="73" t="s">
        <v>241</v>
      </c>
      <c r="AD2508" s="84">
        <f>AD2497*1.01</f>
        <v>1998.3377064120136</v>
      </c>
      <c r="AE2508" s="58" t="s">
        <v>238</v>
      </c>
      <c r="AF2508" s="73" t="s">
        <v>241</v>
      </c>
      <c r="AG2508" s="84">
        <f>AG2497*1.01</f>
        <v>2975.2525385387135</v>
      </c>
      <c r="AH2508" s="58" t="s">
        <v>238</v>
      </c>
      <c r="AI2508" s="73" t="s">
        <v>241</v>
      </c>
      <c r="AJ2508" s="84">
        <f>AJ2497*1.01</f>
        <v>3970.4860464464155</v>
      </c>
      <c r="AK2508" s="58" t="s">
        <v>238</v>
      </c>
      <c r="AL2508" s="73" t="s">
        <v>241</v>
      </c>
      <c r="AM2508" s="84">
        <f>AM2497*1.01</f>
        <v>4844.7475276262976</v>
      </c>
      <c r="AN2508" s="58" t="s">
        <v>238</v>
      </c>
      <c r="AO2508" s="73" t="s">
        <v>241</v>
      </c>
      <c r="AP2508" s="84">
        <f>AP2497*1.01</f>
        <v>5624.601476179686</v>
      </c>
      <c r="AQ2508" s="58" t="s">
        <v>238</v>
      </c>
      <c r="AR2508" s="73" t="s">
        <v>241</v>
      </c>
      <c r="AS2508" s="84">
        <f>AS2497*1.01</f>
        <v>6401.3211451552597</v>
      </c>
      <c r="AT2508" s="58" t="s">
        <v>238</v>
      </c>
      <c r="AU2508" s="73" t="s">
        <v>241</v>
      </c>
    </row>
    <row r="2509" spans="15:47" ht="13" x14ac:dyDescent="0.25">
      <c r="O2509" s="6"/>
      <c r="P2509" s="6"/>
      <c r="Q2509" s="60"/>
      <c r="R2509" s="70"/>
      <c r="S2509" s="63" t="s">
        <v>250</v>
      </c>
      <c r="T2509" s="71" t="s">
        <v>242</v>
      </c>
      <c r="U2509" s="61"/>
      <c r="V2509" s="63" t="s">
        <v>250</v>
      </c>
      <c r="W2509" s="71" t="s">
        <v>242</v>
      </c>
      <c r="X2509" s="61"/>
      <c r="Y2509" s="63" t="s">
        <v>250</v>
      </c>
      <c r="Z2509" s="71" t="s">
        <v>242</v>
      </c>
      <c r="AA2509" s="61"/>
      <c r="AB2509" s="63" t="s">
        <v>250</v>
      </c>
      <c r="AC2509" s="71" t="s">
        <v>242</v>
      </c>
      <c r="AD2509" s="61"/>
      <c r="AE2509" s="63" t="s">
        <v>250</v>
      </c>
      <c r="AF2509" s="71" t="s">
        <v>242</v>
      </c>
      <c r="AG2509" s="61"/>
      <c r="AH2509" s="63" t="s">
        <v>250</v>
      </c>
      <c r="AI2509" s="71" t="s">
        <v>242</v>
      </c>
      <c r="AJ2509" s="61"/>
      <c r="AK2509" s="63" t="s">
        <v>250</v>
      </c>
      <c r="AL2509" s="71" t="s">
        <v>242</v>
      </c>
      <c r="AM2509" s="61"/>
      <c r="AN2509" s="63" t="s">
        <v>250</v>
      </c>
      <c r="AO2509" s="71" t="s">
        <v>242</v>
      </c>
      <c r="AP2509" s="61"/>
      <c r="AQ2509" s="63" t="s">
        <v>250</v>
      </c>
      <c r="AR2509" s="71" t="s">
        <v>242</v>
      </c>
      <c r="AS2509" s="61"/>
      <c r="AT2509" s="63" t="s">
        <v>250</v>
      </c>
      <c r="AU2509" s="71" t="s">
        <v>242</v>
      </c>
    </row>
    <row r="2510" spans="15:47" ht="13" x14ac:dyDescent="0.3">
      <c r="O2510" s="6" t="s">
        <v>231</v>
      </c>
      <c r="P2510" s="6"/>
      <c r="Q2510" s="60"/>
      <c r="R2510" s="85">
        <f>P_1_minQ-(R2508^2*R_up)+dpup_minQ</f>
        <v>56.755885511858637</v>
      </c>
      <c r="S2510" s="56"/>
      <c r="T2510" s="72"/>
      <c r="U2510" s="53">
        <f>P_1_minQ-(U2508^2*R_up)+dpup_minQ</f>
        <v>54.542466296500976</v>
      </c>
      <c r="V2510" s="44"/>
      <c r="W2510" s="72"/>
      <c r="X2510" s="53">
        <f>P_1_minQ-(X2508^2*R_up)+dpup_minQ</f>
        <v>43.239378066815682</v>
      </c>
      <c r="Y2510" s="44"/>
      <c r="Z2510" s="72"/>
      <c r="AA2510" s="53">
        <f>P_1_minQ-(AA2508^2*R_up)+dpup_minQ</f>
        <v>7.0550288213698478</v>
      </c>
      <c r="AB2510" s="44"/>
      <c r="AC2510" s="72"/>
      <c r="AD2510" s="53">
        <f>P_1_minQ-(AD2508^2*R_up)+dpup_minQ</f>
        <v>-77.948888512935724</v>
      </c>
      <c r="AE2510" s="44"/>
      <c r="AF2510" s="72"/>
      <c r="AG2510" s="53">
        <f>P_1_minQ-(AG2508^2*R_up)+dpup_minQ</f>
        <v>-242.04122485920496</v>
      </c>
      <c r="AH2510" s="44"/>
      <c r="AI2510" s="72"/>
      <c r="AJ2510" s="53">
        <f>P_1_minQ-(AJ2508^2*R_up)+dpup_minQ</f>
        <v>-475.49721192251565</v>
      </c>
      <c r="AK2510" s="44"/>
      <c r="AL2510" s="72"/>
      <c r="AM2510" s="53">
        <f>P_1_minQ-(AM2508^2*R_up)+dpup_minQ</f>
        <v>-735.77479251743068</v>
      </c>
      <c r="AN2510" s="44"/>
      <c r="AO2510" s="72"/>
      <c r="AP2510" s="53">
        <f>P_1_minQ-(AP2508^2*R_up)+dpup_minQ</f>
        <v>-1011.5114746991794</v>
      </c>
      <c r="AQ2510" s="44"/>
      <c r="AR2510" s="72"/>
      <c r="AS2510" s="53">
        <f>P_1_minQ-(AS2508^2*R_up)+dpup_minQ</f>
        <v>-1326.9714759679784</v>
      </c>
      <c r="AT2510" s="44"/>
      <c r="AU2510" s="72"/>
    </row>
    <row r="2511" spans="15:47" ht="13" x14ac:dyDescent="0.3">
      <c r="O2511" s="6" t="s">
        <v>233</v>
      </c>
      <c r="P2511" s="6"/>
      <c r="Q2511" s="60"/>
      <c r="R2511" s="85">
        <f>P_2_minQ+(R2508^2*R_dn)-dpdn_minQ</f>
        <v>24.688822897628274</v>
      </c>
      <c r="S2511" s="66"/>
      <c r="T2511" s="74"/>
      <c r="U2511" s="53">
        <f>P_2_minQ+(U2508^2*R_dn)-dpdn_minQ</f>
        <v>25.131506740699805</v>
      </c>
      <c r="V2511" s="45"/>
      <c r="W2511" s="74"/>
      <c r="X2511" s="53">
        <f>P_2_minQ+(X2508^2*R_dn)-dpdn_minQ</f>
        <v>27.392124386636866</v>
      </c>
      <c r="Y2511" s="45"/>
      <c r="Z2511" s="74"/>
      <c r="AA2511" s="53">
        <f>P_2_minQ+(AA2508^2*R_dn)-dpdn_minQ</f>
        <v>34.628994235726033</v>
      </c>
      <c r="AB2511" s="45"/>
      <c r="AC2511" s="74"/>
      <c r="AD2511" s="53">
        <f>P_2_minQ+(AD2508^2*R_dn)-dpdn_minQ</f>
        <v>51.629777702587148</v>
      </c>
      <c r="AE2511" s="45"/>
      <c r="AF2511" s="74"/>
      <c r="AG2511" s="53">
        <f>P_2_minQ+(AG2508^2*R_dn)-dpdn_minQ</f>
        <v>84.448244971840992</v>
      </c>
      <c r="AH2511" s="45"/>
      <c r="AI2511" s="74"/>
      <c r="AJ2511" s="53">
        <f>P_2_minQ+(AJ2508^2*R_dn)-dpdn_minQ</f>
        <v>131.1394423845031</v>
      </c>
      <c r="AK2511" s="45"/>
      <c r="AL2511" s="74"/>
      <c r="AM2511" s="53">
        <f>P_2_minQ+(AM2508^2*R_dn)-dpdn_minQ</f>
        <v>183.19495850348611</v>
      </c>
      <c r="AN2511" s="45"/>
      <c r="AO2511" s="74"/>
      <c r="AP2511" s="53">
        <f>P_2_minQ+(AP2508^2*R_dn)-dpdn_minQ</f>
        <v>238.34229493983585</v>
      </c>
      <c r="AQ2511" s="45"/>
      <c r="AR2511" s="74"/>
      <c r="AS2511" s="53">
        <f>P_2_minQ+(AS2508^2*R_dn)-dpdn_minQ</f>
        <v>301.43429519359563</v>
      </c>
      <c r="AT2511" s="45"/>
      <c r="AU2511" s="74"/>
    </row>
    <row r="2512" spans="15:47" x14ac:dyDescent="0.25">
      <c r="O2512" s="6" t="s">
        <v>243</v>
      </c>
      <c r="Q2512" s="60"/>
      <c r="R2512" s="53">
        <f>R2510-R2511</f>
        <v>32.067062614230366</v>
      </c>
      <c r="S2512" s="56"/>
      <c r="T2512" s="72"/>
      <c r="U2512" s="64">
        <f>U2510-U2511</f>
        <v>29.41095955580117</v>
      </c>
      <c r="V2512" s="44"/>
      <c r="W2512" s="72"/>
      <c r="X2512" s="64">
        <f>X2510-X2511</f>
        <v>15.847253680178817</v>
      </c>
      <c r="Y2512" s="44"/>
      <c r="Z2512" s="72"/>
      <c r="AA2512" s="64">
        <f>AA2510-AA2511</f>
        <v>-27.573965414356184</v>
      </c>
      <c r="AB2512" s="44"/>
      <c r="AC2512" s="72"/>
      <c r="AD2512" s="64">
        <f>AD2510-AD2511</f>
        <v>-129.57866621552287</v>
      </c>
      <c r="AE2512" s="44"/>
      <c r="AF2512" s="72"/>
      <c r="AG2512" s="64">
        <f>AG2510-AG2511</f>
        <v>-326.48946983104594</v>
      </c>
      <c r="AH2512" s="44"/>
      <c r="AI2512" s="72"/>
      <c r="AJ2512" s="64">
        <f>AJ2510-AJ2511</f>
        <v>-606.63665430701872</v>
      </c>
      <c r="AK2512" s="44"/>
      <c r="AL2512" s="72"/>
      <c r="AM2512" s="64">
        <f>AM2510-AM2511</f>
        <v>-918.96975102091676</v>
      </c>
      <c r="AN2512" s="44"/>
      <c r="AO2512" s="72"/>
      <c r="AP2512" s="64">
        <f>AP2510-AP2511</f>
        <v>-1249.8537696390154</v>
      </c>
      <c r="AQ2512" s="44"/>
      <c r="AR2512" s="72"/>
      <c r="AS2512" s="64">
        <f>AS2510-AS2511</f>
        <v>-1628.4057711615742</v>
      </c>
      <c r="AT2512" s="44"/>
      <c r="AU2512" s="72"/>
    </row>
    <row r="2513" spans="15:47" ht="13" x14ac:dyDescent="0.3">
      <c r="O2513" s="6" t="s">
        <v>75</v>
      </c>
      <c r="P2513" s="6">
        <v>3</v>
      </c>
      <c r="Q2513" s="65"/>
      <c r="R2513" s="85">
        <f>(F_LP_h/F_P_h)^2*(R2510-('Valve Sizing'!$V$4*'Valve Sizing'!$G$7))</f>
        <v>46.632461468270705</v>
      </c>
      <c r="S2513" s="58"/>
      <c r="T2513" s="73"/>
      <c r="U2513" s="53">
        <f>(U$29/U$27)^2*(U2510-('Valve Sizing'!$V$4*'Valve Sizing'!$G$7))</f>
        <v>44.787423646167575</v>
      </c>
      <c r="V2513" s="41"/>
      <c r="W2513" s="73"/>
      <c r="X2513" s="53">
        <f>(X$29/X$27)^2*(X2510-('Valve Sizing'!$V$4*'Valve Sizing'!$G$7))</f>
        <v>34.631222674735177</v>
      </c>
      <c r="Y2513" s="41"/>
      <c r="Z2513" s="73"/>
      <c r="AA2513" s="53">
        <f>(AA$29/AA$27)^2*(AA2510-('Valve Sizing'!$V$4*'Valve Sizing'!$G$7))</f>
        <v>5.1120313259149484</v>
      </c>
      <c r="AB2513" s="41"/>
      <c r="AC2513" s="73"/>
      <c r="AD2513" s="53">
        <f>(AD$29/AD$27)^2*(AD2510-('Valve Sizing'!$V$4*'Valve Sizing'!$G$7))</f>
        <v>-56.533120848155995</v>
      </c>
      <c r="AE2513" s="41"/>
      <c r="AF2513" s="73"/>
      <c r="AG2513" s="53">
        <f>(AG$29/AG$27)^2*(AG2510-('Valve Sizing'!$V$4*'Valve Sizing'!$G$7))</f>
        <v>-156.16860328738494</v>
      </c>
      <c r="AH2513" s="41"/>
      <c r="AI2513" s="73"/>
      <c r="AJ2513" s="53">
        <f>(AJ$29/AJ$27)^2*(AJ2510-('Valve Sizing'!$V$4*'Valve Sizing'!$G$7))</f>
        <v>-275.26514258424936</v>
      </c>
      <c r="AK2513" s="41"/>
      <c r="AL2513" s="73"/>
      <c r="AM2513" s="53">
        <f>(AM$29/AM$27)^2*(AM2510-('Valve Sizing'!$V$4*'Valve Sizing'!$G$7))</f>
        <v>-352.25830171858667</v>
      </c>
      <c r="AN2513" s="41"/>
      <c r="AO2513" s="73"/>
      <c r="AP2513" s="53">
        <f>(AP$29/AP$27)^2*(AP2510-('Valve Sizing'!$V$4*'Valve Sizing'!$G$7))</f>
        <v>-399.34322265890955</v>
      </c>
      <c r="AQ2513" s="41"/>
      <c r="AR2513" s="73"/>
      <c r="AS2513" s="53">
        <f>(AS$29/AS$27)^2*(AS2510-('Valve Sizing'!$V$4*'Valve Sizing'!$G$7))</f>
        <v>-499.29362836476679</v>
      </c>
      <c r="AT2513" s="41"/>
      <c r="AU2513" s="73"/>
    </row>
    <row r="2514" spans="15:47" ht="13" x14ac:dyDescent="0.25">
      <c r="O2514" s="1" t="s">
        <v>69</v>
      </c>
      <c r="P2514" s="17">
        <v>7</v>
      </c>
      <c r="Q2514" s="65"/>
      <c r="R2514" s="53">
        <f>(R2508/(N_1*F_P_h))*SQRT('Valve Sizing'!$G$6/R2512)</f>
        <v>12.166413483666819</v>
      </c>
      <c r="S2514" s="58"/>
      <c r="T2514" s="73"/>
      <c r="U2514" s="64">
        <f>(U2508/(N_1*U$27))*SQRT('Valve Sizing'!$G$6/U2512)</f>
        <v>48.926154082102876</v>
      </c>
      <c r="V2514" s="41"/>
      <c r="W2514" s="73"/>
      <c r="X2514" s="64">
        <f>(X2508/(N_1*X$27))*SQRT('Valve Sizing'!$G$6/X2512)</f>
        <v>160.35193710562814</v>
      </c>
      <c r="Y2514" s="41"/>
      <c r="Z2514" s="73"/>
      <c r="AA2514" s="64" t="e">
        <f>(AA2508/(N_1*AA$27))*SQRT('Valve Sizing'!$G$6/AA2512)</f>
        <v>#NUM!</v>
      </c>
      <c r="AB2514" s="41"/>
      <c r="AC2514" s="73"/>
      <c r="AD2514" s="64" t="e">
        <f>(AD2508/(N_1*AD$27))*SQRT('Valve Sizing'!$G$6/AD2512)</f>
        <v>#NUM!</v>
      </c>
      <c r="AE2514" s="41"/>
      <c r="AF2514" s="73"/>
      <c r="AG2514" s="64" t="e">
        <f>(AG2508/(N_1*AG$27))*SQRT('Valve Sizing'!$G$6/AG2512)</f>
        <v>#NUM!</v>
      </c>
      <c r="AH2514" s="41"/>
      <c r="AI2514" s="73"/>
      <c r="AJ2514" s="64" t="e">
        <f>(AJ2508/(N_1*AJ$27))*SQRT('Valve Sizing'!$G$6/AJ2512)</f>
        <v>#NUM!</v>
      </c>
      <c r="AK2514" s="41"/>
      <c r="AL2514" s="73"/>
      <c r="AM2514" s="64" t="e">
        <f>(AM2508/(N_1*AM$27))*SQRT('Valve Sizing'!$G$6/AM2512)</f>
        <v>#NUM!</v>
      </c>
      <c r="AN2514" s="41"/>
      <c r="AO2514" s="73"/>
      <c r="AP2514" s="64" t="e">
        <f>(AP2508/(N_1*AP$27))*SQRT('Valve Sizing'!$G$6/AP2512)</f>
        <v>#NUM!</v>
      </c>
      <c r="AQ2514" s="41"/>
      <c r="AR2514" s="73"/>
      <c r="AS2514" s="64" t="e">
        <f>(AS2508/(N_1*AS$27))*SQRT('Valve Sizing'!$G$6/AS2512)</f>
        <v>#NUM!</v>
      </c>
      <c r="AT2514" s="41"/>
      <c r="AU2514" s="73"/>
    </row>
    <row r="2515" spans="15:47" ht="13" x14ac:dyDescent="0.3">
      <c r="O2515" s="1" t="s">
        <v>72</v>
      </c>
      <c r="P2515" s="17">
        <v>7</v>
      </c>
      <c r="Q2515" s="65"/>
      <c r="R2515" s="53">
        <f>(R2508/(N_1*F_P_h))*SQRT('Valve Sizing'!$G$6/R2513)</f>
        <v>10.08899698008508</v>
      </c>
      <c r="S2515" s="56"/>
      <c r="T2515" s="72"/>
      <c r="U2515" s="85">
        <f>(U2508/(N_1*U$27))*SQRT('Valve Sizing'!$G$6/U2513)</f>
        <v>39.647666834857702</v>
      </c>
      <c r="V2515" s="44"/>
      <c r="W2515" s="72"/>
      <c r="X2515" s="85">
        <f>(X2508/(N_1*X$27))*SQRT('Valve Sizing'!$G$6/X2513)</f>
        <v>108.47191398734401</v>
      </c>
      <c r="Y2515" s="44"/>
      <c r="Z2515" s="72"/>
      <c r="AA2515" s="85">
        <f>(AA2508/(N_1*AA$27))*SQRT('Valve Sizing'!$G$6/AA2513)</f>
        <v>542.16950128450696</v>
      </c>
      <c r="AB2515" s="44"/>
      <c r="AC2515" s="72"/>
      <c r="AD2515" s="85" t="e">
        <f>(AD2508/(N_1*AD$27))*SQRT('Valve Sizing'!$G$6/AD2513)</f>
        <v>#NUM!</v>
      </c>
      <c r="AE2515" s="44"/>
      <c r="AF2515" s="72"/>
      <c r="AG2515" s="85" t="e">
        <f>(AG2508/(N_1*AG$27))*SQRT('Valve Sizing'!$G$6/AG2513)</f>
        <v>#NUM!</v>
      </c>
      <c r="AH2515" s="44"/>
      <c r="AI2515" s="72"/>
      <c r="AJ2515" s="85" t="e">
        <f>(AJ2508/(N_1*AJ$27))*SQRT('Valve Sizing'!$G$6/AJ2513)</f>
        <v>#NUM!</v>
      </c>
      <c r="AK2515" s="44"/>
      <c r="AL2515" s="72"/>
      <c r="AM2515" s="85" t="e">
        <f>(AM2508/(N_1*AM$27))*SQRT('Valve Sizing'!$G$6/AM2513)</f>
        <v>#NUM!</v>
      </c>
      <c r="AN2515" s="44"/>
      <c r="AO2515" s="72"/>
      <c r="AP2515" s="85" t="e">
        <f>(AP2508/(N_1*AP$27))*SQRT('Valve Sizing'!$G$6/AP2513)</f>
        <v>#NUM!</v>
      </c>
      <c r="AQ2515" s="44"/>
      <c r="AR2515" s="72"/>
      <c r="AS2515" s="85" t="e">
        <f>(AS2508/(N_1*AS$27))*SQRT('Valve Sizing'!$G$6/AS2513)</f>
        <v>#NUM!</v>
      </c>
      <c r="AT2515" s="44"/>
      <c r="AU2515" s="72"/>
    </row>
    <row r="2516" spans="15:47" x14ac:dyDescent="0.25">
      <c r="O2516" s="1" t="s">
        <v>246</v>
      </c>
      <c r="P2516" s="18"/>
      <c r="Q2516" s="65"/>
      <c r="R2516" s="53">
        <f>IF(R2512&lt;R2513,R2514,R2515)</f>
        <v>12.166413483666819</v>
      </c>
      <c r="S2516" s="49"/>
      <c r="T2516" s="72"/>
      <c r="U2516" s="64">
        <f>IF(U2512&lt;U2513,U2514,U2515)</f>
        <v>48.926154082102876</v>
      </c>
      <c r="V2516" s="44"/>
      <c r="W2516" s="72"/>
      <c r="X2516" s="64">
        <f>IF(X2512&lt;X2513,X2514,X2515)</f>
        <v>160.35193710562814</v>
      </c>
      <c r="Y2516" s="44"/>
      <c r="Z2516" s="72"/>
      <c r="AA2516" s="64" t="e">
        <f>IF(AA2512&lt;AA2513,AA2514,AA2515)</f>
        <v>#NUM!</v>
      </c>
      <c r="AB2516" s="44"/>
      <c r="AC2516" s="72"/>
      <c r="AD2516" s="64" t="e">
        <f>IF(AD2512&lt;AD2513,AD2514,AD2515)</f>
        <v>#NUM!</v>
      </c>
      <c r="AE2516" s="44"/>
      <c r="AF2516" s="72"/>
      <c r="AG2516" s="64" t="e">
        <f>IF(AG2512&lt;AG2513,AG2514,AG2515)</f>
        <v>#NUM!</v>
      </c>
      <c r="AH2516" s="44"/>
      <c r="AI2516" s="72"/>
      <c r="AJ2516" s="64" t="e">
        <f>IF(AJ2512&lt;AJ2513,AJ2514,AJ2515)</f>
        <v>#NUM!</v>
      </c>
      <c r="AK2516" s="44"/>
      <c r="AL2516" s="72"/>
      <c r="AM2516" s="64" t="e">
        <f>IF(AM2512&lt;AM2513,AM2514,AM2515)</f>
        <v>#NUM!</v>
      </c>
      <c r="AN2516" s="44"/>
      <c r="AO2516" s="72"/>
      <c r="AP2516" s="64" t="e">
        <f>IF(AP2512&lt;AP2513,AP2514,AP2515)</f>
        <v>#NUM!</v>
      </c>
      <c r="AQ2516" s="44"/>
      <c r="AR2516" s="72"/>
      <c r="AS2516" s="64" t="e">
        <f>IF(AS2512&lt;AS2513,AS2514,AS2515)</f>
        <v>#NUM!</v>
      </c>
      <c r="AT2516" s="44"/>
      <c r="AU2516" s="72"/>
    </row>
    <row r="2517" spans="15:47" ht="13" x14ac:dyDescent="0.3">
      <c r="O2517" s="7" t="s">
        <v>264</v>
      </c>
      <c r="Q2517" s="61"/>
      <c r="R2517" s="53"/>
      <c r="S2517" s="69">
        <f>IFERROR(ABS(C_h-R2516),Q_max*10)</f>
        <v>7.166413483666819</v>
      </c>
      <c r="T2517" s="76">
        <f>R2508</f>
        <v>68.885629806700777</v>
      </c>
      <c r="U2517" s="61"/>
      <c r="V2517" s="69">
        <f>IFERROR(ABS(U$23-U2516),Q_max*10)</f>
        <v>36.926154082102876</v>
      </c>
      <c r="W2517" s="75">
        <f>U2508</f>
        <v>265.11237798451833</v>
      </c>
      <c r="X2517" s="61"/>
      <c r="Y2517" s="69">
        <f>IFERROR(ABS(X$23-X2516),Q_max*10)</f>
        <v>137.35193710562814</v>
      </c>
      <c r="Z2517" s="75">
        <f>X2508</f>
        <v>636.37175883408554</v>
      </c>
      <c r="AA2517" s="61"/>
      <c r="AB2517" s="69">
        <f>IFERROR(ABS(AA$23-AA2516),Q_max*10)</f>
        <v>5500</v>
      </c>
      <c r="AC2517" s="75">
        <f>AA2508</f>
        <v>1215.0669103383725</v>
      </c>
      <c r="AD2517" s="61"/>
      <c r="AE2517" s="69">
        <f>IFERROR(ABS(AD$23-AD2516),Q_max*10)</f>
        <v>5500</v>
      </c>
      <c r="AF2517" s="75">
        <f>AD2508</f>
        <v>1998.3377064120136</v>
      </c>
      <c r="AG2517" s="61"/>
      <c r="AH2517" s="69">
        <f>IFERROR(ABS(AG$23-AG2516),Q_max*10)</f>
        <v>5500</v>
      </c>
      <c r="AI2517" s="75">
        <f>AG2508</f>
        <v>2975.2525385387135</v>
      </c>
      <c r="AJ2517" s="61"/>
      <c r="AK2517" s="69">
        <f>IFERROR(ABS(AJ$23-AJ2516),Q_max*10)</f>
        <v>5500</v>
      </c>
      <c r="AL2517" s="75">
        <f>AJ2508</f>
        <v>3970.4860464464155</v>
      </c>
      <c r="AM2517" s="61"/>
      <c r="AN2517" s="69">
        <f>IFERROR(ABS(AM$23-AM2516),Q_max*10)</f>
        <v>5500</v>
      </c>
      <c r="AO2517" s="75">
        <f>AM2508</f>
        <v>4844.7475276262976</v>
      </c>
      <c r="AP2517" s="61"/>
      <c r="AQ2517" s="69">
        <f>IFERROR(ABS(AP$23-AP2516),Q_max*10)</f>
        <v>5500</v>
      </c>
      <c r="AR2517" s="75">
        <f>AP2508</f>
        <v>5624.601476179686</v>
      </c>
      <c r="AS2517" s="61"/>
      <c r="AT2517" s="69">
        <f>IFERROR(ABS(AS$23-AS2516),Q_max*10)</f>
        <v>5500</v>
      </c>
      <c r="AU2517" s="75">
        <f>AS2508</f>
        <v>6401.3211451552597</v>
      </c>
    </row>
    <row r="2518" spans="15:47" ht="14.5" x14ac:dyDescent="0.35">
      <c r="O2518" s="6"/>
      <c r="P2518" s="6"/>
      <c r="Q2518" s="60"/>
      <c r="R2518" s="67"/>
      <c r="S2518" s="56"/>
      <c r="T2518" s="72"/>
      <c r="V2518" s="11"/>
      <c r="W2518" s="38"/>
      <c r="Y2518" s="11"/>
      <c r="Z2518" s="38"/>
      <c r="AB2518" s="11"/>
      <c r="AC2518" s="38"/>
      <c r="AE2518" s="11"/>
      <c r="AF2518" s="38"/>
      <c r="AH2518" s="11"/>
      <c r="AI2518" s="38"/>
      <c r="AK2518" s="11"/>
      <c r="AL2518" s="38"/>
      <c r="AN2518" s="11"/>
      <c r="AO2518" s="38"/>
      <c r="AQ2518" s="11"/>
      <c r="AR2518" s="38"/>
      <c r="AT2518" s="11"/>
      <c r="AU2518" s="38"/>
    </row>
    <row r="2519" spans="15:47" ht="14" x14ac:dyDescent="0.3">
      <c r="O2519" s="8" t="s">
        <v>235</v>
      </c>
      <c r="P2519" s="6"/>
      <c r="Q2519" s="60"/>
      <c r="R2519" s="53">
        <f>R2508*1.02</f>
        <v>70.263342402834795</v>
      </c>
      <c r="S2519" s="58" t="s">
        <v>238</v>
      </c>
      <c r="T2519" s="73" t="s">
        <v>241</v>
      </c>
      <c r="U2519" s="84">
        <f>U2508*1.01</f>
        <v>267.76350176436353</v>
      </c>
      <c r="V2519" s="58" t="s">
        <v>238</v>
      </c>
      <c r="W2519" s="73" t="s">
        <v>241</v>
      </c>
      <c r="X2519" s="84">
        <f>X2508*1.01</f>
        <v>642.73547642242636</v>
      </c>
      <c r="Y2519" s="58" t="s">
        <v>238</v>
      </c>
      <c r="Z2519" s="73" t="s">
        <v>241</v>
      </c>
      <c r="AA2519" s="84">
        <f>AA2508*1.01</f>
        <v>1227.2175794417562</v>
      </c>
      <c r="AB2519" s="58" t="s">
        <v>238</v>
      </c>
      <c r="AC2519" s="73" t="s">
        <v>241</v>
      </c>
      <c r="AD2519" s="84">
        <f>AD2508*1.01</f>
        <v>2018.3210834761337</v>
      </c>
      <c r="AE2519" s="58" t="s">
        <v>238</v>
      </c>
      <c r="AF2519" s="73" t="s">
        <v>241</v>
      </c>
      <c r="AG2519" s="84">
        <f>AG2508*1.01</f>
        <v>3005.0050639241008</v>
      </c>
      <c r="AH2519" s="58" t="s">
        <v>238</v>
      </c>
      <c r="AI2519" s="73" t="s">
        <v>241</v>
      </c>
      <c r="AJ2519" s="84">
        <f>AJ2508*1.01</f>
        <v>4010.1909069108797</v>
      </c>
      <c r="AK2519" s="58" t="s">
        <v>238</v>
      </c>
      <c r="AL2519" s="73" t="s">
        <v>241</v>
      </c>
      <c r="AM2519" s="84">
        <f>AM2508*1.01</f>
        <v>4893.1950029025602</v>
      </c>
      <c r="AN2519" s="58" t="s">
        <v>238</v>
      </c>
      <c r="AO2519" s="73" t="s">
        <v>241</v>
      </c>
      <c r="AP2519" s="84">
        <f>AP2508*1.01</f>
        <v>5680.8474909414826</v>
      </c>
      <c r="AQ2519" s="58" t="s">
        <v>238</v>
      </c>
      <c r="AR2519" s="73" t="s">
        <v>241</v>
      </c>
      <c r="AS2519" s="84">
        <f>AS2508*1.01</f>
        <v>6465.3343566068124</v>
      </c>
      <c r="AT2519" s="58" t="s">
        <v>238</v>
      </c>
      <c r="AU2519" s="73" t="s">
        <v>241</v>
      </c>
    </row>
    <row r="2520" spans="15:47" ht="13" x14ac:dyDescent="0.25">
      <c r="O2520" s="6"/>
      <c r="P2520" s="6"/>
      <c r="Q2520" s="60"/>
      <c r="R2520" s="70"/>
      <c r="S2520" s="63" t="s">
        <v>250</v>
      </c>
      <c r="T2520" s="71" t="s">
        <v>242</v>
      </c>
      <c r="U2520" s="61"/>
      <c r="V2520" s="63" t="s">
        <v>250</v>
      </c>
      <c r="W2520" s="71" t="s">
        <v>242</v>
      </c>
      <c r="X2520" s="61"/>
      <c r="Y2520" s="63" t="s">
        <v>250</v>
      </c>
      <c r="Z2520" s="71" t="s">
        <v>242</v>
      </c>
      <c r="AA2520" s="61"/>
      <c r="AB2520" s="63" t="s">
        <v>250</v>
      </c>
      <c r="AC2520" s="71" t="s">
        <v>242</v>
      </c>
      <c r="AD2520" s="61"/>
      <c r="AE2520" s="63" t="s">
        <v>250</v>
      </c>
      <c r="AF2520" s="71" t="s">
        <v>242</v>
      </c>
      <c r="AG2520" s="61"/>
      <c r="AH2520" s="63" t="s">
        <v>250</v>
      </c>
      <c r="AI2520" s="71" t="s">
        <v>242</v>
      </c>
      <c r="AJ2520" s="61"/>
      <c r="AK2520" s="63" t="s">
        <v>250</v>
      </c>
      <c r="AL2520" s="71" t="s">
        <v>242</v>
      </c>
      <c r="AM2520" s="61"/>
      <c r="AN2520" s="63" t="s">
        <v>250</v>
      </c>
      <c r="AO2520" s="71" t="s">
        <v>242</v>
      </c>
      <c r="AP2520" s="61"/>
      <c r="AQ2520" s="63" t="s">
        <v>250</v>
      </c>
      <c r="AR2520" s="71" t="s">
        <v>242</v>
      </c>
      <c r="AS2520" s="61"/>
      <c r="AT2520" s="63" t="s">
        <v>250</v>
      </c>
      <c r="AU2520" s="71" t="s">
        <v>242</v>
      </c>
    </row>
    <row r="2521" spans="15:47" ht="13" x14ac:dyDescent="0.3">
      <c r="O2521" s="6" t="s">
        <v>231</v>
      </c>
      <c r="P2521" s="6"/>
      <c r="Q2521" s="60"/>
      <c r="R2521" s="85">
        <f>P_1_minQ-(R2519^2*R_up)+dpup_minQ</f>
        <v>56.749411101465114</v>
      </c>
      <c r="S2521" s="56"/>
      <c r="T2521" s="72"/>
      <c r="U2521" s="53">
        <f>P_1_minQ-(U2519^2*R_up)+dpup_minQ</f>
        <v>54.494755390843828</v>
      </c>
      <c r="V2521" s="44"/>
      <c r="W2521" s="72"/>
      <c r="X2521" s="53">
        <f>P_1_minQ-(X2519^2*R_up)+dpup_minQ</f>
        <v>42.964475087741867</v>
      </c>
      <c r="Y2521" s="44"/>
      <c r="Z2521" s="72"/>
      <c r="AA2521" s="53">
        <f>P_1_minQ-(AA2519^2*R_up)+dpup_minQ</f>
        <v>6.0528204224625695</v>
      </c>
      <c r="AB2521" s="44"/>
      <c r="AC2521" s="72"/>
      <c r="AD2521" s="53">
        <f>P_1_minQ-(AD2519^2*R_up)+dpup_minQ</f>
        <v>-80.659675650262557</v>
      </c>
      <c r="AE2521" s="44"/>
      <c r="AF2521" s="72"/>
      <c r="AG2521" s="53">
        <f>P_1_minQ-(AG2519^2*R_up)+dpup_minQ</f>
        <v>-248.05026795709185</v>
      </c>
      <c r="AH2521" s="44"/>
      <c r="AI2521" s="72"/>
      <c r="AJ2521" s="53">
        <f>P_1_minQ-(AJ2519^2*R_up)+dpup_minQ</f>
        <v>-486.19872036037503</v>
      </c>
      <c r="AK2521" s="44"/>
      <c r="AL2521" s="72"/>
      <c r="AM2521" s="53">
        <f>P_1_minQ-(AM2519^2*R_up)+dpup_minQ</f>
        <v>-751.70788032524774</v>
      </c>
      <c r="AN2521" s="44"/>
      <c r="AO2521" s="72"/>
      <c r="AP2521" s="53">
        <f>P_1_minQ-(AP2519^2*R_up)+dpup_minQ</f>
        <v>-1032.9868698188498</v>
      </c>
      <c r="AQ2521" s="44"/>
      <c r="AR2521" s="72"/>
      <c r="AS2521" s="53">
        <f>P_1_minQ-(AS2519^2*R_up)+dpup_minQ</f>
        <v>-1354.7876171131518</v>
      </c>
      <c r="AT2521" s="44"/>
      <c r="AU2521" s="72"/>
    </row>
    <row r="2522" spans="15:47" ht="13" x14ac:dyDescent="0.3">
      <c r="O2522" s="6" t="s">
        <v>233</v>
      </c>
      <c r="P2522" s="6"/>
      <c r="Q2522" s="60"/>
      <c r="R2522" s="85">
        <f>P_2_minQ+(R2519^2*R_dn)-dpdn_minQ</f>
        <v>24.690117779706977</v>
      </c>
      <c r="S2522" s="66"/>
      <c r="T2522" s="74"/>
      <c r="U2522" s="53">
        <f>P_2_minQ+(U2519^2*R_dn)-dpdn_minQ</f>
        <v>25.141048921831235</v>
      </c>
      <c r="V2522" s="45"/>
      <c r="W2522" s="74"/>
      <c r="X2522" s="53">
        <f>P_2_minQ+(X2519^2*R_dn)-dpdn_minQ</f>
        <v>27.447104982451627</v>
      </c>
      <c r="Y2522" s="45"/>
      <c r="Z2522" s="74"/>
      <c r="AA2522" s="53">
        <f>P_2_minQ+(AA2519^2*R_dn)-dpdn_minQ</f>
        <v>34.829435915507489</v>
      </c>
      <c r="AB2522" s="45"/>
      <c r="AC2522" s="74"/>
      <c r="AD2522" s="53">
        <f>P_2_minQ+(AD2519^2*R_dn)-dpdn_minQ</f>
        <v>52.171935130052518</v>
      </c>
      <c r="AE2522" s="45"/>
      <c r="AF2522" s="74"/>
      <c r="AG2522" s="53">
        <f>P_2_minQ+(AG2519^2*R_dn)-dpdn_minQ</f>
        <v>85.650053591418356</v>
      </c>
      <c r="AH2522" s="45"/>
      <c r="AI2522" s="74"/>
      <c r="AJ2522" s="53">
        <f>P_2_minQ+(AJ2519^2*R_dn)-dpdn_minQ</f>
        <v>133.279744072075</v>
      </c>
      <c r="AK2522" s="45"/>
      <c r="AL2522" s="74"/>
      <c r="AM2522" s="53">
        <f>P_2_minQ+(AM2519^2*R_dn)-dpdn_minQ</f>
        <v>186.38157606504953</v>
      </c>
      <c r="AN2522" s="45"/>
      <c r="AO2522" s="74"/>
      <c r="AP2522" s="53">
        <f>P_2_minQ+(AP2519^2*R_dn)-dpdn_minQ</f>
        <v>242.63737396376993</v>
      </c>
      <c r="AQ2522" s="45"/>
      <c r="AR2522" s="74"/>
      <c r="AS2522" s="53">
        <f>P_2_minQ+(AS2519^2*R_dn)-dpdn_minQ</f>
        <v>306.99752342263031</v>
      </c>
      <c r="AT2522" s="45"/>
      <c r="AU2522" s="74"/>
    </row>
    <row r="2523" spans="15:47" x14ac:dyDescent="0.25">
      <c r="O2523" s="6" t="s">
        <v>243</v>
      </c>
      <c r="Q2523" s="60"/>
      <c r="R2523" s="53">
        <f>R2521-R2522</f>
        <v>32.059293321758133</v>
      </c>
      <c r="S2523" s="56"/>
      <c r="T2523" s="72"/>
      <c r="U2523" s="64">
        <f>U2521-U2522</f>
        <v>29.353706469012593</v>
      </c>
      <c r="V2523" s="44"/>
      <c r="W2523" s="72"/>
      <c r="X2523" s="64">
        <f>X2521-X2522</f>
        <v>15.51737010529024</v>
      </c>
      <c r="Y2523" s="44"/>
      <c r="Z2523" s="72"/>
      <c r="AA2523" s="64">
        <f>AA2521-AA2522</f>
        <v>-28.776615493044918</v>
      </c>
      <c r="AB2523" s="44"/>
      <c r="AC2523" s="72"/>
      <c r="AD2523" s="64">
        <f>AD2521-AD2522</f>
        <v>-132.83161078031509</v>
      </c>
      <c r="AE2523" s="44"/>
      <c r="AF2523" s="72"/>
      <c r="AG2523" s="64">
        <f>AG2521-AG2522</f>
        <v>-333.7003215485102</v>
      </c>
      <c r="AH2523" s="44"/>
      <c r="AI2523" s="72"/>
      <c r="AJ2523" s="64">
        <f>AJ2521-AJ2522</f>
        <v>-619.47846443244998</v>
      </c>
      <c r="AK2523" s="44"/>
      <c r="AL2523" s="72"/>
      <c r="AM2523" s="64">
        <f>AM2521-AM2522</f>
        <v>-938.0894563902973</v>
      </c>
      <c r="AN2523" s="44"/>
      <c r="AO2523" s="72"/>
      <c r="AP2523" s="64">
        <f>AP2521-AP2522</f>
        <v>-1275.6242437826197</v>
      </c>
      <c r="AQ2523" s="44"/>
      <c r="AR2523" s="72"/>
      <c r="AS2523" s="64">
        <f>AS2521-AS2522</f>
        <v>-1661.7851405357821</v>
      </c>
      <c r="AT2523" s="44"/>
      <c r="AU2523" s="72"/>
    </row>
    <row r="2524" spans="15:47" ht="13" x14ac:dyDescent="0.3">
      <c r="O2524" s="6" t="s">
        <v>75</v>
      </c>
      <c r="P2524" s="6">
        <v>3</v>
      </c>
      <c r="Q2524" s="65"/>
      <c r="R2524" s="85">
        <f>(F_LP_h/F_P_h)^2*(R2521-('Valve Sizing'!$V$4*'Valve Sizing'!$G$7))</f>
        <v>46.627100316623462</v>
      </c>
      <c r="S2524" s="58"/>
      <c r="T2524" s="73"/>
      <c r="U2524" s="53">
        <f>(U$29/U$27)^2*(U2521-('Valve Sizing'!$V$4*'Valve Sizing'!$G$7))</f>
        <v>44.74792727995365</v>
      </c>
      <c r="V2524" s="41"/>
      <c r="W2524" s="73"/>
      <c r="X2524" s="53">
        <f>(X$29/X$27)^2*(X2521-('Valve Sizing'!$V$4*'Valve Sizing'!$G$7))</f>
        <v>34.408783949219099</v>
      </c>
      <c r="Y2524" s="41"/>
      <c r="Z2524" s="73"/>
      <c r="AA2524" s="53">
        <f>(AA$29/AA$27)^2*(AA2521-('Valve Sizing'!$V$4*'Valve Sizing'!$G$7))</f>
        <v>4.3375274600224234</v>
      </c>
      <c r="AB2524" s="41"/>
      <c r="AC2524" s="73"/>
      <c r="AD2524" s="53">
        <f>(AD$29/AD$27)^2*(AD2521-('Valve Sizing'!$V$4*'Valve Sizing'!$G$7))</f>
        <v>-58.488106395129947</v>
      </c>
      <c r="AE2524" s="41"/>
      <c r="AF2524" s="73"/>
      <c r="AG2524" s="53">
        <f>(AG$29/AG$27)^2*(AG2521-('Valve Sizing'!$V$4*'Valve Sizing'!$G$7))</f>
        <v>-160.03869114697756</v>
      </c>
      <c r="AH2524" s="41"/>
      <c r="AI2524" s="73"/>
      <c r="AJ2524" s="53">
        <f>(AJ$29/AJ$27)^2*(AJ2521-('Valve Sizing'!$V$4*'Valve Sizing'!$G$7))</f>
        <v>-281.45451339889979</v>
      </c>
      <c r="AK2524" s="41"/>
      <c r="AL2524" s="73"/>
      <c r="AM2524" s="53">
        <f>(AM$29/AM$27)^2*(AM2521-('Valve Sizing'!$V$4*'Valve Sizing'!$G$7))</f>
        <v>-359.88184048705057</v>
      </c>
      <c r="AN2524" s="41"/>
      <c r="AO2524" s="73"/>
      <c r="AP2524" s="53">
        <f>(AP$29/AP$27)^2*(AP2521-('Valve Sizing'!$V$4*'Valve Sizing'!$G$7))</f>
        <v>-407.81798970125311</v>
      </c>
      <c r="AQ2524" s="41"/>
      <c r="AR2524" s="73"/>
      <c r="AS2524" s="53">
        <f>(AS$29/AS$27)^2*(AS2521-('Valve Sizing'!$V$4*'Valve Sizing'!$G$7))</f>
        <v>-509.75641378401622</v>
      </c>
      <c r="AT2524" s="41"/>
      <c r="AU2524" s="73"/>
    </row>
    <row r="2525" spans="15:47" ht="13" x14ac:dyDescent="0.25">
      <c r="O2525" s="1" t="s">
        <v>69</v>
      </c>
      <c r="P2525" s="17">
        <v>7</v>
      </c>
      <c r="Q2525" s="65"/>
      <c r="R2525" s="53">
        <f>(R2519/(N_1*F_P_h))*SQRT('Valve Sizing'!$G$6/R2523)</f>
        <v>12.411245359043447</v>
      </c>
      <c r="S2525" s="58"/>
      <c r="T2525" s="73"/>
      <c r="U2525" s="64">
        <f>(U2519/(N_1*U$27))*SQRT('Valve Sizing'!$G$6/U2523)</f>
        <v>49.46358342204752</v>
      </c>
      <c r="V2525" s="41"/>
      <c r="W2525" s="73"/>
      <c r="X2525" s="64">
        <f>(X2519/(N_1*X$27))*SQRT('Valve Sizing'!$G$6/X2523)</f>
        <v>163.66790759674006</v>
      </c>
      <c r="Y2525" s="41"/>
      <c r="Z2525" s="73"/>
      <c r="AA2525" s="64" t="e">
        <f>(AA2519/(N_1*AA$27))*SQRT('Valve Sizing'!$G$6/AA2523)</f>
        <v>#NUM!</v>
      </c>
      <c r="AB2525" s="41"/>
      <c r="AC2525" s="73"/>
      <c r="AD2525" s="64" t="e">
        <f>(AD2519/(N_1*AD$27))*SQRT('Valve Sizing'!$G$6/AD2523)</f>
        <v>#NUM!</v>
      </c>
      <c r="AE2525" s="41"/>
      <c r="AF2525" s="73"/>
      <c r="AG2525" s="64" t="e">
        <f>(AG2519/(N_1*AG$27))*SQRT('Valve Sizing'!$G$6/AG2523)</f>
        <v>#NUM!</v>
      </c>
      <c r="AH2525" s="41"/>
      <c r="AI2525" s="73"/>
      <c r="AJ2525" s="64" t="e">
        <f>(AJ2519/(N_1*AJ$27))*SQRT('Valve Sizing'!$G$6/AJ2523)</f>
        <v>#NUM!</v>
      </c>
      <c r="AK2525" s="41"/>
      <c r="AL2525" s="73"/>
      <c r="AM2525" s="64" t="e">
        <f>(AM2519/(N_1*AM$27))*SQRT('Valve Sizing'!$G$6/AM2523)</f>
        <v>#NUM!</v>
      </c>
      <c r="AN2525" s="41"/>
      <c r="AO2525" s="73"/>
      <c r="AP2525" s="64" t="e">
        <f>(AP2519/(N_1*AP$27))*SQRT('Valve Sizing'!$G$6/AP2523)</f>
        <v>#NUM!</v>
      </c>
      <c r="AQ2525" s="41"/>
      <c r="AR2525" s="73"/>
      <c r="AS2525" s="64" t="e">
        <f>(AS2519/(N_1*AS$27))*SQRT('Valve Sizing'!$G$6/AS2523)</f>
        <v>#NUM!</v>
      </c>
      <c r="AT2525" s="41"/>
      <c r="AU2525" s="73"/>
    </row>
    <row r="2526" spans="15:47" ht="13" x14ac:dyDescent="0.3">
      <c r="O2526" s="1" t="s">
        <v>72</v>
      </c>
      <c r="P2526" s="17">
        <v>7</v>
      </c>
      <c r="Q2526" s="65"/>
      <c r="R2526" s="53">
        <f>(R2519/(N_1*F_P_h))*SQRT('Valve Sizing'!$G$6/R2524)</f>
        <v>10.291368515877483</v>
      </c>
      <c r="S2526" s="56"/>
      <c r="T2526" s="72"/>
      <c r="U2526" s="85">
        <f>(U2519/(N_1*U$27))*SQRT('Valve Sizing'!$G$6/U2524)</f>
        <v>40.061811911673836</v>
      </c>
      <c r="V2526" s="44"/>
      <c r="W2526" s="72"/>
      <c r="X2526" s="85">
        <f>(X2519/(N_1*X$27))*SQRT('Valve Sizing'!$G$6/X2524)</f>
        <v>109.9101820892362</v>
      </c>
      <c r="Y2526" s="44"/>
      <c r="Z2526" s="72"/>
      <c r="AA2526" s="85">
        <f>(AA2519/(N_1*AA$27))*SQRT('Valve Sizing'!$G$6/AA2524)</f>
        <v>594.47294177503534</v>
      </c>
      <c r="AB2526" s="44"/>
      <c r="AC2526" s="72"/>
      <c r="AD2526" s="85" t="e">
        <f>(AD2519/(N_1*AD$27))*SQRT('Valve Sizing'!$G$6/AD2524)</f>
        <v>#NUM!</v>
      </c>
      <c r="AE2526" s="44"/>
      <c r="AF2526" s="72"/>
      <c r="AG2526" s="85" t="e">
        <f>(AG2519/(N_1*AG$27))*SQRT('Valve Sizing'!$G$6/AG2524)</f>
        <v>#NUM!</v>
      </c>
      <c r="AH2526" s="44"/>
      <c r="AI2526" s="72"/>
      <c r="AJ2526" s="85" t="e">
        <f>(AJ2519/(N_1*AJ$27))*SQRT('Valve Sizing'!$G$6/AJ2524)</f>
        <v>#NUM!</v>
      </c>
      <c r="AK2526" s="44"/>
      <c r="AL2526" s="72"/>
      <c r="AM2526" s="85" t="e">
        <f>(AM2519/(N_1*AM$27))*SQRT('Valve Sizing'!$G$6/AM2524)</f>
        <v>#NUM!</v>
      </c>
      <c r="AN2526" s="44"/>
      <c r="AO2526" s="72"/>
      <c r="AP2526" s="85" t="e">
        <f>(AP2519/(N_1*AP$27))*SQRT('Valve Sizing'!$G$6/AP2524)</f>
        <v>#NUM!</v>
      </c>
      <c r="AQ2526" s="44"/>
      <c r="AR2526" s="72"/>
      <c r="AS2526" s="85" t="e">
        <f>(AS2519/(N_1*AS$27))*SQRT('Valve Sizing'!$G$6/AS2524)</f>
        <v>#NUM!</v>
      </c>
      <c r="AT2526" s="44"/>
      <c r="AU2526" s="72"/>
    </row>
    <row r="2527" spans="15:47" x14ac:dyDescent="0.25">
      <c r="O2527" s="1" t="s">
        <v>246</v>
      </c>
      <c r="P2527" s="18"/>
      <c r="Q2527" s="65"/>
      <c r="R2527" s="53">
        <f>IF(R2523&lt;R2524,R2525,R2526)</f>
        <v>12.411245359043447</v>
      </c>
      <c r="S2527" s="49"/>
      <c r="T2527" s="72"/>
      <c r="U2527" s="64">
        <f>IF(U2523&lt;U2524,U2525,U2526)</f>
        <v>49.46358342204752</v>
      </c>
      <c r="V2527" s="44"/>
      <c r="W2527" s="72"/>
      <c r="X2527" s="64">
        <f>IF(X2523&lt;X2524,X2525,X2526)</f>
        <v>163.66790759674006</v>
      </c>
      <c r="Y2527" s="44"/>
      <c r="Z2527" s="72"/>
      <c r="AA2527" s="64" t="e">
        <f>IF(AA2523&lt;AA2524,AA2525,AA2526)</f>
        <v>#NUM!</v>
      </c>
      <c r="AB2527" s="44"/>
      <c r="AC2527" s="72"/>
      <c r="AD2527" s="64" t="e">
        <f>IF(AD2523&lt;AD2524,AD2525,AD2526)</f>
        <v>#NUM!</v>
      </c>
      <c r="AE2527" s="44"/>
      <c r="AF2527" s="72"/>
      <c r="AG2527" s="64" t="e">
        <f>IF(AG2523&lt;AG2524,AG2525,AG2526)</f>
        <v>#NUM!</v>
      </c>
      <c r="AH2527" s="44"/>
      <c r="AI2527" s="72"/>
      <c r="AJ2527" s="64" t="e">
        <f>IF(AJ2523&lt;AJ2524,AJ2525,AJ2526)</f>
        <v>#NUM!</v>
      </c>
      <c r="AK2527" s="44"/>
      <c r="AL2527" s="72"/>
      <c r="AM2527" s="64" t="e">
        <f>IF(AM2523&lt;AM2524,AM2525,AM2526)</f>
        <v>#NUM!</v>
      </c>
      <c r="AN2527" s="44"/>
      <c r="AO2527" s="72"/>
      <c r="AP2527" s="64" t="e">
        <f>IF(AP2523&lt;AP2524,AP2525,AP2526)</f>
        <v>#NUM!</v>
      </c>
      <c r="AQ2527" s="44"/>
      <c r="AR2527" s="72"/>
      <c r="AS2527" s="64" t="e">
        <f>IF(AS2523&lt;AS2524,AS2525,AS2526)</f>
        <v>#NUM!</v>
      </c>
      <c r="AT2527" s="44"/>
      <c r="AU2527" s="72"/>
    </row>
    <row r="2528" spans="15:47" ht="13" x14ac:dyDescent="0.3">
      <c r="O2528" s="7" t="s">
        <v>264</v>
      </c>
      <c r="Q2528" s="61"/>
      <c r="R2528" s="53"/>
      <c r="S2528" s="69">
        <f>IFERROR(ABS(C_h-R2527),Q_max*10)</f>
        <v>7.4112453590434466</v>
      </c>
      <c r="T2528" s="76">
        <f>R2519</f>
        <v>70.263342402834795</v>
      </c>
      <c r="U2528" s="61"/>
      <c r="V2528" s="69">
        <f>IFERROR(ABS(U$23-U2527),Q_max*10)</f>
        <v>37.46358342204752</v>
      </c>
      <c r="W2528" s="75">
        <f>U2519</f>
        <v>267.76350176436353</v>
      </c>
      <c r="X2528" s="61"/>
      <c r="Y2528" s="69">
        <f>IFERROR(ABS(X$23-X2527),Q_max*10)</f>
        <v>140.66790759674006</v>
      </c>
      <c r="Z2528" s="75">
        <f>X2519</f>
        <v>642.73547642242636</v>
      </c>
      <c r="AA2528" s="61"/>
      <c r="AB2528" s="69">
        <f>IFERROR(ABS(AA$23-AA2527),Q_max*10)</f>
        <v>5500</v>
      </c>
      <c r="AC2528" s="75">
        <f>AA2519</f>
        <v>1227.2175794417562</v>
      </c>
      <c r="AD2528" s="61"/>
      <c r="AE2528" s="69">
        <f>IFERROR(ABS(AD$23-AD2527),Q_max*10)</f>
        <v>5500</v>
      </c>
      <c r="AF2528" s="75">
        <f>AD2519</f>
        <v>2018.3210834761337</v>
      </c>
      <c r="AG2528" s="61"/>
      <c r="AH2528" s="69">
        <f>IFERROR(ABS(AG$23-AG2527),Q_max*10)</f>
        <v>5500</v>
      </c>
      <c r="AI2528" s="75">
        <f>AG2519</f>
        <v>3005.0050639241008</v>
      </c>
      <c r="AJ2528" s="61"/>
      <c r="AK2528" s="69">
        <f>IFERROR(ABS(AJ$23-AJ2527),Q_max*10)</f>
        <v>5500</v>
      </c>
      <c r="AL2528" s="75">
        <f>AJ2519</f>
        <v>4010.1909069108797</v>
      </c>
      <c r="AM2528" s="61"/>
      <c r="AN2528" s="69">
        <f>IFERROR(ABS(AM$23-AM2527),Q_max*10)</f>
        <v>5500</v>
      </c>
      <c r="AO2528" s="75">
        <f>AM2519</f>
        <v>4893.1950029025602</v>
      </c>
      <c r="AP2528" s="61"/>
      <c r="AQ2528" s="69">
        <f>IFERROR(ABS(AP$23-AP2527),Q_max*10)</f>
        <v>5500</v>
      </c>
      <c r="AR2528" s="75">
        <f>AP2519</f>
        <v>5680.8474909414826</v>
      </c>
      <c r="AS2528" s="61"/>
      <c r="AT2528" s="69">
        <f>IFERROR(ABS(AS$23-AS2527),Q_max*10)</f>
        <v>5500</v>
      </c>
      <c r="AU2528" s="75">
        <f>AS2519</f>
        <v>6465.3343566068124</v>
      </c>
    </row>
    <row r="2529" spans="15:47" ht="14.5" x14ac:dyDescent="0.35">
      <c r="O2529" s="6"/>
      <c r="P2529" s="6"/>
      <c r="Q2529" s="60"/>
      <c r="R2529" s="67"/>
      <c r="S2529" s="56"/>
      <c r="T2529" s="72"/>
      <c r="V2529" s="11"/>
      <c r="W2529" s="38"/>
      <c r="Y2529" s="11"/>
      <c r="Z2529" s="38"/>
      <c r="AB2529" s="11"/>
      <c r="AC2529" s="38"/>
      <c r="AE2529" s="11"/>
      <c r="AF2529" s="38"/>
      <c r="AH2529" s="11"/>
      <c r="AI2529" s="38"/>
      <c r="AK2529" s="11"/>
      <c r="AL2529" s="38"/>
      <c r="AN2529" s="11"/>
      <c r="AO2529" s="38"/>
      <c r="AQ2529" s="11"/>
      <c r="AR2529" s="38"/>
      <c r="AT2529" s="11"/>
      <c r="AU2529" s="38"/>
    </row>
    <row r="2530" spans="15:47" ht="14" x14ac:dyDescent="0.3">
      <c r="O2530" s="8" t="s">
        <v>235</v>
      </c>
      <c r="P2530" s="6"/>
      <c r="Q2530" s="60"/>
      <c r="R2530" s="53">
        <f>R2519*1.02</f>
        <v>71.668609250891492</v>
      </c>
      <c r="S2530" s="58" t="s">
        <v>238</v>
      </c>
      <c r="T2530" s="73" t="s">
        <v>241</v>
      </c>
      <c r="U2530" s="84">
        <f>U2519*1.01</f>
        <v>270.44113678200716</v>
      </c>
      <c r="V2530" s="58" t="s">
        <v>238</v>
      </c>
      <c r="W2530" s="73" t="s">
        <v>241</v>
      </c>
      <c r="X2530" s="84">
        <f>X2519*1.01</f>
        <v>649.16283118665058</v>
      </c>
      <c r="Y2530" s="58" t="s">
        <v>238</v>
      </c>
      <c r="Z2530" s="73" t="s">
        <v>241</v>
      </c>
      <c r="AA2530" s="84">
        <f>AA2519*1.01</f>
        <v>1239.4897552361738</v>
      </c>
      <c r="AB2530" s="58" t="s">
        <v>238</v>
      </c>
      <c r="AC2530" s="73" t="s">
        <v>241</v>
      </c>
      <c r="AD2530" s="84">
        <f>AD2519*1.01</f>
        <v>2038.5042943108951</v>
      </c>
      <c r="AE2530" s="58" t="s">
        <v>238</v>
      </c>
      <c r="AF2530" s="73" t="s">
        <v>241</v>
      </c>
      <c r="AG2530" s="84">
        <f>AG2519*1.01</f>
        <v>3035.0551145633417</v>
      </c>
      <c r="AH2530" s="58" t="s">
        <v>238</v>
      </c>
      <c r="AI2530" s="73" t="s">
        <v>241</v>
      </c>
      <c r="AJ2530" s="84">
        <f>AJ2519*1.01</f>
        <v>4050.2928159799885</v>
      </c>
      <c r="AK2530" s="58" t="s">
        <v>238</v>
      </c>
      <c r="AL2530" s="73" t="s">
        <v>241</v>
      </c>
      <c r="AM2530" s="84">
        <f>AM2519*1.01</f>
        <v>4942.1269529315859</v>
      </c>
      <c r="AN2530" s="58" t="s">
        <v>238</v>
      </c>
      <c r="AO2530" s="73" t="s">
        <v>241</v>
      </c>
      <c r="AP2530" s="84">
        <f>AP2519*1.01</f>
        <v>5737.6559658508977</v>
      </c>
      <c r="AQ2530" s="58" t="s">
        <v>238</v>
      </c>
      <c r="AR2530" s="73" t="s">
        <v>241</v>
      </c>
      <c r="AS2530" s="84">
        <f>AS2519*1.01</f>
        <v>6529.987700172881</v>
      </c>
      <c r="AT2530" s="58" t="s">
        <v>238</v>
      </c>
      <c r="AU2530" s="73" t="s">
        <v>241</v>
      </c>
    </row>
    <row r="2531" spans="15:47" ht="13" x14ac:dyDescent="0.25">
      <c r="O2531" s="6"/>
      <c r="P2531" s="6"/>
      <c r="Q2531" s="60"/>
      <c r="R2531" s="70"/>
      <c r="S2531" s="63" t="s">
        <v>250</v>
      </c>
      <c r="T2531" s="71" t="s">
        <v>242</v>
      </c>
      <c r="U2531" s="61"/>
      <c r="V2531" s="63" t="s">
        <v>250</v>
      </c>
      <c r="W2531" s="71" t="s">
        <v>242</v>
      </c>
      <c r="X2531" s="61"/>
      <c r="Y2531" s="63" t="s">
        <v>250</v>
      </c>
      <c r="Z2531" s="71" t="s">
        <v>242</v>
      </c>
      <c r="AA2531" s="61"/>
      <c r="AB2531" s="63" t="s">
        <v>250</v>
      </c>
      <c r="AC2531" s="71" t="s">
        <v>242</v>
      </c>
      <c r="AD2531" s="61"/>
      <c r="AE2531" s="63" t="s">
        <v>250</v>
      </c>
      <c r="AF2531" s="71" t="s">
        <v>242</v>
      </c>
      <c r="AG2531" s="61"/>
      <c r="AH2531" s="63" t="s">
        <v>250</v>
      </c>
      <c r="AI2531" s="71" t="s">
        <v>242</v>
      </c>
      <c r="AJ2531" s="61"/>
      <c r="AK2531" s="63" t="s">
        <v>250</v>
      </c>
      <c r="AL2531" s="71" t="s">
        <v>242</v>
      </c>
      <c r="AM2531" s="61"/>
      <c r="AN2531" s="63" t="s">
        <v>250</v>
      </c>
      <c r="AO2531" s="71" t="s">
        <v>242</v>
      </c>
      <c r="AP2531" s="61"/>
      <c r="AQ2531" s="63" t="s">
        <v>250</v>
      </c>
      <c r="AR2531" s="71" t="s">
        <v>242</v>
      </c>
      <c r="AS2531" s="61"/>
      <c r="AT2531" s="63" t="s">
        <v>250</v>
      </c>
      <c r="AU2531" s="71" t="s">
        <v>242</v>
      </c>
    </row>
    <row r="2532" spans="15:47" ht="13" x14ac:dyDescent="0.3">
      <c r="O2532" s="6" t="s">
        <v>231</v>
      </c>
      <c r="P2532" s="6"/>
      <c r="Q2532" s="60"/>
      <c r="R2532" s="85">
        <f>P_1_minQ-(R2530^2*R_up)+dpup_minQ</f>
        <v>56.74267512489169</v>
      </c>
      <c r="S2532" s="56"/>
      <c r="T2532" s="72"/>
      <c r="U2532" s="53">
        <f>P_1_minQ-(U2530^2*R_up)+dpup_minQ</f>
        <v>54.44608549598297</v>
      </c>
      <c r="V2532" s="44"/>
      <c r="W2532" s="72"/>
      <c r="X2532" s="53">
        <f>P_1_minQ-(X2530^2*R_up)+dpup_minQ</f>
        <v>42.684046558788658</v>
      </c>
      <c r="Y2532" s="44"/>
      <c r="Z2532" s="72"/>
      <c r="AA2532" s="53">
        <f>P_1_minQ-(AA2530^2*R_up)+dpup_minQ</f>
        <v>5.0304676347372519</v>
      </c>
      <c r="AB2532" s="44"/>
      <c r="AC2532" s="72"/>
      <c r="AD2532" s="53">
        <f>P_1_minQ-(AD2530^2*R_up)+dpup_minQ</f>
        <v>-83.424949609049662</v>
      </c>
      <c r="AE2532" s="44"/>
      <c r="AF2532" s="72"/>
      <c r="AG2532" s="53">
        <f>P_1_minQ-(AG2530^2*R_up)+dpup_minQ</f>
        <v>-254.18009282124623</v>
      </c>
      <c r="AH2532" s="44"/>
      <c r="AI2532" s="72"/>
      <c r="AJ2532" s="53">
        <f>P_1_minQ-(AJ2530^2*R_up)+dpup_minQ</f>
        <v>-497.11532911783542</v>
      </c>
      <c r="AK2532" s="44"/>
      <c r="AL2532" s="72"/>
      <c r="AM2532" s="53">
        <f>P_1_minQ-(AM2530^2*R_up)+dpup_minQ</f>
        <v>-767.96122319800213</v>
      </c>
      <c r="AN2532" s="44"/>
      <c r="AO2532" s="72"/>
      <c r="AP2532" s="53">
        <f>P_1_minQ-(AP2530^2*R_up)+dpup_minQ</f>
        <v>-1054.8939203804255</v>
      </c>
      <c r="AQ2532" s="44"/>
      <c r="AR2532" s="72"/>
      <c r="AS2532" s="53">
        <f>P_1_minQ-(AS2530^2*R_up)+dpup_minQ</f>
        <v>-1383.1628626953432</v>
      </c>
      <c r="AT2532" s="44"/>
      <c r="AU2532" s="72"/>
    </row>
    <row r="2533" spans="15:47" ht="13" x14ac:dyDescent="0.3">
      <c r="O2533" s="6" t="s">
        <v>233</v>
      </c>
      <c r="P2533" s="6"/>
      <c r="Q2533" s="60"/>
      <c r="R2533" s="85">
        <f>P_2_minQ+(R2530^2*R_dn)-dpdn_minQ</f>
        <v>24.691464975021663</v>
      </c>
      <c r="S2533" s="66"/>
      <c r="T2533" s="74"/>
      <c r="U2533" s="53">
        <f>P_2_minQ+(U2530^2*R_dn)-dpdn_minQ</f>
        <v>25.150782900803407</v>
      </c>
      <c r="V2533" s="45"/>
      <c r="W2533" s="74"/>
      <c r="X2533" s="53">
        <f>P_2_minQ+(X2530^2*R_dn)-dpdn_minQ</f>
        <v>27.50319068824227</v>
      </c>
      <c r="Y2533" s="45"/>
      <c r="Z2533" s="74"/>
      <c r="AA2533" s="53">
        <f>P_2_minQ+(AA2530^2*R_dn)-dpdn_minQ</f>
        <v>35.033906473052554</v>
      </c>
      <c r="AB2533" s="45"/>
      <c r="AC2533" s="74"/>
      <c r="AD2533" s="53">
        <f>P_2_minQ+(AD2530^2*R_dn)-dpdn_minQ</f>
        <v>52.724989921809936</v>
      </c>
      <c r="AE2533" s="45"/>
      <c r="AF2533" s="74"/>
      <c r="AG2533" s="53">
        <f>P_2_minQ+(AG2530^2*R_dn)-dpdn_minQ</f>
        <v>86.87601856424925</v>
      </c>
      <c r="AH2533" s="45"/>
      <c r="AI2533" s="74"/>
      <c r="AJ2533" s="53">
        <f>P_2_minQ+(AJ2530^2*R_dn)-dpdn_minQ</f>
        <v>135.46306582356706</v>
      </c>
      <c r="AK2533" s="45"/>
      <c r="AL2533" s="74"/>
      <c r="AM2533" s="53">
        <f>P_2_minQ+(AM2530^2*R_dn)-dpdn_minQ</f>
        <v>189.63224463960043</v>
      </c>
      <c r="AN2533" s="45"/>
      <c r="AO2533" s="74"/>
      <c r="AP2533" s="53">
        <f>P_2_minQ+(AP2530^2*R_dn)-dpdn_minQ</f>
        <v>247.0187840760851</v>
      </c>
      <c r="AQ2533" s="45"/>
      <c r="AR2533" s="74"/>
      <c r="AS2533" s="53">
        <f>P_2_minQ+(AS2530^2*R_dn)-dpdn_minQ</f>
        <v>312.6725725390686</v>
      </c>
      <c r="AT2533" s="45"/>
      <c r="AU2533" s="74"/>
    </row>
    <row r="2534" spans="15:47" x14ac:dyDescent="0.25">
      <c r="O2534" s="6" t="s">
        <v>243</v>
      </c>
      <c r="Q2534" s="60"/>
      <c r="R2534" s="53">
        <f>R2532-R2533</f>
        <v>32.05121014987003</v>
      </c>
      <c r="S2534" s="56"/>
      <c r="T2534" s="72"/>
      <c r="U2534" s="64">
        <f>U2532-U2533</f>
        <v>29.295302595179564</v>
      </c>
      <c r="V2534" s="44"/>
      <c r="W2534" s="72"/>
      <c r="X2534" s="64">
        <f>X2532-X2533</f>
        <v>15.180855870546388</v>
      </c>
      <c r="Y2534" s="44"/>
      <c r="Z2534" s="72"/>
      <c r="AA2534" s="64">
        <f>AA2532-AA2533</f>
        <v>-30.003438838315301</v>
      </c>
      <c r="AB2534" s="44"/>
      <c r="AC2534" s="72"/>
      <c r="AD2534" s="64">
        <f>AD2532-AD2533</f>
        <v>-136.1499395308596</v>
      </c>
      <c r="AE2534" s="44"/>
      <c r="AF2534" s="72"/>
      <c r="AG2534" s="64">
        <f>AG2532-AG2533</f>
        <v>-341.05611138549546</v>
      </c>
      <c r="AH2534" s="44"/>
      <c r="AI2534" s="72"/>
      <c r="AJ2534" s="64">
        <f>AJ2532-AJ2533</f>
        <v>-632.57839494140251</v>
      </c>
      <c r="AK2534" s="44"/>
      <c r="AL2534" s="72"/>
      <c r="AM2534" s="64">
        <f>AM2532-AM2533</f>
        <v>-957.59346783760259</v>
      </c>
      <c r="AN2534" s="44"/>
      <c r="AO2534" s="72"/>
      <c r="AP2534" s="64">
        <f>AP2532-AP2533</f>
        <v>-1301.9127044565105</v>
      </c>
      <c r="AQ2534" s="44"/>
      <c r="AR2534" s="72"/>
      <c r="AS2534" s="64">
        <f>AS2532-AS2533</f>
        <v>-1695.8354352344118</v>
      </c>
      <c r="AT2534" s="44"/>
      <c r="AU2534" s="72"/>
    </row>
    <row r="2535" spans="15:47" ht="13" x14ac:dyDescent="0.3">
      <c r="O2535" s="6" t="s">
        <v>75</v>
      </c>
      <c r="P2535" s="6">
        <v>3</v>
      </c>
      <c r="Q2535" s="65"/>
      <c r="R2535" s="85">
        <f>(F_LP_h/F_P_h)^2*(R2532-('Valve Sizing'!$V$4*'Valve Sizing'!$G$7))</f>
        <v>46.621522574449671</v>
      </c>
      <c r="S2535" s="58"/>
      <c r="T2535" s="73"/>
      <c r="U2535" s="53">
        <f>(U$29/U$27)^2*(U2532-('Valve Sizing'!$V$4*'Valve Sizing'!$G$7))</f>
        <v>44.70763703677882</v>
      </c>
      <c r="V2535" s="41"/>
      <c r="W2535" s="73"/>
      <c r="X2535" s="53">
        <f>(X$29/X$27)^2*(X2532-('Valve Sizing'!$V$4*'Valve Sizing'!$G$7))</f>
        <v>34.181874205320135</v>
      </c>
      <c r="Y2535" s="41"/>
      <c r="Z2535" s="73"/>
      <c r="AA2535" s="53">
        <f>(AA$29/AA$27)^2*(AA2532-('Valve Sizing'!$V$4*'Valve Sizing'!$G$7))</f>
        <v>3.5474560664254571</v>
      </c>
      <c r="AB2535" s="41"/>
      <c r="AC2535" s="73"/>
      <c r="AD2535" s="53">
        <f>(AD$29/AD$27)^2*(AD2532-('Valve Sizing'!$V$4*'Valve Sizing'!$G$7))</f>
        <v>-60.482387151598076</v>
      </c>
      <c r="AE2535" s="41"/>
      <c r="AF2535" s="73"/>
      <c r="AG2535" s="53">
        <f>(AG$29/AG$27)^2*(AG2532-('Valve Sizing'!$V$4*'Valve Sizing'!$G$7))</f>
        <v>-163.98656777254797</v>
      </c>
      <c r="AH2535" s="41"/>
      <c r="AI2535" s="73"/>
      <c r="AJ2535" s="53">
        <f>(AJ$29/AJ$27)^2*(AJ2532-('Valve Sizing'!$V$4*'Valve Sizing'!$G$7))</f>
        <v>-287.76829056692475</v>
      </c>
      <c r="AK2535" s="41"/>
      <c r="AL2535" s="73"/>
      <c r="AM2535" s="53">
        <f>(AM$29/AM$27)^2*(AM2532-('Valve Sizing'!$V$4*'Valve Sizing'!$G$7))</f>
        <v>-367.6586123847606</v>
      </c>
      <c r="AN2535" s="41"/>
      <c r="AO2535" s="73"/>
      <c r="AP2535" s="53">
        <f>(AP$29/AP$27)^2*(AP2532-('Valve Sizing'!$V$4*'Valve Sizing'!$G$7))</f>
        <v>-416.46309956114777</v>
      </c>
      <c r="AQ2535" s="41"/>
      <c r="AR2535" s="73"/>
      <c r="AS2535" s="53">
        <f>(AS$29/AS$27)^2*(AS2532-('Valve Sizing'!$V$4*'Valve Sizing'!$G$7))</f>
        <v>-520.42950119019258</v>
      </c>
      <c r="AT2535" s="41"/>
      <c r="AU2535" s="73"/>
    </row>
    <row r="2536" spans="15:47" ht="13" x14ac:dyDescent="0.25">
      <c r="O2536" s="1" t="s">
        <v>69</v>
      </c>
      <c r="P2536" s="17">
        <v>7</v>
      </c>
      <c r="Q2536" s="65"/>
      <c r="R2536" s="53">
        <f>(R2530/(N_1*F_P_h))*SQRT('Valve Sizing'!$G$6/R2534)</f>
        <v>12.661066496488333</v>
      </c>
      <c r="S2536" s="58"/>
      <c r="T2536" s="73"/>
      <c r="U2536" s="64">
        <f>(U2530/(N_1*U$27))*SQRT('Valve Sizing'!$G$6/U2534)</f>
        <v>50.007993460603828</v>
      </c>
      <c r="V2536" s="41"/>
      <c r="W2536" s="73"/>
      <c r="X2536" s="64">
        <f>(X2530/(N_1*X$27))*SQRT('Valve Sizing'!$G$6/X2534)</f>
        <v>167.12669881362919</v>
      </c>
      <c r="Y2536" s="41"/>
      <c r="Z2536" s="73"/>
      <c r="AA2536" s="64" t="e">
        <f>(AA2530/(N_1*AA$27))*SQRT('Valve Sizing'!$G$6/AA2534)</f>
        <v>#NUM!</v>
      </c>
      <c r="AB2536" s="41"/>
      <c r="AC2536" s="73"/>
      <c r="AD2536" s="64" t="e">
        <f>(AD2530/(N_1*AD$27))*SQRT('Valve Sizing'!$G$6/AD2534)</f>
        <v>#NUM!</v>
      </c>
      <c r="AE2536" s="41"/>
      <c r="AF2536" s="73"/>
      <c r="AG2536" s="64" t="e">
        <f>(AG2530/(N_1*AG$27))*SQRT('Valve Sizing'!$G$6/AG2534)</f>
        <v>#NUM!</v>
      </c>
      <c r="AH2536" s="41"/>
      <c r="AI2536" s="73"/>
      <c r="AJ2536" s="64" t="e">
        <f>(AJ2530/(N_1*AJ$27))*SQRT('Valve Sizing'!$G$6/AJ2534)</f>
        <v>#NUM!</v>
      </c>
      <c r="AK2536" s="41"/>
      <c r="AL2536" s="73"/>
      <c r="AM2536" s="64" t="e">
        <f>(AM2530/(N_1*AM$27))*SQRT('Valve Sizing'!$G$6/AM2534)</f>
        <v>#NUM!</v>
      </c>
      <c r="AN2536" s="41"/>
      <c r="AO2536" s="73"/>
      <c r="AP2536" s="64" t="e">
        <f>(AP2530/(N_1*AP$27))*SQRT('Valve Sizing'!$G$6/AP2534)</f>
        <v>#NUM!</v>
      </c>
      <c r="AQ2536" s="41"/>
      <c r="AR2536" s="73"/>
      <c r="AS2536" s="64" t="e">
        <f>(AS2530/(N_1*AS$27))*SQRT('Valve Sizing'!$G$6/AS2534)</f>
        <v>#NUM!</v>
      </c>
      <c r="AT2536" s="41"/>
      <c r="AU2536" s="73"/>
    </row>
    <row r="2537" spans="15:47" ht="13" x14ac:dyDescent="0.3">
      <c r="O2537" s="1" t="s">
        <v>72</v>
      </c>
      <c r="P2537" s="17">
        <v>7</v>
      </c>
      <c r="Q2537" s="65"/>
      <c r="R2537" s="53">
        <f>(R2530/(N_1*F_P_h))*SQRT('Valve Sizing'!$G$6/R2535)</f>
        <v>10.49782380327968</v>
      </c>
      <c r="S2537" s="56"/>
      <c r="T2537" s="72"/>
      <c r="U2537" s="85">
        <f>(U2530/(N_1*U$27))*SQRT('Valve Sizing'!$G$6/U2535)</f>
        <v>40.480658169516275</v>
      </c>
      <c r="V2537" s="44"/>
      <c r="W2537" s="72"/>
      <c r="X2537" s="85">
        <f>(X2530/(N_1*X$27))*SQRT('Valve Sizing'!$G$6/X2535)</f>
        <v>111.37713125211847</v>
      </c>
      <c r="Y2537" s="44"/>
      <c r="Z2537" s="72"/>
      <c r="AA2537" s="85">
        <f>(AA2530/(N_1*AA$27))*SQRT('Valve Sizing'!$G$6/AA2535)</f>
        <v>663.92048907666231</v>
      </c>
      <c r="AB2537" s="44"/>
      <c r="AC2537" s="72"/>
      <c r="AD2537" s="85" t="e">
        <f>(AD2530/(N_1*AD$27))*SQRT('Valve Sizing'!$G$6/AD2535)</f>
        <v>#NUM!</v>
      </c>
      <c r="AE2537" s="44"/>
      <c r="AF2537" s="72"/>
      <c r="AG2537" s="85" t="e">
        <f>(AG2530/(N_1*AG$27))*SQRT('Valve Sizing'!$G$6/AG2535)</f>
        <v>#NUM!</v>
      </c>
      <c r="AH2537" s="44"/>
      <c r="AI2537" s="72"/>
      <c r="AJ2537" s="85" t="e">
        <f>(AJ2530/(N_1*AJ$27))*SQRT('Valve Sizing'!$G$6/AJ2535)</f>
        <v>#NUM!</v>
      </c>
      <c r="AK2537" s="44"/>
      <c r="AL2537" s="72"/>
      <c r="AM2537" s="85" t="e">
        <f>(AM2530/(N_1*AM$27))*SQRT('Valve Sizing'!$G$6/AM2535)</f>
        <v>#NUM!</v>
      </c>
      <c r="AN2537" s="44"/>
      <c r="AO2537" s="72"/>
      <c r="AP2537" s="85" t="e">
        <f>(AP2530/(N_1*AP$27))*SQRT('Valve Sizing'!$G$6/AP2535)</f>
        <v>#NUM!</v>
      </c>
      <c r="AQ2537" s="44"/>
      <c r="AR2537" s="72"/>
      <c r="AS2537" s="85" t="e">
        <f>(AS2530/(N_1*AS$27))*SQRT('Valve Sizing'!$G$6/AS2535)</f>
        <v>#NUM!</v>
      </c>
      <c r="AT2537" s="44"/>
      <c r="AU2537" s="72"/>
    </row>
    <row r="2538" spans="15:47" x14ac:dyDescent="0.25">
      <c r="O2538" s="1" t="s">
        <v>246</v>
      </c>
      <c r="P2538" s="18"/>
      <c r="Q2538" s="65"/>
      <c r="R2538" s="53">
        <f>IF(R2534&lt;R2535,R2536,R2537)</f>
        <v>12.661066496488333</v>
      </c>
      <c r="S2538" s="49"/>
      <c r="T2538" s="72"/>
      <c r="U2538" s="64">
        <f>IF(U2534&lt;U2535,U2536,U2537)</f>
        <v>50.007993460603828</v>
      </c>
      <c r="V2538" s="44"/>
      <c r="W2538" s="72"/>
      <c r="X2538" s="64">
        <f>IF(X2534&lt;X2535,X2536,X2537)</f>
        <v>167.12669881362919</v>
      </c>
      <c r="Y2538" s="44"/>
      <c r="Z2538" s="72"/>
      <c r="AA2538" s="64" t="e">
        <f>IF(AA2534&lt;AA2535,AA2536,AA2537)</f>
        <v>#NUM!</v>
      </c>
      <c r="AB2538" s="44"/>
      <c r="AC2538" s="72"/>
      <c r="AD2538" s="64" t="e">
        <f>IF(AD2534&lt;AD2535,AD2536,AD2537)</f>
        <v>#NUM!</v>
      </c>
      <c r="AE2538" s="44"/>
      <c r="AF2538" s="72"/>
      <c r="AG2538" s="64" t="e">
        <f>IF(AG2534&lt;AG2535,AG2536,AG2537)</f>
        <v>#NUM!</v>
      </c>
      <c r="AH2538" s="44"/>
      <c r="AI2538" s="72"/>
      <c r="AJ2538" s="64" t="e">
        <f>IF(AJ2534&lt;AJ2535,AJ2536,AJ2537)</f>
        <v>#NUM!</v>
      </c>
      <c r="AK2538" s="44"/>
      <c r="AL2538" s="72"/>
      <c r="AM2538" s="64" t="e">
        <f>IF(AM2534&lt;AM2535,AM2536,AM2537)</f>
        <v>#NUM!</v>
      </c>
      <c r="AN2538" s="44"/>
      <c r="AO2538" s="72"/>
      <c r="AP2538" s="64" t="e">
        <f>IF(AP2534&lt;AP2535,AP2536,AP2537)</f>
        <v>#NUM!</v>
      </c>
      <c r="AQ2538" s="44"/>
      <c r="AR2538" s="72"/>
      <c r="AS2538" s="64" t="e">
        <f>IF(AS2534&lt;AS2535,AS2536,AS2537)</f>
        <v>#NUM!</v>
      </c>
      <c r="AT2538" s="44"/>
      <c r="AU2538" s="72"/>
    </row>
    <row r="2539" spans="15:47" ht="13" x14ac:dyDescent="0.3">
      <c r="O2539" s="7" t="s">
        <v>264</v>
      </c>
      <c r="Q2539" s="61"/>
      <c r="R2539" s="53"/>
      <c r="S2539" s="69">
        <f>IFERROR(ABS(C_h-R2538),Q_max*10)</f>
        <v>7.661066496488333</v>
      </c>
      <c r="T2539" s="76">
        <f>R2530</f>
        <v>71.668609250891492</v>
      </c>
      <c r="U2539" s="61"/>
      <c r="V2539" s="69">
        <f>IFERROR(ABS(U$23-U2538),Q_max*10)</f>
        <v>38.007993460603828</v>
      </c>
      <c r="W2539" s="75">
        <f>U2530</f>
        <v>270.44113678200716</v>
      </c>
      <c r="X2539" s="61"/>
      <c r="Y2539" s="69">
        <f>IFERROR(ABS(X$23-X2538),Q_max*10)</f>
        <v>144.12669881362919</v>
      </c>
      <c r="Z2539" s="75">
        <f>X2530</f>
        <v>649.16283118665058</v>
      </c>
      <c r="AA2539" s="61"/>
      <c r="AB2539" s="69">
        <f>IFERROR(ABS(AA$23-AA2538),Q_max*10)</f>
        <v>5500</v>
      </c>
      <c r="AC2539" s="75">
        <f>AA2530</f>
        <v>1239.4897552361738</v>
      </c>
      <c r="AD2539" s="61"/>
      <c r="AE2539" s="69">
        <f>IFERROR(ABS(AD$23-AD2538),Q_max*10)</f>
        <v>5500</v>
      </c>
      <c r="AF2539" s="75">
        <f>AD2530</f>
        <v>2038.5042943108951</v>
      </c>
      <c r="AG2539" s="61"/>
      <c r="AH2539" s="69">
        <f>IFERROR(ABS(AG$23-AG2538),Q_max*10)</f>
        <v>5500</v>
      </c>
      <c r="AI2539" s="75">
        <f>AG2530</f>
        <v>3035.0551145633417</v>
      </c>
      <c r="AJ2539" s="61"/>
      <c r="AK2539" s="69">
        <f>IFERROR(ABS(AJ$23-AJ2538),Q_max*10)</f>
        <v>5500</v>
      </c>
      <c r="AL2539" s="75">
        <f>AJ2530</f>
        <v>4050.2928159799885</v>
      </c>
      <c r="AM2539" s="61"/>
      <c r="AN2539" s="69">
        <f>IFERROR(ABS(AM$23-AM2538),Q_max*10)</f>
        <v>5500</v>
      </c>
      <c r="AO2539" s="75">
        <f>AM2530</f>
        <v>4942.1269529315859</v>
      </c>
      <c r="AP2539" s="61"/>
      <c r="AQ2539" s="69">
        <f>IFERROR(ABS(AP$23-AP2538),Q_max*10)</f>
        <v>5500</v>
      </c>
      <c r="AR2539" s="75">
        <f>AP2530</f>
        <v>5737.6559658508977</v>
      </c>
      <c r="AS2539" s="61"/>
      <c r="AT2539" s="69">
        <f>IFERROR(ABS(AS$23-AS2538),Q_max*10)</f>
        <v>5500</v>
      </c>
      <c r="AU2539" s="75">
        <f>AS2530</f>
        <v>6529.987700172881</v>
      </c>
    </row>
    <row r="2540" spans="15:47" ht="14.5" x14ac:dyDescent="0.35">
      <c r="O2540" s="6"/>
      <c r="P2540" s="6"/>
      <c r="Q2540" s="60"/>
      <c r="R2540" s="67"/>
      <c r="S2540" s="58"/>
      <c r="T2540" s="73"/>
      <c r="V2540" s="11"/>
      <c r="W2540" s="38"/>
      <c r="Y2540" s="11"/>
      <c r="Z2540" s="38"/>
      <c r="AB2540" s="11"/>
      <c r="AC2540" s="38"/>
      <c r="AE2540" s="11"/>
      <c r="AF2540" s="38"/>
      <c r="AH2540" s="11"/>
      <c r="AI2540" s="38"/>
      <c r="AK2540" s="11"/>
      <c r="AL2540" s="38"/>
      <c r="AN2540" s="11"/>
      <c r="AO2540" s="38"/>
      <c r="AQ2540" s="11"/>
      <c r="AR2540" s="38"/>
      <c r="AT2540" s="11"/>
      <c r="AU2540" s="38"/>
    </row>
    <row r="2541" spans="15:47" ht="14" x14ac:dyDescent="0.3">
      <c r="O2541" s="8" t="s">
        <v>235</v>
      </c>
      <c r="P2541" s="6"/>
      <c r="Q2541" s="60"/>
      <c r="R2541" s="53">
        <f>R2530*1.02</f>
        <v>73.101981435909323</v>
      </c>
      <c r="S2541" s="58" t="s">
        <v>238</v>
      </c>
      <c r="T2541" s="73" t="s">
        <v>241</v>
      </c>
      <c r="U2541" s="84">
        <f>U2530*1.01</f>
        <v>273.14554814982722</v>
      </c>
      <c r="V2541" s="58" t="s">
        <v>238</v>
      </c>
      <c r="W2541" s="73" t="s">
        <v>241</v>
      </c>
      <c r="X2541" s="84">
        <f>X2530*1.01</f>
        <v>655.6544594985171</v>
      </c>
      <c r="Y2541" s="58" t="s">
        <v>238</v>
      </c>
      <c r="Z2541" s="73" t="s">
        <v>241</v>
      </c>
      <c r="AA2541" s="84">
        <f>AA2530*1.01</f>
        <v>1251.8846527885355</v>
      </c>
      <c r="AB2541" s="58" t="s">
        <v>238</v>
      </c>
      <c r="AC2541" s="73" t="s">
        <v>241</v>
      </c>
      <c r="AD2541" s="84">
        <f>AD2530*1.01</f>
        <v>2058.8893372540042</v>
      </c>
      <c r="AE2541" s="58" t="s">
        <v>238</v>
      </c>
      <c r="AF2541" s="73" t="s">
        <v>241</v>
      </c>
      <c r="AG2541" s="84">
        <f>AG2530*1.01</f>
        <v>3065.405665708975</v>
      </c>
      <c r="AH2541" s="58" t="s">
        <v>238</v>
      </c>
      <c r="AI2541" s="73" t="s">
        <v>241</v>
      </c>
      <c r="AJ2541" s="84">
        <f>AJ2530*1.01</f>
        <v>4090.7957441397884</v>
      </c>
      <c r="AK2541" s="58" t="s">
        <v>238</v>
      </c>
      <c r="AL2541" s="73" t="s">
        <v>241</v>
      </c>
      <c r="AM2541" s="84">
        <f>AM2530*1.01</f>
        <v>4991.5482224609023</v>
      </c>
      <c r="AN2541" s="58" t="s">
        <v>238</v>
      </c>
      <c r="AO2541" s="73" t="s">
        <v>241</v>
      </c>
      <c r="AP2541" s="84">
        <f>AP2530*1.01</f>
        <v>5795.0325255094067</v>
      </c>
      <c r="AQ2541" s="58" t="s">
        <v>238</v>
      </c>
      <c r="AR2541" s="73" t="s">
        <v>241</v>
      </c>
      <c r="AS2541" s="84">
        <f>AS2530*1.01</f>
        <v>6595.2875771746094</v>
      </c>
      <c r="AT2541" s="58" t="s">
        <v>238</v>
      </c>
      <c r="AU2541" s="73" t="s">
        <v>241</v>
      </c>
    </row>
    <row r="2542" spans="15:47" ht="13" x14ac:dyDescent="0.25">
      <c r="O2542" s="6"/>
      <c r="P2542" s="6"/>
      <c r="Q2542" s="60"/>
      <c r="R2542" s="70"/>
      <c r="S2542" s="63" t="s">
        <v>250</v>
      </c>
      <c r="T2542" s="71" t="s">
        <v>242</v>
      </c>
      <c r="U2542" s="61"/>
      <c r="V2542" s="63" t="s">
        <v>250</v>
      </c>
      <c r="W2542" s="71" t="s">
        <v>242</v>
      </c>
      <c r="X2542" s="61"/>
      <c r="Y2542" s="63" t="s">
        <v>250</v>
      </c>
      <c r="Z2542" s="71" t="s">
        <v>242</v>
      </c>
      <c r="AA2542" s="61"/>
      <c r="AB2542" s="63" t="s">
        <v>250</v>
      </c>
      <c r="AC2542" s="71" t="s">
        <v>242</v>
      </c>
      <c r="AD2542" s="61"/>
      <c r="AE2542" s="63" t="s">
        <v>250</v>
      </c>
      <c r="AF2542" s="71" t="s">
        <v>242</v>
      </c>
      <c r="AG2542" s="61"/>
      <c r="AH2542" s="63" t="s">
        <v>250</v>
      </c>
      <c r="AI2542" s="71" t="s">
        <v>242</v>
      </c>
      <c r="AJ2542" s="61"/>
      <c r="AK2542" s="63" t="s">
        <v>250</v>
      </c>
      <c r="AL2542" s="71" t="s">
        <v>242</v>
      </c>
      <c r="AM2542" s="61"/>
      <c r="AN2542" s="63" t="s">
        <v>250</v>
      </c>
      <c r="AO2542" s="71" t="s">
        <v>242</v>
      </c>
      <c r="AP2542" s="61"/>
      <c r="AQ2542" s="63" t="s">
        <v>250</v>
      </c>
      <c r="AR2542" s="71" t="s">
        <v>242</v>
      </c>
      <c r="AS2542" s="61"/>
      <c r="AT2542" s="63" t="s">
        <v>250</v>
      </c>
      <c r="AU2542" s="71" t="s">
        <v>242</v>
      </c>
    </row>
    <row r="2543" spans="15:47" ht="13" x14ac:dyDescent="0.3">
      <c r="O2543" s="6" t="s">
        <v>231</v>
      </c>
      <c r="P2543" s="6"/>
      <c r="Q2543" s="60"/>
      <c r="R2543" s="85">
        <f>P_1_minQ-(R2541^2*R_up)+dpup_minQ</f>
        <v>56.73566701486471</v>
      </c>
      <c r="S2543" s="56"/>
      <c r="T2543" s="72"/>
      <c r="U2543" s="53">
        <f>P_1_minQ-(U2541^2*R_up)+dpup_minQ</f>
        <v>54.396437336235408</v>
      </c>
      <c r="V2543" s="44"/>
      <c r="W2543" s="72"/>
      <c r="X2543" s="53">
        <f>P_1_minQ-(X2541^2*R_up)+dpup_minQ</f>
        <v>42.397981416403489</v>
      </c>
      <c r="Y2543" s="44"/>
      <c r="Z2543" s="72"/>
      <c r="AA2543" s="53">
        <f>P_1_minQ-(AA2541^2*R_up)+dpup_minQ</f>
        <v>3.9875655559786507</v>
      </c>
      <c r="AB2543" s="44"/>
      <c r="AC2543" s="72"/>
      <c r="AD2543" s="53">
        <f>P_1_minQ-(AD2541^2*R_up)+dpup_minQ</f>
        <v>-86.245805574408422</v>
      </c>
      <c r="AE2543" s="44"/>
      <c r="AF2543" s="72"/>
      <c r="AG2543" s="53">
        <f>P_1_minQ-(AG2541^2*R_up)+dpup_minQ</f>
        <v>-260.43312716517005</v>
      </c>
      <c r="AH2543" s="44"/>
      <c r="AI2543" s="72"/>
      <c r="AJ2543" s="53">
        <f>P_1_minQ-(AJ2541^2*R_up)+dpup_minQ</f>
        <v>-508.25136171132073</v>
      </c>
      <c r="AK2543" s="44"/>
      <c r="AL2543" s="72"/>
      <c r="AM2543" s="53">
        <f>P_1_minQ-(AM2541^2*R_up)+dpup_minQ</f>
        <v>-784.5412582624989</v>
      </c>
      <c r="AN2543" s="44"/>
      <c r="AO2543" s="72"/>
      <c r="AP2543" s="53">
        <f>P_1_minQ-(AP2541^2*R_up)+dpup_minQ</f>
        <v>-1077.241302658289</v>
      </c>
      <c r="AQ2543" s="44"/>
      <c r="AR2543" s="72"/>
      <c r="AS2543" s="53">
        <f>P_1_minQ-(AS2541^2*R_up)+dpup_minQ</f>
        <v>-1412.1084507137364</v>
      </c>
      <c r="AT2543" s="44"/>
      <c r="AU2543" s="72"/>
    </row>
    <row r="2544" spans="15:47" ht="13" x14ac:dyDescent="0.3">
      <c r="O2544" s="6" t="s">
        <v>233</v>
      </c>
      <c r="P2544" s="6"/>
      <c r="Q2544" s="60"/>
      <c r="R2544" s="85">
        <f>P_2_minQ+(R2541^2*R_dn)-dpdn_minQ</f>
        <v>24.692866597027059</v>
      </c>
      <c r="S2544" s="66"/>
      <c r="T2544" s="74"/>
      <c r="U2544" s="53">
        <f>P_2_minQ+(U2541^2*R_dn)-dpdn_minQ</f>
        <v>25.160712532752921</v>
      </c>
      <c r="V2544" s="45"/>
      <c r="W2544" s="74"/>
      <c r="X2544" s="53">
        <f>P_2_minQ+(X2541^2*R_dn)-dpdn_minQ</f>
        <v>27.560403716719303</v>
      </c>
      <c r="Y2544" s="45"/>
      <c r="Z2544" s="74"/>
      <c r="AA2544" s="53">
        <f>P_2_minQ+(AA2541^2*R_dn)-dpdn_minQ</f>
        <v>35.242486888804272</v>
      </c>
      <c r="AB2544" s="45"/>
      <c r="AC2544" s="74"/>
      <c r="AD2544" s="53">
        <f>P_2_minQ+(AD2541^2*R_dn)-dpdn_minQ</f>
        <v>53.289161114881686</v>
      </c>
      <c r="AE2544" s="45"/>
      <c r="AF2544" s="74"/>
      <c r="AG2544" s="53">
        <f>P_2_minQ+(AG2541^2*R_dn)-dpdn_minQ</f>
        <v>88.126625433034008</v>
      </c>
      <c r="AH2544" s="45"/>
      <c r="AI2544" s="74"/>
      <c r="AJ2544" s="53">
        <f>P_2_minQ+(AJ2541^2*R_dn)-dpdn_minQ</f>
        <v>137.69027234226414</v>
      </c>
      <c r="AK2544" s="45"/>
      <c r="AL2544" s="74"/>
      <c r="AM2544" s="53">
        <f>P_2_minQ+(AM2541^2*R_dn)-dpdn_minQ</f>
        <v>192.94825165249981</v>
      </c>
      <c r="AN2544" s="45"/>
      <c r="AO2544" s="74"/>
      <c r="AP2544" s="53">
        <f>P_2_minQ+(AP2541^2*R_dn)-dpdn_minQ</f>
        <v>251.4882605316578</v>
      </c>
      <c r="AQ2544" s="45"/>
      <c r="AR2544" s="74"/>
      <c r="AS2544" s="53">
        <f>P_2_minQ+(AS2541^2*R_dn)-dpdn_minQ</f>
        <v>318.46169014274722</v>
      </c>
      <c r="AT2544" s="45"/>
      <c r="AU2544" s="74"/>
    </row>
    <row r="2545" spans="15:47" x14ac:dyDescent="0.25">
      <c r="O2545" s="6" t="s">
        <v>243</v>
      </c>
      <c r="Q2545" s="60"/>
      <c r="R2545" s="53">
        <f>R2543-R2544</f>
        <v>32.042800417837654</v>
      </c>
      <c r="S2545" s="56"/>
      <c r="T2545" s="72"/>
      <c r="U2545" s="64">
        <f>U2543-U2544</f>
        <v>29.235724803482487</v>
      </c>
      <c r="V2545" s="44"/>
      <c r="W2545" s="72"/>
      <c r="X2545" s="64">
        <f>X2543-X2544</f>
        <v>14.837577699684186</v>
      </c>
      <c r="Y2545" s="44"/>
      <c r="Z2545" s="72"/>
      <c r="AA2545" s="64">
        <f>AA2543-AA2544</f>
        <v>-31.254921332825621</v>
      </c>
      <c r="AB2545" s="44"/>
      <c r="AC2545" s="72"/>
      <c r="AD2545" s="64">
        <f>AD2543-AD2544</f>
        <v>-139.53496668929012</v>
      </c>
      <c r="AE2545" s="44"/>
      <c r="AF2545" s="72"/>
      <c r="AG2545" s="64">
        <f>AG2543-AG2544</f>
        <v>-348.55975259820406</v>
      </c>
      <c r="AH2545" s="44"/>
      <c r="AI2545" s="72"/>
      <c r="AJ2545" s="64">
        <f>AJ2543-AJ2544</f>
        <v>-645.94163405358483</v>
      </c>
      <c r="AK2545" s="44"/>
      <c r="AL2545" s="72"/>
      <c r="AM2545" s="64">
        <f>AM2543-AM2544</f>
        <v>-977.48950991499873</v>
      </c>
      <c r="AN2545" s="44"/>
      <c r="AO2545" s="72"/>
      <c r="AP2545" s="64">
        <f>AP2543-AP2544</f>
        <v>-1328.7295631899467</v>
      </c>
      <c r="AQ2545" s="44"/>
      <c r="AR2545" s="72"/>
      <c r="AS2545" s="64">
        <f>AS2543-AS2544</f>
        <v>-1730.5701408564837</v>
      </c>
      <c r="AT2545" s="44"/>
      <c r="AU2545" s="72"/>
    </row>
    <row r="2546" spans="15:47" ht="13" x14ac:dyDescent="0.3">
      <c r="O2546" s="6" t="s">
        <v>75</v>
      </c>
      <c r="P2546" s="6">
        <v>3</v>
      </c>
      <c r="Q2546" s="65"/>
      <c r="R2546" s="85">
        <f>(F_LP_h/F_P_h)^2*(R2543-('Valve Sizing'!$V$4*'Valve Sizing'!$G$7))</f>
        <v>46.615719491492065</v>
      </c>
      <c r="S2546" s="58"/>
      <c r="T2546" s="73"/>
      <c r="U2546" s="53">
        <f>(U$29/U$27)^2*(U2543-('Valve Sizing'!$V$4*'Valve Sizing'!$G$7))</f>
        <v>44.666536959716176</v>
      </c>
      <c r="V2546" s="41"/>
      <c r="W2546" s="73"/>
      <c r="X2546" s="53">
        <f>(X$29/X$27)^2*(X2543-('Valve Sizing'!$V$4*'Valve Sizing'!$G$7))</f>
        <v>33.950403575568807</v>
      </c>
      <c r="Y2546" s="41"/>
      <c r="Z2546" s="73"/>
      <c r="AA2546" s="53">
        <f>(AA$29/AA$27)^2*(AA2543-('Valve Sizing'!$V$4*'Valve Sizing'!$G$7))</f>
        <v>2.7415042378171877</v>
      </c>
      <c r="AB2546" s="41"/>
      <c r="AC2546" s="73"/>
      <c r="AD2546" s="53">
        <f>(AD$29/AD$27)^2*(AD2543-('Valve Sizing'!$V$4*'Valve Sizing'!$G$7))</f>
        <v>-62.516752951271243</v>
      </c>
      <c r="AE2546" s="41"/>
      <c r="AF2546" s="73"/>
      <c r="AG2546" s="53">
        <f>(AG$29/AG$27)^2*(AG2543-('Valve Sizing'!$V$4*'Valve Sizing'!$G$7))</f>
        <v>-168.0137967182923</v>
      </c>
      <c r="AH2546" s="41"/>
      <c r="AI2546" s="73"/>
      <c r="AJ2546" s="53">
        <f>(AJ$29/AJ$27)^2*(AJ2543-('Valve Sizing'!$V$4*'Valve Sizing'!$G$7))</f>
        <v>-294.20897465602701</v>
      </c>
      <c r="AK2546" s="41"/>
      <c r="AL2546" s="73"/>
      <c r="AM2546" s="53">
        <f>(AM$29/AM$27)^2*(AM2543-('Valve Sizing'!$V$4*'Valve Sizing'!$G$7))</f>
        <v>-375.59169739761467</v>
      </c>
      <c r="AN2546" s="41"/>
      <c r="AO2546" s="73"/>
      <c r="AP2546" s="53">
        <f>(AP$29/AP$27)^2*(AP2543-('Valve Sizing'!$V$4*'Valve Sizing'!$G$7))</f>
        <v>-425.28197612922634</v>
      </c>
      <c r="AQ2546" s="41"/>
      <c r="AR2546" s="73"/>
      <c r="AS2546" s="53">
        <f>(AS$29/AS$27)^2*(AS2543-('Valve Sizing'!$V$4*'Valve Sizing'!$G$7))</f>
        <v>-531.31711765323303</v>
      </c>
      <c r="AT2546" s="41"/>
      <c r="AU2546" s="73"/>
    </row>
    <row r="2547" spans="15:47" ht="13" x14ac:dyDescent="0.25">
      <c r="O2547" s="1" t="s">
        <v>69</v>
      </c>
      <c r="P2547" s="17">
        <v>7</v>
      </c>
      <c r="Q2547" s="65"/>
      <c r="R2547" s="53">
        <f>(R2541/(N_1*F_P_h))*SQRT('Valve Sizing'!$G$6/R2545)</f>
        <v>12.915982412620812</v>
      </c>
      <c r="S2547" s="58"/>
      <c r="T2547" s="73"/>
      <c r="U2547" s="64">
        <f>(U2541/(N_1*U$27))*SQRT('Valve Sizing'!$G$6/U2545)</f>
        <v>50.559510943073931</v>
      </c>
      <c r="V2547" s="41"/>
      <c r="W2547" s="73"/>
      <c r="X2547" s="64">
        <f>(X2541/(N_1*X$27))*SQRT('Valve Sizing'!$G$6/X2545)</f>
        <v>170.73943266131826</v>
      </c>
      <c r="Y2547" s="41"/>
      <c r="Z2547" s="73"/>
      <c r="AA2547" s="64" t="e">
        <f>(AA2541/(N_1*AA$27))*SQRT('Valve Sizing'!$G$6/AA2545)</f>
        <v>#NUM!</v>
      </c>
      <c r="AB2547" s="41"/>
      <c r="AC2547" s="73"/>
      <c r="AD2547" s="64" t="e">
        <f>(AD2541/(N_1*AD$27))*SQRT('Valve Sizing'!$G$6/AD2545)</f>
        <v>#NUM!</v>
      </c>
      <c r="AE2547" s="41"/>
      <c r="AF2547" s="73"/>
      <c r="AG2547" s="64" t="e">
        <f>(AG2541/(N_1*AG$27))*SQRT('Valve Sizing'!$G$6/AG2545)</f>
        <v>#NUM!</v>
      </c>
      <c r="AH2547" s="41"/>
      <c r="AI2547" s="73"/>
      <c r="AJ2547" s="64" t="e">
        <f>(AJ2541/(N_1*AJ$27))*SQRT('Valve Sizing'!$G$6/AJ2545)</f>
        <v>#NUM!</v>
      </c>
      <c r="AK2547" s="41"/>
      <c r="AL2547" s="73"/>
      <c r="AM2547" s="64" t="e">
        <f>(AM2541/(N_1*AM$27))*SQRT('Valve Sizing'!$G$6/AM2545)</f>
        <v>#NUM!</v>
      </c>
      <c r="AN2547" s="41"/>
      <c r="AO2547" s="73"/>
      <c r="AP2547" s="64" t="e">
        <f>(AP2541/(N_1*AP$27))*SQRT('Valve Sizing'!$G$6/AP2545)</f>
        <v>#NUM!</v>
      </c>
      <c r="AQ2547" s="41"/>
      <c r="AR2547" s="73"/>
      <c r="AS2547" s="64" t="e">
        <f>(AS2541/(N_1*AS$27))*SQRT('Valve Sizing'!$G$6/AS2545)</f>
        <v>#NUM!</v>
      </c>
      <c r="AT2547" s="41"/>
      <c r="AU2547" s="73"/>
    </row>
    <row r="2548" spans="15:47" ht="13" x14ac:dyDescent="0.3">
      <c r="O2548" s="1" t="s">
        <v>72</v>
      </c>
      <c r="P2548" s="17">
        <v>7</v>
      </c>
      <c r="Q2548" s="65"/>
      <c r="R2548" s="53">
        <f>(R2541/(N_1*F_P_h))*SQRT('Valve Sizing'!$G$6/R2546)</f>
        <v>10.708446751987902</v>
      </c>
      <c r="S2548" s="56"/>
      <c r="T2548" s="72"/>
      <c r="U2548" s="85">
        <f>(U2541/(N_1*U$27))*SQRT('Valve Sizing'!$G$6/U2546)</f>
        <v>40.904270880906502</v>
      </c>
      <c r="V2548" s="44"/>
      <c r="W2548" s="72"/>
      <c r="X2548" s="85">
        <f>(X2541/(N_1*X$27))*SQRT('Valve Sizing'!$G$6/X2546)</f>
        <v>112.87372730663097</v>
      </c>
      <c r="Y2548" s="44"/>
      <c r="Z2548" s="72"/>
      <c r="AA2548" s="85">
        <f>(AA2541/(N_1*AA$27))*SQRT('Valve Sizing'!$G$6/AA2546)</f>
        <v>762.78386392604614</v>
      </c>
      <c r="AB2548" s="44"/>
      <c r="AC2548" s="72"/>
      <c r="AD2548" s="85" t="e">
        <f>(AD2541/(N_1*AD$27))*SQRT('Valve Sizing'!$G$6/AD2546)</f>
        <v>#NUM!</v>
      </c>
      <c r="AE2548" s="44"/>
      <c r="AF2548" s="72"/>
      <c r="AG2548" s="85" t="e">
        <f>(AG2541/(N_1*AG$27))*SQRT('Valve Sizing'!$G$6/AG2546)</f>
        <v>#NUM!</v>
      </c>
      <c r="AH2548" s="44"/>
      <c r="AI2548" s="72"/>
      <c r="AJ2548" s="85" t="e">
        <f>(AJ2541/(N_1*AJ$27))*SQRT('Valve Sizing'!$G$6/AJ2546)</f>
        <v>#NUM!</v>
      </c>
      <c r="AK2548" s="44"/>
      <c r="AL2548" s="72"/>
      <c r="AM2548" s="85" t="e">
        <f>(AM2541/(N_1*AM$27))*SQRT('Valve Sizing'!$G$6/AM2546)</f>
        <v>#NUM!</v>
      </c>
      <c r="AN2548" s="44"/>
      <c r="AO2548" s="72"/>
      <c r="AP2548" s="85" t="e">
        <f>(AP2541/(N_1*AP$27))*SQRT('Valve Sizing'!$G$6/AP2546)</f>
        <v>#NUM!</v>
      </c>
      <c r="AQ2548" s="44"/>
      <c r="AR2548" s="72"/>
      <c r="AS2548" s="85" t="e">
        <f>(AS2541/(N_1*AS$27))*SQRT('Valve Sizing'!$G$6/AS2546)</f>
        <v>#NUM!</v>
      </c>
      <c r="AT2548" s="44"/>
      <c r="AU2548" s="72"/>
    </row>
    <row r="2549" spans="15:47" x14ac:dyDescent="0.25">
      <c r="O2549" s="1" t="s">
        <v>246</v>
      </c>
      <c r="P2549" s="18"/>
      <c r="Q2549" s="65"/>
      <c r="R2549" s="53">
        <f>IF(R2545&lt;R2546,R2547,R2548)</f>
        <v>12.915982412620812</v>
      </c>
      <c r="S2549" s="49"/>
      <c r="T2549" s="72"/>
      <c r="U2549" s="64">
        <f>IF(U2545&lt;U2546,U2547,U2548)</f>
        <v>50.559510943073931</v>
      </c>
      <c r="V2549" s="44"/>
      <c r="W2549" s="72"/>
      <c r="X2549" s="64">
        <f>IF(X2545&lt;X2546,X2547,X2548)</f>
        <v>170.73943266131826</v>
      </c>
      <c r="Y2549" s="44"/>
      <c r="Z2549" s="72"/>
      <c r="AA2549" s="64" t="e">
        <f>IF(AA2545&lt;AA2546,AA2547,AA2548)</f>
        <v>#NUM!</v>
      </c>
      <c r="AB2549" s="44"/>
      <c r="AC2549" s="72"/>
      <c r="AD2549" s="64" t="e">
        <f>IF(AD2545&lt;AD2546,AD2547,AD2548)</f>
        <v>#NUM!</v>
      </c>
      <c r="AE2549" s="44"/>
      <c r="AF2549" s="72"/>
      <c r="AG2549" s="64" t="e">
        <f>IF(AG2545&lt;AG2546,AG2547,AG2548)</f>
        <v>#NUM!</v>
      </c>
      <c r="AH2549" s="44"/>
      <c r="AI2549" s="72"/>
      <c r="AJ2549" s="64" t="e">
        <f>IF(AJ2545&lt;AJ2546,AJ2547,AJ2548)</f>
        <v>#NUM!</v>
      </c>
      <c r="AK2549" s="44"/>
      <c r="AL2549" s="72"/>
      <c r="AM2549" s="64" t="e">
        <f>IF(AM2545&lt;AM2546,AM2547,AM2548)</f>
        <v>#NUM!</v>
      </c>
      <c r="AN2549" s="44"/>
      <c r="AO2549" s="72"/>
      <c r="AP2549" s="64" t="e">
        <f>IF(AP2545&lt;AP2546,AP2547,AP2548)</f>
        <v>#NUM!</v>
      </c>
      <c r="AQ2549" s="44"/>
      <c r="AR2549" s="72"/>
      <c r="AS2549" s="64" t="e">
        <f>IF(AS2545&lt;AS2546,AS2547,AS2548)</f>
        <v>#NUM!</v>
      </c>
      <c r="AT2549" s="44"/>
      <c r="AU2549" s="72"/>
    </row>
    <row r="2550" spans="15:47" ht="13" x14ac:dyDescent="0.3">
      <c r="O2550" s="7" t="s">
        <v>264</v>
      </c>
      <c r="Q2550" s="61"/>
      <c r="R2550" s="53"/>
      <c r="S2550" s="69">
        <f>IFERROR(ABS(C_h-R2549),Q_max*10)</f>
        <v>7.9159824126208118</v>
      </c>
      <c r="T2550" s="76">
        <f>R2541</f>
        <v>73.101981435909323</v>
      </c>
      <c r="U2550" s="61"/>
      <c r="V2550" s="69">
        <f>IFERROR(ABS(U$23-U2549),Q_max*10)</f>
        <v>38.559510943073931</v>
      </c>
      <c r="W2550" s="75">
        <f>U2541</f>
        <v>273.14554814982722</v>
      </c>
      <c r="X2550" s="61"/>
      <c r="Y2550" s="69">
        <f>IFERROR(ABS(X$23-X2549),Q_max*10)</f>
        <v>147.73943266131826</v>
      </c>
      <c r="Z2550" s="75">
        <f>X2541</f>
        <v>655.6544594985171</v>
      </c>
      <c r="AA2550" s="61"/>
      <c r="AB2550" s="69">
        <f>IFERROR(ABS(AA$23-AA2549),Q_max*10)</f>
        <v>5500</v>
      </c>
      <c r="AC2550" s="75">
        <f>AA2541</f>
        <v>1251.8846527885355</v>
      </c>
      <c r="AD2550" s="61"/>
      <c r="AE2550" s="69">
        <f>IFERROR(ABS(AD$23-AD2549),Q_max*10)</f>
        <v>5500</v>
      </c>
      <c r="AF2550" s="75">
        <f>AD2541</f>
        <v>2058.8893372540042</v>
      </c>
      <c r="AG2550" s="61"/>
      <c r="AH2550" s="69">
        <f>IFERROR(ABS(AG$23-AG2549),Q_max*10)</f>
        <v>5500</v>
      </c>
      <c r="AI2550" s="75">
        <f>AG2541</f>
        <v>3065.405665708975</v>
      </c>
      <c r="AJ2550" s="61"/>
      <c r="AK2550" s="69">
        <f>IFERROR(ABS(AJ$23-AJ2549),Q_max*10)</f>
        <v>5500</v>
      </c>
      <c r="AL2550" s="75">
        <f>AJ2541</f>
        <v>4090.7957441397884</v>
      </c>
      <c r="AM2550" s="61"/>
      <c r="AN2550" s="69">
        <f>IFERROR(ABS(AM$23-AM2549),Q_max*10)</f>
        <v>5500</v>
      </c>
      <c r="AO2550" s="75">
        <f>AM2541</f>
        <v>4991.5482224609023</v>
      </c>
      <c r="AP2550" s="61"/>
      <c r="AQ2550" s="69">
        <f>IFERROR(ABS(AP$23-AP2549),Q_max*10)</f>
        <v>5500</v>
      </c>
      <c r="AR2550" s="75">
        <f>AP2541</f>
        <v>5795.0325255094067</v>
      </c>
      <c r="AS2550" s="61"/>
      <c r="AT2550" s="69">
        <f>IFERROR(ABS(AS$23-AS2549),Q_max*10)</f>
        <v>5500</v>
      </c>
      <c r="AU2550" s="75">
        <f>AS2541</f>
        <v>6595.2875771746094</v>
      </c>
    </row>
    <row r="2551" spans="15:47" ht="14.5" x14ac:dyDescent="0.35">
      <c r="O2551" s="8"/>
      <c r="P2551" s="6"/>
      <c r="Q2551" s="60"/>
      <c r="R2551" s="67"/>
      <c r="S2551" s="56"/>
      <c r="T2551" s="72"/>
      <c r="V2551" s="11"/>
      <c r="W2551" s="38"/>
      <c r="Y2551" s="11"/>
      <c r="Z2551" s="38"/>
      <c r="AB2551" s="11"/>
      <c r="AC2551" s="38"/>
      <c r="AE2551" s="11"/>
      <c r="AF2551" s="38"/>
      <c r="AH2551" s="11"/>
      <c r="AI2551" s="38"/>
      <c r="AK2551" s="11"/>
      <c r="AL2551" s="38"/>
      <c r="AN2551" s="11"/>
      <c r="AO2551" s="38"/>
      <c r="AQ2551" s="11"/>
      <c r="AR2551" s="38"/>
      <c r="AT2551" s="11"/>
      <c r="AU2551" s="38"/>
    </row>
    <row r="2552" spans="15:47" ht="14" x14ac:dyDescent="0.3">
      <c r="O2552" s="8" t="s">
        <v>235</v>
      </c>
      <c r="P2552" s="6"/>
      <c r="Q2552" s="60"/>
      <c r="R2552" s="53">
        <f>R2541*1.02</f>
        <v>74.564021064627511</v>
      </c>
      <c r="S2552" s="58" t="s">
        <v>238</v>
      </c>
      <c r="T2552" s="73" t="s">
        <v>241</v>
      </c>
      <c r="U2552" s="84">
        <f>U2541*1.01</f>
        <v>275.87700363132552</v>
      </c>
      <c r="V2552" s="58" t="s">
        <v>238</v>
      </c>
      <c r="W2552" s="73" t="s">
        <v>241</v>
      </c>
      <c r="X2552" s="84">
        <f>X2541*1.01</f>
        <v>662.21100409350231</v>
      </c>
      <c r="Y2552" s="58" t="s">
        <v>238</v>
      </c>
      <c r="Z2552" s="73" t="s">
        <v>241</v>
      </c>
      <c r="AA2552" s="84">
        <f>AA2541*1.01</f>
        <v>1264.4034993164209</v>
      </c>
      <c r="AB2552" s="58" t="s">
        <v>238</v>
      </c>
      <c r="AC2552" s="73" t="s">
        <v>241</v>
      </c>
      <c r="AD2552" s="84">
        <f>AD2541*1.01</f>
        <v>2079.4782306265442</v>
      </c>
      <c r="AE2552" s="58" t="s">
        <v>238</v>
      </c>
      <c r="AF2552" s="73" t="s">
        <v>241</v>
      </c>
      <c r="AG2552" s="84">
        <f>AG2541*1.01</f>
        <v>3096.0597223660648</v>
      </c>
      <c r="AH2552" s="58" t="s">
        <v>238</v>
      </c>
      <c r="AI2552" s="73" t="s">
        <v>241</v>
      </c>
      <c r="AJ2552" s="84">
        <f>AJ2541*1.01</f>
        <v>4131.7037015811866</v>
      </c>
      <c r="AK2552" s="58" t="s">
        <v>238</v>
      </c>
      <c r="AL2552" s="73" t="s">
        <v>241</v>
      </c>
      <c r="AM2552" s="84">
        <f>AM2541*1.01</f>
        <v>5041.4637046855114</v>
      </c>
      <c r="AN2552" s="58" t="s">
        <v>238</v>
      </c>
      <c r="AO2552" s="73" t="s">
        <v>241</v>
      </c>
      <c r="AP2552" s="84">
        <f>AP2541*1.01</f>
        <v>5852.9828507645007</v>
      </c>
      <c r="AQ2552" s="58" t="s">
        <v>238</v>
      </c>
      <c r="AR2552" s="73" t="s">
        <v>241</v>
      </c>
      <c r="AS2552" s="84">
        <f>AS2541*1.01</f>
        <v>6661.2404529463556</v>
      </c>
      <c r="AT2552" s="58" t="s">
        <v>238</v>
      </c>
      <c r="AU2552" s="73" t="s">
        <v>241</v>
      </c>
    </row>
    <row r="2553" spans="15:47" ht="13" x14ac:dyDescent="0.25">
      <c r="O2553" s="6"/>
      <c r="P2553" s="6"/>
      <c r="Q2553" s="60"/>
      <c r="R2553" s="70"/>
      <c r="S2553" s="63" t="s">
        <v>250</v>
      </c>
      <c r="T2553" s="71" t="s">
        <v>242</v>
      </c>
      <c r="U2553" s="61"/>
      <c r="V2553" s="63" t="s">
        <v>250</v>
      </c>
      <c r="W2553" s="71" t="s">
        <v>242</v>
      </c>
      <c r="X2553" s="61"/>
      <c r="Y2553" s="63" t="s">
        <v>250</v>
      </c>
      <c r="Z2553" s="71" t="s">
        <v>242</v>
      </c>
      <c r="AA2553" s="61"/>
      <c r="AB2553" s="63" t="s">
        <v>250</v>
      </c>
      <c r="AC2553" s="71" t="s">
        <v>242</v>
      </c>
      <c r="AD2553" s="61"/>
      <c r="AE2553" s="63" t="s">
        <v>250</v>
      </c>
      <c r="AF2553" s="71" t="s">
        <v>242</v>
      </c>
      <c r="AG2553" s="61"/>
      <c r="AH2553" s="63" t="s">
        <v>250</v>
      </c>
      <c r="AI2553" s="71" t="s">
        <v>242</v>
      </c>
      <c r="AJ2553" s="61"/>
      <c r="AK2553" s="63" t="s">
        <v>250</v>
      </c>
      <c r="AL2553" s="71" t="s">
        <v>242</v>
      </c>
      <c r="AM2553" s="61"/>
      <c r="AN2553" s="63" t="s">
        <v>250</v>
      </c>
      <c r="AO2553" s="71" t="s">
        <v>242</v>
      </c>
      <c r="AP2553" s="61"/>
      <c r="AQ2553" s="63" t="s">
        <v>250</v>
      </c>
      <c r="AR2553" s="71" t="s">
        <v>242</v>
      </c>
      <c r="AS2553" s="61"/>
      <c r="AT2553" s="63" t="s">
        <v>250</v>
      </c>
      <c r="AU2553" s="71" t="s">
        <v>242</v>
      </c>
    </row>
    <row r="2554" spans="15:47" ht="13" x14ac:dyDescent="0.3">
      <c r="O2554" s="6" t="s">
        <v>231</v>
      </c>
      <c r="P2554" s="6"/>
      <c r="Q2554" s="60"/>
      <c r="R2554" s="85">
        <f>P_1_minQ-(R2552^2*R_up)+dpup_minQ</f>
        <v>56.728375777192632</v>
      </c>
      <c r="S2554" s="56"/>
      <c r="T2554" s="72"/>
      <c r="U2554" s="53">
        <f>P_1_minQ-(U2552^2*R_up)+dpup_minQ</f>
        <v>54.345791248476921</v>
      </c>
      <c r="V2554" s="44"/>
      <c r="W2554" s="72"/>
      <c r="X2554" s="53">
        <f>P_1_minQ-(X2552^2*R_up)+dpup_minQ</f>
        <v>42.106166364656382</v>
      </c>
      <c r="Y2554" s="44"/>
      <c r="Z2554" s="72"/>
      <c r="AA2554" s="53">
        <f>P_1_minQ-(AA2552^2*R_up)+dpup_minQ</f>
        <v>2.9237011454369961</v>
      </c>
      <c r="AB2554" s="44"/>
      <c r="AC2554" s="72"/>
      <c r="AD2554" s="53">
        <f>P_1_minQ-(AD2552^2*R_up)+dpup_minQ</f>
        <v>-89.123360744670805</v>
      </c>
      <c r="AE2554" s="44"/>
      <c r="AF2554" s="72"/>
      <c r="AG2554" s="53">
        <f>P_1_minQ-(AG2552^2*R_up)+dpup_minQ</f>
        <v>-266.81184749940678</v>
      </c>
      <c r="AH2554" s="44"/>
      <c r="AI2554" s="72"/>
      <c r="AJ2554" s="53">
        <f>P_1_minQ-(AJ2552^2*R_up)+dpup_minQ</f>
        <v>-519.61122855993517</v>
      </c>
      <c r="AK2554" s="44"/>
      <c r="AL2554" s="72"/>
      <c r="AM2554" s="53">
        <f>P_1_minQ-(AM2552^2*R_up)+dpup_minQ</f>
        <v>-801.45455203179199</v>
      </c>
      <c r="AN2554" s="44"/>
      <c r="AO2554" s="72"/>
      <c r="AP2554" s="53">
        <f>P_1_minQ-(AP2552^2*R_up)+dpup_minQ</f>
        <v>-1100.0378673199373</v>
      </c>
      <c r="AQ2554" s="44"/>
      <c r="AR2554" s="72"/>
      <c r="AS2554" s="53">
        <f>P_1_minQ-(AS2552^2*R_up)+dpup_minQ</f>
        <v>-1441.6358450512992</v>
      </c>
      <c r="AT2554" s="44"/>
      <c r="AU2554" s="72"/>
    </row>
    <row r="2555" spans="15:47" ht="13" x14ac:dyDescent="0.3">
      <c r="O2555" s="6" t="s">
        <v>233</v>
      </c>
      <c r="P2555" s="6"/>
      <c r="Q2555" s="60"/>
      <c r="R2555" s="85">
        <f>P_2_minQ+(R2552^2*R_dn)-dpdn_minQ</f>
        <v>24.694324844561475</v>
      </c>
      <c r="S2555" s="66"/>
      <c r="T2555" s="74"/>
      <c r="U2555" s="53">
        <f>P_2_minQ+(U2552^2*R_dn)-dpdn_minQ</f>
        <v>25.170841750304618</v>
      </c>
      <c r="V2555" s="45"/>
      <c r="W2555" s="74"/>
      <c r="X2555" s="53">
        <f>P_2_minQ+(X2552^2*R_dn)-dpdn_minQ</f>
        <v>27.618766727068724</v>
      </c>
      <c r="Y2555" s="45"/>
      <c r="Z2555" s="74"/>
      <c r="AA2555" s="53">
        <f>P_2_minQ+(AA2552^2*R_dn)-dpdn_minQ</f>
        <v>35.455259770912605</v>
      </c>
      <c r="AB2555" s="45"/>
      <c r="AC2555" s="74"/>
      <c r="AD2555" s="53">
        <f>P_2_minQ+(AD2552^2*R_dn)-dpdn_minQ</f>
        <v>53.864672148934169</v>
      </c>
      <c r="AE2555" s="45"/>
      <c r="AF2555" s="74"/>
      <c r="AG2555" s="53">
        <f>P_2_minQ+(AG2552^2*R_dn)-dpdn_minQ</f>
        <v>89.402369499881345</v>
      </c>
      <c r="AH2555" s="45"/>
      <c r="AI2555" s="74"/>
      <c r="AJ2555" s="53">
        <f>P_2_minQ+(AJ2552^2*R_dn)-dpdn_minQ</f>
        <v>139.96224571198704</v>
      </c>
      <c r="AK2555" s="45"/>
      <c r="AL2555" s="74"/>
      <c r="AM2555" s="53">
        <f>P_2_minQ+(AM2552^2*R_dn)-dpdn_minQ</f>
        <v>196.33091040635841</v>
      </c>
      <c r="AN2555" s="45"/>
      <c r="AO2555" s="74"/>
      <c r="AP2555" s="53">
        <f>P_2_minQ+(AP2552^2*R_dn)-dpdn_minQ</f>
        <v>256.04757346398742</v>
      </c>
      <c r="AQ2555" s="45"/>
      <c r="AR2555" s="74"/>
      <c r="AS2555" s="53">
        <f>P_2_minQ+(AS2552^2*R_dn)-dpdn_minQ</f>
        <v>324.36716901025977</v>
      </c>
      <c r="AT2555" s="45"/>
      <c r="AU2555" s="74"/>
    </row>
    <row r="2556" spans="15:47" x14ac:dyDescent="0.25">
      <c r="O2556" s="6" t="s">
        <v>243</v>
      </c>
      <c r="Q2556" s="60"/>
      <c r="R2556" s="53">
        <f>R2554-R2555</f>
        <v>32.03405093263116</v>
      </c>
      <c r="S2556" s="56"/>
      <c r="T2556" s="72"/>
      <c r="U2556" s="64">
        <f>U2554-U2555</f>
        <v>29.174949498172303</v>
      </c>
      <c r="V2556" s="44"/>
      <c r="W2556" s="72"/>
      <c r="X2556" s="64">
        <f>X2554-X2555</f>
        <v>14.487399637587657</v>
      </c>
      <c r="Y2556" s="44"/>
      <c r="Z2556" s="72"/>
      <c r="AA2556" s="64">
        <f>AA2554-AA2555</f>
        <v>-32.531558625475611</v>
      </c>
      <c r="AB2556" s="44"/>
      <c r="AC2556" s="72"/>
      <c r="AD2556" s="64">
        <f>AD2554-AD2555</f>
        <v>-142.98803289360498</v>
      </c>
      <c r="AE2556" s="44"/>
      <c r="AF2556" s="72"/>
      <c r="AG2556" s="64">
        <f>AG2554-AG2555</f>
        <v>-356.21421699928811</v>
      </c>
      <c r="AH2556" s="44"/>
      <c r="AI2556" s="72"/>
      <c r="AJ2556" s="64">
        <f>AJ2554-AJ2555</f>
        <v>-659.57347427192224</v>
      </c>
      <c r="AK2556" s="44"/>
      <c r="AL2556" s="72"/>
      <c r="AM2556" s="64">
        <f>AM2554-AM2555</f>
        <v>-997.78546243815038</v>
      </c>
      <c r="AN2556" s="44"/>
      <c r="AO2556" s="72"/>
      <c r="AP2556" s="64">
        <f>AP2554-AP2555</f>
        <v>-1356.0854407839247</v>
      </c>
      <c r="AQ2556" s="44"/>
      <c r="AR2556" s="72"/>
      <c r="AS2556" s="64">
        <f>AS2554-AS2555</f>
        <v>-1766.003014061559</v>
      </c>
      <c r="AT2556" s="44"/>
      <c r="AU2556" s="72"/>
    </row>
    <row r="2557" spans="15:47" ht="13" x14ac:dyDescent="0.3">
      <c r="O2557" s="6" t="s">
        <v>75</v>
      </c>
      <c r="P2557" s="6">
        <v>3</v>
      </c>
      <c r="Q2557" s="65"/>
      <c r="R2557" s="85">
        <f>(F_LP_h/F_P_h)^2*(R2554-('Valve Sizing'!$V$4*'Valve Sizing'!$G$7))</f>
        <v>46.609681963982965</v>
      </c>
      <c r="S2557" s="58"/>
      <c r="T2557" s="73"/>
      <c r="U2557" s="53">
        <f>(U$29/U$27)^2*(U2554-('Valve Sizing'!$V$4*'Valve Sizing'!$G$7))</f>
        <v>44.624610771104571</v>
      </c>
      <c r="V2557" s="41"/>
      <c r="W2557" s="73"/>
      <c r="X2557" s="53">
        <f>(X$29/X$27)^2*(X2554-('Valve Sizing'!$V$4*'Valve Sizing'!$G$7))</f>
        <v>33.71428038615948</v>
      </c>
      <c r="Y2557" s="41"/>
      <c r="Z2557" s="73"/>
      <c r="AA2557" s="53">
        <f>(AA$29/AA$27)^2*(AA2554-('Valve Sizing'!$V$4*'Valve Sizing'!$G$7))</f>
        <v>1.9193527774538879</v>
      </c>
      <c r="AB2557" s="41"/>
      <c r="AC2557" s="73"/>
      <c r="AD2557" s="53">
        <f>(AD$29/AD$27)^2*(AD2554-('Valve Sizing'!$V$4*'Valve Sizing'!$G$7))</f>
        <v>-64.592009503517772</v>
      </c>
      <c r="AE2557" s="41"/>
      <c r="AF2557" s="73"/>
      <c r="AG2557" s="53">
        <f>(AG$29/AG$27)^2*(AG2554-('Valve Sizing'!$V$4*'Valve Sizing'!$G$7))</f>
        <v>-172.12197296584611</v>
      </c>
      <c r="AH2557" s="41"/>
      <c r="AI2557" s="73"/>
      <c r="AJ2557" s="53">
        <f>(AJ$29/AJ$27)^2*(AJ2554-('Valve Sizing'!$V$4*'Valve Sizing'!$G$7))</f>
        <v>-300.77911649532024</v>
      </c>
      <c r="AK2557" s="41"/>
      <c r="AL2557" s="73"/>
      <c r="AM2557" s="53">
        <f>(AM$29/AM$27)^2*(AM2554-('Valve Sizing'!$V$4*'Valve Sizing'!$G$7))</f>
        <v>-383.68423741922709</v>
      </c>
      <c r="AN2557" s="41"/>
      <c r="AO2557" s="73"/>
      <c r="AP2557" s="53">
        <f>(AP$29/AP$27)^2*(AP2554-('Valve Sizing'!$V$4*'Valve Sizing'!$G$7))</f>
        <v>-434.27811211632326</v>
      </c>
      <c r="AQ2557" s="41"/>
      <c r="AR2557" s="73"/>
      <c r="AS2557" s="53">
        <f>(AS$29/AS$27)^2*(AS2554-('Valve Sizing'!$V$4*'Valve Sizing'!$G$7))</f>
        <v>-542.42357520718053</v>
      </c>
      <c r="AT2557" s="41"/>
      <c r="AU2557" s="73"/>
    </row>
    <row r="2558" spans="15:47" ht="13" x14ac:dyDescent="0.25">
      <c r="O2558" s="1" t="s">
        <v>69</v>
      </c>
      <c r="P2558" s="17">
        <v>7</v>
      </c>
      <c r="Q2558" s="65"/>
      <c r="R2558" s="53">
        <f>(R2552/(N_1*F_P_h))*SQRT('Valve Sizing'!$G$6/R2556)</f>
        <v>13.17610109171498</v>
      </c>
      <c r="S2558" s="58"/>
      <c r="T2558" s="73"/>
      <c r="U2558" s="64">
        <f>(U2552/(N_1*U$27))*SQRT('Valve Sizing'!$G$6/U2556)</f>
        <v>51.118266090414387</v>
      </c>
      <c r="V2558" s="41"/>
      <c r="W2558" s="73"/>
      <c r="X2558" s="64">
        <f>(X2552/(N_1*X$27))*SQRT('Valve Sizing'!$G$6/X2556)</f>
        <v>174.51850770436107</v>
      </c>
      <c r="Y2558" s="41"/>
      <c r="Z2558" s="73"/>
      <c r="AA2558" s="64" t="e">
        <f>(AA2552/(N_1*AA$27))*SQRT('Valve Sizing'!$G$6/AA2556)</f>
        <v>#NUM!</v>
      </c>
      <c r="AB2558" s="41"/>
      <c r="AC2558" s="73"/>
      <c r="AD2558" s="64" t="e">
        <f>(AD2552/(N_1*AD$27))*SQRT('Valve Sizing'!$G$6/AD2556)</f>
        <v>#NUM!</v>
      </c>
      <c r="AE2558" s="41"/>
      <c r="AF2558" s="73"/>
      <c r="AG2558" s="64" t="e">
        <f>(AG2552/(N_1*AG$27))*SQRT('Valve Sizing'!$G$6/AG2556)</f>
        <v>#NUM!</v>
      </c>
      <c r="AH2558" s="41"/>
      <c r="AI2558" s="73"/>
      <c r="AJ2558" s="64" t="e">
        <f>(AJ2552/(N_1*AJ$27))*SQRT('Valve Sizing'!$G$6/AJ2556)</f>
        <v>#NUM!</v>
      </c>
      <c r="AK2558" s="41"/>
      <c r="AL2558" s="73"/>
      <c r="AM2558" s="64" t="e">
        <f>(AM2552/(N_1*AM$27))*SQRT('Valve Sizing'!$G$6/AM2556)</f>
        <v>#NUM!</v>
      </c>
      <c r="AN2558" s="41"/>
      <c r="AO2558" s="73"/>
      <c r="AP2558" s="64" t="e">
        <f>(AP2552/(N_1*AP$27))*SQRT('Valve Sizing'!$G$6/AP2556)</f>
        <v>#NUM!</v>
      </c>
      <c r="AQ2558" s="41"/>
      <c r="AR2558" s="73"/>
      <c r="AS2558" s="64" t="e">
        <f>(AS2552/(N_1*AS$27))*SQRT('Valve Sizing'!$G$6/AS2556)</f>
        <v>#NUM!</v>
      </c>
      <c r="AT2558" s="41"/>
      <c r="AU2558" s="73"/>
    </row>
    <row r="2559" spans="15:47" ht="13" x14ac:dyDescent="0.3">
      <c r="O2559" s="1" t="s">
        <v>72</v>
      </c>
      <c r="P2559" s="17">
        <v>7</v>
      </c>
      <c r="Q2559" s="65"/>
      <c r="R2559" s="53">
        <f>(R2552/(N_1*F_P_h))*SQRT('Valve Sizing'!$G$6/R2557)</f>
        <v>10.923323087877616</v>
      </c>
      <c r="S2559" s="56"/>
      <c r="T2559" s="72"/>
      <c r="U2559" s="85">
        <f>(U2552/(N_1*U$27))*SQRT('Valve Sizing'!$G$6/U2557)</f>
        <v>41.332716595100607</v>
      </c>
      <c r="V2559" s="44"/>
      <c r="W2559" s="72"/>
      <c r="X2559" s="85">
        <f>(X2552/(N_1*X$27))*SQRT('Valve Sizing'!$G$6/X2557)</f>
        <v>114.40098498955588</v>
      </c>
      <c r="Y2559" s="44"/>
      <c r="Z2559" s="72"/>
      <c r="AA2559" s="85">
        <f>(AA2552/(N_1*AA$27))*SQRT('Valve Sizing'!$G$6/AA2557)</f>
        <v>920.74618723142999</v>
      </c>
      <c r="AB2559" s="44"/>
      <c r="AC2559" s="72"/>
      <c r="AD2559" s="85" t="e">
        <f>(AD2552/(N_1*AD$27))*SQRT('Valve Sizing'!$G$6/AD2557)</f>
        <v>#NUM!</v>
      </c>
      <c r="AE2559" s="44"/>
      <c r="AF2559" s="72"/>
      <c r="AG2559" s="85" t="e">
        <f>(AG2552/(N_1*AG$27))*SQRT('Valve Sizing'!$G$6/AG2557)</f>
        <v>#NUM!</v>
      </c>
      <c r="AH2559" s="44"/>
      <c r="AI2559" s="72"/>
      <c r="AJ2559" s="85" t="e">
        <f>(AJ2552/(N_1*AJ$27))*SQRT('Valve Sizing'!$G$6/AJ2557)</f>
        <v>#NUM!</v>
      </c>
      <c r="AK2559" s="44"/>
      <c r="AL2559" s="72"/>
      <c r="AM2559" s="85" t="e">
        <f>(AM2552/(N_1*AM$27))*SQRT('Valve Sizing'!$G$6/AM2557)</f>
        <v>#NUM!</v>
      </c>
      <c r="AN2559" s="44"/>
      <c r="AO2559" s="72"/>
      <c r="AP2559" s="85" t="e">
        <f>(AP2552/(N_1*AP$27))*SQRT('Valve Sizing'!$G$6/AP2557)</f>
        <v>#NUM!</v>
      </c>
      <c r="AQ2559" s="44"/>
      <c r="AR2559" s="72"/>
      <c r="AS2559" s="85" t="e">
        <f>(AS2552/(N_1*AS$27))*SQRT('Valve Sizing'!$G$6/AS2557)</f>
        <v>#NUM!</v>
      </c>
      <c r="AT2559" s="44"/>
      <c r="AU2559" s="72"/>
    </row>
    <row r="2560" spans="15:47" x14ac:dyDescent="0.25">
      <c r="O2560" s="1" t="s">
        <v>246</v>
      </c>
      <c r="P2560" s="18"/>
      <c r="Q2560" s="65"/>
      <c r="R2560" s="53">
        <f>IF(R2556&lt;R2557,R2558,R2559)</f>
        <v>13.17610109171498</v>
      </c>
      <c r="S2560" s="49"/>
      <c r="T2560" s="72"/>
      <c r="U2560" s="64">
        <f>IF(U2556&lt;U2557,U2558,U2559)</f>
        <v>51.118266090414387</v>
      </c>
      <c r="V2560" s="44"/>
      <c r="W2560" s="72"/>
      <c r="X2560" s="64">
        <f>IF(X2556&lt;X2557,X2558,X2559)</f>
        <v>174.51850770436107</v>
      </c>
      <c r="Y2560" s="44"/>
      <c r="Z2560" s="72"/>
      <c r="AA2560" s="64" t="e">
        <f>IF(AA2556&lt;AA2557,AA2558,AA2559)</f>
        <v>#NUM!</v>
      </c>
      <c r="AB2560" s="44"/>
      <c r="AC2560" s="72"/>
      <c r="AD2560" s="64" t="e">
        <f>IF(AD2556&lt;AD2557,AD2558,AD2559)</f>
        <v>#NUM!</v>
      </c>
      <c r="AE2560" s="44"/>
      <c r="AF2560" s="72"/>
      <c r="AG2560" s="64" t="e">
        <f>IF(AG2556&lt;AG2557,AG2558,AG2559)</f>
        <v>#NUM!</v>
      </c>
      <c r="AH2560" s="44"/>
      <c r="AI2560" s="72"/>
      <c r="AJ2560" s="64" t="e">
        <f>IF(AJ2556&lt;AJ2557,AJ2558,AJ2559)</f>
        <v>#NUM!</v>
      </c>
      <c r="AK2560" s="44"/>
      <c r="AL2560" s="72"/>
      <c r="AM2560" s="64" t="e">
        <f>IF(AM2556&lt;AM2557,AM2558,AM2559)</f>
        <v>#NUM!</v>
      </c>
      <c r="AN2560" s="44"/>
      <c r="AO2560" s="72"/>
      <c r="AP2560" s="64" t="e">
        <f>IF(AP2556&lt;AP2557,AP2558,AP2559)</f>
        <v>#NUM!</v>
      </c>
      <c r="AQ2560" s="44"/>
      <c r="AR2560" s="72"/>
      <c r="AS2560" s="64" t="e">
        <f>IF(AS2556&lt;AS2557,AS2558,AS2559)</f>
        <v>#NUM!</v>
      </c>
      <c r="AT2560" s="44"/>
      <c r="AU2560" s="72"/>
    </row>
    <row r="2561" spans="15:47" ht="13" x14ac:dyDescent="0.3">
      <c r="O2561" s="7" t="s">
        <v>264</v>
      </c>
      <c r="Q2561" s="61"/>
      <c r="R2561" s="53"/>
      <c r="S2561" s="69">
        <f>IFERROR(ABS(C_h-R2560),Q_max*10)</f>
        <v>8.1761010917149797</v>
      </c>
      <c r="T2561" s="76">
        <f>R2552</f>
        <v>74.564021064627511</v>
      </c>
      <c r="U2561" s="61"/>
      <c r="V2561" s="69">
        <f>IFERROR(ABS(U$23-U2560),Q_max*10)</f>
        <v>39.118266090414387</v>
      </c>
      <c r="W2561" s="75">
        <f>U2552</f>
        <v>275.87700363132552</v>
      </c>
      <c r="X2561" s="61"/>
      <c r="Y2561" s="69">
        <f>IFERROR(ABS(X$23-X2560),Q_max*10)</f>
        <v>151.51850770436107</v>
      </c>
      <c r="Z2561" s="75">
        <f>X2552</f>
        <v>662.21100409350231</v>
      </c>
      <c r="AA2561" s="61"/>
      <c r="AB2561" s="69">
        <f>IFERROR(ABS(AA$23-AA2560),Q_max*10)</f>
        <v>5500</v>
      </c>
      <c r="AC2561" s="75">
        <f>AA2552</f>
        <v>1264.4034993164209</v>
      </c>
      <c r="AD2561" s="61"/>
      <c r="AE2561" s="69">
        <f>IFERROR(ABS(AD$23-AD2560),Q_max*10)</f>
        <v>5500</v>
      </c>
      <c r="AF2561" s="75">
        <f>AD2552</f>
        <v>2079.4782306265442</v>
      </c>
      <c r="AG2561" s="61"/>
      <c r="AH2561" s="69">
        <f>IFERROR(ABS(AG$23-AG2560),Q_max*10)</f>
        <v>5500</v>
      </c>
      <c r="AI2561" s="75">
        <f>AG2552</f>
        <v>3096.0597223660648</v>
      </c>
      <c r="AJ2561" s="61"/>
      <c r="AK2561" s="69">
        <f>IFERROR(ABS(AJ$23-AJ2560),Q_max*10)</f>
        <v>5500</v>
      </c>
      <c r="AL2561" s="75">
        <f>AJ2552</f>
        <v>4131.7037015811866</v>
      </c>
      <c r="AM2561" s="61"/>
      <c r="AN2561" s="69">
        <f>IFERROR(ABS(AM$23-AM2560),Q_max*10)</f>
        <v>5500</v>
      </c>
      <c r="AO2561" s="75">
        <f>AM2552</f>
        <v>5041.4637046855114</v>
      </c>
      <c r="AP2561" s="61"/>
      <c r="AQ2561" s="69">
        <f>IFERROR(ABS(AP$23-AP2560),Q_max*10)</f>
        <v>5500</v>
      </c>
      <c r="AR2561" s="75">
        <f>AP2552</f>
        <v>5852.9828507645007</v>
      </c>
      <c r="AS2561" s="61"/>
      <c r="AT2561" s="69">
        <f>IFERROR(ABS(AS$23-AS2560),Q_max*10)</f>
        <v>5500</v>
      </c>
      <c r="AU2561" s="75">
        <f>AS2552</f>
        <v>6661.2404529463556</v>
      </c>
    </row>
    <row r="2562" spans="15:47" ht="14.5" x14ac:dyDescent="0.35">
      <c r="O2562" s="6"/>
      <c r="P2562" s="6"/>
      <c r="Q2562" s="60"/>
      <c r="R2562" s="67"/>
      <c r="S2562" s="66"/>
      <c r="T2562" s="74"/>
      <c r="V2562" s="11"/>
      <c r="W2562" s="38"/>
      <c r="Y2562" s="11"/>
      <c r="Z2562" s="38"/>
      <c r="AB2562" s="11"/>
      <c r="AC2562" s="38"/>
      <c r="AE2562" s="11"/>
      <c r="AF2562" s="38"/>
      <c r="AH2562" s="11"/>
      <c r="AI2562" s="38"/>
      <c r="AK2562" s="11"/>
      <c r="AL2562" s="38"/>
      <c r="AN2562" s="11"/>
      <c r="AO2562" s="38"/>
      <c r="AQ2562" s="11"/>
      <c r="AR2562" s="38"/>
      <c r="AT2562" s="11"/>
      <c r="AU2562" s="38"/>
    </row>
    <row r="2563" spans="15:47" ht="14" x14ac:dyDescent="0.3">
      <c r="O2563" s="8" t="s">
        <v>235</v>
      </c>
      <c r="P2563" s="6"/>
      <c r="Q2563" s="60"/>
      <c r="R2563" s="53">
        <f>R2552*1.02</f>
        <v>76.055301485920069</v>
      </c>
      <c r="S2563" s="58" t="s">
        <v>238</v>
      </c>
      <c r="T2563" s="73" t="s">
        <v>241</v>
      </c>
      <c r="U2563" s="84">
        <f>U2552*1.01</f>
        <v>278.63577366763877</v>
      </c>
      <c r="V2563" s="58" t="s">
        <v>238</v>
      </c>
      <c r="W2563" s="73" t="s">
        <v>241</v>
      </c>
      <c r="X2563" s="84">
        <f>X2552*1.01</f>
        <v>668.83311413443732</v>
      </c>
      <c r="Y2563" s="58" t="s">
        <v>238</v>
      </c>
      <c r="Z2563" s="73" t="s">
        <v>241</v>
      </c>
      <c r="AA2563" s="84">
        <f>AA2552*1.01</f>
        <v>1277.0475343095852</v>
      </c>
      <c r="AB2563" s="58" t="s">
        <v>238</v>
      </c>
      <c r="AC2563" s="73" t="s">
        <v>241</v>
      </c>
      <c r="AD2563" s="84">
        <f>AD2552*1.01</f>
        <v>2100.2730129328097</v>
      </c>
      <c r="AE2563" s="58" t="s">
        <v>238</v>
      </c>
      <c r="AF2563" s="73" t="s">
        <v>241</v>
      </c>
      <c r="AG2563" s="84">
        <f>AG2552*1.01</f>
        <v>3127.0203195897257</v>
      </c>
      <c r="AH2563" s="58" t="s">
        <v>238</v>
      </c>
      <c r="AI2563" s="73" t="s">
        <v>241</v>
      </c>
      <c r="AJ2563" s="84">
        <f>AJ2552*1.01</f>
        <v>4173.0207385969989</v>
      </c>
      <c r="AK2563" s="58" t="s">
        <v>238</v>
      </c>
      <c r="AL2563" s="73" t="s">
        <v>241</v>
      </c>
      <c r="AM2563" s="84">
        <f>AM2552*1.01</f>
        <v>5091.8783417323666</v>
      </c>
      <c r="AN2563" s="58" t="s">
        <v>238</v>
      </c>
      <c r="AO2563" s="73" t="s">
        <v>241</v>
      </c>
      <c r="AP2563" s="84">
        <f>AP2552*1.01</f>
        <v>5911.5126792721458</v>
      </c>
      <c r="AQ2563" s="58" t="s">
        <v>238</v>
      </c>
      <c r="AR2563" s="73" t="s">
        <v>241</v>
      </c>
      <c r="AS2563" s="84">
        <f>AS2552*1.01</f>
        <v>6727.8528574758193</v>
      </c>
      <c r="AT2563" s="58" t="s">
        <v>238</v>
      </c>
      <c r="AU2563" s="73" t="s">
        <v>241</v>
      </c>
    </row>
    <row r="2564" spans="15:47" ht="13" x14ac:dyDescent="0.25">
      <c r="O2564" s="6"/>
      <c r="P2564" s="6"/>
      <c r="Q2564" s="60"/>
      <c r="R2564" s="70"/>
      <c r="S2564" s="63" t="s">
        <v>250</v>
      </c>
      <c r="T2564" s="71" t="s">
        <v>242</v>
      </c>
      <c r="U2564" s="61"/>
      <c r="V2564" s="63" t="s">
        <v>250</v>
      </c>
      <c r="W2564" s="71" t="s">
        <v>242</v>
      </c>
      <c r="X2564" s="61"/>
      <c r="Y2564" s="63" t="s">
        <v>250</v>
      </c>
      <c r="Z2564" s="71" t="s">
        <v>242</v>
      </c>
      <c r="AA2564" s="61"/>
      <c r="AB2564" s="63" t="s">
        <v>250</v>
      </c>
      <c r="AC2564" s="71" t="s">
        <v>242</v>
      </c>
      <c r="AD2564" s="61"/>
      <c r="AE2564" s="63" t="s">
        <v>250</v>
      </c>
      <c r="AF2564" s="71" t="s">
        <v>242</v>
      </c>
      <c r="AG2564" s="61"/>
      <c r="AH2564" s="63" t="s">
        <v>250</v>
      </c>
      <c r="AI2564" s="71" t="s">
        <v>242</v>
      </c>
      <c r="AJ2564" s="61"/>
      <c r="AK2564" s="63" t="s">
        <v>250</v>
      </c>
      <c r="AL2564" s="71" t="s">
        <v>242</v>
      </c>
      <c r="AM2564" s="61"/>
      <c r="AN2564" s="63" t="s">
        <v>250</v>
      </c>
      <c r="AO2564" s="71" t="s">
        <v>242</v>
      </c>
      <c r="AP2564" s="61"/>
      <c r="AQ2564" s="63" t="s">
        <v>250</v>
      </c>
      <c r="AR2564" s="71" t="s">
        <v>242</v>
      </c>
      <c r="AS2564" s="61"/>
      <c r="AT2564" s="63" t="s">
        <v>250</v>
      </c>
      <c r="AU2564" s="71" t="s">
        <v>242</v>
      </c>
    </row>
    <row r="2565" spans="15:47" ht="13" x14ac:dyDescent="0.3">
      <c r="O2565" s="6" t="s">
        <v>231</v>
      </c>
      <c r="P2565" s="6"/>
      <c r="Q2565" s="60"/>
      <c r="R2565" s="85">
        <f>P_1_minQ-(R2563^2*R_up)+dpup_minQ</f>
        <v>56.720789973518599</v>
      </c>
      <c r="S2565" s="56"/>
      <c r="T2565" s="72"/>
      <c r="U2565" s="53">
        <f>P_1_minQ-(U2563^2*R_up)+dpup_minQ</f>
        <v>54.294127174354486</v>
      </c>
      <c r="V2565" s="44"/>
      <c r="W2565" s="72"/>
      <c r="X2565" s="53">
        <f>P_1_minQ-(X2563^2*R_up)+dpup_minQ</f>
        <v>41.808485830369158</v>
      </c>
      <c r="Y2565" s="44"/>
      <c r="Z2565" s="72"/>
      <c r="AA2565" s="53">
        <f>P_1_minQ-(AA2563^2*R_up)+dpup_minQ</f>
        <v>1.838453060243455</v>
      </c>
      <c r="AB2565" s="44"/>
      <c r="AC2565" s="72"/>
      <c r="AD2565" s="53">
        <f>P_1_minQ-(AD2563^2*R_up)+dpup_minQ</f>
        <v>-92.058754773855526</v>
      </c>
      <c r="AE2565" s="44"/>
      <c r="AF2565" s="72"/>
      <c r="AG2565" s="53">
        <f>P_1_minQ-(AG2563^2*R_up)+dpup_minQ</f>
        <v>-273.31878011236171</v>
      </c>
      <c r="AH2565" s="44"/>
      <c r="AI2565" s="72"/>
      <c r="AJ2565" s="53">
        <f>P_1_minQ-(AJ2563^2*R_up)+dpup_minQ</f>
        <v>-531.1994287322068</v>
      </c>
      <c r="AK2565" s="44"/>
      <c r="AL2565" s="72"/>
      <c r="AM2565" s="53">
        <f>P_1_minQ-(AM2563^2*R_up)+dpup_minQ</f>
        <v>-818.70780300584795</v>
      </c>
      <c r="AN2565" s="44"/>
      <c r="AO2565" s="72"/>
      <c r="AP2565" s="53">
        <f>P_1_minQ-(AP2563^2*R_up)+dpup_minQ</f>
        <v>-1123.2926429312849</v>
      </c>
      <c r="AQ2565" s="44"/>
      <c r="AR2565" s="72"/>
      <c r="AS2565" s="53">
        <f>P_1_minQ-(AS2563^2*R_up)+dpup_minQ</f>
        <v>-1471.7567400150472</v>
      </c>
      <c r="AT2565" s="44"/>
      <c r="AU2565" s="72"/>
    </row>
    <row r="2566" spans="15:47" ht="13" x14ac:dyDescent="0.3">
      <c r="O2566" s="6" t="s">
        <v>233</v>
      </c>
      <c r="P2566" s="6"/>
      <c r="Q2566" s="60"/>
      <c r="R2566" s="85">
        <f>P_2_minQ+(R2563^2*R_dn)-dpdn_minQ</f>
        <v>24.695842005296281</v>
      </c>
      <c r="S2566" s="66"/>
      <c r="T2566" s="74"/>
      <c r="U2566" s="53">
        <f>P_2_minQ+(U2563^2*R_dn)-dpdn_minQ</f>
        <v>25.181174565129105</v>
      </c>
      <c r="V2566" s="45"/>
      <c r="W2566" s="74"/>
      <c r="X2566" s="53">
        <f>P_2_minQ+(X2563^2*R_dn)-dpdn_minQ</f>
        <v>27.678302833926171</v>
      </c>
      <c r="Y2566" s="45"/>
      <c r="Z2566" s="74"/>
      <c r="AA2566" s="53">
        <f>P_2_minQ+(AA2563^2*R_dn)-dpdn_minQ</f>
        <v>35.672309387951316</v>
      </c>
      <c r="AB2566" s="45"/>
      <c r="AC2566" s="74"/>
      <c r="AD2566" s="53">
        <f>P_2_minQ+(AD2563^2*R_dn)-dpdn_minQ</f>
        <v>54.451750954771107</v>
      </c>
      <c r="AE2566" s="45"/>
      <c r="AF2566" s="74"/>
      <c r="AG2566" s="53">
        <f>P_2_minQ+(AG2563^2*R_dn)-dpdn_minQ</f>
        <v>90.703756022472348</v>
      </c>
      <c r="AH2566" s="45"/>
      <c r="AI2566" s="74"/>
      <c r="AJ2566" s="53">
        <f>P_2_minQ+(AJ2563^2*R_dn)-dpdn_minQ</f>
        <v>142.27988574644135</v>
      </c>
      <c r="AK2566" s="45"/>
      <c r="AL2566" s="74"/>
      <c r="AM2566" s="53">
        <f>P_2_minQ+(AM2563^2*R_dn)-dpdn_minQ</f>
        <v>199.78156060116956</v>
      </c>
      <c r="AN2566" s="45"/>
      <c r="AO2566" s="74"/>
      <c r="AP2566" s="53">
        <f>P_2_minQ+(AP2563^2*R_dn)-dpdn_minQ</f>
        <v>260.69852858625694</v>
      </c>
      <c r="AQ2566" s="45"/>
      <c r="AR2566" s="74"/>
      <c r="AS2566" s="53">
        <f>P_2_minQ+(AS2563^2*R_dn)-dpdn_minQ</f>
        <v>330.3913480030094</v>
      </c>
      <c r="AT2566" s="45"/>
      <c r="AU2566" s="74"/>
    </row>
    <row r="2567" spans="15:47" x14ac:dyDescent="0.25">
      <c r="O2567" s="6" t="s">
        <v>243</v>
      </c>
      <c r="Q2567" s="60"/>
      <c r="R2567" s="53">
        <f>R2565-R2566</f>
        <v>32.024947968222321</v>
      </c>
      <c r="S2567" s="56"/>
      <c r="T2567" s="72"/>
      <c r="U2567" s="64">
        <f>U2565-U2566</f>
        <v>29.112952609225381</v>
      </c>
      <c r="V2567" s="44"/>
      <c r="W2567" s="72"/>
      <c r="X2567" s="64">
        <f>X2565-X2566</f>
        <v>14.130182996442986</v>
      </c>
      <c r="Y2567" s="44"/>
      <c r="Z2567" s="72"/>
      <c r="AA2567" s="64">
        <f>AA2565-AA2566</f>
        <v>-33.833856327707863</v>
      </c>
      <c r="AB2567" s="44"/>
      <c r="AC2567" s="72"/>
      <c r="AD2567" s="64">
        <f>AD2565-AD2566</f>
        <v>-146.51050572862664</v>
      </c>
      <c r="AE2567" s="44"/>
      <c r="AF2567" s="72"/>
      <c r="AG2567" s="64">
        <f>AG2565-AG2566</f>
        <v>-364.02253613483407</v>
      </c>
      <c r="AH2567" s="44"/>
      <c r="AI2567" s="72"/>
      <c r="AJ2567" s="64">
        <f>AJ2565-AJ2566</f>
        <v>-673.47931447864812</v>
      </c>
      <c r="AK2567" s="44"/>
      <c r="AL2567" s="72"/>
      <c r="AM2567" s="64">
        <f>AM2565-AM2566</f>
        <v>-1018.4893636070175</v>
      </c>
      <c r="AN2567" s="44"/>
      <c r="AO2567" s="72"/>
      <c r="AP2567" s="64">
        <f>AP2565-AP2566</f>
        <v>-1383.9911715175419</v>
      </c>
      <c r="AQ2567" s="44"/>
      <c r="AR2567" s="72"/>
      <c r="AS2567" s="64">
        <f>AS2565-AS2566</f>
        <v>-1802.1480880180566</v>
      </c>
      <c r="AT2567" s="44"/>
      <c r="AU2567" s="72"/>
    </row>
    <row r="2568" spans="15:47" ht="13" x14ac:dyDescent="0.3">
      <c r="O2568" s="6" t="s">
        <v>75</v>
      </c>
      <c r="P2568" s="6">
        <v>3</v>
      </c>
      <c r="Q2568" s="65"/>
      <c r="R2568" s="85">
        <f>(F_LP_h/F_P_h)^2*(R2565-('Valve Sizing'!$V$4*'Valve Sizing'!$G$7))</f>
        <v>46.603400520362499</v>
      </c>
      <c r="S2568" s="58"/>
      <c r="T2568" s="73"/>
      <c r="U2568" s="53">
        <f>(U$29/U$27)^2*(U2565-('Valve Sizing'!$V$4*'Valve Sizing'!$G$7))</f>
        <v>44.581841866101868</v>
      </c>
      <c r="V2568" s="41"/>
      <c r="W2568" s="73"/>
      <c r="X2568" s="53">
        <f>(X$29/X$27)^2*(X2565-('Valve Sizing'!$V$4*'Valve Sizing'!$G$7))</f>
        <v>33.473411120643021</v>
      </c>
      <c r="Y2568" s="41"/>
      <c r="Z2568" s="73"/>
      <c r="AA2568" s="53">
        <f>(AA$29/AA$27)^2*(AA2565-('Valve Sizing'!$V$4*'Valve Sizing'!$G$7))</f>
        <v>1.0806760727372862</v>
      </c>
      <c r="AB2568" s="41"/>
      <c r="AC2568" s="73"/>
      <c r="AD2568" s="53">
        <f>(AD$29/AD$27)^2*(AD2565-('Valve Sizing'!$V$4*'Valve Sizing'!$G$7))</f>
        <v>-66.7089787124645</v>
      </c>
      <c r="AE2568" s="41"/>
      <c r="AF2568" s="73"/>
      <c r="AG2568" s="53">
        <f>(AG$29/AG$27)^2*(AG2565-('Valve Sizing'!$V$4*'Valve Sizing'!$G$7))</f>
        <v>-176.31272355597579</v>
      </c>
      <c r="AH2568" s="41"/>
      <c r="AI2568" s="73"/>
      <c r="AJ2568" s="53">
        <f>(AJ$29/AJ$27)^2*(AJ2565-('Valve Sizing'!$V$4*'Valve Sizing'!$G$7))</f>
        <v>-307.48131818558335</v>
      </c>
      <c r="AK2568" s="41"/>
      <c r="AL2568" s="73"/>
      <c r="AM2568" s="53">
        <f>(AM$29/AM$27)^2*(AM2565-('Valve Sizing'!$V$4*'Valve Sizing'!$G$7))</f>
        <v>-391.93943749527392</v>
      </c>
      <c r="AN2568" s="41"/>
      <c r="AO2568" s="73"/>
      <c r="AP2568" s="53">
        <f>(AP$29/AP$27)^2*(AP2565-('Valve Sizing'!$V$4*'Valve Sizing'!$G$7))</f>
        <v>-443.45507043676088</v>
      </c>
      <c r="AQ2568" s="41"/>
      <c r="AR2568" s="73"/>
      <c r="AS2568" s="53">
        <f>(AS$29/AS$27)^2*(AS2565-('Valve Sizing'!$V$4*'Valve Sizing'!$G$7))</f>
        <v>-553.75327255796242</v>
      </c>
      <c r="AT2568" s="41"/>
      <c r="AU2568" s="73"/>
    </row>
    <row r="2569" spans="15:47" ht="13" x14ac:dyDescent="0.25">
      <c r="O2569" s="1" t="s">
        <v>69</v>
      </c>
      <c r="P2569" s="17">
        <v>7</v>
      </c>
      <c r="Q2569" s="65"/>
      <c r="R2569" s="53">
        <f>(R2563/(N_1*F_P_h))*SQRT('Valve Sizing'!$G$6/R2567)</f>
        <v>13.441533057611226</v>
      </c>
      <c r="S2569" s="58"/>
      <c r="T2569" s="73"/>
      <c r="U2569" s="64">
        <f>(U2563/(N_1*U$27))*SQRT('Valve Sizing'!$G$6/U2567)</f>
        <v>51.684392730575034</v>
      </c>
      <c r="V2569" s="41"/>
      <c r="W2569" s="73"/>
      <c r="X2569" s="64">
        <f>(X2563/(N_1*X$27))*SQRT('Valve Sizing'!$G$6/X2567)</f>
        <v>178.47779487325485</v>
      </c>
      <c r="Y2569" s="41"/>
      <c r="Z2569" s="73"/>
      <c r="AA2569" s="64" t="e">
        <f>(AA2563/(N_1*AA$27))*SQRT('Valve Sizing'!$G$6/AA2567)</f>
        <v>#NUM!</v>
      </c>
      <c r="AB2569" s="41"/>
      <c r="AC2569" s="73"/>
      <c r="AD2569" s="64" t="e">
        <f>(AD2563/(N_1*AD$27))*SQRT('Valve Sizing'!$G$6/AD2567)</f>
        <v>#NUM!</v>
      </c>
      <c r="AE2569" s="41"/>
      <c r="AF2569" s="73"/>
      <c r="AG2569" s="64" t="e">
        <f>(AG2563/(N_1*AG$27))*SQRT('Valve Sizing'!$G$6/AG2567)</f>
        <v>#NUM!</v>
      </c>
      <c r="AH2569" s="41"/>
      <c r="AI2569" s="73"/>
      <c r="AJ2569" s="64" t="e">
        <f>(AJ2563/(N_1*AJ$27))*SQRT('Valve Sizing'!$G$6/AJ2567)</f>
        <v>#NUM!</v>
      </c>
      <c r="AK2569" s="41"/>
      <c r="AL2569" s="73"/>
      <c r="AM2569" s="64" t="e">
        <f>(AM2563/(N_1*AM$27))*SQRT('Valve Sizing'!$G$6/AM2567)</f>
        <v>#NUM!</v>
      </c>
      <c r="AN2569" s="41"/>
      <c r="AO2569" s="73"/>
      <c r="AP2569" s="64" t="e">
        <f>(AP2563/(N_1*AP$27))*SQRT('Valve Sizing'!$G$6/AP2567)</f>
        <v>#NUM!</v>
      </c>
      <c r="AQ2569" s="41"/>
      <c r="AR2569" s="73"/>
      <c r="AS2569" s="64" t="e">
        <f>(AS2563/(N_1*AS$27))*SQRT('Valve Sizing'!$G$6/AS2567)</f>
        <v>#NUM!</v>
      </c>
      <c r="AT2569" s="41"/>
      <c r="AU2569" s="73"/>
    </row>
    <row r="2570" spans="15:47" ht="13" x14ac:dyDescent="0.3">
      <c r="O2570" s="1" t="s">
        <v>72</v>
      </c>
      <c r="P2570" s="17">
        <v>7</v>
      </c>
      <c r="Q2570" s="65"/>
      <c r="R2570" s="53">
        <f>(R2563/(N_1*F_P_h))*SQRT('Valve Sizing'!$G$6/R2568)</f>
        <v>11.142540397899241</v>
      </c>
      <c r="S2570" s="56"/>
      <c r="T2570" s="72"/>
      <c r="U2570" s="85">
        <f>(U2563/(N_1*U$27))*SQRT('Valve Sizing'!$G$6/U2568)</f>
        <v>41.766063173704666</v>
      </c>
      <c r="V2570" s="44"/>
      <c r="W2570" s="72"/>
      <c r="X2570" s="85">
        <f>(X2563/(N_1*X$27))*SQRT('Valve Sizing'!$G$6/X2568)</f>
        <v>115.95997122172506</v>
      </c>
      <c r="Y2570" s="44"/>
      <c r="Z2570" s="72"/>
      <c r="AA2570" s="85">
        <f>(AA2563/(N_1*AA$27))*SQRT('Valve Sizing'!$G$6/AA2568)</f>
        <v>1239.3413436737987</v>
      </c>
      <c r="AB2570" s="44"/>
      <c r="AC2570" s="72"/>
      <c r="AD2570" s="85" t="e">
        <f>(AD2563/(N_1*AD$27))*SQRT('Valve Sizing'!$G$6/AD2568)</f>
        <v>#NUM!</v>
      </c>
      <c r="AE2570" s="44"/>
      <c r="AF2570" s="72"/>
      <c r="AG2570" s="85" t="e">
        <f>(AG2563/(N_1*AG$27))*SQRT('Valve Sizing'!$G$6/AG2568)</f>
        <v>#NUM!</v>
      </c>
      <c r="AH2570" s="44"/>
      <c r="AI2570" s="72"/>
      <c r="AJ2570" s="85" t="e">
        <f>(AJ2563/(N_1*AJ$27))*SQRT('Valve Sizing'!$G$6/AJ2568)</f>
        <v>#NUM!</v>
      </c>
      <c r="AK2570" s="44"/>
      <c r="AL2570" s="72"/>
      <c r="AM2570" s="85" t="e">
        <f>(AM2563/(N_1*AM$27))*SQRT('Valve Sizing'!$G$6/AM2568)</f>
        <v>#NUM!</v>
      </c>
      <c r="AN2570" s="44"/>
      <c r="AO2570" s="72"/>
      <c r="AP2570" s="85" t="e">
        <f>(AP2563/(N_1*AP$27))*SQRT('Valve Sizing'!$G$6/AP2568)</f>
        <v>#NUM!</v>
      </c>
      <c r="AQ2570" s="44"/>
      <c r="AR2570" s="72"/>
      <c r="AS2570" s="85" t="e">
        <f>(AS2563/(N_1*AS$27))*SQRT('Valve Sizing'!$G$6/AS2568)</f>
        <v>#NUM!</v>
      </c>
      <c r="AT2570" s="44"/>
      <c r="AU2570" s="72"/>
    </row>
    <row r="2571" spans="15:47" x14ac:dyDescent="0.25">
      <c r="O2571" s="1" t="s">
        <v>246</v>
      </c>
      <c r="P2571" s="18"/>
      <c r="Q2571" s="65"/>
      <c r="R2571" s="53">
        <f>IF(R2567&lt;R2568,R2569,R2570)</f>
        <v>13.441533057611226</v>
      </c>
      <c r="S2571" s="49"/>
      <c r="T2571" s="72"/>
      <c r="U2571" s="64">
        <f>IF(U2567&lt;U2568,U2569,U2570)</f>
        <v>51.684392730575034</v>
      </c>
      <c r="V2571" s="44"/>
      <c r="W2571" s="72"/>
      <c r="X2571" s="64">
        <f>IF(X2567&lt;X2568,X2569,X2570)</f>
        <v>178.47779487325485</v>
      </c>
      <c r="Y2571" s="44"/>
      <c r="Z2571" s="72"/>
      <c r="AA2571" s="64" t="e">
        <f>IF(AA2567&lt;AA2568,AA2569,AA2570)</f>
        <v>#NUM!</v>
      </c>
      <c r="AB2571" s="44"/>
      <c r="AC2571" s="72"/>
      <c r="AD2571" s="64" t="e">
        <f>IF(AD2567&lt;AD2568,AD2569,AD2570)</f>
        <v>#NUM!</v>
      </c>
      <c r="AE2571" s="44"/>
      <c r="AF2571" s="72"/>
      <c r="AG2571" s="64" t="e">
        <f>IF(AG2567&lt;AG2568,AG2569,AG2570)</f>
        <v>#NUM!</v>
      </c>
      <c r="AH2571" s="44"/>
      <c r="AI2571" s="72"/>
      <c r="AJ2571" s="64" t="e">
        <f>IF(AJ2567&lt;AJ2568,AJ2569,AJ2570)</f>
        <v>#NUM!</v>
      </c>
      <c r="AK2571" s="44"/>
      <c r="AL2571" s="72"/>
      <c r="AM2571" s="64" t="e">
        <f>IF(AM2567&lt;AM2568,AM2569,AM2570)</f>
        <v>#NUM!</v>
      </c>
      <c r="AN2571" s="44"/>
      <c r="AO2571" s="72"/>
      <c r="AP2571" s="64" t="e">
        <f>IF(AP2567&lt;AP2568,AP2569,AP2570)</f>
        <v>#NUM!</v>
      </c>
      <c r="AQ2571" s="44"/>
      <c r="AR2571" s="72"/>
      <c r="AS2571" s="64" t="e">
        <f>IF(AS2567&lt;AS2568,AS2569,AS2570)</f>
        <v>#NUM!</v>
      </c>
      <c r="AT2571" s="44"/>
      <c r="AU2571" s="72"/>
    </row>
    <row r="2572" spans="15:47" ht="13" x14ac:dyDescent="0.3">
      <c r="O2572" s="7" t="s">
        <v>264</v>
      </c>
      <c r="Q2572" s="61"/>
      <c r="R2572" s="53"/>
      <c r="S2572" s="69">
        <f>IFERROR(ABS(C_h-R2571),Q_max*10)</f>
        <v>8.4415330576112257</v>
      </c>
      <c r="T2572" s="76">
        <f>R2563</f>
        <v>76.055301485920069</v>
      </c>
      <c r="U2572" s="61"/>
      <c r="V2572" s="69">
        <f>IFERROR(ABS(U$23-U2571),Q_max*10)</f>
        <v>39.684392730575034</v>
      </c>
      <c r="W2572" s="75">
        <f>U2563</f>
        <v>278.63577366763877</v>
      </c>
      <c r="X2572" s="61"/>
      <c r="Y2572" s="69">
        <f>IFERROR(ABS(X$23-X2571),Q_max*10)</f>
        <v>155.47779487325485</v>
      </c>
      <c r="Z2572" s="75">
        <f>X2563</f>
        <v>668.83311413443732</v>
      </c>
      <c r="AA2572" s="61"/>
      <c r="AB2572" s="69">
        <f>IFERROR(ABS(AA$23-AA2571),Q_max*10)</f>
        <v>5500</v>
      </c>
      <c r="AC2572" s="75">
        <f>AA2563</f>
        <v>1277.0475343095852</v>
      </c>
      <c r="AD2572" s="61"/>
      <c r="AE2572" s="69">
        <f>IFERROR(ABS(AD$23-AD2571),Q_max*10)</f>
        <v>5500</v>
      </c>
      <c r="AF2572" s="75">
        <f>AD2563</f>
        <v>2100.2730129328097</v>
      </c>
      <c r="AG2572" s="61"/>
      <c r="AH2572" s="69">
        <f>IFERROR(ABS(AG$23-AG2571),Q_max*10)</f>
        <v>5500</v>
      </c>
      <c r="AI2572" s="75">
        <f>AG2563</f>
        <v>3127.0203195897257</v>
      </c>
      <c r="AJ2572" s="61"/>
      <c r="AK2572" s="69">
        <f>IFERROR(ABS(AJ$23-AJ2571),Q_max*10)</f>
        <v>5500</v>
      </c>
      <c r="AL2572" s="75">
        <f>AJ2563</f>
        <v>4173.0207385969989</v>
      </c>
      <c r="AM2572" s="61"/>
      <c r="AN2572" s="69">
        <f>IFERROR(ABS(AM$23-AM2571),Q_max*10)</f>
        <v>5500</v>
      </c>
      <c r="AO2572" s="75">
        <f>AM2563</f>
        <v>5091.8783417323666</v>
      </c>
      <c r="AP2572" s="61"/>
      <c r="AQ2572" s="69">
        <f>IFERROR(ABS(AP$23-AP2571),Q_max*10)</f>
        <v>5500</v>
      </c>
      <c r="AR2572" s="75">
        <f>AP2563</f>
        <v>5911.5126792721458</v>
      </c>
      <c r="AS2572" s="61"/>
      <c r="AT2572" s="69">
        <f>IFERROR(ABS(AS$23-AS2571),Q_max*10)</f>
        <v>5500</v>
      </c>
      <c r="AU2572" s="75">
        <f>AS2563</f>
        <v>6727.8528574758193</v>
      </c>
    </row>
    <row r="2573" spans="15:47" ht="14.5" x14ac:dyDescent="0.35">
      <c r="O2573" s="8"/>
      <c r="P2573" s="6"/>
      <c r="Q2573" s="60"/>
      <c r="R2573" s="67"/>
      <c r="S2573" s="56"/>
      <c r="T2573" s="72"/>
      <c r="V2573" s="11"/>
      <c r="W2573" s="38"/>
      <c r="Y2573" s="11"/>
      <c r="Z2573" s="38"/>
      <c r="AB2573" s="11"/>
      <c r="AC2573" s="38"/>
      <c r="AE2573" s="11"/>
      <c r="AF2573" s="38"/>
      <c r="AH2573" s="11"/>
      <c r="AI2573" s="38"/>
      <c r="AK2573" s="11"/>
      <c r="AL2573" s="38"/>
      <c r="AN2573" s="11"/>
      <c r="AO2573" s="38"/>
      <c r="AQ2573" s="11"/>
      <c r="AR2573" s="38"/>
      <c r="AT2573" s="11"/>
      <c r="AU2573" s="38"/>
    </row>
    <row r="2574" spans="15:47" ht="14" x14ac:dyDescent="0.3">
      <c r="O2574" s="8" t="s">
        <v>235</v>
      </c>
      <c r="P2574" s="6"/>
      <c r="Q2574" s="60"/>
      <c r="R2574" s="53">
        <f>R2563*1.02</f>
        <v>77.576407515638465</v>
      </c>
      <c r="S2574" s="58" t="s">
        <v>238</v>
      </c>
      <c r="T2574" s="73" t="s">
        <v>241</v>
      </c>
      <c r="U2574" s="84">
        <f>U2563*1.01</f>
        <v>281.42213140431517</v>
      </c>
      <c r="V2574" s="58" t="s">
        <v>238</v>
      </c>
      <c r="W2574" s="73" t="s">
        <v>241</v>
      </c>
      <c r="X2574" s="84">
        <f>X2563*1.01</f>
        <v>675.52144527578173</v>
      </c>
      <c r="Y2574" s="58" t="s">
        <v>238</v>
      </c>
      <c r="Z2574" s="73" t="s">
        <v>241</v>
      </c>
      <c r="AA2574" s="84">
        <f>AA2563*1.01</f>
        <v>1289.818009652681</v>
      </c>
      <c r="AB2574" s="58" t="s">
        <v>238</v>
      </c>
      <c r="AC2574" s="73" t="s">
        <v>241</v>
      </c>
      <c r="AD2574" s="84">
        <f>AD2563*1.01</f>
        <v>2121.2757430621377</v>
      </c>
      <c r="AE2574" s="58" t="s">
        <v>238</v>
      </c>
      <c r="AF2574" s="73" t="s">
        <v>241</v>
      </c>
      <c r="AG2574" s="84">
        <f>AG2563*1.01</f>
        <v>3158.2905227856231</v>
      </c>
      <c r="AH2574" s="58" t="s">
        <v>238</v>
      </c>
      <c r="AI2574" s="73" t="s">
        <v>241</v>
      </c>
      <c r="AJ2574" s="84">
        <f>AJ2563*1.01</f>
        <v>4214.7509459829689</v>
      </c>
      <c r="AK2574" s="58" t="s">
        <v>238</v>
      </c>
      <c r="AL2574" s="73" t="s">
        <v>241</v>
      </c>
      <c r="AM2574" s="84">
        <f>AM2563*1.01</f>
        <v>5142.7971251496901</v>
      </c>
      <c r="AN2574" s="58" t="s">
        <v>238</v>
      </c>
      <c r="AO2574" s="73" t="s">
        <v>241</v>
      </c>
      <c r="AP2574" s="84">
        <f>AP2563*1.01</f>
        <v>5970.6278060648674</v>
      </c>
      <c r="AQ2574" s="58" t="s">
        <v>238</v>
      </c>
      <c r="AR2574" s="73" t="s">
        <v>241</v>
      </c>
      <c r="AS2574" s="84">
        <f>AS2563*1.01</f>
        <v>6795.1313860505779</v>
      </c>
      <c r="AT2574" s="58" t="s">
        <v>238</v>
      </c>
      <c r="AU2574" s="73" t="s">
        <v>241</v>
      </c>
    </row>
    <row r="2575" spans="15:47" ht="13" x14ac:dyDescent="0.25">
      <c r="O2575" s="6"/>
      <c r="P2575" s="6"/>
      <c r="Q2575" s="60"/>
      <c r="R2575" s="70"/>
      <c r="S2575" s="63" t="s">
        <v>250</v>
      </c>
      <c r="T2575" s="71" t="s">
        <v>242</v>
      </c>
      <c r="U2575" s="61"/>
      <c r="V2575" s="63" t="s">
        <v>250</v>
      </c>
      <c r="W2575" s="71" t="s">
        <v>242</v>
      </c>
      <c r="X2575" s="61"/>
      <c r="Y2575" s="63" t="s">
        <v>250</v>
      </c>
      <c r="Z2575" s="71" t="s">
        <v>242</v>
      </c>
      <c r="AA2575" s="61"/>
      <c r="AB2575" s="63" t="s">
        <v>250</v>
      </c>
      <c r="AC2575" s="71" t="s">
        <v>242</v>
      </c>
      <c r="AD2575" s="61"/>
      <c r="AE2575" s="63" t="s">
        <v>250</v>
      </c>
      <c r="AF2575" s="71" t="s">
        <v>242</v>
      </c>
      <c r="AG2575" s="61"/>
      <c r="AH2575" s="63" t="s">
        <v>250</v>
      </c>
      <c r="AI2575" s="71" t="s">
        <v>242</v>
      </c>
      <c r="AJ2575" s="61"/>
      <c r="AK2575" s="63" t="s">
        <v>250</v>
      </c>
      <c r="AL2575" s="71" t="s">
        <v>242</v>
      </c>
      <c r="AM2575" s="61"/>
      <c r="AN2575" s="63" t="s">
        <v>250</v>
      </c>
      <c r="AO2575" s="71" t="s">
        <v>242</v>
      </c>
      <c r="AP2575" s="61"/>
      <c r="AQ2575" s="63" t="s">
        <v>250</v>
      </c>
      <c r="AR2575" s="71" t="s">
        <v>242</v>
      </c>
      <c r="AS2575" s="61"/>
      <c r="AT2575" s="63" t="s">
        <v>250</v>
      </c>
      <c r="AU2575" s="71" t="s">
        <v>242</v>
      </c>
    </row>
    <row r="2576" spans="15:47" ht="13" x14ac:dyDescent="0.3">
      <c r="O2576" s="6" t="s">
        <v>231</v>
      </c>
      <c r="P2576" s="6"/>
      <c r="Q2576" s="60"/>
      <c r="R2576" s="85">
        <f>P_1_minQ-(R2574^2*R_up)+dpup_minQ</f>
        <v>56.712897703376143</v>
      </c>
      <c r="S2576" s="56"/>
      <c r="T2576" s="72"/>
      <c r="U2576" s="53">
        <f>P_1_minQ-(U2574^2*R_up)+dpup_minQ</f>
        <v>54.241424652342197</v>
      </c>
      <c r="V2576" s="44"/>
      <c r="W2576" s="72"/>
      <c r="X2576" s="53">
        <f>P_1_minQ-(X2574^2*R_up)+dpup_minQ</f>
        <v>41.504821917342753</v>
      </c>
      <c r="Y2576" s="44"/>
      <c r="Z2576" s="72"/>
      <c r="AA2576" s="53">
        <f>P_1_minQ-(AA2574^2*R_up)+dpup_minQ</f>
        <v>0.73139148853754243</v>
      </c>
      <c r="AB2576" s="44"/>
      <c r="AC2576" s="72"/>
      <c r="AD2576" s="53">
        <f>P_1_minQ-(AD2574^2*R_up)+dpup_minQ</f>
        <v>-95.053150223026847</v>
      </c>
      <c r="AE2576" s="44"/>
      <c r="AF2576" s="72"/>
      <c r="AG2576" s="53">
        <f>P_1_minQ-(AG2574^2*R_up)+dpup_minQ</f>
        <v>-279.95650207083708</v>
      </c>
      <c r="AH2576" s="44"/>
      <c r="AI2576" s="72"/>
      <c r="AJ2576" s="53">
        <f>P_1_minQ-(AJ2574^2*R_up)+dpup_minQ</f>
        <v>-543.02055172794098</v>
      </c>
      <c r="AK2576" s="44"/>
      <c r="AL2576" s="72"/>
      <c r="AM2576" s="53">
        <f>P_1_minQ-(AM2574^2*R_up)+dpup_minQ</f>
        <v>-836.30784432448218</v>
      </c>
      <c r="AN2576" s="44"/>
      <c r="AO2576" s="72"/>
      <c r="AP2576" s="53">
        <f>P_1_minQ-(AP2574^2*R_up)+dpup_minQ</f>
        <v>-1147.0148395324206</v>
      </c>
      <c r="AQ2576" s="44"/>
      <c r="AR2576" s="72"/>
      <c r="AS2576" s="53">
        <f>P_1_minQ-(AS2574^2*R_up)+dpup_minQ</f>
        <v>-1502.4830649675669</v>
      </c>
      <c r="AT2576" s="44"/>
      <c r="AU2576" s="72"/>
    </row>
    <row r="2577" spans="15:47" ht="13" x14ac:dyDescent="0.3">
      <c r="O2577" s="6" t="s">
        <v>233</v>
      </c>
      <c r="P2577" s="6"/>
      <c r="Q2577" s="60"/>
      <c r="R2577" s="85">
        <f>P_2_minQ+(R2574^2*R_dn)-dpdn_minQ</f>
        <v>24.697420459324771</v>
      </c>
      <c r="S2577" s="66"/>
      <c r="T2577" s="74"/>
      <c r="U2577" s="53">
        <f>P_2_minQ+(U2574^2*R_dn)-dpdn_minQ</f>
        <v>25.191715069531561</v>
      </c>
      <c r="V2577" s="45"/>
      <c r="W2577" s="74"/>
      <c r="X2577" s="53">
        <f>P_2_minQ+(X2574^2*R_dn)-dpdn_minQ</f>
        <v>27.739035616531449</v>
      </c>
      <c r="Y2577" s="45"/>
      <c r="Z2577" s="74"/>
      <c r="AA2577" s="53">
        <f>P_2_minQ+(AA2574^2*R_dn)-dpdn_minQ</f>
        <v>35.893721702292495</v>
      </c>
      <c r="AB2577" s="45"/>
      <c r="AC2577" s="74"/>
      <c r="AD2577" s="53">
        <f>P_2_minQ+(AD2574^2*R_dn)-dpdn_minQ</f>
        <v>55.05063004460537</v>
      </c>
      <c r="AE2577" s="45"/>
      <c r="AF2577" s="74"/>
      <c r="AG2577" s="53">
        <f>P_2_minQ+(AG2574^2*R_dn)-dpdn_minQ</f>
        <v>92.031300414167404</v>
      </c>
      <c r="AH2577" s="45"/>
      <c r="AI2577" s="74"/>
      <c r="AJ2577" s="53">
        <f>P_2_minQ+(AJ2574^2*R_dn)-dpdn_minQ</f>
        <v>144.64411034558819</v>
      </c>
      <c r="AK2577" s="45"/>
      <c r="AL2577" s="74"/>
      <c r="AM2577" s="53">
        <f>P_2_minQ+(AM2574^2*R_dn)-dpdn_minQ</f>
        <v>203.30156886489644</v>
      </c>
      <c r="AN2577" s="45"/>
      <c r="AO2577" s="74"/>
      <c r="AP2577" s="53">
        <f>P_2_minQ+(AP2574^2*R_dn)-dpdn_minQ</f>
        <v>265.44296790648406</v>
      </c>
      <c r="AQ2577" s="45"/>
      <c r="AR2577" s="74"/>
      <c r="AS2577" s="53">
        <f>P_2_minQ+(AS2574^2*R_dn)-dpdn_minQ</f>
        <v>336.5366129935133</v>
      </c>
      <c r="AT2577" s="45"/>
      <c r="AU2577" s="74"/>
    </row>
    <row r="2578" spans="15:47" x14ac:dyDescent="0.25">
      <c r="O2578" s="6" t="s">
        <v>243</v>
      </c>
      <c r="Q2578" s="60"/>
      <c r="R2578" s="53">
        <f>R2576-R2577</f>
        <v>32.015477244051368</v>
      </c>
      <c r="S2578" s="56"/>
      <c r="T2578" s="72"/>
      <c r="U2578" s="64">
        <f>U2576-U2577</f>
        <v>29.049709582810635</v>
      </c>
      <c r="V2578" s="44"/>
      <c r="W2578" s="72"/>
      <c r="X2578" s="64">
        <f>X2576-X2577</f>
        <v>13.765786300811303</v>
      </c>
      <c r="Y2578" s="44"/>
      <c r="Z2578" s="72"/>
      <c r="AA2578" s="64">
        <f>AA2576-AA2577</f>
        <v>-35.162330213754956</v>
      </c>
      <c r="AB2578" s="44"/>
      <c r="AC2578" s="72"/>
      <c r="AD2578" s="64">
        <f>AD2576-AD2577</f>
        <v>-150.1037802676322</v>
      </c>
      <c r="AE2578" s="44"/>
      <c r="AF2578" s="72"/>
      <c r="AG2578" s="64">
        <f>AG2576-AG2577</f>
        <v>-371.98780248500447</v>
      </c>
      <c r="AH2578" s="44"/>
      <c r="AI2578" s="72"/>
      <c r="AJ2578" s="64">
        <f>AJ2576-AJ2577</f>
        <v>-687.66466207352914</v>
      </c>
      <c r="AK2578" s="44"/>
      <c r="AL2578" s="72"/>
      <c r="AM2578" s="64">
        <f>AM2576-AM2577</f>
        <v>-1039.6094131893785</v>
      </c>
      <c r="AN2578" s="44"/>
      <c r="AO2578" s="72"/>
      <c r="AP2578" s="64">
        <f>AP2576-AP2577</f>
        <v>-1412.4578074389046</v>
      </c>
      <c r="AQ2578" s="44"/>
      <c r="AR2578" s="72"/>
      <c r="AS2578" s="64">
        <f>AS2576-AS2577</f>
        <v>-1839.0196779610801</v>
      </c>
      <c r="AT2578" s="44"/>
      <c r="AU2578" s="72"/>
    </row>
    <row r="2579" spans="15:47" ht="13" x14ac:dyDescent="0.3">
      <c r="O2579" s="6" t="s">
        <v>75</v>
      </c>
      <c r="P2579" s="6">
        <v>3</v>
      </c>
      <c r="Q2579" s="65"/>
      <c r="R2579" s="85">
        <f>(F_LP_h/F_P_h)^2*(R2576-('Valve Sizing'!$V$4*'Valve Sizing'!$G$7))</f>
        <v>46.596865306419765</v>
      </c>
      <c r="S2579" s="58"/>
      <c r="T2579" s="73"/>
      <c r="U2579" s="53">
        <f>(U$29/U$27)^2*(U2576-('Valve Sizing'!$V$4*'Valve Sizing'!$G$7))</f>
        <v>44.538213306108624</v>
      </c>
      <c r="V2579" s="41"/>
      <c r="W2579" s="73"/>
      <c r="X2579" s="53">
        <f>(X$29/X$27)^2*(X2576-('Valve Sizing'!$V$4*'Valve Sizing'!$G$7))</f>
        <v>33.22770038288968</v>
      </c>
      <c r="Y2579" s="41"/>
      <c r="Z2579" s="73"/>
      <c r="AA2579" s="53">
        <f>(AA$29/AA$27)^2*(AA2576-('Valve Sizing'!$V$4*'Valve Sizing'!$G$7))</f>
        <v>0.22514196625589519</v>
      </c>
      <c r="AB2579" s="41"/>
      <c r="AC2579" s="73"/>
      <c r="AD2579" s="53">
        <f>(AD$29/AD$27)^2*(AD2576-('Valve Sizing'!$V$4*'Valve Sizing'!$G$7))</f>
        <v>-68.868499002511058</v>
      </c>
      <c r="AE2579" s="41"/>
      <c r="AF2579" s="73"/>
      <c r="AG2579" s="53">
        <f>(AG$29/AG$27)^2*(AG2576-('Valve Sizing'!$V$4*'Valve Sizing'!$G$7))</f>
        <v>-180.58770823296709</v>
      </c>
      <c r="AH2579" s="41"/>
      <c r="AI2579" s="73"/>
      <c r="AJ2579" s="53">
        <f>(AJ$29/AJ$27)^2*(AJ2576-('Valve Sizing'!$V$4*'Valve Sizing'!$G$7))</f>
        <v>-314.31823412982061</v>
      </c>
      <c r="AK2579" s="41"/>
      <c r="AL2579" s="73"/>
      <c r="AM2579" s="53">
        <f>(AM$29/AM$27)^2*(AM2576-('Valve Sizing'!$V$4*'Valve Sizing'!$G$7))</f>
        <v>-400.36056709284918</v>
      </c>
      <c r="AN2579" s="41"/>
      <c r="AO2579" s="73"/>
      <c r="AP2579" s="53">
        <f>(AP$29/AP$27)^2*(AP2576-('Valve Sizing'!$V$4*'Valve Sizing'!$G$7))</f>
        <v>-452.81648561943922</v>
      </c>
      <c r="AQ2579" s="41"/>
      <c r="AR2579" s="73"/>
      <c r="AS2579" s="53">
        <f>(AS$29/AS$27)^2*(AS2576-('Valve Sizing'!$V$4*'Valve Sizing'!$G$7))</f>
        <v>-565.31069682549514</v>
      </c>
      <c r="AT2579" s="41"/>
      <c r="AU2579" s="73"/>
    </row>
    <row r="2580" spans="15:47" ht="13" x14ac:dyDescent="0.25">
      <c r="O2580" s="1" t="s">
        <v>69</v>
      </c>
      <c r="P2580" s="17">
        <v>7</v>
      </c>
      <c r="Q2580" s="65"/>
      <c r="R2580" s="53">
        <f>(R2574/(N_1*F_P_h))*SQRT('Valve Sizing'!$G$6/R2578)</f>
        <v>13.712391448519742</v>
      </c>
      <c r="S2580" s="58"/>
      <c r="T2580" s="73"/>
      <c r="U2580" s="64">
        <f>(U2574/(N_1*U$27))*SQRT('Valve Sizing'!$G$6/U2578)</f>
        <v>52.258028436019238</v>
      </c>
      <c r="V2580" s="41"/>
      <c r="W2580" s="73"/>
      <c r="X2580" s="64">
        <f>(X2574/(N_1*X$27))*SQRT('Valve Sizing'!$G$6/X2578)</f>
        <v>182.63287121193201</v>
      </c>
      <c r="Y2580" s="41"/>
      <c r="Z2580" s="73"/>
      <c r="AA2580" s="64" t="e">
        <f>(AA2574/(N_1*AA$27))*SQRT('Valve Sizing'!$G$6/AA2578)</f>
        <v>#NUM!</v>
      </c>
      <c r="AB2580" s="41"/>
      <c r="AC2580" s="73"/>
      <c r="AD2580" s="64" t="e">
        <f>(AD2574/(N_1*AD$27))*SQRT('Valve Sizing'!$G$6/AD2578)</f>
        <v>#NUM!</v>
      </c>
      <c r="AE2580" s="41"/>
      <c r="AF2580" s="73"/>
      <c r="AG2580" s="64" t="e">
        <f>(AG2574/(N_1*AG$27))*SQRT('Valve Sizing'!$G$6/AG2578)</f>
        <v>#NUM!</v>
      </c>
      <c r="AH2580" s="41"/>
      <c r="AI2580" s="73"/>
      <c r="AJ2580" s="64" t="e">
        <f>(AJ2574/(N_1*AJ$27))*SQRT('Valve Sizing'!$G$6/AJ2578)</f>
        <v>#NUM!</v>
      </c>
      <c r="AK2580" s="41"/>
      <c r="AL2580" s="73"/>
      <c r="AM2580" s="64" t="e">
        <f>(AM2574/(N_1*AM$27))*SQRT('Valve Sizing'!$G$6/AM2578)</f>
        <v>#NUM!</v>
      </c>
      <c r="AN2580" s="41"/>
      <c r="AO2580" s="73"/>
      <c r="AP2580" s="64" t="e">
        <f>(AP2574/(N_1*AP$27))*SQRT('Valve Sizing'!$G$6/AP2578)</f>
        <v>#NUM!</v>
      </c>
      <c r="AQ2580" s="41"/>
      <c r="AR2580" s="73"/>
      <c r="AS2580" s="64" t="e">
        <f>(AS2574/(N_1*AS$27))*SQRT('Valve Sizing'!$G$6/AS2578)</f>
        <v>#NUM!</v>
      </c>
      <c r="AT2580" s="41"/>
      <c r="AU2580" s="73"/>
    </row>
    <row r="2581" spans="15:47" ht="13" x14ac:dyDescent="0.3">
      <c r="O2581" s="1" t="s">
        <v>72</v>
      </c>
      <c r="P2581" s="17">
        <v>7</v>
      </c>
      <c r="Q2581" s="65"/>
      <c r="R2581" s="53">
        <f>(R2574/(N_1*F_P_h))*SQRT('Valve Sizing'!$G$6/R2579)</f>
        <v>11.366188176409745</v>
      </c>
      <c r="S2581" s="56"/>
      <c r="T2581" s="72"/>
      <c r="U2581" s="85">
        <f>(U2574/(N_1*U$27))*SQRT('Valve Sizing'!$G$6/U2579)</f>
        <v>42.204379827565702</v>
      </c>
      <c r="V2581" s="44"/>
      <c r="W2581" s="72"/>
      <c r="X2581" s="85">
        <f>(X2574/(N_1*X$27))*SQRT('Valve Sizing'!$G$6/X2579)</f>
        <v>117.55180865928091</v>
      </c>
      <c r="Y2581" s="44"/>
      <c r="Z2581" s="72"/>
      <c r="AA2581" s="85">
        <f>(AA2574/(N_1*AA$27))*SQRT('Valve Sizing'!$G$6/AA2579)</f>
        <v>2742.4066422518426</v>
      </c>
      <c r="AB2581" s="44"/>
      <c r="AC2581" s="72"/>
      <c r="AD2581" s="85" t="e">
        <f>(AD2574/(N_1*AD$27))*SQRT('Valve Sizing'!$G$6/AD2579)</f>
        <v>#NUM!</v>
      </c>
      <c r="AE2581" s="44"/>
      <c r="AF2581" s="72"/>
      <c r="AG2581" s="85" t="e">
        <f>(AG2574/(N_1*AG$27))*SQRT('Valve Sizing'!$G$6/AG2579)</f>
        <v>#NUM!</v>
      </c>
      <c r="AH2581" s="44"/>
      <c r="AI2581" s="72"/>
      <c r="AJ2581" s="85" t="e">
        <f>(AJ2574/(N_1*AJ$27))*SQRT('Valve Sizing'!$G$6/AJ2579)</f>
        <v>#NUM!</v>
      </c>
      <c r="AK2581" s="44"/>
      <c r="AL2581" s="72"/>
      <c r="AM2581" s="85" t="e">
        <f>(AM2574/(N_1*AM$27))*SQRT('Valve Sizing'!$G$6/AM2579)</f>
        <v>#NUM!</v>
      </c>
      <c r="AN2581" s="44"/>
      <c r="AO2581" s="72"/>
      <c r="AP2581" s="85" t="e">
        <f>(AP2574/(N_1*AP$27))*SQRT('Valve Sizing'!$G$6/AP2579)</f>
        <v>#NUM!</v>
      </c>
      <c r="AQ2581" s="44"/>
      <c r="AR2581" s="72"/>
      <c r="AS2581" s="85" t="e">
        <f>(AS2574/(N_1*AS$27))*SQRT('Valve Sizing'!$G$6/AS2579)</f>
        <v>#NUM!</v>
      </c>
      <c r="AT2581" s="44"/>
      <c r="AU2581" s="72"/>
    </row>
    <row r="2582" spans="15:47" x14ac:dyDescent="0.25">
      <c r="O2582" s="1" t="s">
        <v>246</v>
      </c>
      <c r="P2582" s="18"/>
      <c r="Q2582" s="65"/>
      <c r="R2582" s="53">
        <f>IF(R2578&lt;R2579,R2580,R2581)</f>
        <v>13.712391448519742</v>
      </c>
      <c r="S2582" s="49"/>
      <c r="T2582" s="72"/>
      <c r="U2582" s="64">
        <f>IF(U2578&lt;U2579,U2580,U2581)</f>
        <v>52.258028436019238</v>
      </c>
      <c r="V2582" s="44"/>
      <c r="W2582" s="72"/>
      <c r="X2582" s="64">
        <f>IF(X2578&lt;X2579,X2580,X2581)</f>
        <v>182.63287121193201</v>
      </c>
      <c r="Y2582" s="44"/>
      <c r="Z2582" s="72"/>
      <c r="AA2582" s="64" t="e">
        <f>IF(AA2578&lt;AA2579,AA2580,AA2581)</f>
        <v>#NUM!</v>
      </c>
      <c r="AB2582" s="44"/>
      <c r="AC2582" s="72"/>
      <c r="AD2582" s="64" t="e">
        <f>IF(AD2578&lt;AD2579,AD2580,AD2581)</f>
        <v>#NUM!</v>
      </c>
      <c r="AE2582" s="44"/>
      <c r="AF2582" s="72"/>
      <c r="AG2582" s="64" t="e">
        <f>IF(AG2578&lt;AG2579,AG2580,AG2581)</f>
        <v>#NUM!</v>
      </c>
      <c r="AH2582" s="44"/>
      <c r="AI2582" s="72"/>
      <c r="AJ2582" s="64" t="e">
        <f>IF(AJ2578&lt;AJ2579,AJ2580,AJ2581)</f>
        <v>#NUM!</v>
      </c>
      <c r="AK2582" s="44"/>
      <c r="AL2582" s="72"/>
      <c r="AM2582" s="64" t="e">
        <f>IF(AM2578&lt;AM2579,AM2580,AM2581)</f>
        <v>#NUM!</v>
      </c>
      <c r="AN2582" s="44"/>
      <c r="AO2582" s="72"/>
      <c r="AP2582" s="64" t="e">
        <f>IF(AP2578&lt;AP2579,AP2580,AP2581)</f>
        <v>#NUM!</v>
      </c>
      <c r="AQ2582" s="44"/>
      <c r="AR2582" s="72"/>
      <c r="AS2582" s="64" t="e">
        <f>IF(AS2578&lt;AS2579,AS2580,AS2581)</f>
        <v>#NUM!</v>
      </c>
      <c r="AT2582" s="44"/>
      <c r="AU2582" s="72"/>
    </row>
    <row r="2583" spans="15:47" ht="13" x14ac:dyDescent="0.3">
      <c r="O2583" s="7" t="s">
        <v>264</v>
      </c>
      <c r="Q2583" s="61"/>
      <c r="R2583" s="53"/>
      <c r="S2583" s="69">
        <f>IFERROR(ABS(C_h-R2582),Q_max*10)</f>
        <v>8.7123914485197425</v>
      </c>
      <c r="T2583" s="76">
        <f>R2574</f>
        <v>77.576407515638465</v>
      </c>
      <c r="U2583" s="61"/>
      <c r="V2583" s="69">
        <f>IFERROR(ABS(U$23-U2582),Q_max*10)</f>
        <v>40.258028436019238</v>
      </c>
      <c r="W2583" s="75">
        <f>U2574</f>
        <v>281.42213140431517</v>
      </c>
      <c r="X2583" s="61"/>
      <c r="Y2583" s="69">
        <f>IFERROR(ABS(X$23-X2582),Q_max*10)</f>
        <v>159.63287121193201</v>
      </c>
      <c r="Z2583" s="75">
        <f>X2574</f>
        <v>675.52144527578173</v>
      </c>
      <c r="AA2583" s="61"/>
      <c r="AB2583" s="69">
        <f>IFERROR(ABS(AA$23-AA2582),Q_max*10)</f>
        <v>5500</v>
      </c>
      <c r="AC2583" s="75">
        <f>AA2574</f>
        <v>1289.818009652681</v>
      </c>
      <c r="AD2583" s="61"/>
      <c r="AE2583" s="69">
        <f>IFERROR(ABS(AD$23-AD2582),Q_max*10)</f>
        <v>5500</v>
      </c>
      <c r="AF2583" s="75">
        <f>AD2574</f>
        <v>2121.2757430621377</v>
      </c>
      <c r="AG2583" s="61"/>
      <c r="AH2583" s="69">
        <f>IFERROR(ABS(AG$23-AG2582),Q_max*10)</f>
        <v>5500</v>
      </c>
      <c r="AI2583" s="75">
        <f>AG2574</f>
        <v>3158.2905227856231</v>
      </c>
      <c r="AJ2583" s="61"/>
      <c r="AK2583" s="69">
        <f>IFERROR(ABS(AJ$23-AJ2582),Q_max*10)</f>
        <v>5500</v>
      </c>
      <c r="AL2583" s="75">
        <f>AJ2574</f>
        <v>4214.7509459829689</v>
      </c>
      <c r="AM2583" s="61"/>
      <c r="AN2583" s="69">
        <f>IFERROR(ABS(AM$23-AM2582),Q_max*10)</f>
        <v>5500</v>
      </c>
      <c r="AO2583" s="75">
        <f>AM2574</f>
        <v>5142.7971251496901</v>
      </c>
      <c r="AP2583" s="61"/>
      <c r="AQ2583" s="69">
        <f>IFERROR(ABS(AP$23-AP2582),Q_max*10)</f>
        <v>5500</v>
      </c>
      <c r="AR2583" s="75">
        <f>AP2574</f>
        <v>5970.6278060648674</v>
      </c>
      <c r="AS2583" s="61"/>
      <c r="AT2583" s="69">
        <f>IFERROR(ABS(AS$23-AS2582),Q_max*10)</f>
        <v>5500</v>
      </c>
      <c r="AU2583" s="75">
        <f>AS2574</f>
        <v>6795.1313860505779</v>
      </c>
    </row>
    <row r="2584" spans="15:47" ht="14.5" x14ac:dyDescent="0.35">
      <c r="O2584" s="6"/>
      <c r="P2584" s="6"/>
      <c r="Q2584" s="60"/>
      <c r="R2584" s="67"/>
      <c r="S2584" s="58"/>
      <c r="T2584" s="73"/>
      <c r="V2584" s="11"/>
      <c r="W2584" s="38"/>
      <c r="Y2584" s="11"/>
      <c r="Z2584" s="38"/>
      <c r="AB2584" s="11"/>
      <c r="AC2584" s="38"/>
      <c r="AE2584" s="11"/>
      <c r="AF2584" s="38"/>
      <c r="AH2584" s="11"/>
      <c r="AI2584" s="38"/>
      <c r="AK2584" s="11"/>
      <c r="AL2584" s="38"/>
      <c r="AN2584" s="11"/>
      <c r="AO2584" s="38"/>
      <c r="AQ2584" s="11"/>
      <c r="AR2584" s="38"/>
      <c r="AT2584" s="11"/>
      <c r="AU2584" s="38"/>
    </row>
    <row r="2585" spans="15:47" ht="14" x14ac:dyDescent="0.3">
      <c r="O2585" s="8" t="s">
        <v>235</v>
      </c>
      <c r="P2585" s="6"/>
      <c r="Q2585" s="60"/>
      <c r="R2585" s="53">
        <f>R2574*1.02</f>
        <v>79.127935665951242</v>
      </c>
      <c r="S2585" s="58" t="s">
        <v>238</v>
      </c>
      <c r="T2585" s="73" t="s">
        <v>241</v>
      </c>
      <c r="U2585" s="84">
        <f>U2574*1.01</f>
        <v>284.23635271835832</v>
      </c>
      <c r="V2585" s="58" t="s">
        <v>238</v>
      </c>
      <c r="W2585" s="73" t="s">
        <v>241</v>
      </c>
      <c r="X2585" s="84">
        <f>X2574*1.01</f>
        <v>682.27665972853958</v>
      </c>
      <c r="Y2585" s="58" t="s">
        <v>238</v>
      </c>
      <c r="Z2585" s="73" t="s">
        <v>241</v>
      </c>
      <c r="AA2585" s="84">
        <f>AA2574*1.01</f>
        <v>1302.7161897492078</v>
      </c>
      <c r="AB2585" s="58" t="s">
        <v>238</v>
      </c>
      <c r="AC2585" s="73" t="s">
        <v>241</v>
      </c>
      <c r="AD2585" s="84">
        <f>AD2574*1.01</f>
        <v>2142.4885004927592</v>
      </c>
      <c r="AE2585" s="58" t="s">
        <v>238</v>
      </c>
      <c r="AF2585" s="73" t="s">
        <v>241</v>
      </c>
      <c r="AG2585" s="84">
        <f>AG2574*1.01</f>
        <v>3189.8734280134795</v>
      </c>
      <c r="AH2585" s="58" t="s">
        <v>238</v>
      </c>
      <c r="AI2585" s="73" t="s">
        <v>241</v>
      </c>
      <c r="AJ2585" s="84">
        <f>AJ2574*1.01</f>
        <v>4256.8984554427989</v>
      </c>
      <c r="AK2585" s="58" t="s">
        <v>238</v>
      </c>
      <c r="AL2585" s="73" t="s">
        <v>241</v>
      </c>
      <c r="AM2585" s="84">
        <f>AM2574*1.01</f>
        <v>5194.2250964011873</v>
      </c>
      <c r="AN2585" s="58" t="s">
        <v>238</v>
      </c>
      <c r="AO2585" s="73" t="s">
        <v>241</v>
      </c>
      <c r="AP2585" s="84">
        <f>AP2574*1.01</f>
        <v>6030.3340841255158</v>
      </c>
      <c r="AQ2585" s="58" t="s">
        <v>238</v>
      </c>
      <c r="AR2585" s="73" t="s">
        <v>241</v>
      </c>
      <c r="AS2585" s="84">
        <f>AS2574*1.01</f>
        <v>6863.0826999110841</v>
      </c>
      <c r="AT2585" s="58" t="s">
        <v>238</v>
      </c>
      <c r="AU2585" s="73" t="s">
        <v>241</v>
      </c>
    </row>
    <row r="2586" spans="15:47" ht="13" x14ac:dyDescent="0.25">
      <c r="O2586" s="6"/>
      <c r="P2586" s="6"/>
      <c r="Q2586" s="60"/>
      <c r="R2586" s="70"/>
      <c r="S2586" s="63" t="s">
        <v>250</v>
      </c>
      <c r="T2586" s="71" t="s">
        <v>242</v>
      </c>
      <c r="U2586" s="61"/>
      <c r="V2586" s="63" t="s">
        <v>250</v>
      </c>
      <c r="W2586" s="71" t="s">
        <v>242</v>
      </c>
      <c r="X2586" s="61"/>
      <c r="Y2586" s="63" t="s">
        <v>250</v>
      </c>
      <c r="Z2586" s="71" t="s">
        <v>242</v>
      </c>
      <c r="AA2586" s="61"/>
      <c r="AB2586" s="63" t="s">
        <v>250</v>
      </c>
      <c r="AC2586" s="71" t="s">
        <v>242</v>
      </c>
      <c r="AD2586" s="61"/>
      <c r="AE2586" s="63" t="s">
        <v>250</v>
      </c>
      <c r="AF2586" s="71" t="s">
        <v>242</v>
      </c>
      <c r="AG2586" s="61"/>
      <c r="AH2586" s="63" t="s">
        <v>250</v>
      </c>
      <c r="AI2586" s="71" t="s">
        <v>242</v>
      </c>
      <c r="AJ2586" s="61"/>
      <c r="AK2586" s="63" t="s">
        <v>250</v>
      </c>
      <c r="AL2586" s="71" t="s">
        <v>242</v>
      </c>
      <c r="AM2586" s="61"/>
      <c r="AN2586" s="63" t="s">
        <v>250</v>
      </c>
      <c r="AO2586" s="71" t="s">
        <v>242</v>
      </c>
      <c r="AP2586" s="61"/>
      <c r="AQ2586" s="63" t="s">
        <v>250</v>
      </c>
      <c r="AR2586" s="71" t="s">
        <v>242</v>
      </c>
      <c r="AS2586" s="61"/>
      <c r="AT2586" s="63" t="s">
        <v>250</v>
      </c>
      <c r="AU2586" s="71" t="s">
        <v>242</v>
      </c>
    </row>
    <row r="2587" spans="15:47" ht="13" x14ac:dyDescent="0.3">
      <c r="O2587" s="6" t="s">
        <v>231</v>
      </c>
      <c r="P2587" s="6"/>
      <c r="Q2587" s="60"/>
      <c r="R2587" s="85">
        <f>P_1_minQ-(R2585^2*R_up)+dpup_minQ</f>
        <v>56.70468658551993</v>
      </c>
      <c r="S2587" s="56"/>
      <c r="T2587" s="72"/>
      <c r="U2587" s="53">
        <f>P_1_minQ-(U2585^2*R_up)+dpup_minQ</f>
        <v>54.187662809637452</v>
      </c>
      <c r="V2587" s="44"/>
      <c r="W2587" s="72"/>
      <c r="X2587" s="53">
        <f>P_1_minQ-(X2585^2*R_up)+dpup_minQ</f>
        <v>41.195054359664525</v>
      </c>
      <c r="Y2587" s="44"/>
      <c r="Z2587" s="72"/>
      <c r="AA2587" s="53">
        <f>P_1_minQ-(AA2585^2*R_up)+dpup_minQ</f>
        <v>-0.39792202075967686</v>
      </c>
      <c r="AB2587" s="44"/>
      <c r="AC2587" s="72"/>
      <c r="AD2587" s="53">
        <f>P_1_minQ-(AD2585^2*R_up)+dpup_minQ</f>
        <v>-98.107733020726499</v>
      </c>
      <c r="AE2587" s="44"/>
      <c r="AF2587" s="72"/>
      <c r="AG2587" s="53">
        <f>P_1_minQ-(AG2585^2*R_up)+dpup_minQ</f>
        <v>-286.72764224067777</v>
      </c>
      <c r="AH2587" s="44"/>
      <c r="AI2587" s="72"/>
      <c r="AJ2587" s="53">
        <f>P_1_minQ-(AJ2585^2*R_up)+dpup_minQ</f>
        <v>-555.07927929588936</v>
      </c>
      <c r="AK2587" s="44"/>
      <c r="AL2587" s="72"/>
      <c r="AM2587" s="53">
        <f>P_1_minQ-(AM2585^2*R_up)+dpup_minQ</f>
        <v>-854.26164647362123</v>
      </c>
      <c r="AN2587" s="44"/>
      <c r="AO2587" s="72"/>
      <c r="AP2587" s="53">
        <f>P_1_minQ-(AP2585^2*R_up)+dpup_minQ</f>
        <v>-1171.213852285239</v>
      </c>
      <c r="AQ2587" s="44"/>
      <c r="AR2587" s="72"/>
      <c r="AS2587" s="53">
        <f>P_1_minQ-(AS2585^2*R_up)+dpup_minQ</f>
        <v>-1533.8269890516317</v>
      </c>
      <c r="AT2587" s="44"/>
      <c r="AU2587" s="72"/>
    </row>
    <row r="2588" spans="15:47" ht="13" x14ac:dyDescent="0.3">
      <c r="O2588" s="6" t="s">
        <v>233</v>
      </c>
      <c r="P2588" s="6"/>
      <c r="Q2588" s="60"/>
      <c r="R2588" s="85">
        <f>P_2_minQ+(R2585^2*R_dn)-dpdn_minQ</f>
        <v>24.699062682896017</v>
      </c>
      <c r="S2588" s="66"/>
      <c r="T2588" s="74"/>
      <c r="U2588" s="53">
        <f>P_2_minQ+(U2585^2*R_dn)-dpdn_minQ</f>
        <v>25.20246743807251</v>
      </c>
      <c r="V2588" s="45"/>
      <c r="W2588" s="74"/>
      <c r="X2588" s="53">
        <f>P_2_minQ+(X2585^2*R_dn)-dpdn_minQ</f>
        <v>27.800989128067098</v>
      </c>
      <c r="Y2588" s="45"/>
      <c r="Z2588" s="74"/>
      <c r="AA2588" s="53">
        <f>P_2_minQ+(AA2585^2*R_dn)-dpdn_minQ</f>
        <v>36.119584404151936</v>
      </c>
      <c r="AB2588" s="45"/>
      <c r="AC2588" s="74"/>
      <c r="AD2588" s="53">
        <f>P_2_minQ+(AD2585^2*R_dn)-dpdn_minQ</f>
        <v>55.6615466041453</v>
      </c>
      <c r="AE2588" s="45"/>
      <c r="AF2588" s="74"/>
      <c r="AG2588" s="53">
        <f>P_2_minQ+(AG2585^2*R_dn)-dpdn_minQ</f>
        <v>93.385528448135545</v>
      </c>
      <c r="AH2588" s="45"/>
      <c r="AI2588" s="74"/>
      <c r="AJ2588" s="53">
        <f>P_2_minQ+(AJ2585^2*R_dn)-dpdn_minQ</f>
        <v>147.05585585917788</v>
      </c>
      <c r="AK2588" s="45"/>
      <c r="AL2588" s="74"/>
      <c r="AM2588" s="53">
        <f>P_2_minQ+(AM2585^2*R_dn)-dpdn_minQ</f>
        <v>206.89232929472425</v>
      </c>
      <c r="AN2588" s="45"/>
      <c r="AO2588" s="74"/>
      <c r="AP2588" s="53">
        <f>P_2_minQ+(AP2585^2*R_dn)-dpdn_minQ</f>
        <v>270.28277045704777</v>
      </c>
      <c r="AQ2588" s="45"/>
      <c r="AR2588" s="74"/>
      <c r="AS2588" s="53">
        <f>P_2_minQ+(AS2585^2*R_dn)-dpdn_minQ</f>
        <v>342.80539781032627</v>
      </c>
      <c r="AT2588" s="45"/>
      <c r="AU2588" s="74"/>
    </row>
    <row r="2589" spans="15:47" x14ac:dyDescent="0.25">
      <c r="O2589" s="6" t="s">
        <v>243</v>
      </c>
      <c r="Q2589" s="60"/>
      <c r="R2589" s="53">
        <f>R2587-R2588</f>
        <v>32.00562390262391</v>
      </c>
      <c r="S2589" s="56"/>
      <c r="T2589" s="72"/>
      <c r="U2589" s="64">
        <f>U2587-U2588</f>
        <v>28.985195371564942</v>
      </c>
      <c r="V2589" s="44"/>
      <c r="W2589" s="72"/>
      <c r="X2589" s="64">
        <f>X2587-X2588</f>
        <v>13.394065231597427</v>
      </c>
      <c r="Y2589" s="44"/>
      <c r="Z2589" s="72"/>
      <c r="AA2589" s="64">
        <f>AA2587-AA2588</f>
        <v>-36.517506424911616</v>
      </c>
      <c r="AB2589" s="44"/>
      <c r="AC2589" s="72"/>
      <c r="AD2589" s="64">
        <f>AD2587-AD2588</f>
        <v>-153.76927962487179</v>
      </c>
      <c r="AE2589" s="44"/>
      <c r="AF2589" s="72"/>
      <c r="AG2589" s="64">
        <f>AG2587-AG2588</f>
        <v>-380.11317068881328</v>
      </c>
      <c r="AH2589" s="44"/>
      <c r="AI2589" s="72"/>
      <c r="AJ2589" s="64">
        <f>AJ2587-AJ2588</f>
        <v>-702.13513515506725</v>
      </c>
      <c r="AK2589" s="44"/>
      <c r="AL2589" s="72"/>
      <c r="AM2589" s="64">
        <f>AM2587-AM2588</f>
        <v>-1061.1539757683454</v>
      </c>
      <c r="AN2589" s="44"/>
      <c r="AO2589" s="72"/>
      <c r="AP2589" s="64">
        <f>AP2587-AP2588</f>
        <v>-1441.4966227422867</v>
      </c>
      <c r="AQ2589" s="44"/>
      <c r="AR2589" s="72"/>
      <c r="AS2589" s="64">
        <f>AS2587-AS2588</f>
        <v>-1876.6323868619579</v>
      </c>
      <c r="AT2589" s="44"/>
      <c r="AU2589" s="72"/>
    </row>
    <row r="2590" spans="15:47" ht="13" x14ac:dyDescent="0.3">
      <c r="O2590" s="6" t="s">
        <v>75</v>
      </c>
      <c r="P2590" s="6">
        <v>3</v>
      </c>
      <c r="Q2590" s="65"/>
      <c r="R2590" s="85">
        <f>(F_LP_h/F_P_h)^2*(R2587-('Valve Sizing'!$V$4*'Valve Sizing'!$G$7))</f>
        <v>46.590066069833753</v>
      </c>
      <c r="S2590" s="58"/>
      <c r="T2590" s="73"/>
      <c r="U2590" s="53">
        <f>(U$29/U$27)^2*(U2587-('Valve Sizing'!$V$4*'Valve Sizing'!$G$7))</f>
        <v>44.493707812059505</v>
      </c>
      <c r="V2590" s="41"/>
      <c r="W2590" s="73"/>
      <c r="X2590" s="53">
        <f>(X$29/X$27)^2*(X2587-('Valve Sizing'!$V$4*'Valve Sizing'!$G$7))</f>
        <v>32.977050859307504</v>
      </c>
      <c r="Y2590" s="41"/>
      <c r="Z2590" s="73"/>
      <c r="AA2590" s="53">
        <f>(AA$29/AA$27)^2*(AA2587-('Valve Sizing'!$V$4*'Valve Sizing'!$G$7))</f>
        <v>-0.64758837576578543</v>
      </c>
      <c r="AB2590" s="41"/>
      <c r="AC2590" s="73"/>
      <c r="AD2590" s="53">
        <f>(AD$29/AD$27)^2*(AD2587-('Valve Sizing'!$V$4*'Valve Sizing'!$G$7))</f>
        <v>-71.071425650387539</v>
      </c>
      <c r="AE2590" s="41"/>
      <c r="AF2590" s="73"/>
      <c r="AG2590" s="53">
        <f>(AG$29/AG$27)^2*(AG2587-('Valve Sizing'!$V$4*'Valve Sizing'!$G$7))</f>
        <v>-184.9486201019659</v>
      </c>
      <c r="AH2590" s="41"/>
      <c r="AI2590" s="73"/>
      <c r="AJ2590" s="53">
        <f>(AJ$29/AJ$27)^2*(AJ2587-('Valve Sizing'!$V$4*'Valve Sizing'!$G$7))</f>
        <v>-321.29257208453703</v>
      </c>
      <c r="AK2590" s="41"/>
      <c r="AL2590" s="73"/>
      <c r="AM2590" s="53">
        <f>(AM$29/AM$27)^2*(AM2587-('Valve Sizing'!$V$4*'Valve Sizing'!$G$7))</f>
        <v>-408.95096139533581</v>
      </c>
      <c r="AN2590" s="41"/>
      <c r="AO2590" s="73"/>
      <c r="AP2590" s="53">
        <f>(AP$29/AP$27)^2*(AP2587-('Valve Sizing'!$V$4*'Valve Sizing'!$G$7))</f>
        <v>-462.36606524728938</v>
      </c>
      <c r="AQ2590" s="41"/>
      <c r="AR2590" s="73"/>
      <c r="AS2590" s="53">
        <f>(AS$29/AS$27)^2*(AS2587-('Valve Sizing'!$V$4*'Valve Sizing'!$G$7))</f>
        <v>-577.10042532080513</v>
      </c>
      <c r="AT2590" s="41"/>
      <c r="AU2590" s="73"/>
    </row>
    <row r="2591" spans="15:47" ht="13" x14ac:dyDescent="0.25">
      <c r="O2591" s="1" t="s">
        <v>69</v>
      </c>
      <c r="P2591" s="17">
        <v>7</v>
      </c>
      <c r="Q2591" s="65"/>
      <c r="R2591" s="53">
        <f>(R2585/(N_1*F_P_h))*SQRT('Valve Sizing'!$G$6/R2589)</f>
        <v>13.988792094870561</v>
      </c>
      <c r="S2591" s="58"/>
      <c r="T2591" s="73"/>
      <c r="U2591" s="64">
        <f>(U2585/(N_1*U$27))*SQRT('Valve Sizing'!$G$6/U2589)</f>
        <v>52.839314667771596</v>
      </c>
      <c r="V2591" s="41"/>
      <c r="W2591" s="73"/>
      <c r="X2591" s="64">
        <f>(X2585/(N_1*X$27))*SQRT('Valve Sizing'!$G$6/X2589)</f>
        <v>187.0013007363676</v>
      </c>
      <c r="Y2591" s="41"/>
      <c r="Z2591" s="73"/>
      <c r="AA2591" s="64" t="e">
        <f>(AA2585/(N_1*AA$27))*SQRT('Valve Sizing'!$G$6/AA2589)</f>
        <v>#NUM!</v>
      </c>
      <c r="AB2591" s="41"/>
      <c r="AC2591" s="73"/>
      <c r="AD2591" s="64" t="e">
        <f>(AD2585/(N_1*AD$27))*SQRT('Valve Sizing'!$G$6/AD2589)</f>
        <v>#NUM!</v>
      </c>
      <c r="AE2591" s="41"/>
      <c r="AF2591" s="73"/>
      <c r="AG2591" s="64" t="e">
        <f>(AG2585/(N_1*AG$27))*SQRT('Valve Sizing'!$G$6/AG2589)</f>
        <v>#NUM!</v>
      </c>
      <c r="AH2591" s="41"/>
      <c r="AI2591" s="73"/>
      <c r="AJ2591" s="64" t="e">
        <f>(AJ2585/(N_1*AJ$27))*SQRT('Valve Sizing'!$G$6/AJ2589)</f>
        <v>#NUM!</v>
      </c>
      <c r="AK2591" s="41"/>
      <c r="AL2591" s="73"/>
      <c r="AM2591" s="64" t="e">
        <f>(AM2585/(N_1*AM$27))*SQRT('Valve Sizing'!$G$6/AM2589)</f>
        <v>#NUM!</v>
      </c>
      <c r="AN2591" s="41"/>
      <c r="AO2591" s="73"/>
      <c r="AP2591" s="64" t="e">
        <f>(AP2585/(N_1*AP$27))*SQRT('Valve Sizing'!$G$6/AP2589)</f>
        <v>#NUM!</v>
      </c>
      <c r="AQ2591" s="41"/>
      <c r="AR2591" s="73"/>
      <c r="AS2591" s="64" t="e">
        <f>(AS2585/(N_1*AS$27))*SQRT('Valve Sizing'!$G$6/AS2589)</f>
        <v>#NUM!</v>
      </c>
      <c r="AT2591" s="41"/>
      <c r="AU2591" s="73"/>
    </row>
    <row r="2592" spans="15:47" ht="13" x14ac:dyDescent="0.3">
      <c r="O2592" s="1" t="s">
        <v>72</v>
      </c>
      <c r="P2592" s="17">
        <v>7</v>
      </c>
      <c r="Q2592" s="65"/>
      <c r="R2592" s="53">
        <f>(R2585/(N_1*F_P_h))*SQRT('Valve Sizing'!$G$6/R2590)</f>
        <v>11.594357873003153</v>
      </c>
      <c r="S2592" s="56"/>
      <c r="T2592" s="72"/>
      <c r="U2592" s="85">
        <f>(U2585/(N_1*U$27))*SQRT('Valve Sizing'!$G$6/U2590)</f>
        <v>42.647737154992456</v>
      </c>
      <c r="V2592" s="44"/>
      <c r="W2592" s="72"/>
      <c r="X2592" s="85">
        <f>(X2585/(N_1*X$27))*SQRT('Valve Sizing'!$G$6/X2590)</f>
        <v>119.17767954569914</v>
      </c>
      <c r="Y2592" s="44"/>
      <c r="Z2592" s="72"/>
      <c r="AA2592" s="85" t="e">
        <f>(AA2585/(N_1*AA$27))*SQRT('Valve Sizing'!$G$6/AA2590)</f>
        <v>#NUM!</v>
      </c>
      <c r="AB2592" s="44"/>
      <c r="AC2592" s="72"/>
      <c r="AD2592" s="85" t="e">
        <f>(AD2585/(N_1*AD$27))*SQRT('Valve Sizing'!$G$6/AD2590)</f>
        <v>#NUM!</v>
      </c>
      <c r="AE2592" s="44"/>
      <c r="AF2592" s="72"/>
      <c r="AG2592" s="85" t="e">
        <f>(AG2585/(N_1*AG$27))*SQRT('Valve Sizing'!$G$6/AG2590)</f>
        <v>#NUM!</v>
      </c>
      <c r="AH2592" s="44"/>
      <c r="AI2592" s="72"/>
      <c r="AJ2592" s="85" t="e">
        <f>(AJ2585/(N_1*AJ$27))*SQRT('Valve Sizing'!$G$6/AJ2590)</f>
        <v>#NUM!</v>
      </c>
      <c r="AK2592" s="44"/>
      <c r="AL2592" s="72"/>
      <c r="AM2592" s="85" t="e">
        <f>(AM2585/(N_1*AM$27))*SQRT('Valve Sizing'!$G$6/AM2590)</f>
        <v>#NUM!</v>
      </c>
      <c r="AN2592" s="44"/>
      <c r="AO2592" s="72"/>
      <c r="AP2592" s="85" t="e">
        <f>(AP2585/(N_1*AP$27))*SQRT('Valve Sizing'!$G$6/AP2590)</f>
        <v>#NUM!</v>
      </c>
      <c r="AQ2592" s="44"/>
      <c r="AR2592" s="72"/>
      <c r="AS2592" s="85" t="e">
        <f>(AS2585/(N_1*AS$27))*SQRT('Valve Sizing'!$G$6/AS2590)</f>
        <v>#NUM!</v>
      </c>
      <c r="AT2592" s="44"/>
      <c r="AU2592" s="72"/>
    </row>
    <row r="2593" spans="15:47" x14ac:dyDescent="0.25">
      <c r="O2593" s="1" t="s">
        <v>246</v>
      </c>
      <c r="P2593" s="18"/>
      <c r="Q2593" s="65"/>
      <c r="R2593" s="53">
        <f>IF(R2589&lt;R2590,R2591,R2592)</f>
        <v>13.988792094870561</v>
      </c>
      <c r="S2593" s="49"/>
      <c r="T2593" s="72"/>
      <c r="U2593" s="64">
        <f>IF(U2589&lt;U2590,U2591,U2592)</f>
        <v>52.839314667771596</v>
      </c>
      <c r="V2593" s="44"/>
      <c r="W2593" s="72"/>
      <c r="X2593" s="64">
        <f>IF(X2589&lt;X2590,X2591,X2592)</f>
        <v>187.0013007363676</v>
      </c>
      <c r="Y2593" s="44"/>
      <c r="Z2593" s="72"/>
      <c r="AA2593" s="64" t="e">
        <f>IF(AA2589&lt;AA2590,AA2591,AA2592)</f>
        <v>#NUM!</v>
      </c>
      <c r="AB2593" s="44"/>
      <c r="AC2593" s="72"/>
      <c r="AD2593" s="64" t="e">
        <f>IF(AD2589&lt;AD2590,AD2591,AD2592)</f>
        <v>#NUM!</v>
      </c>
      <c r="AE2593" s="44"/>
      <c r="AF2593" s="72"/>
      <c r="AG2593" s="64" t="e">
        <f>IF(AG2589&lt;AG2590,AG2591,AG2592)</f>
        <v>#NUM!</v>
      </c>
      <c r="AH2593" s="44"/>
      <c r="AI2593" s="72"/>
      <c r="AJ2593" s="64" t="e">
        <f>IF(AJ2589&lt;AJ2590,AJ2591,AJ2592)</f>
        <v>#NUM!</v>
      </c>
      <c r="AK2593" s="44"/>
      <c r="AL2593" s="72"/>
      <c r="AM2593" s="64" t="e">
        <f>IF(AM2589&lt;AM2590,AM2591,AM2592)</f>
        <v>#NUM!</v>
      </c>
      <c r="AN2593" s="44"/>
      <c r="AO2593" s="72"/>
      <c r="AP2593" s="64" t="e">
        <f>IF(AP2589&lt;AP2590,AP2591,AP2592)</f>
        <v>#NUM!</v>
      </c>
      <c r="AQ2593" s="44"/>
      <c r="AR2593" s="72"/>
      <c r="AS2593" s="64" t="e">
        <f>IF(AS2589&lt;AS2590,AS2591,AS2592)</f>
        <v>#NUM!</v>
      </c>
      <c r="AT2593" s="44"/>
      <c r="AU2593" s="72"/>
    </row>
    <row r="2594" spans="15:47" ht="13" x14ac:dyDescent="0.3">
      <c r="O2594" s="7" t="s">
        <v>264</v>
      </c>
      <c r="Q2594" s="61"/>
      <c r="R2594" s="53"/>
      <c r="S2594" s="69">
        <f>IFERROR(ABS(C_h-R2593),Q_max*10)</f>
        <v>8.9887920948705613</v>
      </c>
      <c r="T2594" s="76">
        <f>R2585</f>
        <v>79.127935665951242</v>
      </c>
      <c r="U2594" s="61"/>
      <c r="V2594" s="69">
        <f>IFERROR(ABS(U$23-U2593),Q_max*10)</f>
        <v>40.839314667771596</v>
      </c>
      <c r="W2594" s="75">
        <f>U2585</f>
        <v>284.23635271835832</v>
      </c>
      <c r="X2594" s="61"/>
      <c r="Y2594" s="69">
        <f>IFERROR(ABS(X$23-X2593),Q_max*10)</f>
        <v>164.0013007363676</v>
      </c>
      <c r="Z2594" s="75">
        <f>X2585</f>
        <v>682.27665972853958</v>
      </c>
      <c r="AA2594" s="61"/>
      <c r="AB2594" s="69">
        <f>IFERROR(ABS(AA$23-AA2593),Q_max*10)</f>
        <v>5500</v>
      </c>
      <c r="AC2594" s="75">
        <f>AA2585</f>
        <v>1302.7161897492078</v>
      </c>
      <c r="AD2594" s="61"/>
      <c r="AE2594" s="69">
        <f>IFERROR(ABS(AD$23-AD2593),Q_max*10)</f>
        <v>5500</v>
      </c>
      <c r="AF2594" s="75">
        <f>AD2585</f>
        <v>2142.4885004927592</v>
      </c>
      <c r="AG2594" s="61"/>
      <c r="AH2594" s="69">
        <f>IFERROR(ABS(AG$23-AG2593),Q_max*10)</f>
        <v>5500</v>
      </c>
      <c r="AI2594" s="75">
        <f>AG2585</f>
        <v>3189.8734280134795</v>
      </c>
      <c r="AJ2594" s="61"/>
      <c r="AK2594" s="69">
        <f>IFERROR(ABS(AJ$23-AJ2593),Q_max*10)</f>
        <v>5500</v>
      </c>
      <c r="AL2594" s="75">
        <f>AJ2585</f>
        <v>4256.8984554427989</v>
      </c>
      <c r="AM2594" s="61"/>
      <c r="AN2594" s="69">
        <f>IFERROR(ABS(AM$23-AM2593),Q_max*10)</f>
        <v>5500</v>
      </c>
      <c r="AO2594" s="75">
        <f>AM2585</f>
        <v>5194.2250964011873</v>
      </c>
      <c r="AP2594" s="61"/>
      <c r="AQ2594" s="69">
        <f>IFERROR(ABS(AP$23-AP2593),Q_max*10)</f>
        <v>5500</v>
      </c>
      <c r="AR2594" s="75">
        <f>AP2585</f>
        <v>6030.3340841255158</v>
      </c>
      <c r="AS2594" s="61"/>
      <c r="AT2594" s="69">
        <f>IFERROR(ABS(AS$23-AS2593),Q_max*10)</f>
        <v>5500</v>
      </c>
      <c r="AU2594" s="75">
        <f>AS2585</f>
        <v>6863.0826999110841</v>
      </c>
    </row>
    <row r="2595" spans="15:47" ht="14.5" x14ac:dyDescent="0.35">
      <c r="O2595" s="8"/>
      <c r="P2595" s="6"/>
      <c r="Q2595" s="60"/>
      <c r="R2595" s="67"/>
      <c r="S2595" s="56"/>
      <c r="T2595" s="72"/>
      <c r="V2595" s="11"/>
      <c r="W2595" s="38"/>
      <c r="Y2595" s="11"/>
      <c r="Z2595" s="38"/>
      <c r="AB2595" s="11"/>
      <c r="AC2595" s="38"/>
      <c r="AE2595" s="11"/>
      <c r="AF2595" s="38"/>
      <c r="AH2595" s="11"/>
      <c r="AI2595" s="38"/>
      <c r="AK2595" s="11"/>
      <c r="AL2595" s="38"/>
      <c r="AN2595" s="11"/>
      <c r="AO2595" s="38"/>
      <c r="AQ2595" s="11"/>
      <c r="AR2595" s="38"/>
      <c r="AT2595" s="11"/>
      <c r="AU2595" s="38"/>
    </row>
    <row r="2596" spans="15:47" ht="14" x14ac:dyDescent="0.3">
      <c r="O2596" s="8" t="s">
        <v>235</v>
      </c>
      <c r="P2596" s="6"/>
      <c r="Q2596" s="60"/>
      <c r="R2596" s="53">
        <f>R2585*1.02</f>
        <v>80.710494379270273</v>
      </c>
      <c r="S2596" s="58" t="s">
        <v>238</v>
      </c>
      <c r="T2596" s="73" t="s">
        <v>241</v>
      </c>
      <c r="U2596" s="84">
        <f>U2585*1.01</f>
        <v>287.0787162455419</v>
      </c>
      <c r="V2596" s="58" t="s">
        <v>238</v>
      </c>
      <c r="W2596" s="73" t="s">
        <v>241</v>
      </c>
      <c r="X2596" s="84">
        <f>X2585*1.01</f>
        <v>689.09942632582499</v>
      </c>
      <c r="Y2596" s="58" t="s">
        <v>238</v>
      </c>
      <c r="Z2596" s="73" t="s">
        <v>241</v>
      </c>
      <c r="AA2596" s="84">
        <f>AA2585*1.01</f>
        <v>1315.7433516466999</v>
      </c>
      <c r="AB2596" s="58" t="s">
        <v>238</v>
      </c>
      <c r="AC2596" s="73" t="s">
        <v>241</v>
      </c>
      <c r="AD2596" s="84">
        <f>AD2585*1.01</f>
        <v>2163.9133854976867</v>
      </c>
      <c r="AE2596" s="58" t="s">
        <v>238</v>
      </c>
      <c r="AF2596" s="73" t="s">
        <v>241</v>
      </c>
      <c r="AG2596" s="84">
        <f>AG2585*1.01</f>
        <v>3221.7721622936142</v>
      </c>
      <c r="AH2596" s="58" t="s">
        <v>238</v>
      </c>
      <c r="AI2596" s="73" t="s">
        <v>241</v>
      </c>
      <c r="AJ2596" s="84">
        <f>AJ2585*1.01</f>
        <v>4299.4674399972273</v>
      </c>
      <c r="AK2596" s="58" t="s">
        <v>238</v>
      </c>
      <c r="AL2596" s="73" t="s">
        <v>241</v>
      </c>
      <c r="AM2596" s="84">
        <f>AM2585*1.01</f>
        <v>5246.167347365199</v>
      </c>
      <c r="AN2596" s="58" t="s">
        <v>238</v>
      </c>
      <c r="AO2596" s="73" t="s">
        <v>241</v>
      </c>
      <c r="AP2596" s="84">
        <f>AP2585*1.01</f>
        <v>6090.6374249667706</v>
      </c>
      <c r="AQ2596" s="58" t="s">
        <v>238</v>
      </c>
      <c r="AR2596" s="73" t="s">
        <v>241</v>
      </c>
      <c r="AS2596" s="84">
        <f>AS2585*1.01</f>
        <v>6931.7135269101946</v>
      </c>
      <c r="AT2596" s="58" t="s">
        <v>238</v>
      </c>
      <c r="AU2596" s="73" t="s">
        <v>241</v>
      </c>
    </row>
    <row r="2597" spans="15:47" ht="13" x14ac:dyDescent="0.25">
      <c r="O2597" s="6"/>
      <c r="P2597" s="6"/>
      <c r="Q2597" s="60"/>
      <c r="R2597" s="70"/>
      <c r="S2597" s="63" t="s">
        <v>250</v>
      </c>
      <c r="T2597" s="71" t="s">
        <v>242</v>
      </c>
      <c r="U2597" s="61"/>
      <c r="V2597" s="63" t="s">
        <v>250</v>
      </c>
      <c r="W2597" s="71" t="s">
        <v>242</v>
      </c>
      <c r="X2597" s="61"/>
      <c r="Y2597" s="63" t="s">
        <v>250</v>
      </c>
      <c r="Z2597" s="71" t="s">
        <v>242</v>
      </c>
      <c r="AA2597" s="61"/>
      <c r="AB2597" s="63" t="s">
        <v>250</v>
      </c>
      <c r="AC2597" s="71" t="s">
        <v>242</v>
      </c>
      <c r="AD2597" s="61"/>
      <c r="AE2597" s="63" t="s">
        <v>250</v>
      </c>
      <c r="AF2597" s="71" t="s">
        <v>242</v>
      </c>
      <c r="AG2597" s="61"/>
      <c r="AH2597" s="63" t="s">
        <v>250</v>
      </c>
      <c r="AI2597" s="71" t="s">
        <v>242</v>
      </c>
      <c r="AJ2597" s="61"/>
      <c r="AK2597" s="63" t="s">
        <v>250</v>
      </c>
      <c r="AL2597" s="71" t="s">
        <v>242</v>
      </c>
      <c r="AM2597" s="61"/>
      <c r="AN2597" s="63" t="s">
        <v>250</v>
      </c>
      <c r="AO2597" s="71" t="s">
        <v>242</v>
      </c>
      <c r="AP2597" s="61"/>
      <c r="AQ2597" s="63" t="s">
        <v>250</v>
      </c>
      <c r="AR2597" s="71" t="s">
        <v>242</v>
      </c>
      <c r="AS2597" s="61"/>
      <c r="AT2597" s="63" t="s">
        <v>250</v>
      </c>
      <c r="AU2597" s="71" t="s">
        <v>242</v>
      </c>
    </row>
    <row r="2598" spans="15:47" ht="13" x14ac:dyDescent="0.3">
      <c r="O2598" s="6" t="s">
        <v>231</v>
      </c>
      <c r="P2598" s="6"/>
      <c r="Q2598" s="60"/>
      <c r="R2598" s="85">
        <f>P_1_minQ-(R2596^2*R_up)+dpup_minQ</f>
        <v>56.696143738502322</v>
      </c>
      <c r="S2598" s="56"/>
      <c r="T2598" s="72"/>
      <c r="U2598" s="53">
        <f>P_1_minQ-(U2596^2*R_up)+dpup_minQ</f>
        <v>54.132820353894346</v>
      </c>
      <c r="V2598" s="44"/>
      <c r="W2598" s="72"/>
      <c r="X2598" s="53">
        <f>P_1_minQ-(X2596^2*R_up)+dpup_minQ</f>
        <v>40.879060474076965</v>
      </c>
      <c r="Y2598" s="44"/>
      <c r="Z2598" s="72"/>
      <c r="AA2598" s="53">
        <f>P_1_minQ-(AA2596^2*R_up)+dpup_minQ</f>
        <v>-1.5499347315937628</v>
      </c>
      <c r="AB2598" s="44"/>
      <c r="AC2598" s="72"/>
      <c r="AD2598" s="53">
        <f>P_1_minQ-(AD2596^2*R_up)+dpup_minQ</f>
        <v>-101.22371293265991</v>
      </c>
      <c r="AE2598" s="44"/>
      <c r="AF2598" s="72"/>
      <c r="AG2598" s="53">
        <f>P_1_minQ-(AG2596^2*R_up)+dpup_minQ</f>
        <v>-293.63488232793213</v>
      </c>
      <c r="AH2598" s="44"/>
      <c r="AI2598" s="72"/>
      <c r="AJ2598" s="53">
        <f>P_1_minQ-(AJ2596^2*R_up)+dpup_minQ</f>
        <v>-567.38038728795379</v>
      </c>
      <c r="AK2598" s="44"/>
      <c r="AL2598" s="72"/>
      <c r="AM2598" s="53">
        <f>P_1_minQ-(AM2596^2*R_up)+dpup_minQ</f>
        <v>-872.57632004595769</v>
      </c>
      <c r="AN2598" s="44"/>
      <c r="AO2598" s="72"/>
      <c r="AP2598" s="53">
        <f>P_1_minQ-(AP2596^2*R_up)+dpup_minQ</f>
        <v>-1195.8992651943888</v>
      </c>
      <c r="AQ2598" s="44"/>
      <c r="AR2598" s="72"/>
      <c r="AS2598" s="53">
        <f>P_1_minQ-(AS2596^2*R_up)+dpup_minQ</f>
        <v>-1565.8009260097863</v>
      </c>
      <c r="AT2598" s="44"/>
      <c r="AU2598" s="72"/>
    </row>
    <row r="2599" spans="15:47" ht="13" x14ac:dyDescent="0.3">
      <c r="O2599" s="6" t="s">
        <v>233</v>
      </c>
      <c r="P2599" s="6"/>
      <c r="Q2599" s="60"/>
      <c r="R2599" s="85">
        <f>P_2_minQ+(R2596^2*R_dn)-dpdn_minQ</f>
        <v>24.700771252299536</v>
      </c>
      <c r="S2599" s="66"/>
      <c r="T2599" s="74"/>
      <c r="U2599" s="53">
        <f>P_2_minQ+(U2596^2*R_dn)-dpdn_minQ</f>
        <v>25.213435929221131</v>
      </c>
      <c r="V2599" s="45"/>
      <c r="W2599" s="74"/>
      <c r="X2599" s="53">
        <f>P_2_minQ+(X2596^2*R_dn)-dpdn_minQ</f>
        <v>27.864187905184608</v>
      </c>
      <c r="Y2599" s="45"/>
      <c r="Z2599" s="74"/>
      <c r="AA2599" s="53">
        <f>P_2_minQ+(AA2596^2*R_dn)-dpdn_minQ</f>
        <v>36.349986946318758</v>
      </c>
      <c r="AB2599" s="45"/>
      <c r="AC2599" s="74"/>
      <c r="AD2599" s="53">
        <f>P_2_minQ+(AD2596^2*R_dn)-dpdn_minQ</f>
        <v>56.284742586531983</v>
      </c>
      <c r="AE2599" s="45"/>
      <c r="AF2599" s="74"/>
      <c r="AG2599" s="53">
        <f>P_2_minQ+(AG2596^2*R_dn)-dpdn_minQ</f>
        <v>94.766976465586424</v>
      </c>
      <c r="AH2599" s="45"/>
      <c r="AI2599" s="74"/>
      <c r="AJ2599" s="53">
        <f>P_2_minQ+(AJ2596^2*R_dn)-dpdn_minQ</f>
        <v>149.51607745759074</v>
      </c>
      <c r="AK2599" s="45"/>
      <c r="AL2599" s="74"/>
      <c r="AM2599" s="53">
        <f>P_2_minQ+(AM2596^2*R_dn)-dpdn_minQ</f>
        <v>210.55526400919152</v>
      </c>
      <c r="AN2599" s="45"/>
      <c r="AO2599" s="74"/>
      <c r="AP2599" s="53">
        <f>P_2_minQ+(AP2596^2*R_dn)-dpdn_minQ</f>
        <v>275.21985303887772</v>
      </c>
      <c r="AQ2599" s="45"/>
      <c r="AR2599" s="74"/>
      <c r="AS2599" s="53">
        <f>P_2_minQ+(AS2596^2*R_dn)-dpdn_minQ</f>
        <v>349.2001852019572</v>
      </c>
      <c r="AT2599" s="45"/>
      <c r="AU2599" s="74"/>
    </row>
    <row r="2600" spans="15:47" x14ac:dyDescent="0.25">
      <c r="O2600" s="6" t="s">
        <v>243</v>
      </c>
      <c r="Q2600" s="60"/>
      <c r="R2600" s="53">
        <f>R2598-R2599</f>
        <v>31.995372486202786</v>
      </c>
      <c r="S2600" s="56"/>
      <c r="T2600" s="72"/>
      <c r="U2600" s="64">
        <f>U2598-U2599</f>
        <v>28.919384424673215</v>
      </c>
      <c r="V2600" s="44"/>
      <c r="W2600" s="72"/>
      <c r="X2600" s="64">
        <f>X2598-X2599</f>
        <v>13.014872568892358</v>
      </c>
      <c r="Y2600" s="44"/>
      <c r="Z2600" s="72"/>
      <c r="AA2600" s="64">
        <f>AA2598-AA2599</f>
        <v>-37.899921677912523</v>
      </c>
      <c r="AB2600" s="44"/>
      <c r="AC2600" s="72"/>
      <c r="AD2600" s="64">
        <f>AD2598-AD2599</f>
        <v>-157.5084555191919</v>
      </c>
      <c r="AE2600" s="44"/>
      <c r="AF2600" s="72"/>
      <c r="AG2600" s="64">
        <f>AG2598-AG2599</f>
        <v>-388.40185879351856</v>
      </c>
      <c r="AH2600" s="44"/>
      <c r="AI2600" s="72"/>
      <c r="AJ2600" s="64">
        <f>AJ2598-AJ2599</f>
        <v>-716.89646474554456</v>
      </c>
      <c r="AK2600" s="44"/>
      <c r="AL2600" s="72"/>
      <c r="AM2600" s="64">
        <f>AM2598-AM2599</f>
        <v>-1083.1315840551492</v>
      </c>
      <c r="AN2600" s="44"/>
      <c r="AO2600" s="72"/>
      <c r="AP2600" s="64">
        <f>AP2598-AP2599</f>
        <v>-1471.1191182332666</v>
      </c>
      <c r="AQ2600" s="44"/>
      <c r="AR2600" s="72"/>
      <c r="AS2600" s="64">
        <f>AS2598-AS2599</f>
        <v>-1915.0011112117436</v>
      </c>
      <c r="AT2600" s="44"/>
      <c r="AU2600" s="72"/>
    </row>
    <row r="2601" spans="15:47" ht="13" x14ac:dyDescent="0.3">
      <c r="O2601" s="6" t="s">
        <v>75</v>
      </c>
      <c r="P2601" s="6">
        <v>3</v>
      </c>
      <c r="Q2601" s="65"/>
      <c r="R2601" s="85">
        <f>(F_LP_h/F_P_h)^2*(R2598-('Valve Sizing'!$V$4*'Valve Sizing'!$G$7))</f>
        <v>46.582992144089651</v>
      </c>
      <c r="S2601" s="58"/>
      <c r="T2601" s="73"/>
      <c r="U2601" s="53">
        <f>(U$29/U$27)^2*(U2598-('Valve Sizing'!$V$4*'Valve Sizing'!$G$7))</f>
        <v>44.448307757580004</v>
      </c>
      <c r="V2601" s="41"/>
      <c r="W2601" s="73"/>
      <c r="X2601" s="53">
        <f>(X$29/X$27)^2*(X2598-('Valve Sizing'!$V$4*'Valve Sizing'!$G$7))</f>
        <v>32.721363280301318</v>
      </c>
      <c r="Y2601" s="41"/>
      <c r="Z2601" s="73"/>
      <c r="AA2601" s="53">
        <f>(AA$29/AA$27)^2*(AA2598-('Valve Sizing'!$V$4*'Valve Sizing'!$G$7))</f>
        <v>-1.5378605976620963</v>
      </c>
      <c r="AB2601" s="41"/>
      <c r="AC2601" s="73"/>
      <c r="AD2601" s="53">
        <f>(AD$29/AD$27)^2*(AD2598-('Valve Sizing'!$V$4*'Valve Sizing'!$G$7))</f>
        <v>-73.31863112388632</v>
      </c>
      <c r="AE2601" s="41"/>
      <c r="AF2601" s="73"/>
      <c r="AG2601" s="53">
        <f>(AG$29/AG$27)^2*(AG2598-('Valve Sizing'!$V$4*'Valve Sizing'!$G$7))</f>
        <v>-189.39718629953148</v>
      </c>
      <c r="AH2601" s="41"/>
      <c r="AI2601" s="73"/>
      <c r="AJ2601" s="53">
        <f>(AJ$29/AJ$27)^2*(AJ2598-('Valve Sizing'!$V$4*'Valve Sizing'!$G$7))</f>
        <v>-328.40709423214344</v>
      </c>
      <c r="AK2601" s="41"/>
      <c r="AL2601" s="73"/>
      <c r="AM2601" s="53">
        <f>(AM$29/AM$27)^2*(AM2598-('Valve Sizing'!$V$4*'Valve Sizing'!$G$7))</f>
        <v>-417.7140226233023</v>
      </c>
      <c r="AN2601" s="41"/>
      <c r="AO2601" s="73"/>
      <c r="AP2601" s="53">
        <f>(AP$29/AP$27)^2*(AP2598-('Valve Sizing'!$V$4*'Valve Sizing'!$G$7))</f>
        <v>-472.10759142565928</v>
      </c>
      <c r="AQ2601" s="41"/>
      <c r="AR2601" s="73"/>
      <c r="AS2601" s="53">
        <f>(AS$29/AS$27)^2*(AS2598-('Valve Sizing'!$V$4*'Valve Sizing'!$G$7))</f>
        <v>-589.12712735887089</v>
      </c>
      <c r="AT2601" s="41"/>
      <c r="AU2601" s="73"/>
    </row>
    <row r="2602" spans="15:47" ht="13" x14ac:dyDescent="0.25">
      <c r="O2602" s="1" t="s">
        <v>69</v>
      </c>
      <c r="P2602" s="17">
        <v>7</v>
      </c>
      <c r="Q2602" s="65"/>
      <c r="R2602" s="53">
        <f>(R2596/(N_1*F_P_h))*SQRT('Valve Sizing'!$G$6/R2600)</f>
        <v>14.270853600374632</v>
      </c>
      <c r="S2602" s="58"/>
      <c r="T2602" s="73"/>
      <c r="U2602" s="64">
        <f>(U2596/(N_1*U$27))*SQRT('Valve Sizing'!$G$6/U2600)</f>
        <v>53.428396926361977</v>
      </c>
      <c r="V2602" s="41"/>
      <c r="W2602" s="73"/>
      <c r="X2602" s="64">
        <f>(X2596/(N_1*X$27))*SQRT('Valve Sizing'!$G$6/X2600)</f>
        <v>191.60297406661394</v>
      </c>
      <c r="Y2602" s="41"/>
      <c r="Z2602" s="73"/>
      <c r="AA2602" s="64" t="e">
        <f>(AA2596/(N_1*AA$27))*SQRT('Valve Sizing'!$G$6/AA2600)</f>
        <v>#NUM!</v>
      </c>
      <c r="AB2602" s="41"/>
      <c r="AC2602" s="73"/>
      <c r="AD2602" s="64" t="e">
        <f>(AD2596/(N_1*AD$27))*SQRT('Valve Sizing'!$G$6/AD2600)</f>
        <v>#NUM!</v>
      </c>
      <c r="AE2602" s="41"/>
      <c r="AF2602" s="73"/>
      <c r="AG2602" s="64" t="e">
        <f>(AG2596/(N_1*AG$27))*SQRT('Valve Sizing'!$G$6/AG2600)</f>
        <v>#NUM!</v>
      </c>
      <c r="AH2602" s="41"/>
      <c r="AI2602" s="73"/>
      <c r="AJ2602" s="64" t="e">
        <f>(AJ2596/(N_1*AJ$27))*SQRT('Valve Sizing'!$G$6/AJ2600)</f>
        <v>#NUM!</v>
      </c>
      <c r="AK2602" s="41"/>
      <c r="AL2602" s="73"/>
      <c r="AM2602" s="64" t="e">
        <f>(AM2596/(N_1*AM$27))*SQRT('Valve Sizing'!$G$6/AM2600)</f>
        <v>#NUM!</v>
      </c>
      <c r="AN2602" s="41"/>
      <c r="AO2602" s="73"/>
      <c r="AP2602" s="64" t="e">
        <f>(AP2596/(N_1*AP$27))*SQRT('Valve Sizing'!$G$6/AP2600)</f>
        <v>#NUM!</v>
      </c>
      <c r="AQ2602" s="41"/>
      <c r="AR2602" s="73"/>
      <c r="AS2602" s="64" t="e">
        <f>(AS2596/(N_1*AS$27))*SQRT('Valve Sizing'!$G$6/AS2600)</f>
        <v>#NUM!</v>
      </c>
      <c r="AT2602" s="41"/>
      <c r="AU2602" s="73"/>
    </row>
    <row r="2603" spans="15:47" ht="13" x14ac:dyDescent="0.3">
      <c r="O2603" s="1" t="s">
        <v>72</v>
      </c>
      <c r="P2603" s="17">
        <v>7</v>
      </c>
      <c r="Q2603" s="65"/>
      <c r="R2603" s="53">
        <f>(R2596/(N_1*F_P_h))*SQRT('Valve Sizing'!$G$6/R2601)</f>
        <v>11.827142941906512</v>
      </c>
      <c r="S2603" s="56"/>
      <c r="T2603" s="72"/>
      <c r="U2603" s="85">
        <f>(U2596/(N_1*U$27))*SQRT('Valve Sizing'!$G$6/U2601)</f>
        <v>43.096207181362701</v>
      </c>
      <c r="V2603" s="44"/>
      <c r="W2603" s="72"/>
      <c r="X2603" s="85">
        <f>(X2596/(N_1*X$27))*SQRT('Valve Sizing'!$G$6/X2601)</f>
        <v>120.83882989520708</v>
      </c>
      <c r="Y2603" s="44"/>
      <c r="Z2603" s="72"/>
      <c r="AA2603" s="85" t="e">
        <f>(AA2596/(N_1*AA$27))*SQRT('Valve Sizing'!$G$6/AA2601)</f>
        <v>#NUM!</v>
      </c>
      <c r="AB2603" s="44"/>
      <c r="AC2603" s="72"/>
      <c r="AD2603" s="85" t="e">
        <f>(AD2596/(N_1*AD$27))*SQRT('Valve Sizing'!$G$6/AD2601)</f>
        <v>#NUM!</v>
      </c>
      <c r="AE2603" s="44"/>
      <c r="AF2603" s="72"/>
      <c r="AG2603" s="85" t="e">
        <f>(AG2596/(N_1*AG$27))*SQRT('Valve Sizing'!$G$6/AG2601)</f>
        <v>#NUM!</v>
      </c>
      <c r="AH2603" s="44"/>
      <c r="AI2603" s="72"/>
      <c r="AJ2603" s="85" t="e">
        <f>(AJ2596/(N_1*AJ$27))*SQRT('Valve Sizing'!$G$6/AJ2601)</f>
        <v>#NUM!</v>
      </c>
      <c r="AK2603" s="44"/>
      <c r="AL2603" s="72"/>
      <c r="AM2603" s="85" t="e">
        <f>(AM2596/(N_1*AM$27))*SQRT('Valve Sizing'!$G$6/AM2601)</f>
        <v>#NUM!</v>
      </c>
      <c r="AN2603" s="44"/>
      <c r="AO2603" s="72"/>
      <c r="AP2603" s="85" t="e">
        <f>(AP2596/(N_1*AP$27))*SQRT('Valve Sizing'!$G$6/AP2601)</f>
        <v>#NUM!</v>
      </c>
      <c r="AQ2603" s="44"/>
      <c r="AR2603" s="72"/>
      <c r="AS2603" s="85" t="e">
        <f>(AS2596/(N_1*AS$27))*SQRT('Valve Sizing'!$G$6/AS2601)</f>
        <v>#NUM!</v>
      </c>
      <c r="AT2603" s="44"/>
      <c r="AU2603" s="72"/>
    </row>
    <row r="2604" spans="15:47" x14ac:dyDescent="0.25">
      <c r="O2604" s="1" t="s">
        <v>246</v>
      </c>
      <c r="P2604" s="18"/>
      <c r="Q2604" s="65"/>
      <c r="R2604" s="53">
        <f>IF(R2600&lt;R2601,R2602,R2603)</f>
        <v>14.270853600374632</v>
      </c>
      <c r="S2604" s="49"/>
      <c r="T2604" s="72"/>
      <c r="U2604" s="64">
        <f>IF(U2600&lt;U2601,U2602,U2603)</f>
        <v>53.428396926361977</v>
      </c>
      <c r="V2604" s="44"/>
      <c r="W2604" s="72"/>
      <c r="X2604" s="64">
        <f>IF(X2600&lt;X2601,X2602,X2603)</f>
        <v>191.60297406661394</v>
      </c>
      <c r="Y2604" s="44"/>
      <c r="Z2604" s="72"/>
      <c r="AA2604" s="64" t="e">
        <f>IF(AA2600&lt;AA2601,AA2602,AA2603)</f>
        <v>#NUM!</v>
      </c>
      <c r="AB2604" s="44"/>
      <c r="AC2604" s="72"/>
      <c r="AD2604" s="64" t="e">
        <f>IF(AD2600&lt;AD2601,AD2602,AD2603)</f>
        <v>#NUM!</v>
      </c>
      <c r="AE2604" s="44"/>
      <c r="AF2604" s="72"/>
      <c r="AG2604" s="64" t="e">
        <f>IF(AG2600&lt;AG2601,AG2602,AG2603)</f>
        <v>#NUM!</v>
      </c>
      <c r="AH2604" s="44"/>
      <c r="AI2604" s="72"/>
      <c r="AJ2604" s="64" t="e">
        <f>IF(AJ2600&lt;AJ2601,AJ2602,AJ2603)</f>
        <v>#NUM!</v>
      </c>
      <c r="AK2604" s="44"/>
      <c r="AL2604" s="72"/>
      <c r="AM2604" s="64" t="e">
        <f>IF(AM2600&lt;AM2601,AM2602,AM2603)</f>
        <v>#NUM!</v>
      </c>
      <c r="AN2604" s="44"/>
      <c r="AO2604" s="72"/>
      <c r="AP2604" s="64" t="e">
        <f>IF(AP2600&lt;AP2601,AP2602,AP2603)</f>
        <v>#NUM!</v>
      </c>
      <c r="AQ2604" s="44"/>
      <c r="AR2604" s="72"/>
      <c r="AS2604" s="64" t="e">
        <f>IF(AS2600&lt;AS2601,AS2602,AS2603)</f>
        <v>#NUM!</v>
      </c>
      <c r="AT2604" s="44"/>
      <c r="AU2604" s="72"/>
    </row>
    <row r="2605" spans="15:47" ht="13" x14ac:dyDescent="0.3">
      <c r="O2605" s="7" t="s">
        <v>264</v>
      </c>
      <c r="Q2605" s="61"/>
      <c r="R2605" s="53"/>
      <c r="S2605" s="69">
        <f>IFERROR(ABS(C_h-R2604),Q_max*10)</f>
        <v>9.2708536003746325</v>
      </c>
      <c r="T2605" s="76">
        <f>R2596</f>
        <v>80.710494379270273</v>
      </c>
      <c r="U2605" s="61"/>
      <c r="V2605" s="69">
        <f>IFERROR(ABS(U$23-U2604),Q_max*10)</f>
        <v>41.428396926361977</v>
      </c>
      <c r="W2605" s="75">
        <f>U2596</f>
        <v>287.0787162455419</v>
      </c>
      <c r="X2605" s="61"/>
      <c r="Y2605" s="69">
        <f>IFERROR(ABS(X$23-X2604),Q_max*10)</f>
        <v>168.60297406661394</v>
      </c>
      <c r="Z2605" s="75">
        <f>X2596</f>
        <v>689.09942632582499</v>
      </c>
      <c r="AA2605" s="61"/>
      <c r="AB2605" s="69">
        <f>IFERROR(ABS(AA$23-AA2604),Q_max*10)</f>
        <v>5500</v>
      </c>
      <c r="AC2605" s="75">
        <f>AA2596</f>
        <v>1315.7433516466999</v>
      </c>
      <c r="AD2605" s="61"/>
      <c r="AE2605" s="69">
        <f>IFERROR(ABS(AD$23-AD2604),Q_max*10)</f>
        <v>5500</v>
      </c>
      <c r="AF2605" s="75">
        <f>AD2596</f>
        <v>2163.9133854976867</v>
      </c>
      <c r="AG2605" s="61"/>
      <c r="AH2605" s="69">
        <f>IFERROR(ABS(AG$23-AG2604),Q_max*10)</f>
        <v>5500</v>
      </c>
      <c r="AI2605" s="75">
        <f>AG2596</f>
        <v>3221.7721622936142</v>
      </c>
      <c r="AJ2605" s="61"/>
      <c r="AK2605" s="69">
        <f>IFERROR(ABS(AJ$23-AJ2604),Q_max*10)</f>
        <v>5500</v>
      </c>
      <c r="AL2605" s="75">
        <f>AJ2596</f>
        <v>4299.4674399972273</v>
      </c>
      <c r="AM2605" s="61"/>
      <c r="AN2605" s="69">
        <f>IFERROR(ABS(AM$23-AM2604),Q_max*10)</f>
        <v>5500</v>
      </c>
      <c r="AO2605" s="75">
        <f>AM2596</f>
        <v>5246.167347365199</v>
      </c>
      <c r="AP2605" s="61"/>
      <c r="AQ2605" s="69">
        <f>IFERROR(ABS(AP$23-AP2604),Q_max*10)</f>
        <v>5500</v>
      </c>
      <c r="AR2605" s="75">
        <f>AP2596</f>
        <v>6090.6374249667706</v>
      </c>
      <c r="AS2605" s="61"/>
      <c r="AT2605" s="69">
        <f>IFERROR(ABS(AS$23-AS2604),Q_max*10)</f>
        <v>5500</v>
      </c>
      <c r="AU2605" s="75">
        <f>AS2596</f>
        <v>6931.7135269101946</v>
      </c>
    </row>
    <row r="2606" spans="15:47" ht="14.5" x14ac:dyDescent="0.35">
      <c r="O2606" s="6"/>
      <c r="P2606" s="6"/>
      <c r="Q2606" s="60"/>
      <c r="R2606" s="67"/>
      <c r="S2606" s="56"/>
      <c r="T2606" s="72"/>
      <c r="V2606" s="11"/>
      <c r="W2606" s="38"/>
      <c r="Y2606" s="11"/>
      <c r="Z2606" s="38"/>
      <c r="AB2606" s="11"/>
      <c r="AC2606" s="38"/>
      <c r="AE2606" s="11"/>
      <c r="AF2606" s="38"/>
      <c r="AH2606" s="11"/>
      <c r="AI2606" s="38"/>
      <c r="AK2606" s="11"/>
      <c r="AL2606" s="38"/>
      <c r="AN2606" s="11"/>
      <c r="AO2606" s="38"/>
      <c r="AQ2606" s="11"/>
      <c r="AR2606" s="38"/>
      <c r="AT2606" s="11"/>
      <c r="AU2606" s="38"/>
    </row>
    <row r="2607" spans="15:47" ht="14" x14ac:dyDescent="0.3">
      <c r="O2607" s="8" t="s">
        <v>235</v>
      </c>
      <c r="P2607" s="6"/>
      <c r="Q2607" s="60"/>
      <c r="R2607" s="53">
        <f>R2596*1.02</f>
        <v>82.324704266855676</v>
      </c>
      <c r="S2607" s="58" t="s">
        <v>238</v>
      </c>
      <c r="T2607" s="73" t="s">
        <v>241</v>
      </c>
      <c r="U2607" s="84">
        <f>U2596*1.01</f>
        <v>289.94950340799733</v>
      </c>
      <c r="V2607" s="58" t="s">
        <v>238</v>
      </c>
      <c r="W2607" s="73" t="s">
        <v>241</v>
      </c>
      <c r="X2607" s="84">
        <f>X2596*1.01</f>
        <v>695.99042058908321</v>
      </c>
      <c r="Y2607" s="58" t="s">
        <v>238</v>
      </c>
      <c r="Z2607" s="73" t="s">
        <v>241</v>
      </c>
      <c r="AA2607" s="84">
        <f>AA2596*1.01</f>
        <v>1328.900785163167</v>
      </c>
      <c r="AB2607" s="58" t="s">
        <v>238</v>
      </c>
      <c r="AC2607" s="73" t="s">
        <v>241</v>
      </c>
      <c r="AD2607" s="84">
        <f>AD2596*1.01</f>
        <v>2185.5525193526637</v>
      </c>
      <c r="AE2607" s="58" t="s">
        <v>238</v>
      </c>
      <c r="AF2607" s="73" t="s">
        <v>241</v>
      </c>
      <c r="AG2607" s="84">
        <f>AG2596*1.01</f>
        <v>3253.9898839165503</v>
      </c>
      <c r="AH2607" s="58" t="s">
        <v>238</v>
      </c>
      <c r="AI2607" s="73" t="s">
        <v>241</v>
      </c>
      <c r="AJ2607" s="84">
        <f>AJ2596*1.01</f>
        <v>4342.4621143971999</v>
      </c>
      <c r="AK2607" s="58" t="s">
        <v>238</v>
      </c>
      <c r="AL2607" s="73" t="s">
        <v>241</v>
      </c>
      <c r="AM2607" s="84">
        <f>AM2596*1.01</f>
        <v>5298.6290208388509</v>
      </c>
      <c r="AN2607" s="58" t="s">
        <v>238</v>
      </c>
      <c r="AO2607" s="73" t="s">
        <v>241</v>
      </c>
      <c r="AP2607" s="84">
        <f>AP2596*1.01</f>
        <v>6151.5437992164379</v>
      </c>
      <c r="AQ2607" s="58" t="s">
        <v>238</v>
      </c>
      <c r="AR2607" s="73" t="s">
        <v>241</v>
      </c>
      <c r="AS2607" s="84">
        <f>AS2596*1.01</f>
        <v>7001.030662179297</v>
      </c>
      <c r="AT2607" s="58" t="s">
        <v>238</v>
      </c>
      <c r="AU2607" s="73" t="s">
        <v>241</v>
      </c>
    </row>
    <row r="2608" spans="15:47" ht="13" x14ac:dyDescent="0.25">
      <c r="O2608" s="6"/>
      <c r="P2608" s="6"/>
      <c r="Q2608" s="60"/>
      <c r="R2608" s="70"/>
      <c r="S2608" s="63" t="s">
        <v>250</v>
      </c>
      <c r="T2608" s="71" t="s">
        <v>242</v>
      </c>
      <c r="U2608" s="61"/>
      <c r="V2608" s="63" t="s">
        <v>250</v>
      </c>
      <c r="W2608" s="71" t="s">
        <v>242</v>
      </c>
      <c r="X2608" s="61"/>
      <c r="Y2608" s="63" t="s">
        <v>250</v>
      </c>
      <c r="Z2608" s="71" t="s">
        <v>242</v>
      </c>
      <c r="AA2608" s="61"/>
      <c r="AB2608" s="63" t="s">
        <v>250</v>
      </c>
      <c r="AC2608" s="71" t="s">
        <v>242</v>
      </c>
      <c r="AD2608" s="61"/>
      <c r="AE2608" s="63" t="s">
        <v>250</v>
      </c>
      <c r="AF2608" s="71" t="s">
        <v>242</v>
      </c>
      <c r="AG2608" s="61"/>
      <c r="AH2608" s="63" t="s">
        <v>250</v>
      </c>
      <c r="AI2608" s="71" t="s">
        <v>242</v>
      </c>
      <c r="AJ2608" s="61"/>
      <c r="AK2608" s="63" t="s">
        <v>250</v>
      </c>
      <c r="AL2608" s="71" t="s">
        <v>242</v>
      </c>
      <c r="AM2608" s="61"/>
      <c r="AN2608" s="63" t="s">
        <v>250</v>
      </c>
      <c r="AO2608" s="71" t="s">
        <v>242</v>
      </c>
      <c r="AP2608" s="61"/>
      <c r="AQ2608" s="63" t="s">
        <v>250</v>
      </c>
      <c r="AR2608" s="71" t="s">
        <v>242</v>
      </c>
      <c r="AS2608" s="61"/>
      <c r="AT2608" s="63" t="s">
        <v>250</v>
      </c>
      <c r="AU2608" s="71" t="s">
        <v>242</v>
      </c>
    </row>
    <row r="2609" spans="15:47" ht="13" x14ac:dyDescent="0.3">
      <c r="O2609" s="6" t="s">
        <v>231</v>
      </c>
      <c r="P2609" s="6"/>
      <c r="Q2609" s="60"/>
      <c r="R2609" s="85">
        <f>P_1_minQ-(R2607^2*R_up)+dpup_minQ</f>
        <v>56.687255760465206</v>
      </c>
      <c r="S2609" s="56"/>
      <c r="T2609" s="72"/>
      <c r="U2609" s="53">
        <f>P_1_minQ-(U2607^2*R_up)+dpup_minQ</f>
        <v>54.076875564790804</v>
      </c>
      <c r="V2609" s="44"/>
      <c r="W2609" s="72"/>
      <c r="X2609" s="53">
        <f>P_1_minQ-(X2607^2*R_up)+dpup_minQ</f>
        <v>40.556715111389089</v>
      </c>
      <c r="Y2609" s="44"/>
      <c r="Z2609" s="72"/>
      <c r="AA2609" s="53">
        <f>P_1_minQ-(AA2607^2*R_up)+dpup_minQ</f>
        <v>-2.7251028979156375</v>
      </c>
      <c r="AB2609" s="44"/>
      <c r="AC2609" s="72"/>
      <c r="AD2609" s="53">
        <f>P_1_minQ-(AD2607^2*R_up)+dpup_minQ</f>
        <v>-104.4023240408232</v>
      </c>
      <c r="AE2609" s="44"/>
      <c r="AF2609" s="72"/>
      <c r="AG2609" s="53">
        <f>P_1_minQ-(AG2607^2*R_up)+dpup_minQ</f>
        <v>-300.68095794094035</v>
      </c>
      <c r="AH2609" s="44"/>
      <c r="AI2609" s="72"/>
      <c r="AJ2609" s="53">
        <f>P_1_minQ-(AJ2607^2*R_up)+dpup_minQ</f>
        <v>-579.9287475506585</v>
      </c>
      <c r="AK2609" s="44"/>
      <c r="AL2609" s="72"/>
      <c r="AM2609" s="53">
        <f>P_1_minQ-(AM2607^2*R_up)+dpup_minQ</f>
        <v>-891.25911855709819</v>
      </c>
      <c r="AN2609" s="44"/>
      <c r="AO2609" s="72"/>
      <c r="AP2609" s="53">
        <f>P_1_minQ-(AP2607^2*R_up)+dpup_minQ</f>
        <v>-1221.0808549030128</v>
      </c>
      <c r="AQ2609" s="44"/>
      <c r="AR2609" s="72"/>
      <c r="AS2609" s="53">
        <f>P_1_minQ-(AS2607^2*R_up)+dpup_minQ</f>
        <v>-1598.4175391008</v>
      </c>
      <c r="AT2609" s="44"/>
      <c r="AU2609" s="72"/>
    </row>
    <row r="2610" spans="15:47" ht="13" x14ac:dyDescent="0.3">
      <c r="O2610" s="6" t="s">
        <v>233</v>
      </c>
      <c r="P2610" s="6"/>
      <c r="Q2610" s="60"/>
      <c r="R2610" s="85">
        <f>P_2_minQ+(R2607^2*R_dn)-dpdn_minQ</f>
        <v>24.702548847906961</v>
      </c>
      <c r="S2610" s="66"/>
      <c r="T2610" s="74"/>
      <c r="U2610" s="53">
        <f>P_2_minQ+(U2607^2*R_dn)-dpdn_minQ</f>
        <v>25.224624887041841</v>
      </c>
      <c r="V2610" s="45"/>
      <c r="W2610" s="74"/>
      <c r="X2610" s="53">
        <f>P_2_minQ+(X2607^2*R_dn)-dpdn_minQ</f>
        <v>27.928656977722181</v>
      </c>
      <c r="Y2610" s="45"/>
      <c r="Z2610" s="74"/>
      <c r="AA2610" s="53">
        <f>P_2_minQ+(AA2607^2*R_dn)-dpdn_minQ</f>
        <v>36.58502057958313</v>
      </c>
      <c r="AB2610" s="45"/>
      <c r="AC2610" s="74"/>
      <c r="AD2610" s="53">
        <f>P_2_minQ+(AD2607^2*R_dn)-dpdn_minQ</f>
        <v>56.920464808164645</v>
      </c>
      <c r="AE2610" s="45"/>
      <c r="AF2610" s="74"/>
      <c r="AG2610" s="53">
        <f>P_2_minQ+(AG2607^2*R_dn)-dpdn_minQ</f>
        <v>96.176191588188075</v>
      </c>
      <c r="AH2610" s="45"/>
      <c r="AI2610" s="74"/>
      <c r="AJ2610" s="53">
        <f>P_2_minQ+(AJ2607^2*R_dn)-dpdn_minQ</f>
        <v>152.0257495101317</v>
      </c>
      <c r="AK2610" s="45"/>
      <c r="AL2610" s="74"/>
      <c r="AM2610" s="53">
        <f>P_2_minQ+(AM2607^2*R_dn)-dpdn_minQ</f>
        <v>214.29182371141965</v>
      </c>
      <c r="AN2610" s="45"/>
      <c r="AO2610" s="74"/>
      <c r="AP2610" s="53">
        <f>P_2_minQ+(AP2607^2*R_dn)-dpdn_minQ</f>
        <v>280.25617098060252</v>
      </c>
      <c r="AQ2610" s="45"/>
      <c r="AR2610" s="74"/>
      <c r="AS2610" s="53">
        <f>P_2_minQ+(AS2607^2*R_dn)-dpdn_minQ</f>
        <v>355.72350782015991</v>
      </c>
      <c r="AT2610" s="45"/>
      <c r="AU2610" s="74"/>
    </row>
    <row r="2611" spans="15:47" x14ac:dyDescent="0.25">
      <c r="O2611" s="6" t="s">
        <v>243</v>
      </c>
      <c r="Q2611" s="60"/>
      <c r="R2611" s="53">
        <f>R2609-R2610</f>
        <v>31.984706912558245</v>
      </c>
      <c r="S2611" s="56"/>
      <c r="T2611" s="72"/>
      <c r="U2611" s="64">
        <f>U2609-U2610</f>
        <v>28.852250677748962</v>
      </c>
      <c r="V2611" s="44"/>
      <c r="W2611" s="72"/>
      <c r="X2611" s="64">
        <f>X2609-X2610</f>
        <v>12.628058133666908</v>
      </c>
      <c r="Y2611" s="44"/>
      <c r="Z2611" s="72"/>
      <c r="AA2611" s="64">
        <f>AA2609-AA2610</f>
        <v>-39.31012347749877</v>
      </c>
      <c r="AB2611" s="44"/>
      <c r="AC2611" s="72"/>
      <c r="AD2611" s="64">
        <f>AD2609-AD2610</f>
        <v>-161.32278884898784</v>
      </c>
      <c r="AE2611" s="44"/>
      <c r="AF2611" s="72"/>
      <c r="AG2611" s="64">
        <f>AG2609-AG2610</f>
        <v>-396.85714952912844</v>
      </c>
      <c r="AH2611" s="44"/>
      <c r="AI2611" s="72"/>
      <c r="AJ2611" s="64">
        <f>AJ2609-AJ2610</f>
        <v>-731.95449706079023</v>
      </c>
      <c r="AK2611" s="44"/>
      <c r="AL2611" s="72"/>
      <c r="AM2611" s="64">
        <f>AM2609-AM2610</f>
        <v>-1105.5509422685179</v>
      </c>
      <c r="AN2611" s="44"/>
      <c r="AO2611" s="72"/>
      <c r="AP2611" s="64">
        <f>AP2609-AP2610</f>
        <v>-1501.3370258836153</v>
      </c>
      <c r="AQ2611" s="44"/>
      <c r="AR2611" s="72"/>
      <c r="AS2611" s="64">
        <f>AS2609-AS2610</f>
        <v>-1954.14104692096</v>
      </c>
      <c r="AT2611" s="44"/>
      <c r="AU2611" s="72"/>
    </row>
    <row r="2612" spans="15:47" ht="13" x14ac:dyDescent="0.3">
      <c r="O2612" s="6" t="s">
        <v>75</v>
      </c>
      <c r="P2612" s="6">
        <v>3</v>
      </c>
      <c r="Q2612" s="65"/>
      <c r="R2612" s="85">
        <f>(F_LP_h/F_P_h)^2*(R2609-('Valve Sizing'!$V$4*'Valve Sizing'!$G$7))</f>
        <v>46.575632431745504</v>
      </c>
      <c r="S2612" s="58"/>
      <c r="T2612" s="73"/>
      <c r="U2612" s="53">
        <f>(U$29/U$27)^2*(U2609-('Valve Sizing'!$V$4*'Valve Sizing'!$G$7))</f>
        <v>44.401995162005463</v>
      </c>
      <c r="V2612" s="41"/>
      <c r="W2612" s="73"/>
      <c r="X2612" s="53">
        <f>(X$29/X$27)^2*(X2609-('Valve Sizing'!$V$4*'Valve Sizing'!$G$7))</f>
        <v>32.460536380957109</v>
      </c>
      <c r="Y2612" s="41"/>
      <c r="Z2612" s="73"/>
      <c r="AA2612" s="53">
        <f>(AA$29/AA$27)^2*(AA2609-('Valve Sizing'!$V$4*'Valve Sizing'!$G$7))</f>
        <v>-2.4460272912185408</v>
      </c>
      <c r="AB2612" s="41"/>
      <c r="AC2612" s="73"/>
      <c r="AD2612" s="53">
        <f>(AD$29/AD$27)^2*(AD2609-('Valve Sizing'!$V$4*'Valve Sizing'!$G$7))</f>
        <v>-75.611005427402461</v>
      </c>
      <c r="AE2612" s="41"/>
      <c r="AF2612" s="73"/>
      <c r="AG2612" s="53">
        <f>(AG$29/AG$27)^2*(AG2609-('Valve Sizing'!$V$4*'Valve Sizing'!$G$7))</f>
        <v>-193.9351686776682</v>
      </c>
      <c r="AH2612" s="41"/>
      <c r="AI2612" s="73"/>
      <c r="AJ2612" s="53">
        <f>(AJ$29/AJ$27)^2*(AJ2609-('Valve Sizing'!$V$4*'Valve Sizing'!$G$7))</f>
        <v>-335.66461827491656</v>
      </c>
      <c r="AK2612" s="41"/>
      <c r="AL2612" s="73"/>
      <c r="AM2612" s="53">
        <f>(AM$29/AM$27)^2*(AM2609-('Valve Sizing'!$V$4*'Valve Sizing'!$G$7))</f>
        <v>-426.65322138195097</v>
      </c>
      <c r="AN2612" s="41"/>
      <c r="AO2612" s="73"/>
      <c r="AP2612" s="53">
        <f>(AP$29/AP$27)^2*(AP2609-('Valve Sizing'!$V$4*'Valve Sizing'!$G$7))</f>
        <v>-482.04492228021445</v>
      </c>
      <c r="AQ2612" s="41"/>
      <c r="AR2612" s="73"/>
      <c r="AS2612" s="53">
        <f>(AS$29/AS$27)^2*(AS2609-('Valve Sizing'!$V$4*'Valve Sizing'!$G$7))</f>
        <v>-601.3955661079018</v>
      </c>
      <c r="AT2612" s="41"/>
      <c r="AU2612" s="73"/>
    </row>
    <row r="2613" spans="15:47" ht="13" x14ac:dyDescent="0.25">
      <c r="O2613" s="1" t="s">
        <v>69</v>
      </c>
      <c r="P2613" s="17">
        <v>7</v>
      </c>
      <c r="Q2613" s="65"/>
      <c r="R2613" s="53">
        <f>(R2607/(N_1*F_P_h))*SQRT('Valve Sizing'!$G$6/R2611)</f>
        <v>14.558697426470992</v>
      </c>
      <c r="S2613" s="58"/>
      <c r="T2613" s="73"/>
      <c r="U2613" s="64">
        <f>(U2607/(N_1*U$27))*SQRT('Valve Sizing'!$G$6/U2611)</f>
        <v>54.025424910058987</v>
      </c>
      <c r="V2613" s="41"/>
      <c r="W2613" s="73"/>
      <c r="X2613" s="64">
        <f>(X2607/(N_1*X$27))*SQRT('Valve Sizing'!$G$6/X2611)</f>
        <v>196.46052196025292</v>
      </c>
      <c r="Y2613" s="41"/>
      <c r="Z2613" s="73"/>
      <c r="AA2613" s="64" t="e">
        <f>(AA2607/(N_1*AA$27))*SQRT('Valve Sizing'!$G$6/AA2611)</f>
        <v>#NUM!</v>
      </c>
      <c r="AB2613" s="41"/>
      <c r="AC2613" s="73"/>
      <c r="AD2613" s="64" t="e">
        <f>(AD2607/(N_1*AD$27))*SQRT('Valve Sizing'!$G$6/AD2611)</f>
        <v>#NUM!</v>
      </c>
      <c r="AE2613" s="41"/>
      <c r="AF2613" s="73"/>
      <c r="AG2613" s="64" t="e">
        <f>(AG2607/(N_1*AG$27))*SQRT('Valve Sizing'!$G$6/AG2611)</f>
        <v>#NUM!</v>
      </c>
      <c r="AH2613" s="41"/>
      <c r="AI2613" s="73"/>
      <c r="AJ2613" s="64" t="e">
        <f>(AJ2607/(N_1*AJ$27))*SQRT('Valve Sizing'!$G$6/AJ2611)</f>
        <v>#NUM!</v>
      </c>
      <c r="AK2613" s="41"/>
      <c r="AL2613" s="73"/>
      <c r="AM2613" s="64" t="e">
        <f>(AM2607/(N_1*AM$27))*SQRT('Valve Sizing'!$G$6/AM2611)</f>
        <v>#NUM!</v>
      </c>
      <c r="AN2613" s="41"/>
      <c r="AO2613" s="73"/>
      <c r="AP2613" s="64" t="e">
        <f>(AP2607/(N_1*AP$27))*SQRT('Valve Sizing'!$G$6/AP2611)</f>
        <v>#NUM!</v>
      </c>
      <c r="AQ2613" s="41"/>
      <c r="AR2613" s="73"/>
      <c r="AS2613" s="64" t="e">
        <f>(AS2607/(N_1*AS$27))*SQRT('Valve Sizing'!$G$6/AS2611)</f>
        <v>#NUM!</v>
      </c>
      <c r="AT2613" s="41"/>
      <c r="AU2613" s="73"/>
    </row>
    <row r="2614" spans="15:47" ht="13" x14ac:dyDescent="0.3">
      <c r="O2614" s="1" t="s">
        <v>72</v>
      </c>
      <c r="P2614" s="17">
        <v>7</v>
      </c>
      <c r="Q2614" s="65"/>
      <c r="R2614" s="53">
        <f>(R2607/(N_1*F_P_h))*SQRT('Valve Sizing'!$G$6/R2612)</f>
        <v>12.064638893011608</v>
      </c>
      <c r="S2614" s="56"/>
      <c r="T2614" s="72"/>
      <c r="U2614" s="85">
        <f>(U2607/(N_1*U$27))*SQRT('Valve Sizing'!$G$6/U2612)</f>
        <v>43.549863400177017</v>
      </c>
      <c r="V2614" s="44"/>
      <c r="W2614" s="72"/>
      <c r="X2614" s="85">
        <f>(X2607/(N_1*X$27))*SQRT('Valve Sizing'!$G$6/X2612)</f>
        <v>122.53657404189364</v>
      </c>
      <c r="Y2614" s="44"/>
      <c r="Z2614" s="72"/>
      <c r="AA2614" s="85" t="e">
        <f>(AA2607/(N_1*AA$27))*SQRT('Valve Sizing'!$G$6/AA2612)</f>
        <v>#NUM!</v>
      </c>
      <c r="AB2614" s="44"/>
      <c r="AC2614" s="72"/>
      <c r="AD2614" s="85" t="e">
        <f>(AD2607/(N_1*AD$27))*SQRT('Valve Sizing'!$G$6/AD2612)</f>
        <v>#NUM!</v>
      </c>
      <c r="AE2614" s="44"/>
      <c r="AF2614" s="72"/>
      <c r="AG2614" s="85" t="e">
        <f>(AG2607/(N_1*AG$27))*SQRT('Valve Sizing'!$G$6/AG2612)</f>
        <v>#NUM!</v>
      </c>
      <c r="AH2614" s="44"/>
      <c r="AI2614" s="72"/>
      <c r="AJ2614" s="85" t="e">
        <f>(AJ2607/(N_1*AJ$27))*SQRT('Valve Sizing'!$G$6/AJ2612)</f>
        <v>#NUM!</v>
      </c>
      <c r="AK2614" s="44"/>
      <c r="AL2614" s="72"/>
      <c r="AM2614" s="85" t="e">
        <f>(AM2607/(N_1*AM$27))*SQRT('Valve Sizing'!$G$6/AM2612)</f>
        <v>#NUM!</v>
      </c>
      <c r="AN2614" s="44"/>
      <c r="AO2614" s="72"/>
      <c r="AP2614" s="85" t="e">
        <f>(AP2607/(N_1*AP$27))*SQRT('Valve Sizing'!$G$6/AP2612)</f>
        <v>#NUM!</v>
      </c>
      <c r="AQ2614" s="44"/>
      <c r="AR2614" s="72"/>
      <c r="AS2614" s="85" t="e">
        <f>(AS2607/(N_1*AS$27))*SQRT('Valve Sizing'!$G$6/AS2612)</f>
        <v>#NUM!</v>
      </c>
      <c r="AT2614" s="44"/>
      <c r="AU2614" s="72"/>
    </row>
    <row r="2615" spans="15:47" x14ac:dyDescent="0.25">
      <c r="O2615" s="1" t="s">
        <v>246</v>
      </c>
      <c r="P2615" s="18"/>
      <c r="Q2615" s="65"/>
      <c r="R2615" s="53">
        <f>IF(R2611&lt;R2612,R2613,R2614)</f>
        <v>14.558697426470992</v>
      </c>
      <c r="S2615" s="49"/>
      <c r="T2615" s="72"/>
      <c r="U2615" s="64">
        <f>IF(U2611&lt;U2612,U2613,U2614)</f>
        <v>54.025424910058987</v>
      </c>
      <c r="V2615" s="44"/>
      <c r="W2615" s="72"/>
      <c r="X2615" s="64">
        <f>IF(X2611&lt;X2612,X2613,X2614)</f>
        <v>196.46052196025292</v>
      </c>
      <c r="Y2615" s="44"/>
      <c r="Z2615" s="72"/>
      <c r="AA2615" s="64" t="e">
        <f>IF(AA2611&lt;AA2612,AA2613,AA2614)</f>
        <v>#NUM!</v>
      </c>
      <c r="AB2615" s="44"/>
      <c r="AC2615" s="72"/>
      <c r="AD2615" s="64" t="e">
        <f>IF(AD2611&lt;AD2612,AD2613,AD2614)</f>
        <v>#NUM!</v>
      </c>
      <c r="AE2615" s="44"/>
      <c r="AF2615" s="72"/>
      <c r="AG2615" s="64" t="e">
        <f>IF(AG2611&lt;AG2612,AG2613,AG2614)</f>
        <v>#NUM!</v>
      </c>
      <c r="AH2615" s="44"/>
      <c r="AI2615" s="72"/>
      <c r="AJ2615" s="64" t="e">
        <f>IF(AJ2611&lt;AJ2612,AJ2613,AJ2614)</f>
        <v>#NUM!</v>
      </c>
      <c r="AK2615" s="44"/>
      <c r="AL2615" s="72"/>
      <c r="AM2615" s="64" t="e">
        <f>IF(AM2611&lt;AM2612,AM2613,AM2614)</f>
        <v>#NUM!</v>
      </c>
      <c r="AN2615" s="44"/>
      <c r="AO2615" s="72"/>
      <c r="AP2615" s="64" t="e">
        <f>IF(AP2611&lt;AP2612,AP2613,AP2614)</f>
        <v>#NUM!</v>
      </c>
      <c r="AQ2615" s="44"/>
      <c r="AR2615" s="72"/>
      <c r="AS2615" s="64" t="e">
        <f>IF(AS2611&lt;AS2612,AS2613,AS2614)</f>
        <v>#NUM!</v>
      </c>
      <c r="AT2615" s="44"/>
      <c r="AU2615" s="72"/>
    </row>
    <row r="2616" spans="15:47" ht="13" x14ac:dyDescent="0.3">
      <c r="O2616" s="7" t="s">
        <v>264</v>
      </c>
      <c r="Q2616" s="61"/>
      <c r="R2616" s="53"/>
      <c r="S2616" s="69">
        <f>IFERROR(ABS(C_h-R2615),Q_max*10)</f>
        <v>9.5586974264709923</v>
      </c>
      <c r="T2616" s="76">
        <f>R2607</f>
        <v>82.324704266855676</v>
      </c>
      <c r="U2616" s="61"/>
      <c r="V2616" s="69">
        <f>IFERROR(ABS(U$23-U2615),Q_max*10)</f>
        <v>42.025424910058987</v>
      </c>
      <c r="W2616" s="75">
        <f>U2607</f>
        <v>289.94950340799733</v>
      </c>
      <c r="X2616" s="61"/>
      <c r="Y2616" s="69">
        <f>IFERROR(ABS(X$23-X2615),Q_max*10)</f>
        <v>173.46052196025292</v>
      </c>
      <c r="Z2616" s="75">
        <f>X2607</f>
        <v>695.99042058908321</v>
      </c>
      <c r="AA2616" s="61"/>
      <c r="AB2616" s="69">
        <f>IFERROR(ABS(AA$23-AA2615),Q_max*10)</f>
        <v>5500</v>
      </c>
      <c r="AC2616" s="75">
        <f>AA2607</f>
        <v>1328.900785163167</v>
      </c>
      <c r="AD2616" s="61"/>
      <c r="AE2616" s="69">
        <f>IFERROR(ABS(AD$23-AD2615),Q_max*10)</f>
        <v>5500</v>
      </c>
      <c r="AF2616" s="75">
        <f>AD2607</f>
        <v>2185.5525193526637</v>
      </c>
      <c r="AG2616" s="61"/>
      <c r="AH2616" s="69">
        <f>IFERROR(ABS(AG$23-AG2615),Q_max*10)</f>
        <v>5500</v>
      </c>
      <c r="AI2616" s="75">
        <f>AG2607</f>
        <v>3253.9898839165503</v>
      </c>
      <c r="AJ2616" s="61"/>
      <c r="AK2616" s="69">
        <f>IFERROR(ABS(AJ$23-AJ2615),Q_max*10)</f>
        <v>5500</v>
      </c>
      <c r="AL2616" s="75">
        <f>AJ2607</f>
        <v>4342.4621143971999</v>
      </c>
      <c r="AM2616" s="61"/>
      <c r="AN2616" s="69">
        <f>IFERROR(ABS(AM$23-AM2615),Q_max*10)</f>
        <v>5500</v>
      </c>
      <c r="AO2616" s="75">
        <f>AM2607</f>
        <v>5298.6290208388509</v>
      </c>
      <c r="AP2616" s="61"/>
      <c r="AQ2616" s="69">
        <f>IFERROR(ABS(AP$23-AP2615),Q_max*10)</f>
        <v>5500</v>
      </c>
      <c r="AR2616" s="75">
        <f>AP2607</f>
        <v>6151.5437992164379</v>
      </c>
      <c r="AS2616" s="61"/>
      <c r="AT2616" s="69">
        <f>IFERROR(ABS(AS$23-AS2615),Q_max*10)</f>
        <v>5500</v>
      </c>
      <c r="AU2616" s="75">
        <f>AS2607</f>
        <v>7001.030662179297</v>
      </c>
    </row>
    <row r="2617" spans="15:47" ht="14.5" x14ac:dyDescent="0.35">
      <c r="O2617" s="6"/>
      <c r="P2617" s="6"/>
      <c r="Q2617" s="60"/>
      <c r="R2617" s="67"/>
      <c r="S2617" s="56"/>
      <c r="T2617" s="72"/>
      <c r="V2617" s="11"/>
      <c r="W2617" s="38"/>
      <c r="Y2617" s="11"/>
      <c r="Z2617" s="38"/>
      <c r="AB2617" s="11"/>
      <c r="AC2617" s="38"/>
      <c r="AE2617" s="11"/>
      <c r="AF2617" s="38"/>
      <c r="AH2617" s="11"/>
      <c r="AI2617" s="38"/>
      <c r="AK2617" s="11"/>
      <c r="AL2617" s="38"/>
      <c r="AN2617" s="11"/>
      <c r="AO2617" s="38"/>
      <c r="AQ2617" s="11"/>
      <c r="AR2617" s="38"/>
      <c r="AT2617" s="11"/>
      <c r="AU2617" s="38"/>
    </row>
    <row r="2618" spans="15:47" ht="14" x14ac:dyDescent="0.3">
      <c r="O2618" s="8" t="s">
        <v>235</v>
      </c>
      <c r="P2618" s="6"/>
      <c r="Q2618" s="60"/>
      <c r="R2618" s="53">
        <f>R2607*1.02</f>
        <v>83.971198352192786</v>
      </c>
      <c r="S2618" s="58" t="s">
        <v>238</v>
      </c>
      <c r="T2618" s="73" t="s">
        <v>241</v>
      </c>
      <c r="U2618" s="84">
        <f>U2607*1.01</f>
        <v>292.84899844207729</v>
      </c>
      <c r="V2618" s="58" t="s">
        <v>238</v>
      </c>
      <c r="W2618" s="73" t="s">
        <v>241</v>
      </c>
      <c r="X2618" s="84">
        <f>X2607*1.01</f>
        <v>702.95032479497411</v>
      </c>
      <c r="Y2618" s="58" t="s">
        <v>238</v>
      </c>
      <c r="Z2618" s="73" t="s">
        <v>241</v>
      </c>
      <c r="AA2618" s="84">
        <f>AA2607*1.01</f>
        <v>1342.1897930147986</v>
      </c>
      <c r="AB2618" s="58" t="s">
        <v>238</v>
      </c>
      <c r="AC2618" s="73" t="s">
        <v>241</v>
      </c>
      <c r="AD2618" s="84">
        <f>AD2607*1.01</f>
        <v>2207.4080445461905</v>
      </c>
      <c r="AE2618" s="58" t="s">
        <v>238</v>
      </c>
      <c r="AF2618" s="73" t="s">
        <v>241</v>
      </c>
      <c r="AG2618" s="84">
        <f>AG2607*1.01</f>
        <v>3286.529782755716</v>
      </c>
      <c r="AH2618" s="58" t="s">
        <v>238</v>
      </c>
      <c r="AI2618" s="73" t="s">
        <v>241</v>
      </c>
      <c r="AJ2618" s="84">
        <f>AJ2607*1.01</f>
        <v>4385.8867355411721</v>
      </c>
      <c r="AK2618" s="58" t="s">
        <v>238</v>
      </c>
      <c r="AL2618" s="73" t="s">
        <v>241</v>
      </c>
      <c r="AM2618" s="84">
        <f>AM2607*1.01</f>
        <v>5351.6153110472396</v>
      </c>
      <c r="AN2618" s="58" t="s">
        <v>238</v>
      </c>
      <c r="AO2618" s="73" t="s">
        <v>241</v>
      </c>
      <c r="AP2618" s="84">
        <f>AP2607*1.01</f>
        <v>6213.0592372086021</v>
      </c>
      <c r="AQ2618" s="58" t="s">
        <v>238</v>
      </c>
      <c r="AR2618" s="73" t="s">
        <v>241</v>
      </c>
      <c r="AS2618" s="84">
        <f>AS2607*1.01</f>
        <v>7071.0409688010905</v>
      </c>
      <c r="AT2618" s="58" t="s">
        <v>238</v>
      </c>
      <c r="AU2618" s="73" t="s">
        <v>241</v>
      </c>
    </row>
    <row r="2619" spans="15:47" ht="13" x14ac:dyDescent="0.25">
      <c r="O2619" s="6"/>
      <c r="P2619" s="6"/>
      <c r="Q2619" s="60"/>
      <c r="R2619" s="70"/>
      <c r="S2619" s="63" t="s">
        <v>250</v>
      </c>
      <c r="T2619" s="71" t="s">
        <v>242</v>
      </c>
      <c r="U2619" s="61"/>
      <c r="V2619" s="63" t="s">
        <v>250</v>
      </c>
      <c r="W2619" s="71" t="s">
        <v>242</v>
      </c>
      <c r="X2619" s="61"/>
      <c r="Y2619" s="63" t="s">
        <v>250</v>
      </c>
      <c r="Z2619" s="71" t="s">
        <v>242</v>
      </c>
      <c r="AA2619" s="61"/>
      <c r="AB2619" s="63" t="s">
        <v>250</v>
      </c>
      <c r="AC2619" s="71" t="s">
        <v>242</v>
      </c>
      <c r="AD2619" s="61"/>
      <c r="AE2619" s="63" t="s">
        <v>250</v>
      </c>
      <c r="AF2619" s="71" t="s">
        <v>242</v>
      </c>
      <c r="AG2619" s="61"/>
      <c r="AH2619" s="63" t="s">
        <v>250</v>
      </c>
      <c r="AI2619" s="71" t="s">
        <v>242</v>
      </c>
      <c r="AJ2619" s="61"/>
      <c r="AK2619" s="63" t="s">
        <v>250</v>
      </c>
      <c r="AL2619" s="71" t="s">
        <v>242</v>
      </c>
      <c r="AM2619" s="61"/>
      <c r="AN2619" s="63" t="s">
        <v>250</v>
      </c>
      <c r="AO2619" s="71" t="s">
        <v>242</v>
      </c>
      <c r="AP2619" s="61"/>
      <c r="AQ2619" s="63" t="s">
        <v>250</v>
      </c>
      <c r="AR2619" s="71" t="s">
        <v>242</v>
      </c>
      <c r="AS2619" s="61"/>
      <c r="AT2619" s="63" t="s">
        <v>250</v>
      </c>
      <c r="AU2619" s="71" t="s">
        <v>242</v>
      </c>
    </row>
    <row r="2620" spans="15:47" ht="13" x14ac:dyDescent="0.3">
      <c r="O2620" s="6" t="s">
        <v>231</v>
      </c>
      <c r="P2620" s="6"/>
      <c r="Q2620" s="60"/>
      <c r="R2620" s="85">
        <f>P_1_minQ-(R2618^2*R_up)+dpup_minQ</f>
        <v>56.678008708115392</v>
      </c>
      <c r="S2620" s="56"/>
      <c r="T2620" s="72"/>
      <c r="U2620" s="53">
        <f>P_1_minQ-(U2618^2*R_up)+dpup_minQ</f>
        <v>54.019806285426284</v>
      </c>
      <c r="V2620" s="44"/>
      <c r="W2620" s="72"/>
      <c r="X2620" s="53">
        <f>P_1_minQ-(X2618^2*R_up)+dpup_minQ</f>
        <v>40.227890606911195</v>
      </c>
      <c r="Y2620" s="44"/>
      <c r="Z2620" s="72"/>
      <c r="AA2620" s="53">
        <f>P_1_minQ-(AA2618^2*R_up)+dpup_minQ</f>
        <v>-3.9238919443805544</v>
      </c>
      <c r="AB2620" s="44"/>
      <c r="AC2620" s="72"/>
      <c r="AD2620" s="53">
        <f>P_1_minQ-(AD2618^2*R_up)+dpup_minQ</f>
        <v>-107.64482523226062</v>
      </c>
      <c r="AE2620" s="44"/>
      <c r="AF2620" s="72"/>
      <c r="AG2620" s="53">
        <f>P_1_minQ-(AG2618^2*R_up)+dpup_minQ</f>
        <v>-307.8686596737702</v>
      </c>
      <c r="AH2620" s="44"/>
      <c r="AI2620" s="72"/>
      <c r="AJ2620" s="53">
        <f>P_1_minQ-(AJ2618^2*R_up)+dpup_minQ</f>
        <v>-592.72932985464377</v>
      </c>
      <c r="AK2620" s="44"/>
      <c r="AL2620" s="72"/>
      <c r="AM2620" s="53">
        <f>P_1_minQ-(AM2618^2*R_up)+dpup_minQ</f>
        <v>-910.31744131831283</v>
      </c>
      <c r="AN2620" s="44"/>
      <c r="AO2620" s="72"/>
      <c r="AP2620" s="53">
        <f>P_1_minQ-(AP2618^2*R_up)+dpup_minQ</f>
        <v>-1246.76859456478</v>
      </c>
      <c r="AQ2620" s="44"/>
      <c r="AR2620" s="72"/>
      <c r="AS2620" s="53">
        <f>P_1_minQ-(AS2618^2*R_up)+dpup_minQ</f>
        <v>-1631.6897461149431</v>
      </c>
      <c r="AT2620" s="44"/>
      <c r="AU2620" s="72"/>
    </row>
    <row r="2621" spans="15:47" ht="13" x14ac:dyDescent="0.3">
      <c r="O2621" s="6" t="s">
        <v>233</v>
      </c>
      <c r="P2621" s="6"/>
      <c r="Q2621" s="60"/>
      <c r="R2621" s="85">
        <f>P_2_minQ+(R2618^2*R_dn)-dpdn_minQ</f>
        <v>24.704398258376923</v>
      </c>
      <c r="S2621" s="66"/>
      <c r="T2621" s="74"/>
      <c r="U2621" s="53">
        <f>P_2_minQ+(U2618^2*R_dn)-dpdn_minQ</f>
        <v>25.236038742914744</v>
      </c>
      <c r="V2621" s="45"/>
      <c r="W2621" s="74"/>
      <c r="X2621" s="53">
        <f>P_2_minQ+(X2618^2*R_dn)-dpdn_minQ</f>
        <v>27.994421878617761</v>
      </c>
      <c r="Y2621" s="45"/>
      <c r="Z2621" s="74"/>
      <c r="AA2621" s="53">
        <f>P_2_minQ+(AA2618^2*R_dn)-dpdn_minQ</f>
        <v>36.824778388876112</v>
      </c>
      <c r="AB2621" s="45"/>
      <c r="AC2621" s="74"/>
      <c r="AD2621" s="53">
        <f>P_2_minQ+(AD2618^2*R_dn)-dpdn_minQ</f>
        <v>57.568965046452128</v>
      </c>
      <c r="AE2621" s="45"/>
      <c r="AF2621" s="74"/>
      <c r="AG2621" s="53">
        <f>P_2_minQ+(AG2618^2*R_dn)-dpdn_minQ</f>
        <v>97.613731934754028</v>
      </c>
      <c r="AH2621" s="45"/>
      <c r="AI2621" s="74"/>
      <c r="AJ2621" s="53">
        <f>P_2_minQ+(AJ2618^2*R_dn)-dpdn_minQ</f>
        <v>154.58586597092872</v>
      </c>
      <c r="AK2621" s="45"/>
      <c r="AL2621" s="74"/>
      <c r="AM2621" s="53">
        <f>P_2_minQ+(AM2618^2*R_dn)-dpdn_minQ</f>
        <v>218.10348826366257</v>
      </c>
      <c r="AN2621" s="45"/>
      <c r="AO2621" s="74"/>
      <c r="AP2621" s="53">
        <f>P_2_minQ+(AP2618^2*R_dn)-dpdn_minQ</f>
        <v>285.39371891295599</v>
      </c>
      <c r="AQ2621" s="45"/>
      <c r="AR2621" s="74"/>
      <c r="AS2621" s="53">
        <f>P_2_minQ+(AS2618^2*R_dn)-dpdn_minQ</f>
        <v>362.37794922298855</v>
      </c>
      <c r="AT2621" s="45"/>
      <c r="AU2621" s="74"/>
    </row>
    <row r="2622" spans="15:47" x14ac:dyDescent="0.25">
      <c r="O2622" s="6" t="s">
        <v>243</v>
      </c>
      <c r="Q2622" s="60"/>
      <c r="R2622" s="53">
        <f>R2620-R2621</f>
        <v>31.973610449738469</v>
      </c>
      <c r="S2622" s="56"/>
      <c r="T2622" s="72"/>
      <c r="U2622" s="64">
        <f>U2620-U2621</f>
        <v>28.783767542511541</v>
      </c>
      <c r="V2622" s="44"/>
      <c r="W2622" s="72"/>
      <c r="X2622" s="64">
        <f>X2620-X2621</f>
        <v>12.233468728293435</v>
      </c>
      <c r="Y2622" s="44"/>
      <c r="Z2622" s="72"/>
      <c r="AA2622" s="64">
        <f>AA2620-AA2621</f>
        <v>-40.748670333256669</v>
      </c>
      <c r="AB2622" s="44"/>
      <c r="AC2622" s="72"/>
      <c r="AD2622" s="64">
        <f>AD2620-AD2621</f>
        <v>-165.21379027871274</v>
      </c>
      <c r="AE2622" s="44"/>
      <c r="AF2622" s="72"/>
      <c r="AG2622" s="64">
        <f>AG2620-AG2621</f>
        <v>-405.48239160852421</v>
      </c>
      <c r="AH2622" s="44"/>
      <c r="AI2622" s="72"/>
      <c r="AJ2622" s="64">
        <f>AJ2620-AJ2621</f>
        <v>-747.31519582557246</v>
      </c>
      <c r="AK2622" s="44"/>
      <c r="AL2622" s="72"/>
      <c r="AM2622" s="64">
        <f>AM2620-AM2621</f>
        <v>-1128.4209295819753</v>
      </c>
      <c r="AN2622" s="44"/>
      <c r="AO2622" s="72"/>
      <c r="AP2622" s="64">
        <f>AP2620-AP2621</f>
        <v>-1532.162313477736</v>
      </c>
      <c r="AQ2622" s="44"/>
      <c r="AR2622" s="72"/>
      <c r="AS2622" s="64">
        <f>AS2620-AS2621</f>
        <v>-1994.0676953379316</v>
      </c>
      <c r="AT2622" s="44"/>
      <c r="AU2622" s="72"/>
    </row>
    <row r="2623" spans="15:47" ht="13" x14ac:dyDescent="0.3">
      <c r="O2623" s="6" t="s">
        <v>75</v>
      </c>
      <c r="P2623" s="6">
        <v>3</v>
      </c>
      <c r="Q2623" s="65"/>
      <c r="R2623" s="85">
        <f>(F_LP_h/F_P_h)^2*(R2620-('Valve Sizing'!$V$4*'Valve Sizing'!$G$7))</f>
        <v>46.567975387022642</v>
      </c>
      <c r="S2623" s="58"/>
      <c r="T2623" s="73"/>
      <c r="U2623" s="53">
        <f>(U$29/U$27)^2*(U2620-('Valve Sizing'!$V$4*'Valve Sizing'!$G$7))</f>
        <v>44.354751683259877</v>
      </c>
      <c r="V2623" s="41"/>
      <c r="W2623" s="73"/>
      <c r="X2623" s="53">
        <f>(X$29/X$27)^2*(X2620-('Valve Sizing'!$V$4*'Valve Sizing'!$G$7))</f>
        <v>32.194466860936089</v>
      </c>
      <c r="Y2623" s="41"/>
      <c r="Z2623" s="73"/>
      <c r="AA2623" s="53">
        <f>(AA$29/AA$27)^2*(AA2620-('Valve Sizing'!$V$4*'Valve Sizing'!$G$7))</f>
        <v>-3.3724481353154494</v>
      </c>
      <c r="AB2623" s="41"/>
      <c r="AC2623" s="73"/>
      <c r="AD2623" s="53">
        <f>(AD$29/AD$27)^2*(AD2620-('Valve Sizing'!$V$4*'Valve Sizing'!$G$7))</f>
        <v>-77.949456454419291</v>
      </c>
      <c r="AE2623" s="41"/>
      <c r="AF2623" s="73"/>
      <c r="AG2623" s="53">
        <f>(AG$29/AG$27)^2*(AG2620-('Valve Sizing'!$V$4*'Valve Sizing'!$G$7))</f>
        <v>-198.56436450160555</v>
      </c>
      <c r="AH2623" s="41"/>
      <c r="AI2623" s="73"/>
      <c r="AJ2623" s="53">
        <f>(AJ$29/AJ$27)^2*(AJ2620-('Valve Sizing'!$V$4*'Valve Sizing'!$G$7))</f>
        <v>-343.06801855094955</v>
      </c>
      <c r="AK2623" s="41"/>
      <c r="AL2623" s="73"/>
      <c r="AM2623" s="53">
        <f>(AM$29/AM$27)^2*(AM2620-('Valve Sizing'!$V$4*'Valve Sizing'!$G$7))</f>
        <v>-435.77209803564858</v>
      </c>
      <c r="AN2623" s="41"/>
      <c r="AO2623" s="73"/>
      <c r="AP2623" s="53">
        <f>(AP$29/AP$27)^2*(AP2620-('Valve Sizing'!$V$4*'Valve Sizing'!$G$7))</f>
        <v>-492.18199348494619</v>
      </c>
      <c r="AQ2623" s="41"/>
      <c r="AR2623" s="73"/>
      <c r="AS2623" s="53">
        <f>(AS$29/AS$27)^2*(AS2620-('Valve Sizing'!$V$4*'Valve Sizing'!$G$7))</f>
        <v>-613.91060047578821</v>
      </c>
      <c r="AT2623" s="41"/>
      <c r="AU2623" s="73"/>
    </row>
    <row r="2624" spans="15:47" ht="13" x14ac:dyDescent="0.25">
      <c r="O2624" s="1" t="s">
        <v>69</v>
      </c>
      <c r="P2624" s="17">
        <v>7</v>
      </c>
      <c r="Q2624" s="65"/>
      <c r="R2624" s="53">
        <f>(R2618/(N_1*F_P_h))*SQRT('Valve Sizing'!$G$6/R2622)</f>
        <v>14.852447980346366</v>
      </c>
      <c r="S2624" s="58"/>
      <c r="T2624" s="73"/>
      <c r="U2624" s="64">
        <f>(U2618/(N_1*U$27))*SQRT('Valve Sizing'!$G$6/U2622)</f>
        <v>54.630552680812045</v>
      </c>
      <c r="V2624" s="41"/>
      <c r="W2624" s="73"/>
      <c r="X2624" s="64">
        <f>(X2618/(N_1*X$27))*SQRT('Valve Sizing'!$G$6/X2622)</f>
        <v>201.599822556954</v>
      </c>
      <c r="Y2624" s="41"/>
      <c r="Z2624" s="73"/>
      <c r="AA2624" s="64" t="e">
        <f>(AA2618/(N_1*AA$27))*SQRT('Valve Sizing'!$G$6/AA2622)</f>
        <v>#NUM!</v>
      </c>
      <c r="AB2624" s="41"/>
      <c r="AC2624" s="73"/>
      <c r="AD2624" s="64" t="e">
        <f>(AD2618/(N_1*AD$27))*SQRT('Valve Sizing'!$G$6/AD2622)</f>
        <v>#NUM!</v>
      </c>
      <c r="AE2624" s="41"/>
      <c r="AF2624" s="73"/>
      <c r="AG2624" s="64" t="e">
        <f>(AG2618/(N_1*AG$27))*SQRT('Valve Sizing'!$G$6/AG2622)</f>
        <v>#NUM!</v>
      </c>
      <c r="AH2624" s="41"/>
      <c r="AI2624" s="73"/>
      <c r="AJ2624" s="64" t="e">
        <f>(AJ2618/(N_1*AJ$27))*SQRT('Valve Sizing'!$G$6/AJ2622)</f>
        <v>#NUM!</v>
      </c>
      <c r="AK2624" s="41"/>
      <c r="AL2624" s="73"/>
      <c r="AM2624" s="64" t="e">
        <f>(AM2618/(N_1*AM$27))*SQRT('Valve Sizing'!$G$6/AM2622)</f>
        <v>#NUM!</v>
      </c>
      <c r="AN2624" s="41"/>
      <c r="AO2624" s="73"/>
      <c r="AP2624" s="64" t="e">
        <f>(AP2618/(N_1*AP$27))*SQRT('Valve Sizing'!$G$6/AP2622)</f>
        <v>#NUM!</v>
      </c>
      <c r="AQ2624" s="41"/>
      <c r="AR2624" s="73"/>
      <c r="AS2624" s="64" t="e">
        <f>(AS2618/(N_1*AS$27))*SQRT('Valve Sizing'!$G$6/AS2622)</f>
        <v>#NUM!</v>
      </c>
      <c r="AT2624" s="41"/>
      <c r="AU2624" s="73"/>
    </row>
    <row r="2625" spans="15:47" ht="13" x14ac:dyDescent="0.3">
      <c r="O2625" s="1" t="s">
        <v>72</v>
      </c>
      <c r="P2625" s="17">
        <v>7</v>
      </c>
      <c r="Q2625" s="65"/>
      <c r="R2625" s="53">
        <f>(R2618/(N_1*F_P_h))*SQRT('Valve Sizing'!$G$6/R2623)</f>
        <v>12.306943344616737</v>
      </c>
      <c r="S2625" s="56"/>
      <c r="T2625" s="72"/>
      <c r="U2625" s="85">
        <f>(U2618/(N_1*U$27))*SQRT('Valve Sizing'!$G$6/U2623)</f>
        <v>44.008780815621741</v>
      </c>
      <c r="V2625" s="44"/>
      <c r="W2625" s="72"/>
      <c r="X2625" s="85">
        <f>(X2618/(N_1*X$27))*SQRT('Valve Sizing'!$G$6/X2623)</f>
        <v>124.27229959297492</v>
      </c>
      <c r="Y2625" s="44"/>
      <c r="Z2625" s="72"/>
      <c r="AA2625" s="85" t="e">
        <f>(AA2618/(N_1*AA$27))*SQRT('Valve Sizing'!$G$6/AA2623)</f>
        <v>#NUM!</v>
      </c>
      <c r="AB2625" s="44"/>
      <c r="AC2625" s="72"/>
      <c r="AD2625" s="85" t="e">
        <f>(AD2618/(N_1*AD$27))*SQRT('Valve Sizing'!$G$6/AD2623)</f>
        <v>#NUM!</v>
      </c>
      <c r="AE2625" s="44"/>
      <c r="AF2625" s="72"/>
      <c r="AG2625" s="85" t="e">
        <f>(AG2618/(N_1*AG$27))*SQRT('Valve Sizing'!$G$6/AG2623)</f>
        <v>#NUM!</v>
      </c>
      <c r="AH2625" s="44"/>
      <c r="AI2625" s="72"/>
      <c r="AJ2625" s="85" t="e">
        <f>(AJ2618/(N_1*AJ$27))*SQRT('Valve Sizing'!$G$6/AJ2623)</f>
        <v>#NUM!</v>
      </c>
      <c r="AK2625" s="44"/>
      <c r="AL2625" s="72"/>
      <c r="AM2625" s="85" t="e">
        <f>(AM2618/(N_1*AM$27))*SQRT('Valve Sizing'!$G$6/AM2623)</f>
        <v>#NUM!</v>
      </c>
      <c r="AN2625" s="44"/>
      <c r="AO2625" s="72"/>
      <c r="AP2625" s="85" t="e">
        <f>(AP2618/(N_1*AP$27))*SQRT('Valve Sizing'!$G$6/AP2623)</f>
        <v>#NUM!</v>
      </c>
      <c r="AQ2625" s="44"/>
      <c r="AR2625" s="72"/>
      <c r="AS2625" s="85" t="e">
        <f>(AS2618/(N_1*AS$27))*SQRT('Valve Sizing'!$G$6/AS2623)</f>
        <v>#NUM!</v>
      </c>
      <c r="AT2625" s="44"/>
      <c r="AU2625" s="72"/>
    </row>
    <row r="2626" spans="15:47" x14ac:dyDescent="0.25">
      <c r="O2626" s="1" t="s">
        <v>246</v>
      </c>
      <c r="P2626" s="18"/>
      <c r="Q2626" s="65"/>
      <c r="R2626" s="53">
        <f>IF(R2622&lt;R2623,R2624,R2625)</f>
        <v>14.852447980346366</v>
      </c>
      <c r="S2626" s="49"/>
      <c r="T2626" s="72"/>
      <c r="U2626" s="64">
        <f>IF(U2622&lt;U2623,U2624,U2625)</f>
        <v>54.630552680812045</v>
      </c>
      <c r="V2626" s="44"/>
      <c r="W2626" s="72"/>
      <c r="X2626" s="64">
        <f>IF(X2622&lt;X2623,X2624,X2625)</f>
        <v>201.599822556954</v>
      </c>
      <c r="Y2626" s="44"/>
      <c r="Z2626" s="72"/>
      <c r="AA2626" s="64" t="e">
        <f>IF(AA2622&lt;AA2623,AA2624,AA2625)</f>
        <v>#NUM!</v>
      </c>
      <c r="AB2626" s="44"/>
      <c r="AC2626" s="72"/>
      <c r="AD2626" s="64" t="e">
        <f>IF(AD2622&lt;AD2623,AD2624,AD2625)</f>
        <v>#NUM!</v>
      </c>
      <c r="AE2626" s="44"/>
      <c r="AF2626" s="72"/>
      <c r="AG2626" s="64" t="e">
        <f>IF(AG2622&lt;AG2623,AG2624,AG2625)</f>
        <v>#NUM!</v>
      </c>
      <c r="AH2626" s="44"/>
      <c r="AI2626" s="72"/>
      <c r="AJ2626" s="64" t="e">
        <f>IF(AJ2622&lt;AJ2623,AJ2624,AJ2625)</f>
        <v>#NUM!</v>
      </c>
      <c r="AK2626" s="44"/>
      <c r="AL2626" s="72"/>
      <c r="AM2626" s="64" t="e">
        <f>IF(AM2622&lt;AM2623,AM2624,AM2625)</f>
        <v>#NUM!</v>
      </c>
      <c r="AN2626" s="44"/>
      <c r="AO2626" s="72"/>
      <c r="AP2626" s="64" t="e">
        <f>IF(AP2622&lt;AP2623,AP2624,AP2625)</f>
        <v>#NUM!</v>
      </c>
      <c r="AQ2626" s="44"/>
      <c r="AR2626" s="72"/>
      <c r="AS2626" s="64" t="e">
        <f>IF(AS2622&lt;AS2623,AS2624,AS2625)</f>
        <v>#NUM!</v>
      </c>
      <c r="AT2626" s="44"/>
      <c r="AU2626" s="72"/>
    </row>
    <row r="2627" spans="15:47" ht="13" x14ac:dyDescent="0.3">
      <c r="O2627" s="7" t="s">
        <v>264</v>
      </c>
      <c r="Q2627" s="61"/>
      <c r="R2627" s="53"/>
      <c r="S2627" s="69">
        <f>IFERROR(ABS(C_h-R2626),Q_max*10)</f>
        <v>9.8524479803463656</v>
      </c>
      <c r="T2627" s="76">
        <f>R2618</f>
        <v>83.971198352192786</v>
      </c>
      <c r="U2627" s="61"/>
      <c r="V2627" s="69">
        <f>IFERROR(ABS(U$23-U2626),Q_max*10)</f>
        <v>42.630552680812045</v>
      </c>
      <c r="W2627" s="75">
        <f>U2618</f>
        <v>292.84899844207729</v>
      </c>
      <c r="X2627" s="61"/>
      <c r="Y2627" s="69">
        <f>IFERROR(ABS(X$23-X2626),Q_max*10)</f>
        <v>178.599822556954</v>
      </c>
      <c r="Z2627" s="75">
        <f>X2618</f>
        <v>702.95032479497411</v>
      </c>
      <c r="AA2627" s="61"/>
      <c r="AB2627" s="69">
        <f>IFERROR(ABS(AA$23-AA2626),Q_max*10)</f>
        <v>5500</v>
      </c>
      <c r="AC2627" s="75">
        <f>AA2618</f>
        <v>1342.1897930147986</v>
      </c>
      <c r="AD2627" s="61"/>
      <c r="AE2627" s="69">
        <f>IFERROR(ABS(AD$23-AD2626),Q_max*10)</f>
        <v>5500</v>
      </c>
      <c r="AF2627" s="75">
        <f>AD2618</f>
        <v>2207.4080445461905</v>
      </c>
      <c r="AG2627" s="61"/>
      <c r="AH2627" s="69">
        <f>IFERROR(ABS(AG$23-AG2626),Q_max*10)</f>
        <v>5500</v>
      </c>
      <c r="AI2627" s="75">
        <f>AG2618</f>
        <v>3286.529782755716</v>
      </c>
      <c r="AJ2627" s="61"/>
      <c r="AK2627" s="69">
        <f>IFERROR(ABS(AJ$23-AJ2626),Q_max*10)</f>
        <v>5500</v>
      </c>
      <c r="AL2627" s="75">
        <f>AJ2618</f>
        <v>4385.8867355411721</v>
      </c>
      <c r="AM2627" s="61"/>
      <c r="AN2627" s="69">
        <f>IFERROR(ABS(AM$23-AM2626),Q_max*10)</f>
        <v>5500</v>
      </c>
      <c r="AO2627" s="75">
        <f>AM2618</f>
        <v>5351.6153110472396</v>
      </c>
      <c r="AP2627" s="61"/>
      <c r="AQ2627" s="69">
        <f>IFERROR(ABS(AP$23-AP2626),Q_max*10)</f>
        <v>5500</v>
      </c>
      <c r="AR2627" s="75">
        <f>AP2618</f>
        <v>6213.0592372086021</v>
      </c>
      <c r="AS2627" s="61"/>
      <c r="AT2627" s="69">
        <f>IFERROR(ABS(AS$23-AS2626),Q_max*10)</f>
        <v>5500</v>
      </c>
      <c r="AU2627" s="75">
        <f>AS2618</f>
        <v>7071.0409688010905</v>
      </c>
    </row>
    <row r="2628" spans="15:47" ht="14.5" x14ac:dyDescent="0.35">
      <c r="O2628" s="6"/>
      <c r="P2628" s="6"/>
      <c r="Q2628" s="60"/>
      <c r="R2628" s="67"/>
      <c r="S2628" s="58"/>
      <c r="T2628" s="73"/>
      <c r="V2628" s="11"/>
      <c r="W2628" s="38"/>
      <c r="Y2628" s="11"/>
      <c r="Z2628" s="38"/>
      <c r="AB2628" s="11"/>
      <c r="AC2628" s="38"/>
      <c r="AE2628" s="11"/>
      <c r="AF2628" s="38"/>
      <c r="AH2628" s="11"/>
      <c r="AI2628" s="38"/>
      <c r="AK2628" s="11"/>
      <c r="AL2628" s="38"/>
      <c r="AN2628" s="11"/>
      <c r="AO2628" s="38"/>
      <c r="AQ2628" s="11"/>
      <c r="AR2628" s="38"/>
      <c r="AT2628" s="11"/>
      <c r="AU2628" s="38"/>
    </row>
    <row r="2629" spans="15:47" ht="14" x14ac:dyDescent="0.3">
      <c r="O2629" s="8" t="s">
        <v>235</v>
      </c>
      <c r="P2629" s="6"/>
      <c r="Q2629" s="60"/>
      <c r="R2629" s="53">
        <f>R2618*1.02</f>
        <v>85.650622319236646</v>
      </c>
      <c r="S2629" s="58" t="s">
        <v>238</v>
      </c>
      <c r="T2629" s="73" t="s">
        <v>241</v>
      </c>
      <c r="U2629" s="84">
        <f>U2618*1.01</f>
        <v>295.77748842649805</v>
      </c>
      <c r="V2629" s="58" t="s">
        <v>238</v>
      </c>
      <c r="W2629" s="73" t="s">
        <v>241</v>
      </c>
      <c r="X2629" s="84">
        <f>X2618*1.01</f>
        <v>709.97982804292383</v>
      </c>
      <c r="Y2629" s="58" t="s">
        <v>238</v>
      </c>
      <c r="Z2629" s="73" t="s">
        <v>241</v>
      </c>
      <c r="AA2629" s="84">
        <f>AA2618*1.01</f>
        <v>1355.6116909449465</v>
      </c>
      <c r="AB2629" s="58" t="s">
        <v>238</v>
      </c>
      <c r="AC2629" s="73" t="s">
        <v>241</v>
      </c>
      <c r="AD2629" s="84">
        <f>AD2618*1.01</f>
        <v>2229.4821249916522</v>
      </c>
      <c r="AE2629" s="58" t="s">
        <v>238</v>
      </c>
      <c r="AF2629" s="73" t="s">
        <v>241</v>
      </c>
      <c r="AG2629" s="84">
        <f>AG2618*1.01</f>
        <v>3319.3950805832733</v>
      </c>
      <c r="AH2629" s="58" t="s">
        <v>238</v>
      </c>
      <c r="AI2629" s="73" t="s">
        <v>241</v>
      </c>
      <c r="AJ2629" s="84">
        <f>AJ2618*1.01</f>
        <v>4429.7456028965835</v>
      </c>
      <c r="AK2629" s="58" t="s">
        <v>238</v>
      </c>
      <c r="AL2629" s="73" t="s">
        <v>241</v>
      </c>
      <c r="AM2629" s="84">
        <f>AM2618*1.01</f>
        <v>5405.1314641577119</v>
      </c>
      <c r="AN2629" s="58" t="s">
        <v>238</v>
      </c>
      <c r="AO2629" s="73" t="s">
        <v>241</v>
      </c>
      <c r="AP2629" s="84">
        <f>AP2618*1.01</f>
        <v>6275.1898295806877</v>
      </c>
      <c r="AQ2629" s="58" t="s">
        <v>238</v>
      </c>
      <c r="AR2629" s="73" t="s">
        <v>241</v>
      </c>
      <c r="AS2629" s="84">
        <f>AS2618*1.01</f>
        <v>7141.7513784891016</v>
      </c>
      <c r="AT2629" s="58" t="s">
        <v>238</v>
      </c>
      <c r="AU2629" s="73" t="s">
        <v>241</v>
      </c>
    </row>
    <row r="2630" spans="15:47" ht="13" x14ac:dyDescent="0.25">
      <c r="O2630" s="6"/>
      <c r="P2630" s="6"/>
      <c r="Q2630" s="60"/>
      <c r="R2630" s="70"/>
      <c r="S2630" s="63" t="s">
        <v>250</v>
      </c>
      <c r="T2630" s="71" t="s">
        <v>242</v>
      </c>
      <c r="U2630" s="61"/>
      <c r="V2630" s="63" t="s">
        <v>250</v>
      </c>
      <c r="W2630" s="71" t="s">
        <v>242</v>
      </c>
      <c r="X2630" s="61"/>
      <c r="Y2630" s="63" t="s">
        <v>250</v>
      </c>
      <c r="Z2630" s="71" t="s">
        <v>242</v>
      </c>
      <c r="AA2630" s="61"/>
      <c r="AB2630" s="63" t="s">
        <v>250</v>
      </c>
      <c r="AC2630" s="71" t="s">
        <v>242</v>
      </c>
      <c r="AD2630" s="61"/>
      <c r="AE2630" s="63" t="s">
        <v>250</v>
      </c>
      <c r="AF2630" s="71" t="s">
        <v>242</v>
      </c>
      <c r="AG2630" s="61"/>
      <c r="AH2630" s="63" t="s">
        <v>250</v>
      </c>
      <c r="AI2630" s="71" t="s">
        <v>242</v>
      </c>
      <c r="AJ2630" s="61"/>
      <c r="AK2630" s="63" t="s">
        <v>250</v>
      </c>
      <c r="AL2630" s="71" t="s">
        <v>242</v>
      </c>
      <c r="AM2630" s="61"/>
      <c r="AN2630" s="63" t="s">
        <v>250</v>
      </c>
      <c r="AO2630" s="71" t="s">
        <v>242</v>
      </c>
      <c r="AP2630" s="61"/>
      <c r="AQ2630" s="63" t="s">
        <v>250</v>
      </c>
      <c r="AR2630" s="71" t="s">
        <v>242</v>
      </c>
      <c r="AS2630" s="61"/>
      <c r="AT2630" s="63" t="s">
        <v>250</v>
      </c>
      <c r="AU2630" s="71" t="s">
        <v>242</v>
      </c>
    </row>
    <row r="2631" spans="15:47" ht="13" x14ac:dyDescent="0.3">
      <c r="O2631" s="6" t="s">
        <v>231</v>
      </c>
      <c r="P2631" s="6"/>
      <c r="Q2631" s="60"/>
      <c r="R2631" s="85">
        <f>P_1_minQ-(R2629^2*R_up)+dpup_minQ</f>
        <v>56.66838807485064</v>
      </c>
      <c r="S2631" s="56"/>
      <c r="T2631" s="72"/>
      <c r="U2631" s="53">
        <f>P_1_minQ-(U2629^2*R_up)+dpup_minQ</f>
        <v>53.961589913546533</v>
      </c>
      <c r="V2631" s="44"/>
      <c r="W2631" s="72"/>
      <c r="X2631" s="53">
        <f>P_1_minQ-(X2629^2*R_up)+dpup_minQ</f>
        <v>39.89245672989329</v>
      </c>
      <c r="Y2631" s="44"/>
      <c r="Z2631" s="72"/>
      <c r="AA2631" s="53">
        <f>P_1_minQ-(AA2629^2*R_up)+dpup_minQ</f>
        <v>-5.1467766506794108</v>
      </c>
      <c r="AB2631" s="44"/>
      <c r="AC2631" s="72"/>
      <c r="AD2631" s="53">
        <f>P_1_minQ-(AD2629^2*R_up)+dpup_minQ</f>
        <v>-110.95250069764583</v>
      </c>
      <c r="AE2631" s="44"/>
      <c r="AF2631" s="72"/>
      <c r="AG2631" s="53">
        <f>P_1_minQ-(AG2629^2*R_up)+dpup_minQ</f>
        <v>-315.20083421142976</v>
      </c>
      <c r="AH2631" s="44"/>
      <c r="AI2631" s="72"/>
      <c r="AJ2631" s="53">
        <f>P_1_minQ-(AJ2629^2*R_up)+dpup_minQ</f>
        <v>-605.78720386293878</v>
      </c>
      <c r="AK2631" s="44"/>
      <c r="AL2631" s="72"/>
      <c r="AM2631" s="53">
        <f>P_1_minQ-(AM2629^2*R_up)+dpup_minQ</f>
        <v>-929.7588363670277</v>
      </c>
      <c r="AN2631" s="44"/>
      <c r="AO2631" s="72"/>
      <c r="AP2631" s="53">
        <f>P_1_minQ-(AP2629^2*R_up)+dpup_minQ</f>
        <v>-1272.9726577937488</v>
      </c>
      <c r="AQ2631" s="44"/>
      <c r="AR2631" s="72"/>
      <c r="AS2631" s="53">
        <f>P_1_minQ-(AS2629^2*R_up)+dpup_minQ</f>
        <v>-1665.6307244900704</v>
      </c>
      <c r="AT2631" s="44"/>
      <c r="AU2631" s="72"/>
    </row>
    <row r="2632" spans="15:47" ht="13" x14ac:dyDescent="0.3">
      <c r="O2632" s="6" t="s">
        <v>233</v>
      </c>
      <c r="P2632" s="6"/>
      <c r="Q2632" s="60"/>
      <c r="R2632" s="85">
        <f>P_2_minQ+(R2629^2*R_dn)-dpdn_minQ</f>
        <v>24.706322385029875</v>
      </c>
      <c r="S2632" s="66"/>
      <c r="T2632" s="74"/>
      <c r="U2632" s="53">
        <f>P_2_minQ+(U2629^2*R_dn)-dpdn_minQ</f>
        <v>25.247682017290696</v>
      </c>
      <c r="V2632" s="45"/>
      <c r="W2632" s="74"/>
      <c r="X2632" s="53">
        <f>P_2_minQ+(X2629^2*R_dn)-dpdn_minQ</f>
        <v>28.061508654021342</v>
      </c>
      <c r="Y2632" s="45"/>
      <c r="Z2632" s="74"/>
      <c r="AA2632" s="53">
        <f>P_2_minQ+(AA2629^2*R_dn)-dpdn_minQ</f>
        <v>37.069355330135885</v>
      </c>
      <c r="AB2632" s="45"/>
      <c r="AC2632" s="74"/>
      <c r="AD2632" s="53">
        <f>P_2_minQ+(AD2629^2*R_dn)-dpdn_minQ</f>
        <v>58.23050013952917</v>
      </c>
      <c r="AE2632" s="45"/>
      <c r="AF2632" s="74"/>
      <c r="AG2632" s="53">
        <f>P_2_minQ+(AG2629^2*R_dn)-dpdn_minQ</f>
        <v>99.080166842285948</v>
      </c>
      <c r="AH2632" s="45"/>
      <c r="AI2632" s="74"/>
      <c r="AJ2632" s="53">
        <f>P_2_minQ+(AJ2629^2*R_dn)-dpdn_minQ</f>
        <v>157.19744077258778</v>
      </c>
      <c r="AK2632" s="45"/>
      <c r="AL2632" s="74"/>
      <c r="AM2632" s="53">
        <f>P_2_minQ+(AM2629^2*R_dn)-dpdn_minQ</f>
        <v>221.99176727340554</v>
      </c>
      <c r="AN2632" s="45"/>
      <c r="AO2632" s="74"/>
      <c r="AP2632" s="53">
        <f>P_2_minQ+(AP2629^2*R_dn)-dpdn_minQ</f>
        <v>290.6345315587497</v>
      </c>
      <c r="AQ2632" s="45"/>
      <c r="AR2632" s="74"/>
      <c r="AS2632" s="53">
        <f>P_2_minQ+(AS2629^2*R_dn)-dpdn_minQ</f>
        <v>369.16614489801401</v>
      </c>
      <c r="AT2632" s="45"/>
      <c r="AU2632" s="74"/>
    </row>
    <row r="2633" spans="15:47" x14ac:dyDescent="0.25">
      <c r="O2633" s="6" t="s">
        <v>243</v>
      </c>
      <c r="Q2633" s="60"/>
      <c r="R2633" s="53">
        <f>R2631-R2632</f>
        <v>31.962065689820765</v>
      </c>
      <c r="S2633" s="56"/>
      <c r="T2633" s="72"/>
      <c r="U2633" s="64">
        <f>U2631-U2632</f>
        <v>28.713907896255837</v>
      </c>
      <c r="V2633" s="44"/>
      <c r="W2633" s="72"/>
      <c r="X2633" s="64">
        <f>X2631-X2632</f>
        <v>11.830948075871948</v>
      </c>
      <c r="Y2633" s="44"/>
      <c r="Z2633" s="72"/>
      <c r="AA2633" s="64">
        <f>AA2631-AA2632</f>
        <v>-42.216131980815298</v>
      </c>
      <c r="AB2633" s="44"/>
      <c r="AC2633" s="72"/>
      <c r="AD2633" s="64">
        <f>AD2631-AD2632</f>
        <v>-169.183000837175</v>
      </c>
      <c r="AE2633" s="44"/>
      <c r="AF2633" s="72"/>
      <c r="AG2633" s="64">
        <f>AG2631-AG2632</f>
        <v>-414.28100105371573</v>
      </c>
      <c r="AH2633" s="44"/>
      <c r="AI2633" s="72"/>
      <c r="AJ2633" s="64">
        <f>AJ2631-AJ2632</f>
        <v>-762.98464463552659</v>
      </c>
      <c r="AK2633" s="44"/>
      <c r="AL2633" s="72"/>
      <c r="AM2633" s="64">
        <f>AM2631-AM2632</f>
        <v>-1151.7506036404332</v>
      </c>
      <c r="AN2633" s="44"/>
      <c r="AO2633" s="72"/>
      <c r="AP2633" s="64">
        <f>AP2631-AP2632</f>
        <v>-1563.6071893524986</v>
      </c>
      <c r="AQ2633" s="44"/>
      <c r="AR2633" s="72"/>
      <c r="AS2633" s="64">
        <f>AS2631-AS2632</f>
        <v>-2034.7968693880844</v>
      </c>
      <c r="AT2633" s="44"/>
      <c r="AU2633" s="72"/>
    </row>
    <row r="2634" spans="15:47" ht="13" x14ac:dyDescent="0.3">
      <c r="O2634" s="6" t="s">
        <v>75</v>
      </c>
      <c r="P2634" s="6">
        <v>3</v>
      </c>
      <c r="Q2634" s="65"/>
      <c r="R2634" s="85">
        <f>(F_LP_h/F_P_h)^2*(R2631-('Valve Sizing'!$V$4*'Valve Sizing'!$G$7))</f>
        <v>46.560008997692982</v>
      </c>
      <c r="S2634" s="58"/>
      <c r="T2634" s="73"/>
      <c r="U2634" s="53">
        <f>(U$29/U$27)^2*(U2631-('Valve Sizing'!$V$4*'Valve Sizing'!$G$7))</f>
        <v>44.306558610591502</v>
      </c>
      <c r="V2634" s="41"/>
      <c r="W2634" s="73"/>
      <c r="X2634" s="53">
        <f>(X$29/X$27)^2*(X2631-('Valve Sizing'!$V$4*'Valve Sizing'!$G$7))</f>
        <v>31.923049343562642</v>
      </c>
      <c r="Y2634" s="41"/>
      <c r="Z2634" s="73"/>
      <c r="AA2634" s="53">
        <f>(AA$29/AA$27)^2*(AA2631-('Valve Sizing'!$V$4*'Valve Sizing'!$G$7))</f>
        <v>-4.3174900383787014</v>
      </c>
      <c r="AB2634" s="41"/>
      <c r="AC2634" s="73"/>
      <c r="AD2634" s="53">
        <f>(AD$29/AD$27)^2*(AD2631-('Valve Sizing'!$V$4*'Valve Sizing'!$G$7))</f>
        <v>-80.334910347079102</v>
      </c>
      <c r="AE2634" s="41"/>
      <c r="AF2634" s="73"/>
      <c r="AG2634" s="53">
        <f>(AG$29/AG$27)^2*(AG2631-('Valve Sizing'!$V$4*'Valve Sizing'!$G$7))</f>
        <v>-203.28660716160394</v>
      </c>
      <c r="AH2634" s="41"/>
      <c r="AI2634" s="73"/>
      <c r="AJ2634" s="53">
        <f>(AJ$29/AJ$27)^2*(AJ2631-('Valve Sizing'!$V$4*'Valve Sizing'!$G$7))</f>
        <v>-350.62022717253063</v>
      </c>
      <c r="AK2634" s="41"/>
      <c r="AL2634" s="73"/>
      <c r="AM2634" s="53">
        <f>(AM$29/AM$27)^2*(AM2631-('Valve Sizing'!$V$4*'Valve Sizing'!$G$7))</f>
        <v>-445.07426411008544</v>
      </c>
      <c r="AN2634" s="41"/>
      <c r="AO2634" s="73"/>
      <c r="AP2634" s="53">
        <f>(AP$29/AP$27)^2*(AP2631-('Valve Sizing'!$V$4*'Valve Sizing'!$G$7))</f>
        <v>-502.52281982089306</v>
      </c>
      <c r="AQ2634" s="41"/>
      <c r="AR2634" s="73"/>
      <c r="AS2634" s="53">
        <f>(AS$29/AS$27)^2*(AS2631-('Valve Sizing'!$V$4*'Valve Sizing'!$G$7))</f>
        <v>-626.67718703446917</v>
      </c>
      <c r="AT2634" s="41"/>
      <c r="AU2634" s="73"/>
    </row>
    <row r="2635" spans="15:47" ht="13" x14ac:dyDescent="0.25">
      <c r="O2635" s="1" t="s">
        <v>69</v>
      </c>
      <c r="P2635" s="17">
        <v>7</v>
      </c>
      <c r="Q2635" s="65"/>
      <c r="R2635" s="53">
        <f>(R2629/(N_1*F_P_h))*SQRT('Valve Sizing'!$G$6/R2633)</f>
        <v>15.152232706725746</v>
      </c>
      <c r="S2635" s="58"/>
      <c r="T2635" s="73"/>
      <c r="U2635" s="64">
        <f>(U2629/(N_1*U$27))*SQRT('Valve Sizing'!$G$6/U2633)</f>
        <v>55.243938838349344</v>
      </c>
      <c r="V2635" s="41"/>
      <c r="W2635" s="73"/>
      <c r="X2635" s="64">
        <f>(X2629/(N_1*X$27))*SQRT('Valve Sizing'!$G$6/X2633)</f>
        <v>207.05062853914254</v>
      </c>
      <c r="Y2635" s="41"/>
      <c r="Z2635" s="73"/>
      <c r="AA2635" s="64" t="e">
        <f>(AA2629/(N_1*AA$27))*SQRT('Valve Sizing'!$G$6/AA2633)</f>
        <v>#NUM!</v>
      </c>
      <c r="AB2635" s="41"/>
      <c r="AC2635" s="73"/>
      <c r="AD2635" s="64" t="e">
        <f>(AD2629/(N_1*AD$27))*SQRT('Valve Sizing'!$G$6/AD2633)</f>
        <v>#NUM!</v>
      </c>
      <c r="AE2635" s="41"/>
      <c r="AF2635" s="73"/>
      <c r="AG2635" s="64" t="e">
        <f>(AG2629/(N_1*AG$27))*SQRT('Valve Sizing'!$G$6/AG2633)</f>
        <v>#NUM!</v>
      </c>
      <c r="AH2635" s="41"/>
      <c r="AI2635" s="73"/>
      <c r="AJ2635" s="64" t="e">
        <f>(AJ2629/(N_1*AJ$27))*SQRT('Valve Sizing'!$G$6/AJ2633)</f>
        <v>#NUM!</v>
      </c>
      <c r="AK2635" s="41"/>
      <c r="AL2635" s="73"/>
      <c r="AM2635" s="64" t="e">
        <f>(AM2629/(N_1*AM$27))*SQRT('Valve Sizing'!$G$6/AM2633)</f>
        <v>#NUM!</v>
      </c>
      <c r="AN2635" s="41"/>
      <c r="AO2635" s="73"/>
      <c r="AP2635" s="64" t="e">
        <f>(AP2629/(N_1*AP$27))*SQRT('Valve Sizing'!$G$6/AP2633)</f>
        <v>#NUM!</v>
      </c>
      <c r="AQ2635" s="41"/>
      <c r="AR2635" s="73"/>
      <c r="AS2635" s="64" t="e">
        <f>(AS2629/(N_1*AS$27))*SQRT('Valve Sizing'!$G$6/AS2633)</f>
        <v>#NUM!</v>
      </c>
      <c r="AT2635" s="41"/>
      <c r="AU2635" s="73"/>
    </row>
    <row r="2636" spans="15:47" ht="13" x14ac:dyDescent="0.3">
      <c r="O2636" s="1" t="s">
        <v>72</v>
      </c>
      <c r="P2636" s="17">
        <v>7</v>
      </c>
      <c r="Q2636" s="65"/>
      <c r="R2636" s="53">
        <f>(R2629/(N_1*F_P_h))*SQRT('Valve Sizing'!$G$6/R2634)</f>
        <v>12.554156077956916</v>
      </c>
      <c r="S2636" s="56"/>
      <c r="T2636" s="72"/>
      <c r="U2636" s="85">
        <f>(U2629/(N_1*U$27))*SQRT('Valve Sizing'!$G$6/U2634)</f>
        <v>44.473035986706869</v>
      </c>
      <c r="V2636" s="44"/>
      <c r="W2636" s="72"/>
      <c r="X2636" s="85">
        <f>(X2629/(N_1*X$27))*SQRT('Valve Sizing'!$G$6/X2634)</f>
        <v>126.04747282943023</v>
      </c>
      <c r="Y2636" s="44"/>
      <c r="Z2636" s="72"/>
      <c r="AA2636" s="85" t="e">
        <f>(AA2629/(N_1*AA$27))*SQRT('Valve Sizing'!$G$6/AA2634)</f>
        <v>#NUM!</v>
      </c>
      <c r="AB2636" s="44"/>
      <c r="AC2636" s="72"/>
      <c r="AD2636" s="85" t="e">
        <f>(AD2629/(N_1*AD$27))*SQRT('Valve Sizing'!$G$6/AD2634)</f>
        <v>#NUM!</v>
      </c>
      <c r="AE2636" s="44"/>
      <c r="AF2636" s="72"/>
      <c r="AG2636" s="85" t="e">
        <f>(AG2629/(N_1*AG$27))*SQRT('Valve Sizing'!$G$6/AG2634)</f>
        <v>#NUM!</v>
      </c>
      <c r="AH2636" s="44"/>
      <c r="AI2636" s="72"/>
      <c r="AJ2636" s="85" t="e">
        <f>(AJ2629/(N_1*AJ$27))*SQRT('Valve Sizing'!$G$6/AJ2634)</f>
        <v>#NUM!</v>
      </c>
      <c r="AK2636" s="44"/>
      <c r="AL2636" s="72"/>
      <c r="AM2636" s="85" t="e">
        <f>(AM2629/(N_1*AM$27))*SQRT('Valve Sizing'!$G$6/AM2634)</f>
        <v>#NUM!</v>
      </c>
      <c r="AN2636" s="44"/>
      <c r="AO2636" s="72"/>
      <c r="AP2636" s="85" t="e">
        <f>(AP2629/(N_1*AP$27))*SQRT('Valve Sizing'!$G$6/AP2634)</f>
        <v>#NUM!</v>
      </c>
      <c r="AQ2636" s="44"/>
      <c r="AR2636" s="72"/>
      <c r="AS2636" s="85" t="e">
        <f>(AS2629/(N_1*AS$27))*SQRT('Valve Sizing'!$G$6/AS2634)</f>
        <v>#NUM!</v>
      </c>
      <c r="AT2636" s="44"/>
      <c r="AU2636" s="72"/>
    </row>
    <row r="2637" spans="15:47" x14ac:dyDescent="0.25">
      <c r="O2637" s="1" t="s">
        <v>246</v>
      </c>
      <c r="P2637" s="18"/>
      <c r="Q2637" s="65"/>
      <c r="R2637" s="53">
        <f>IF(R2633&lt;R2634,R2635,R2636)</f>
        <v>15.152232706725746</v>
      </c>
      <c r="S2637" s="49"/>
      <c r="T2637" s="72"/>
      <c r="U2637" s="64">
        <f>IF(U2633&lt;U2634,U2635,U2636)</f>
        <v>55.243938838349344</v>
      </c>
      <c r="V2637" s="44"/>
      <c r="W2637" s="72"/>
      <c r="X2637" s="64">
        <f>IF(X2633&lt;X2634,X2635,X2636)</f>
        <v>207.05062853914254</v>
      </c>
      <c r="Y2637" s="44"/>
      <c r="Z2637" s="72"/>
      <c r="AA2637" s="64" t="e">
        <f>IF(AA2633&lt;AA2634,AA2635,AA2636)</f>
        <v>#NUM!</v>
      </c>
      <c r="AB2637" s="44"/>
      <c r="AC2637" s="72"/>
      <c r="AD2637" s="64" t="e">
        <f>IF(AD2633&lt;AD2634,AD2635,AD2636)</f>
        <v>#NUM!</v>
      </c>
      <c r="AE2637" s="44"/>
      <c r="AF2637" s="72"/>
      <c r="AG2637" s="64" t="e">
        <f>IF(AG2633&lt;AG2634,AG2635,AG2636)</f>
        <v>#NUM!</v>
      </c>
      <c r="AH2637" s="44"/>
      <c r="AI2637" s="72"/>
      <c r="AJ2637" s="64" t="e">
        <f>IF(AJ2633&lt;AJ2634,AJ2635,AJ2636)</f>
        <v>#NUM!</v>
      </c>
      <c r="AK2637" s="44"/>
      <c r="AL2637" s="72"/>
      <c r="AM2637" s="64" t="e">
        <f>IF(AM2633&lt;AM2634,AM2635,AM2636)</f>
        <v>#NUM!</v>
      </c>
      <c r="AN2637" s="44"/>
      <c r="AO2637" s="72"/>
      <c r="AP2637" s="64" t="e">
        <f>IF(AP2633&lt;AP2634,AP2635,AP2636)</f>
        <v>#NUM!</v>
      </c>
      <c r="AQ2637" s="44"/>
      <c r="AR2637" s="72"/>
      <c r="AS2637" s="64" t="e">
        <f>IF(AS2633&lt;AS2634,AS2635,AS2636)</f>
        <v>#NUM!</v>
      </c>
      <c r="AT2637" s="44"/>
      <c r="AU2637" s="72"/>
    </row>
    <row r="2638" spans="15:47" ht="13" x14ac:dyDescent="0.3">
      <c r="O2638" s="7" t="s">
        <v>264</v>
      </c>
      <c r="Q2638" s="61"/>
      <c r="R2638" s="53"/>
      <c r="S2638" s="69">
        <f>IFERROR(ABS(C_h-R2637),Q_max*10)</f>
        <v>10.152232706725746</v>
      </c>
      <c r="T2638" s="76">
        <f>R2629</f>
        <v>85.650622319236646</v>
      </c>
      <c r="U2638" s="61"/>
      <c r="V2638" s="69">
        <f>IFERROR(ABS(U$23-U2637),Q_max*10)</f>
        <v>43.243938838349344</v>
      </c>
      <c r="W2638" s="75">
        <f>U2629</f>
        <v>295.77748842649805</v>
      </c>
      <c r="X2638" s="61"/>
      <c r="Y2638" s="69">
        <f>IFERROR(ABS(X$23-X2637),Q_max*10)</f>
        <v>184.05062853914254</v>
      </c>
      <c r="Z2638" s="75">
        <f>X2629</f>
        <v>709.97982804292383</v>
      </c>
      <c r="AA2638" s="61"/>
      <c r="AB2638" s="69">
        <f>IFERROR(ABS(AA$23-AA2637),Q_max*10)</f>
        <v>5500</v>
      </c>
      <c r="AC2638" s="75">
        <f>AA2629</f>
        <v>1355.6116909449465</v>
      </c>
      <c r="AD2638" s="61"/>
      <c r="AE2638" s="69">
        <f>IFERROR(ABS(AD$23-AD2637),Q_max*10)</f>
        <v>5500</v>
      </c>
      <c r="AF2638" s="75">
        <f>AD2629</f>
        <v>2229.4821249916522</v>
      </c>
      <c r="AG2638" s="61"/>
      <c r="AH2638" s="69">
        <f>IFERROR(ABS(AG$23-AG2637),Q_max*10)</f>
        <v>5500</v>
      </c>
      <c r="AI2638" s="75">
        <f>AG2629</f>
        <v>3319.3950805832733</v>
      </c>
      <c r="AJ2638" s="61"/>
      <c r="AK2638" s="69">
        <f>IFERROR(ABS(AJ$23-AJ2637),Q_max*10)</f>
        <v>5500</v>
      </c>
      <c r="AL2638" s="75">
        <f>AJ2629</f>
        <v>4429.7456028965835</v>
      </c>
      <c r="AM2638" s="61"/>
      <c r="AN2638" s="69">
        <f>IFERROR(ABS(AM$23-AM2637),Q_max*10)</f>
        <v>5500</v>
      </c>
      <c r="AO2638" s="75">
        <f>AM2629</f>
        <v>5405.1314641577119</v>
      </c>
      <c r="AP2638" s="61"/>
      <c r="AQ2638" s="69">
        <f>IFERROR(ABS(AP$23-AP2637),Q_max*10)</f>
        <v>5500</v>
      </c>
      <c r="AR2638" s="75">
        <f>AP2629</f>
        <v>6275.1898295806877</v>
      </c>
      <c r="AS2638" s="61"/>
      <c r="AT2638" s="69">
        <f>IFERROR(ABS(AS$23-AS2637),Q_max*10)</f>
        <v>5500</v>
      </c>
      <c r="AU2638" s="75">
        <f>AS2629</f>
        <v>7141.7513784891016</v>
      </c>
    </row>
    <row r="2639" spans="15:47" ht="14.5" x14ac:dyDescent="0.35">
      <c r="O2639" s="8"/>
      <c r="P2639" s="6"/>
      <c r="Q2639" s="60"/>
      <c r="R2639" s="67"/>
      <c r="S2639" s="56"/>
      <c r="T2639" s="72"/>
      <c r="V2639" s="11"/>
      <c r="W2639" s="38"/>
      <c r="Y2639" s="11"/>
      <c r="Z2639" s="38"/>
      <c r="AB2639" s="11"/>
      <c r="AC2639" s="38"/>
      <c r="AE2639" s="11"/>
      <c r="AF2639" s="38"/>
      <c r="AH2639" s="11"/>
      <c r="AI2639" s="38"/>
      <c r="AK2639" s="11"/>
      <c r="AL2639" s="38"/>
      <c r="AN2639" s="11"/>
      <c r="AO2639" s="38"/>
      <c r="AQ2639" s="11"/>
      <c r="AR2639" s="38"/>
      <c r="AT2639" s="11"/>
      <c r="AU2639" s="38"/>
    </row>
    <row r="2640" spans="15:47" ht="14" x14ac:dyDescent="0.3">
      <c r="O2640" s="8" t="s">
        <v>235</v>
      </c>
      <c r="P2640" s="6"/>
      <c r="Q2640" s="60"/>
      <c r="R2640" s="53">
        <f>R2629*1.02</f>
        <v>87.363634765621384</v>
      </c>
      <c r="S2640" s="58" t="s">
        <v>238</v>
      </c>
      <c r="T2640" s="73" t="s">
        <v>241</v>
      </c>
      <c r="U2640" s="84">
        <f>U2629*1.01</f>
        <v>298.73526331076306</v>
      </c>
      <c r="V2640" s="58" t="s">
        <v>238</v>
      </c>
      <c r="W2640" s="73" t="s">
        <v>241</v>
      </c>
      <c r="X2640" s="84">
        <f>X2629*1.01</f>
        <v>717.07962632335307</v>
      </c>
      <c r="Y2640" s="58" t="s">
        <v>238</v>
      </c>
      <c r="Z2640" s="73" t="s">
        <v>241</v>
      </c>
      <c r="AA2640" s="84">
        <f>AA2629*1.01</f>
        <v>1369.167807854396</v>
      </c>
      <c r="AB2640" s="58" t="s">
        <v>238</v>
      </c>
      <c r="AC2640" s="73" t="s">
        <v>241</v>
      </c>
      <c r="AD2640" s="84">
        <f>AD2629*1.01</f>
        <v>2251.7769462415686</v>
      </c>
      <c r="AE2640" s="58" t="s">
        <v>238</v>
      </c>
      <c r="AF2640" s="73" t="s">
        <v>241</v>
      </c>
      <c r="AG2640" s="84">
        <f>AG2629*1.01</f>
        <v>3352.5890313891059</v>
      </c>
      <c r="AH2640" s="58" t="s">
        <v>238</v>
      </c>
      <c r="AI2640" s="73" t="s">
        <v>241</v>
      </c>
      <c r="AJ2640" s="84">
        <f>AJ2629*1.01</f>
        <v>4474.0430589255493</v>
      </c>
      <c r="AK2640" s="58" t="s">
        <v>238</v>
      </c>
      <c r="AL2640" s="73" t="s">
        <v>241</v>
      </c>
      <c r="AM2640" s="84">
        <f>AM2629*1.01</f>
        <v>5459.1827787992888</v>
      </c>
      <c r="AN2640" s="58" t="s">
        <v>238</v>
      </c>
      <c r="AO2640" s="73" t="s">
        <v>241</v>
      </c>
      <c r="AP2640" s="84">
        <f>AP2629*1.01</f>
        <v>6337.941727876495</v>
      </c>
      <c r="AQ2640" s="58" t="s">
        <v>238</v>
      </c>
      <c r="AR2640" s="73" t="s">
        <v>241</v>
      </c>
      <c r="AS2640" s="84">
        <f>AS2629*1.01</f>
        <v>7213.1688922739932</v>
      </c>
      <c r="AT2640" s="58" t="s">
        <v>238</v>
      </c>
      <c r="AU2640" s="73" t="s">
        <v>241</v>
      </c>
    </row>
    <row r="2641" spans="15:47" ht="13" x14ac:dyDescent="0.25">
      <c r="O2641" s="6"/>
      <c r="P2641" s="6"/>
      <c r="Q2641" s="60"/>
      <c r="R2641" s="70"/>
      <c r="S2641" s="63" t="s">
        <v>250</v>
      </c>
      <c r="T2641" s="71" t="s">
        <v>242</v>
      </c>
      <c r="U2641" s="61"/>
      <c r="V2641" s="63" t="s">
        <v>250</v>
      </c>
      <c r="W2641" s="71" t="s">
        <v>242</v>
      </c>
      <c r="X2641" s="61"/>
      <c r="Y2641" s="63" t="s">
        <v>250</v>
      </c>
      <c r="Z2641" s="71" t="s">
        <v>242</v>
      </c>
      <c r="AA2641" s="61"/>
      <c r="AB2641" s="63" t="s">
        <v>250</v>
      </c>
      <c r="AC2641" s="71" t="s">
        <v>242</v>
      </c>
      <c r="AD2641" s="61"/>
      <c r="AE2641" s="63" t="s">
        <v>250</v>
      </c>
      <c r="AF2641" s="71" t="s">
        <v>242</v>
      </c>
      <c r="AG2641" s="61"/>
      <c r="AH2641" s="63" t="s">
        <v>250</v>
      </c>
      <c r="AI2641" s="71" t="s">
        <v>242</v>
      </c>
      <c r="AJ2641" s="61"/>
      <c r="AK2641" s="63" t="s">
        <v>250</v>
      </c>
      <c r="AL2641" s="71" t="s">
        <v>242</v>
      </c>
      <c r="AM2641" s="61"/>
      <c r="AN2641" s="63" t="s">
        <v>250</v>
      </c>
      <c r="AO2641" s="71" t="s">
        <v>242</v>
      </c>
      <c r="AP2641" s="61"/>
      <c r="AQ2641" s="63" t="s">
        <v>250</v>
      </c>
      <c r="AR2641" s="71" t="s">
        <v>242</v>
      </c>
      <c r="AS2641" s="61"/>
      <c r="AT2641" s="63" t="s">
        <v>250</v>
      </c>
      <c r="AU2641" s="71" t="s">
        <v>242</v>
      </c>
    </row>
    <row r="2642" spans="15:47" ht="13" x14ac:dyDescent="0.3">
      <c r="O2642" s="6" t="s">
        <v>231</v>
      </c>
      <c r="P2642" s="6"/>
      <c r="Q2642" s="60"/>
      <c r="R2642" s="85">
        <f>P_1_minQ-(R2640^2*R_up)+dpup_minQ</f>
        <v>56.658378768001995</v>
      </c>
      <c r="S2642" s="56"/>
      <c r="T2642" s="72"/>
      <c r="U2642" s="53">
        <f>P_1_minQ-(U2640^2*R_up)+dpup_minQ</f>
        <v>53.902203392592</v>
      </c>
      <c r="V2642" s="44"/>
      <c r="W2642" s="72"/>
      <c r="X2642" s="53">
        <f>P_1_minQ-(X2640^2*R_up)+dpup_minQ</f>
        <v>39.550280631947324</v>
      </c>
      <c r="Y2642" s="44"/>
      <c r="Z2642" s="72"/>
      <c r="AA2642" s="53">
        <f>P_1_minQ-(AA2640^2*R_up)+dpup_minQ</f>
        <v>-6.3942413395748803</v>
      </c>
      <c r="AB2642" s="44"/>
      <c r="AC2642" s="72"/>
      <c r="AD2642" s="53">
        <f>P_1_minQ-(AD2640^2*R_up)+dpup_minQ</f>
        <v>-114.32666043988533</v>
      </c>
      <c r="AE2642" s="44"/>
      <c r="AF2642" s="72"/>
      <c r="AG2642" s="53">
        <f>P_1_minQ-(AG2640^2*R_up)+dpup_minQ</f>
        <v>-322.68038545729632</v>
      </c>
      <c r="AH2642" s="44"/>
      <c r="AI2642" s="72"/>
      <c r="AJ2642" s="53">
        <f>P_1_minQ-(AJ2640^2*R_up)+dpup_minQ</f>
        <v>-619.10754113880057</v>
      </c>
      <c r="AK2642" s="44"/>
      <c r="AL2642" s="72"/>
      <c r="AM2642" s="53">
        <f>P_1_minQ-(AM2640^2*R_up)+dpup_minQ</f>
        <v>-949.59100345622176</v>
      </c>
      <c r="AN2642" s="44"/>
      <c r="AO2642" s="72"/>
      <c r="AP2642" s="53">
        <f>P_1_minQ-(AP2640^2*R_up)+dpup_minQ</f>
        <v>-1299.70342269362</v>
      </c>
      <c r="AQ2642" s="44"/>
      <c r="AR2642" s="72"/>
      <c r="AS2642" s="53">
        <f>P_1_minQ-(AS2640^2*R_up)+dpup_minQ</f>
        <v>-1700.2539165305379</v>
      </c>
      <c r="AT2642" s="44"/>
      <c r="AU2642" s="72"/>
    </row>
    <row r="2643" spans="15:47" ht="13" x14ac:dyDescent="0.3">
      <c r="O2643" s="6" t="s">
        <v>233</v>
      </c>
      <c r="P2643" s="6"/>
      <c r="Q2643" s="60"/>
      <c r="R2643" s="85">
        <f>P_2_minQ+(R2640^2*R_dn)-dpdn_minQ</f>
        <v>24.708324246399602</v>
      </c>
      <c r="S2643" s="66"/>
      <c r="T2643" s="74"/>
      <c r="U2643" s="53">
        <f>P_2_minQ+(U2640^2*R_dn)-dpdn_minQ</f>
        <v>25.2595593214816</v>
      </c>
      <c r="V2643" s="45"/>
      <c r="W2643" s="74"/>
      <c r="X2643" s="53">
        <f>P_2_minQ+(X2640^2*R_dn)-dpdn_minQ</f>
        <v>28.129943873610536</v>
      </c>
      <c r="Y2643" s="45"/>
      <c r="Z2643" s="74"/>
      <c r="AA2643" s="53">
        <f>P_2_minQ+(AA2640^2*R_dn)-dpdn_minQ</f>
        <v>37.31884826791498</v>
      </c>
      <c r="AB2643" s="45"/>
      <c r="AC2643" s="74"/>
      <c r="AD2643" s="53">
        <f>P_2_minQ+(AD2640^2*R_dn)-dpdn_minQ</f>
        <v>58.905332087977065</v>
      </c>
      <c r="AE2643" s="45"/>
      <c r="AF2643" s="74"/>
      <c r="AG2643" s="53">
        <f>P_2_minQ+(AG2640^2*R_dn)-dpdn_minQ</f>
        <v>100.57607709145927</v>
      </c>
      <c r="AH2643" s="45"/>
      <c r="AI2643" s="74"/>
      <c r="AJ2643" s="53">
        <f>P_2_minQ+(AJ2640^2*R_dn)-dpdn_minQ</f>
        <v>159.86150822776014</v>
      </c>
      <c r="AK2643" s="45"/>
      <c r="AL2643" s="74"/>
      <c r="AM2643" s="53">
        <f>P_2_minQ+(AM2640^2*R_dn)-dpdn_minQ</f>
        <v>225.95820069124434</v>
      </c>
      <c r="AN2643" s="45"/>
      <c r="AO2643" s="74"/>
      <c r="AP2643" s="53">
        <f>P_2_minQ+(AP2640^2*R_dn)-dpdn_minQ</f>
        <v>295.98068453872395</v>
      </c>
      <c r="AQ2643" s="45"/>
      <c r="AR2643" s="74"/>
      <c r="AS2643" s="53">
        <f>P_2_minQ+(AS2640^2*R_dn)-dpdn_minQ</f>
        <v>376.09078330610754</v>
      </c>
      <c r="AT2643" s="45"/>
      <c r="AU2643" s="74"/>
    </row>
    <row r="2644" spans="15:47" x14ac:dyDescent="0.25">
      <c r="O2644" s="6" t="s">
        <v>243</v>
      </c>
      <c r="Q2644" s="60"/>
      <c r="R2644" s="53">
        <f>R2642-R2643</f>
        <v>31.950054521602393</v>
      </c>
      <c r="S2644" s="56"/>
      <c r="T2644" s="72"/>
      <c r="U2644" s="64">
        <f>U2642-U2643</f>
        <v>28.6426440711104</v>
      </c>
      <c r="V2644" s="44"/>
      <c r="W2644" s="72"/>
      <c r="X2644" s="64">
        <f>X2642-X2643</f>
        <v>11.420336758336788</v>
      </c>
      <c r="Y2644" s="44"/>
      <c r="Z2644" s="72"/>
      <c r="AA2644" s="64">
        <f>AA2642-AA2643</f>
        <v>-43.713089607489863</v>
      </c>
      <c r="AB2644" s="44"/>
      <c r="AC2644" s="72"/>
      <c r="AD2644" s="64">
        <f>AD2642-AD2643</f>
        <v>-173.23199252786239</v>
      </c>
      <c r="AE2644" s="44"/>
      <c r="AF2644" s="72"/>
      <c r="AG2644" s="64">
        <f>AG2642-AG2643</f>
        <v>-423.25646254875562</v>
      </c>
      <c r="AH2644" s="44"/>
      <c r="AI2644" s="72"/>
      <c r="AJ2644" s="64">
        <f>AJ2642-AJ2643</f>
        <v>-778.96904936656074</v>
      </c>
      <c r="AK2644" s="44"/>
      <c r="AL2644" s="72"/>
      <c r="AM2644" s="64">
        <f>AM2642-AM2643</f>
        <v>-1175.5492041474661</v>
      </c>
      <c r="AN2644" s="44"/>
      <c r="AO2644" s="72"/>
      <c r="AP2644" s="64">
        <f>AP2642-AP2643</f>
        <v>-1595.6841072323441</v>
      </c>
      <c r="AQ2644" s="44"/>
      <c r="AR2644" s="72"/>
      <c r="AS2644" s="64">
        <f>AS2642-AS2643</f>
        <v>-2076.3446998366453</v>
      </c>
      <c r="AT2644" s="44"/>
      <c r="AU2644" s="72"/>
    </row>
    <row r="2645" spans="15:47" ht="13" x14ac:dyDescent="0.3">
      <c r="O2645" s="6" t="s">
        <v>75</v>
      </c>
      <c r="P2645" s="6">
        <v>3</v>
      </c>
      <c r="Q2645" s="65"/>
      <c r="R2645" s="85">
        <f>(F_LP_h/F_P_h)^2*(R2642-('Valve Sizing'!$V$4*'Valve Sizing'!$G$7))</f>
        <v>46.551720766234396</v>
      </c>
      <c r="S2645" s="58"/>
      <c r="T2645" s="73"/>
      <c r="U2645" s="53">
        <f>(U$29/U$27)^2*(U2642-('Valve Sizing'!$V$4*'Valve Sizing'!$G$7))</f>
        <v>44.25739685716249</v>
      </c>
      <c r="V2645" s="41"/>
      <c r="W2645" s="73"/>
      <c r="X2645" s="53">
        <f>(X$29/X$27)^2*(X2642-('Valve Sizing'!$V$4*'Valve Sizing'!$G$7))</f>
        <v>31.646176334089986</v>
      </c>
      <c r="Y2645" s="41"/>
      <c r="Z2645" s="73"/>
      <c r="AA2645" s="53">
        <f>(AA$29/AA$27)^2*(AA2642-('Valve Sizing'!$V$4*'Valve Sizing'!$G$7))</f>
        <v>-5.2815272836935288</v>
      </c>
      <c r="AB2645" s="41"/>
      <c r="AC2645" s="73"/>
      <c r="AD2645" s="53">
        <f>(AD$29/AD$27)^2*(AD2642-('Valve Sizing'!$V$4*'Valve Sizing'!$G$7))</f>
        <v>-82.768311862981406</v>
      </c>
      <c r="AE2645" s="41"/>
      <c r="AF2645" s="73"/>
      <c r="AG2645" s="53">
        <f>(AG$29/AG$27)^2*(AG2642-('Valve Sizing'!$V$4*'Valve Sizing'!$G$7))</f>
        <v>-208.10376689906832</v>
      </c>
      <c r="AH2645" s="41"/>
      <c r="AI2645" s="73"/>
      <c r="AJ2645" s="53">
        <f>(AJ$29/AJ$27)^2*(AJ2642-('Valve Sizing'!$V$4*'Valve Sizing'!$G$7))</f>
        <v>-358.32423518740552</v>
      </c>
      <c r="AK2645" s="41"/>
      <c r="AL2645" s="73"/>
      <c r="AM2645" s="53">
        <f>(AM$29/AM$27)^2*(AM2642-('Valve Sizing'!$V$4*'Valve Sizing'!$G$7))</f>
        <v>-454.56340372261843</v>
      </c>
      <c r="AN2645" s="41"/>
      <c r="AO2645" s="73"/>
      <c r="AP2645" s="53">
        <f>(AP$29/AP$27)^2*(AP2642-('Valve Sizing'!$V$4*'Valve Sizing'!$G$7))</f>
        <v>-513.07149676619247</v>
      </c>
      <c r="AQ2645" s="41"/>
      <c r="AR2645" s="73"/>
      <c r="AS2645" s="53">
        <f>(AS$29/AS$27)^2*(AS2642-('Valve Sizing'!$V$4*'Valve Sizing'!$G$7))</f>
        <v>-639.70038198297971</v>
      </c>
      <c r="AT2645" s="41"/>
      <c r="AU2645" s="73"/>
    </row>
    <row r="2646" spans="15:47" ht="13" x14ac:dyDescent="0.25">
      <c r="O2646" s="1" t="s">
        <v>69</v>
      </c>
      <c r="P2646" s="17">
        <v>7</v>
      </c>
      <c r="Q2646" s="65"/>
      <c r="R2646" s="53">
        <f>(R2640/(N_1*F_P_h))*SQRT('Valve Sizing'!$G$6/R2644)</f>
        <v>15.458182183645446</v>
      </c>
      <c r="S2646" s="58"/>
      <c r="T2646" s="73"/>
      <c r="U2646" s="64">
        <f>(U2640/(N_1*U$27))*SQRT('Valve Sizing'!$G$6/U2644)</f>
        <v>55.865746702909171</v>
      </c>
      <c r="V2646" s="41"/>
      <c r="W2646" s="73"/>
      <c r="X2646" s="64">
        <f>(X2640/(N_1*X$27))*SQRT('Valve Sizing'!$G$6/X2644)</f>
        <v>212.84734925555924</v>
      </c>
      <c r="Y2646" s="41"/>
      <c r="Z2646" s="73"/>
      <c r="AA2646" s="64" t="e">
        <f>(AA2640/(N_1*AA$27))*SQRT('Valve Sizing'!$G$6/AA2644)</f>
        <v>#NUM!</v>
      </c>
      <c r="AB2646" s="41"/>
      <c r="AC2646" s="73"/>
      <c r="AD2646" s="64" t="e">
        <f>(AD2640/(N_1*AD$27))*SQRT('Valve Sizing'!$G$6/AD2644)</f>
        <v>#NUM!</v>
      </c>
      <c r="AE2646" s="41"/>
      <c r="AF2646" s="73"/>
      <c r="AG2646" s="64" t="e">
        <f>(AG2640/(N_1*AG$27))*SQRT('Valve Sizing'!$G$6/AG2644)</f>
        <v>#NUM!</v>
      </c>
      <c r="AH2646" s="41"/>
      <c r="AI2646" s="73"/>
      <c r="AJ2646" s="64" t="e">
        <f>(AJ2640/(N_1*AJ$27))*SQRT('Valve Sizing'!$G$6/AJ2644)</f>
        <v>#NUM!</v>
      </c>
      <c r="AK2646" s="41"/>
      <c r="AL2646" s="73"/>
      <c r="AM2646" s="64" t="e">
        <f>(AM2640/(N_1*AM$27))*SQRT('Valve Sizing'!$G$6/AM2644)</f>
        <v>#NUM!</v>
      </c>
      <c r="AN2646" s="41"/>
      <c r="AO2646" s="73"/>
      <c r="AP2646" s="64" t="e">
        <f>(AP2640/(N_1*AP$27))*SQRT('Valve Sizing'!$G$6/AP2644)</f>
        <v>#NUM!</v>
      </c>
      <c r="AQ2646" s="41"/>
      <c r="AR2646" s="73"/>
      <c r="AS2646" s="64" t="e">
        <f>(AS2640/(N_1*AS$27))*SQRT('Valve Sizing'!$G$6/AS2644)</f>
        <v>#NUM!</v>
      </c>
      <c r="AT2646" s="41"/>
      <c r="AU2646" s="73"/>
    </row>
    <row r="2647" spans="15:47" ht="13" x14ac:dyDescent="0.3">
      <c r="O2647" s="1" t="s">
        <v>72</v>
      </c>
      <c r="P2647" s="17">
        <v>7</v>
      </c>
      <c r="Q2647" s="65"/>
      <c r="R2647" s="53">
        <f>(R2640/(N_1*F_P_h))*SQRT('Valve Sizing'!$G$6/R2645)</f>
        <v>12.806379093605669</v>
      </c>
      <c r="S2647" s="56"/>
      <c r="T2647" s="72"/>
      <c r="U2647" s="85">
        <f>(U2640/(N_1*U$27))*SQRT('Valve Sizing'!$G$6/U2645)</f>
        <v>44.942707073048098</v>
      </c>
      <c r="V2647" s="44"/>
      <c r="W2647" s="72"/>
      <c r="X2647" s="85">
        <f>(X2640/(N_1*X$27))*SQRT('Valve Sizing'!$G$6/X2645)</f>
        <v>127.86364460265227</v>
      </c>
      <c r="Y2647" s="44"/>
      <c r="Z2647" s="72"/>
      <c r="AA2647" s="85" t="e">
        <f>(AA2640/(N_1*AA$27))*SQRT('Valve Sizing'!$G$6/AA2645)</f>
        <v>#NUM!</v>
      </c>
      <c r="AB2647" s="44"/>
      <c r="AC2647" s="72"/>
      <c r="AD2647" s="85" t="e">
        <f>(AD2640/(N_1*AD$27))*SQRT('Valve Sizing'!$G$6/AD2645)</f>
        <v>#NUM!</v>
      </c>
      <c r="AE2647" s="44"/>
      <c r="AF2647" s="72"/>
      <c r="AG2647" s="85" t="e">
        <f>(AG2640/(N_1*AG$27))*SQRT('Valve Sizing'!$G$6/AG2645)</f>
        <v>#NUM!</v>
      </c>
      <c r="AH2647" s="44"/>
      <c r="AI2647" s="72"/>
      <c r="AJ2647" s="85" t="e">
        <f>(AJ2640/(N_1*AJ$27))*SQRT('Valve Sizing'!$G$6/AJ2645)</f>
        <v>#NUM!</v>
      </c>
      <c r="AK2647" s="44"/>
      <c r="AL2647" s="72"/>
      <c r="AM2647" s="85" t="e">
        <f>(AM2640/(N_1*AM$27))*SQRT('Valve Sizing'!$G$6/AM2645)</f>
        <v>#NUM!</v>
      </c>
      <c r="AN2647" s="44"/>
      <c r="AO2647" s="72"/>
      <c r="AP2647" s="85" t="e">
        <f>(AP2640/(N_1*AP$27))*SQRT('Valve Sizing'!$G$6/AP2645)</f>
        <v>#NUM!</v>
      </c>
      <c r="AQ2647" s="44"/>
      <c r="AR2647" s="72"/>
      <c r="AS2647" s="85" t="e">
        <f>(AS2640/(N_1*AS$27))*SQRT('Valve Sizing'!$G$6/AS2645)</f>
        <v>#NUM!</v>
      </c>
      <c r="AT2647" s="44"/>
      <c r="AU2647" s="72"/>
    </row>
    <row r="2648" spans="15:47" x14ac:dyDescent="0.25">
      <c r="O2648" s="1" t="s">
        <v>246</v>
      </c>
      <c r="P2648" s="18"/>
      <c r="Q2648" s="65"/>
      <c r="R2648" s="53">
        <f>IF(R2644&lt;R2645,R2646,R2647)</f>
        <v>15.458182183645446</v>
      </c>
      <c r="S2648" s="49"/>
      <c r="T2648" s="72"/>
      <c r="U2648" s="64">
        <f>IF(U2644&lt;U2645,U2646,U2647)</f>
        <v>55.865746702909171</v>
      </c>
      <c r="V2648" s="44"/>
      <c r="W2648" s="72"/>
      <c r="X2648" s="64">
        <f>IF(X2644&lt;X2645,X2646,X2647)</f>
        <v>212.84734925555924</v>
      </c>
      <c r="Y2648" s="44"/>
      <c r="Z2648" s="72"/>
      <c r="AA2648" s="64" t="e">
        <f>IF(AA2644&lt;AA2645,AA2646,AA2647)</f>
        <v>#NUM!</v>
      </c>
      <c r="AB2648" s="44"/>
      <c r="AC2648" s="72"/>
      <c r="AD2648" s="64" t="e">
        <f>IF(AD2644&lt;AD2645,AD2646,AD2647)</f>
        <v>#NUM!</v>
      </c>
      <c r="AE2648" s="44"/>
      <c r="AF2648" s="72"/>
      <c r="AG2648" s="64" t="e">
        <f>IF(AG2644&lt;AG2645,AG2646,AG2647)</f>
        <v>#NUM!</v>
      </c>
      <c r="AH2648" s="44"/>
      <c r="AI2648" s="72"/>
      <c r="AJ2648" s="64" t="e">
        <f>IF(AJ2644&lt;AJ2645,AJ2646,AJ2647)</f>
        <v>#NUM!</v>
      </c>
      <c r="AK2648" s="44"/>
      <c r="AL2648" s="72"/>
      <c r="AM2648" s="64" t="e">
        <f>IF(AM2644&lt;AM2645,AM2646,AM2647)</f>
        <v>#NUM!</v>
      </c>
      <c r="AN2648" s="44"/>
      <c r="AO2648" s="72"/>
      <c r="AP2648" s="64" t="e">
        <f>IF(AP2644&lt;AP2645,AP2646,AP2647)</f>
        <v>#NUM!</v>
      </c>
      <c r="AQ2648" s="44"/>
      <c r="AR2648" s="72"/>
      <c r="AS2648" s="64" t="e">
        <f>IF(AS2644&lt;AS2645,AS2646,AS2647)</f>
        <v>#NUM!</v>
      </c>
      <c r="AT2648" s="44"/>
      <c r="AU2648" s="72"/>
    </row>
    <row r="2649" spans="15:47" ht="13" x14ac:dyDescent="0.3">
      <c r="O2649" s="7" t="s">
        <v>264</v>
      </c>
      <c r="Q2649" s="61"/>
      <c r="R2649" s="53"/>
      <c r="S2649" s="69">
        <f>IFERROR(ABS(C_h-R2648),Q_max*10)</f>
        <v>10.458182183645446</v>
      </c>
      <c r="T2649" s="76">
        <f>R2640</f>
        <v>87.363634765621384</v>
      </c>
      <c r="U2649" s="61"/>
      <c r="V2649" s="69">
        <f>IFERROR(ABS(U$23-U2648),Q_max*10)</f>
        <v>43.865746702909171</v>
      </c>
      <c r="W2649" s="75">
        <f>U2640</f>
        <v>298.73526331076306</v>
      </c>
      <c r="X2649" s="61"/>
      <c r="Y2649" s="69">
        <f>IFERROR(ABS(X$23-X2648),Q_max*10)</f>
        <v>189.84734925555924</v>
      </c>
      <c r="Z2649" s="75">
        <f>X2640</f>
        <v>717.07962632335307</v>
      </c>
      <c r="AA2649" s="61"/>
      <c r="AB2649" s="69">
        <f>IFERROR(ABS(AA$23-AA2648),Q_max*10)</f>
        <v>5500</v>
      </c>
      <c r="AC2649" s="75">
        <f>AA2640</f>
        <v>1369.167807854396</v>
      </c>
      <c r="AD2649" s="61"/>
      <c r="AE2649" s="69">
        <f>IFERROR(ABS(AD$23-AD2648),Q_max*10)</f>
        <v>5500</v>
      </c>
      <c r="AF2649" s="75">
        <f>AD2640</f>
        <v>2251.7769462415686</v>
      </c>
      <c r="AG2649" s="61"/>
      <c r="AH2649" s="69">
        <f>IFERROR(ABS(AG$23-AG2648),Q_max*10)</f>
        <v>5500</v>
      </c>
      <c r="AI2649" s="75">
        <f>AG2640</f>
        <v>3352.5890313891059</v>
      </c>
      <c r="AJ2649" s="61"/>
      <c r="AK2649" s="69">
        <f>IFERROR(ABS(AJ$23-AJ2648),Q_max*10)</f>
        <v>5500</v>
      </c>
      <c r="AL2649" s="75">
        <f>AJ2640</f>
        <v>4474.0430589255493</v>
      </c>
      <c r="AM2649" s="61"/>
      <c r="AN2649" s="69">
        <f>IFERROR(ABS(AM$23-AM2648),Q_max*10)</f>
        <v>5500</v>
      </c>
      <c r="AO2649" s="75">
        <f>AM2640</f>
        <v>5459.1827787992888</v>
      </c>
      <c r="AP2649" s="61"/>
      <c r="AQ2649" s="69">
        <f>IFERROR(ABS(AP$23-AP2648),Q_max*10)</f>
        <v>5500</v>
      </c>
      <c r="AR2649" s="75">
        <f>AP2640</f>
        <v>6337.941727876495</v>
      </c>
      <c r="AS2649" s="61"/>
      <c r="AT2649" s="69">
        <f>IFERROR(ABS(AS$23-AS2648),Q_max*10)</f>
        <v>5500</v>
      </c>
      <c r="AU2649" s="75">
        <f>AS2640</f>
        <v>7213.1688922739932</v>
      </c>
    </row>
    <row r="2650" spans="15:47" ht="14.5" x14ac:dyDescent="0.35">
      <c r="O2650" s="6"/>
      <c r="P2650" s="6"/>
      <c r="Q2650" s="60"/>
      <c r="R2650" s="67"/>
      <c r="S2650" s="66"/>
      <c r="T2650" s="74"/>
      <c r="V2650" s="11"/>
      <c r="W2650" s="38"/>
      <c r="Y2650" s="11"/>
      <c r="Z2650" s="38"/>
      <c r="AB2650" s="11"/>
      <c r="AC2650" s="38"/>
      <c r="AE2650" s="11"/>
      <c r="AF2650" s="38"/>
      <c r="AH2650" s="11"/>
      <c r="AI2650" s="38"/>
      <c r="AK2650" s="11"/>
      <c r="AL2650" s="38"/>
      <c r="AN2650" s="11"/>
      <c r="AO2650" s="38"/>
      <c r="AQ2650" s="11"/>
      <c r="AR2650" s="38"/>
      <c r="AT2650" s="11"/>
      <c r="AU2650" s="38"/>
    </row>
    <row r="2651" spans="15:47" ht="14" x14ac:dyDescent="0.3">
      <c r="O2651" s="8" t="s">
        <v>235</v>
      </c>
      <c r="P2651" s="6"/>
      <c r="Q2651" s="60"/>
      <c r="R2651" s="53">
        <f>R2640*1.02</f>
        <v>89.110907460933817</v>
      </c>
      <c r="S2651" s="58" t="s">
        <v>238</v>
      </c>
      <c r="T2651" s="73" t="s">
        <v>241</v>
      </c>
      <c r="U2651" s="84">
        <f>U2640*1.01</f>
        <v>301.72261594387066</v>
      </c>
      <c r="V2651" s="58" t="s">
        <v>238</v>
      </c>
      <c r="W2651" s="73" t="s">
        <v>241</v>
      </c>
      <c r="X2651" s="84">
        <f>X2640*1.01</f>
        <v>724.25042258658664</v>
      </c>
      <c r="Y2651" s="58" t="s">
        <v>238</v>
      </c>
      <c r="Z2651" s="73" t="s">
        <v>241</v>
      </c>
      <c r="AA2651" s="84">
        <f>AA2640*1.01</f>
        <v>1382.8594859329398</v>
      </c>
      <c r="AB2651" s="58" t="s">
        <v>238</v>
      </c>
      <c r="AC2651" s="73" t="s">
        <v>241</v>
      </c>
      <c r="AD2651" s="84">
        <f>AD2640*1.01</f>
        <v>2274.2947157039844</v>
      </c>
      <c r="AE2651" s="58" t="s">
        <v>238</v>
      </c>
      <c r="AF2651" s="73" t="s">
        <v>241</v>
      </c>
      <c r="AG2651" s="84">
        <f>AG2640*1.01</f>
        <v>3386.114921702997</v>
      </c>
      <c r="AH2651" s="58" t="s">
        <v>238</v>
      </c>
      <c r="AI2651" s="73" t="s">
        <v>241</v>
      </c>
      <c r="AJ2651" s="84">
        <f>AJ2640*1.01</f>
        <v>4518.7834895148044</v>
      </c>
      <c r="AK2651" s="58" t="s">
        <v>238</v>
      </c>
      <c r="AL2651" s="73" t="s">
        <v>241</v>
      </c>
      <c r="AM2651" s="84">
        <f>AM2640*1.01</f>
        <v>5513.7746065872816</v>
      </c>
      <c r="AN2651" s="58" t="s">
        <v>238</v>
      </c>
      <c r="AO2651" s="73" t="s">
        <v>241</v>
      </c>
      <c r="AP2651" s="84">
        <f>AP2640*1.01</f>
        <v>6401.3211451552597</v>
      </c>
      <c r="AQ2651" s="58" t="s">
        <v>238</v>
      </c>
      <c r="AR2651" s="73" t="s">
        <v>241</v>
      </c>
      <c r="AS2651" s="84">
        <f>AS2640*1.01</f>
        <v>7285.3005811967332</v>
      </c>
      <c r="AT2651" s="58" t="s">
        <v>238</v>
      </c>
      <c r="AU2651" s="73" t="s">
        <v>241</v>
      </c>
    </row>
    <row r="2652" spans="15:47" ht="13" x14ac:dyDescent="0.25">
      <c r="O2652" s="6"/>
      <c r="P2652" s="6"/>
      <c r="Q2652" s="60"/>
      <c r="R2652" s="70"/>
      <c r="S2652" s="63" t="s">
        <v>250</v>
      </c>
      <c r="T2652" s="71" t="s">
        <v>242</v>
      </c>
      <c r="U2652" s="61"/>
      <c r="V2652" s="63" t="s">
        <v>250</v>
      </c>
      <c r="W2652" s="71" t="s">
        <v>242</v>
      </c>
      <c r="X2652" s="61"/>
      <c r="Y2652" s="63" t="s">
        <v>250</v>
      </c>
      <c r="Z2652" s="71" t="s">
        <v>242</v>
      </c>
      <c r="AA2652" s="61"/>
      <c r="AB2652" s="63" t="s">
        <v>250</v>
      </c>
      <c r="AC2652" s="71" t="s">
        <v>242</v>
      </c>
      <c r="AD2652" s="61"/>
      <c r="AE2652" s="63" t="s">
        <v>250</v>
      </c>
      <c r="AF2652" s="71" t="s">
        <v>242</v>
      </c>
      <c r="AG2652" s="61"/>
      <c r="AH2652" s="63" t="s">
        <v>250</v>
      </c>
      <c r="AI2652" s="71" t="s">
        <v>242</v>
      </c>
      <c r="AJ2652" s="61"/>
      <c r="AK2652" s="63" t="s">
        <v>250</v>
      </c>
      <c r="AL2652" s="71" t="s">
        <v>242</v>
      </c>
      <c r="AM2652" s="61"/>
      <c r="AN2652" s="63" t="s">
        <v>250</v>
      </c>
      <c r="AO2652" s="71" t="s">
        <v>242</v>
      </c>
      <c r="AP2652" s="61"/>
      <c r="AQ2652" s="63" t="s">
        <v>250</v>
      </c>
      <c r="AR2652" s="71" t="s">
        <v>242</v>
      </c>
      <c r="AS2652" s="61"/>
      <c r="AT2652" s="63" t="s">
        <v>250</v>
      </c>
      <c r="AU2652" s="71" t="s">
        <v>242</v>
      </c>
    </row>
    <row r="2653" spans="15:47" ht="13" x14ac:dyDescent="0.3">
      <c r="O2653" s="6" t="s">
        <v>231</v>
      </c>
      <c r="P2653" s="6"/>
      <c r="Q2653" s="60"/>
      <c r="R2653" s="85">
        <f>P_1_minQ-(R2651^2*R_up)+dpup_minQ</f>
        <v>56.647965085156663</v>
      </c>
      <c r="S2653" s="56"/>
      <c r="T2653" s="72"/>
      <c r="U2653" s="53">
        <f>P_1_minQ-(U2651^2*R_up)+dpup_minQ</f>
        <v>53.841623202566282</v>
      </c>
      <c r="V2653" s="44"/>
      <c r="W2653" s="72"/>
      <c r="X2653" s="53">
        <f>P_1_minQ-(X2651^2*R_up)+dpup_minQ</f>
        <v>39.20122679443265</v>
      </c>
      <c r="Y2653" s="44"/>
      <c r="Z2653" s="72"/>
      <c r="AA2653" s="53">
        <f>P_1_minQ-(AA2651^2*R_up)+dpup_minQ</f>
        <v>-7.6667800687171495</v>
      </c>
      <c r="AB2653" s="44"/>
      <c r="AC2653" s="72"/>
      <c r="AD2653" s="53">
        <f>P_1_minQ-(AD2651^2*R_up)+dpup_minQ</f>
        <v>-117.76864079294384</v>
      </c>
      <c r="AE2653" s="44"/>
      <c r="AF2653" s="72"/>
      <c r="AG2653" s="53">
        <f>P_1_minQ-(AG2651^2*R_up)+dpup_minQ</f>
        <v>-330.31027568320479</v>
      </c>
      <c r="AH2653" s="44"/>
      <c r="AI2653" s="72"/>
      <c r="AJ2653" s="53">
        <f>P_1_minQ-(AJ2651^2*R_up)+dpup_minQ</f>
        <v>-632.6956171939072</v>
      </c>
      <c r="AK2653" s="44"/>
      <c r="AL2653" s="72"/>
      <c r="AM2653" s="53">
        <f>P_1_minQ-(AM2651^2*R_up)+dpup_minQ</f>
        <v>-969.82179710390847</v>
      </c>
      <c r="AN2653" s="44"/>
      <c r="AO2653" s="72"/>
      <c r="AP2653" s="53">
        <f>P_1_minQ-(AP2651^2*R_up)+dpup_minQ</f>
        <v>-1326.9714759679784</v>
      </c>
      <c r="AQ2653" s="44"/>
      <c r="AR2653" s="72"/>
      <c r="AS2653" s="53">
        <f>P_1_minQ-(AS2651^2*R_up)+dpup_minQ</f>
        <v>-1735.5730347310187</v>
      </c>
      <c r="AT2653" s="44"/>
      <c r="AU2653" s="72"/>
    </row>
    <row r="2654" spans="15:47" ht="13" x14ac:dyDescent="0.3">
      <c r="O2654" s="6" t="s">
        <v>233</v>
      </c>
      <c r="P2654" s="6"/>
      <c r="Q2654" s="60"/>
      <c r="R2654" s="85">
        <f>P_2_minQ+(R2651^2*R_dn)-dpdn_minQ</f>
        <v>24.710406982968667</v>
      </c>
      <c r="S2654" s="66"/>
      <c r="T2654" s="74"/>
      <c r="U2654" s="53">
        <f>P_2_minQ+(U2651^2*R_dn)-dpdn_minQ</f>
        <v>25.271675359486746</v>
      </c>
      <c r="V2654" s="45"/>
      <c r="W2654" s="74"/>
      <c r="X2654" s="53">
        <f>P_2_minQ+(X2651^2*R_dn)-dpdn_minQ</f>
        <v>28.199754641113472</v>
      </c>
      <c r="Y2654" s="45"/>
      <c r="Z2654" s="74"/>
      <c r="AA2654" s="53">
        <f>P_2_minQ+(AA2651^2*R_dn)-dpdn_minQ</f>
        <v>37.573356013743435</v>
      </c>
      <c r="AB2654" s="45"/>
      <c r="AC2654" s="74"/>
      <c r="AD2654" s="53">
        <f>P_2_minQ+(AD2651^2*R_dn)-dpdn_minQ</f>
        <v>59.593728158588767</v>
      </c>
      <c r="AE2654" s="45"/>
      <c r="AF2654" s="74"/>
      <c r="AG2654" s="53">
        <f>P_2_minQ+(AG2651^2*R_dn)-dpdn_minQ</f>
        <v>102.10205513664096</v>
      </c>
      <c r="AH2654" s="45"/>
      <c r="AI2654" s="74"/>
      <c r="AJ2654" s="53">
        <f>P_2_minQ+(AJ2651^2*R_dn)-dpdn_minQ</f>
        <v>162.57912343878147</v>
      </c>
      <c r="AK2654" s="45"/>
      <c r="AL2654" s="74"/>
      <c r="AM2654" s="53">
        <f>P_2_minQ+(AM2651^2*R_dn)-dpdn_minQ</f>
        <v>230.0043594207817</v>
      </c>
      <c r="AN2654" s="45"/>
      <c r="AO2654" s="74"/>
      <c r="AP2654" s="53">
        <f>P_2_minQ+(AP2651^2*R_dn)-dpdn_minQ</f>
        <v>301.43429519359563</v>
      </c>
      <c r="AQ2654" s="45"/>
      <c r="AR2654" s="74"/>
      <c r="AS2654" s="53">
        <f>P_2_minQ+(AS2651^2*R_dn)-dpdn_minQ</f>
        <v>383.15460694620367</v>
      </c>
      <c r="AT2654" s="45"/>
      <c r="AU2654" s="74"/>
    </row>
    <row r="2655" spans="15:47" x14ac:dyDescent="0.25">
      <c r="O2655" s="6" t="s">
        <v>243</v>
      </c>
      <c r="Q2655" s="60"/>
      <c r="R2655" s="53">
        <f>R2653-R2654</f>
        <v>31.937558102187996</v>
      </c>
      <c r="S2655" s="56"/>
      <c r="T2655" s="72"/>
      <c r="U2655" s="64">
        <f>U2653-U2654</f>
        <v>28.569947843079536</v>
      </c>
      <c r="V2655" s="44"/>
      <c r="W2655" s="72"/>
      <c r="X2655" s="64">
        <f>X2653-X2654</f>
        <v>11.001472153319177</v>
      </c>
      <c r="Y2655" s="44"/>
      <c r="Z2655" s="72"/>
      <c r="AA2655" s="64">
        <f>AA2653-AA2654</f>
        <v>-45.240136082460587</v>
      </c>
      <c r="AB2655" s="44"/>
      <c r="AC2655" s="72"/>
      <c r="AD2655" s="64">
        <f>AD2653-AD2654</f>
        <v>-177.3623689515326</v>
      </c>
      <c r="AE2655" s="44"/>
      <c r="AF2655" s="72"/>
      <c r="AG2655" s="64">
        <f>AG2653-AG2654</f>
        <v>-432.41233081984575</v>
      </c>
      <c r="AH2655" s="44"/>
      <c r="AI2655" s="72"/>
      <c r="AJ2655" s="64">
        <f>AJ2653-AJ2654</f>
        <v>-795.27474063268869</v>
      </c>
      <c r="AK2655" s="44"/>
      <c r="AL2655" s="72"/>
      <c r="AM2655" s="64">
        <f>AM2653-AM2654</f>
        <v>-1199.8261565246901</v>
      </c>
      <c r="AN2655" s="44"/>
      <c r="AO2655" s="72"/>
      <c r="AP2655" s="64">
        <f>AP2653-AP2654</f>
        <v>-1628.4057711615742</v>
      </c>
      <c r="AQ2655" s="44"/>
      <c r="AR2655" s="72"/>
      <c r="AS2655" s="64">
        <f>AS2653-AS2654</f>
        <v>-2118.7276416772224</v>
      </c>
      <c r="AT2655" s="44"/>
      <c r="AU2655" s="72"/>
    </row>
    <row r="2656" spans="15:47" ht="13" x14ac:dyDescent="0.3">
      <c r="O2656" s="6" t="s">
        <v>75</v>
      </c>
      <c r="P2656" s="6">
        <v>3</v>
      </c>
      <c r="Q2656" s="65"/>
      <c r="R2656" s="85">
        <f>(F_LP_h/F_P_h)^2*(R2653-('Valve Sizing'!$V$4*'Valve Sizing'!$G$7))</f>
        <v>46.54309769022489</v>
      </c>
      <c r="S2656" s="58"/>
      <c r="T2656" s="73"/>
      <c r="U2656" s="53">
        <f>(U$29/U$27)^2*(U2653-('Valve Sizing'!$V$4*'Valve Sizing'!$G$7))</f>
        <v>44.207246952489555</v>
      </c>
      <c r="V2656" s="41"/>
      <c r="W2656" s="73"/>
      <c r="X2656" s="53">
        <f>(X$29/X$27)^2*(X2653-('Valve Sizing'!$V$4*'Valve Sizing'!$G$7))</f>
        <v>31.363738177126937</v>
      </c>
      <c r="Y2656" s="41"/>
      <c r="Z2656" s="73"/>
      <c r="AA2656" s="53">
        <f>(AA$29/AA$27)^2*(AA2653-('Valve Sizing'!$V$4*'Valve Sizing'!$G$7))</f>
        <v>-6.264941677639186</v>
      </c>
      <c r="AB2656" s="41"/>
      <c r="AC2656" s="73"/>
      <c r="AD2656" s="53">
        <f>(AD$29/AD$27)^2*(AD2653-('Valve Sizing'!$V$4*'Valve Sizing'!$G$7))</f>
        <v>-85.250624749353335</v>
      </c>
      <c r="AE2656" s="41"/>
      <c r="AF2656" s="73"/>
      <c r="AG2656" s="53">
        <f>(AG$29/AG$27)^2*(AG2653-('Valve Sizing'!$V$4*'Valve Sizing'!$G$7))</f>
        <v>-213.01775154725573</v>
      </c>
      <c r="AH2656" s="41"/>
      <c r="AI2656" s="73"/>
      <c r="AJ2656" s="53">
        <f>(AJ$29/AJ$27)^2*(AJ2653-('Valve Sizing'!$V$4*'Valve Sizing'!$G$7))</f>
        <v>-366.18309376337936</v>
      </c>
      <c r="AK2656" s="41"/>
      <c r="AL2656" s="73"/>
      <c r="AM2656" s="53">
        <f>(AM$29/AM$27)^2*(AM2653-('Valve Sizing'!$V$4*'Valve Sizing'!$G$7))</f>
        <v>-464.24327504136329</v>
      </c>
      <c r="AN2656" s="41"/>
      <c r="AO2656" s="73"/>
      <c r="AP2656" s="53">
        <f>(AP$29/AP$27)^2*(AP2653-('Valve Sizing'!$V$4*'Valve Sizing'!$G$7))</f>
        <v>-523.83220211809237</v>
      </c>
      <c r="AQ2656" s="41"/>
      <c r="AR2656" s="73"/>
      <c r="AS2656" s="53">
        <f>(AS$29/AS$27)^2*(AS2653-('Valve Sizing'!$V$4*'Valve Sizing'!$G$7))</f>
        <v>-652.98534314995516</v>
      </c>
      <c r="AT2656" s="41"/>
      <c r="AU2656" s="73"/>
    </row>
    <row r="2657" spans="15:47" ht="13" x14ac:dyDescent="0.25">
      <c r="O2657" s="1" t="s">
        <v>69</v>
      </c>
      <c r="P2657" s="17">
        <v>7</v>
      </c>
      <c r="Q2657" s="65"/>
      <c r="R2657" s="53">
        <f>(R2651/(N_1*F_P_h))*SQRT('Valve Sizing'!$G$6/R2655)</f>
        <v>15.770430222434241</v>
      </c>
      <c r="S2657" s="58"/>
      <c r="T2657" s="73"/>
      <c r="U2657" s="64">
        <f>(U2651/(N_1*U$27))*SQRT('Valve Sizing'!$G$6/U2655)</f>
        <v>56.496144507114799</v>
      </c>
      <c r="V2657" s="41"/>
      <c r="W2657" s="73"/>
      <c r="X2657" s="64">
        <f>(X2651/(N_1*X$27))*SQRT('Valve Sizing'!$G$6/X2655)</f>
        <v>219.03003523845558</v>
      </c>
      <c r="Y2657" s="41"/>
      <c r="Z2657" s="73"/>
      <c r="AA2657" s="64" t="e">
        <f>(AA2651/(N_1*AA$27))*SQRT('Valve Sizing'!$G$6/AA2655)</f>
        <v>#NUM!</v>
      </c>
      <c r="AB2657" s="41"/>
      <c r="AC2657" s="73"/>
      <c r="AD2657" s="64" t="e">
        <f>(AD2651/(N_1*AD$27))*SQRT('Valve Sizing'!$G$6/AD2655)</f>
        <v>#NUM!</v>
      </c>
      <c r="AE2657" s="41"/>
      <c r="AF2657" s="73"/>
      <c r="AG2657" s="64" t="e">
        <f>(AG2651/(N_1*AG$27))*SQRT('Valve Sizing'!$G$6/AG2655)</f>
        <v>#NUM!</v>
      </c>
      <c r="AH2657" s="41"/>
      <c r="AI2657" s="73"/>
      <c r="AJ2657" s="64" t="e">
        <f>(AJ2651/(N_1*AJ$27))*SQRT('Valve Sizing'!$G$6/AJ2655)</f>
        <v>#NUM!</v>
      </c>
      <c r="AK2657" s="41"/>
      <c r="AL2657" s="73"/>
      <c r="AM2657" s="64" t="e">
        <f>(AM2651/(N_1*AM$27))*SQRT('Valve Sizing'!$G$6/AM2655)</f>
        <v>#NUM!</v>
      </c>
      <c r="AN2657" s="41"/>
      <c r="AO2657" s="73"/>
      <c r="AP2657" s="64" t="e">
        <f>(AP2651/(N_1*AP$27))*SQRT('Valve Sizing'!$G$6/AP2655)</f>
        <v>#NUM!</v>
      </c>
      <c r="AQ2657" s="41"/>
      <c r="AR2657" s="73"/>
      <c r="AS2657" s="64" t="e">
        <f>(AS2651/(N_1*AS$27))*SQRT('Valve Sizing'!$G$6/AS2655)</f>
        <v>#NUM!</v>
      </c>
      <c r="AT2657" s="41"/>
      <c r="AU2657" s="73"/>
    </row>
    <row r="2658" spans="15:47" ht="13" x14ac:dyDescent="0.3">
      <c r="O2658" s="1" t="s">
        <v>72</v>
      </c>
      <c r="P2658" s="17">
        <v>7</v>
      </c>
      <c r="Q2658" s="65"/>
      <c r="R2658" s="53">
        <f>(R2651/(N_1*F_P_h))*SQRT('Valve Sizing'!$G$6/R2656)</f>
        <v>13.063716669836042</v>
      </c>
      <c r="S2658" s="56"/>
      <c r="T2658" s="72"/>
      <c r="U2658" s="85">
        <f>(U2651/(N_1*U$27))*SQRT('Valve Sizing'!$G$6/U2656)</f>
        <v>45.417873882365797</v>
      </c>
      <c r="V2658" s="44"/>
      <c r="W2658" s="72"/>
      <c r="X2658" s="85">
        <f>(X2651/(N_1*X$27))*SQRT('Valve Sizing'!$G$6/X2656)</f>
        <v>129.72245678196899</v>
      </c>
      <c r="Y2658" s="44"/>
      <c r="Z2658" s="72"/>
      <c r="AA2658" s="85" t="e">
        <f>(AA2651/(N_1*AA$27))*SQRT('Valve Sizing'!$G$6/AA2656)</f>
        <v>#NUM!</v>
      </c>
      <c r="AB2658" s="44"/>
      <c r="AC2658" s="72"/>
      <c r="AD2658" s="85" t="e">
        <f>(AD2651/(N_1*AD$27))*SQRT('Valve Sizing'!$G$6/AD2656)</f>
        <v>#NUM!</v>
      </c>
      <c r="AE2658" s="44"/>
      <c r="AF2658" s="72"/>
      <c r="AG2658" s="85" t="e">
        <f>(AG2651/(N_1*AG$27))*SQRT('Valve Sizing'!$G$6/AG2656)</f>
        <v>#NUM!</v>
      </c>
      <c r="AH2658" s="44"/>
      <c r="AI2658" s="72"/>
      <c r="AJ2658" s="85" t="e">
        <f>(AJ2651/(N_1*AJ$27))*SQRT('Valve Sizing'!$G$6/AJ2656)</f>
        <v>#NUM!</v>
      </c>
      <c r="AK2658" s="44"/>
      <c r="AL2658" s="72"/>
      <c r="AM2658" s="85" t="e">
        <f>(AM2651/(N_1*AM$27))*SQRT('Valve Sizing'!$G$6/AM2656)</f>
        <v>#NUM!</v>
      </c>
      <c r="AN2658" s="44"/>
      <c r="AO2658" s="72"/>
      <c r="AP2658" s="85" t="e">
        <f>(AP2651/(N_1*AP$27))*SQRT('Valve Sizing'!$G$6/AP2656)</f>
        <v>#NUM!</v>
      </c>
      <c r="AQ2658" s="44"/>
      <c r="AR2658" s="72"/>
      <c r="AS2658" s="85" t="e">
        <f>(AS2651/(N_1*AS$27))*SQRT('Valve Sizing'!$G$6/AS2656)</f>
        <v>#NUM!</v>
      </c>
      <c r="AT2658" s="44"/>
      <c r="AU2658" s="72"/>
    </row>
    <row r="2659" spans="15:47" x14ac:dyDescent="0.25">
      <c r="O2659" s="1" t="s">
        <v>246</v>
      </c>
      <c r="P2659" s="18"/>
      <c r="Q2659" s="65"/>
      <c r="R2659" s="53">
        <f>IF(R2655&lt;R2656,R2657,R2658)</f>
        <v>15.770430222434241</v>
      </c>
      <c r="S2659" s="49"/>
      <c r="T2659" s="72"/>
      <c r="U2659" s="64">
        <f>IF(U2655&lt;U2656,U2657,U2658)</f>
        <v>56.496144507114799</v>
      </c>
      <c r="V2659" s="44"/>
      <c r="W2659" s="72"/>
      <c r="X2659" s="64">
        <f>IF(X2655&lt;X2656,X2657,X2658)</f>
        <v>219.03003523845558</v>
      </c>
      <c r="Y2659" s="44"/>
      <c r="Z2659" s="72"/>
      <c r="AA2659" s="64" t="e">
        <f>IF(AA2655&lt;AA2656,AA2657,AA2658)</f>
        <v>#NUM!</v>
      </c>
      <c r="AB2659" s="44"/>
      <c r="AC2659" s="72"/>
      <c r="AD2659" s="64" t="e">
        <f>IF(AD2655&lt;AD2656,AD2657,AD2658)</f>
        <v>#NUM!</v>
      </c>
      <c r="AE2659" s="44"/>
      <c r="AF2659" s="72"/>
      <c r="AG2659" s="64" t="e">
        <f>IF(AG2655&lt;AG2656,AG2657,AG2658)</f>
        <v>#NUM!</v>
      </c>
      <c r="AH2659" s="44"/>
      <c r="AI2659" s="72"/>
      <c r="AJ2659" s="64" t="e">
        <f>IF(AJ2655&lt;AJ2656,AJ2657,AJ2658)</f>
        <v>#NUM!</v>
      </c>
      <c r="AK2659" s="44"/>
      <c r="AL2659" s="72"/>
      <c r="AM2659" s="64" t="e">
        <f>IF(AM2655&lt;AM2656,AM2657,AM2658)</f>
        <v>#NUM!</v>
      </c>
      <c r="AN2659" s="44"/>
      <c r="AO2659" s="72"/>
      <c r="AP2659" s="64" t="e">
        <f>IF(AP2655&lt;AP2656,AP2657,AP2658)</f>
        <v>#NUM!</v>
      </c>
      <c r="AQ2659" s="44"/>
      <c r="AR2659" s="72"/>
      <c r="AS2659" s="64" t="e">
        <f>IF(AS2655&lt;AS2656,AS2657,AS2658)</f>
        <v>#NUM!</v>
      </c>
      <c r="AT2659" s="44"/>
      <c r="AU2659" s="72"/>
    </row>
    <row r="2660" spans="15:47" ht="13" x14ac:dyDescent="0.3">
      <c r="O2660" s="7" t="s">
        <v>264</v>
      </c>
      <c r="Q2660" s="61"/>
      <c r="R2660" s="53"/>
      <c r="S2660" s="69">
        <f>IFERROR(ABS(C_h-R2659),Q_max*10)</f>
        <v>10.770430222434241</v>
      </c>
      <c r="T2660" s="76">
        <f>R2651</f>
        <v>89.110907460933817</v>
      </c>
      <c r="U2660" s="61"/>
      <c r="V2660" s="69">
        <f>IFERROR(ABS(U$23-U2659),Q_max*10)</f>
        <v>44.496144507114799</v>
      </c>
      <c r="W2660" s="75">
        <f>U2651</f>
        <v>301.72261594387066</v>
      </c>
      <c r="X2660" s="61"/>
      <c r="Y2660" s="69">
        <f>IFERROR(ABS(X$23-X2659),Q_max*10)</f>
        <v>196.03003523845558</v>
      </c>
      <c r="Z2660" s="75">
        <f>X2651</f>
        <v>724.25042258658664</v>
      </c>
      <c r="AA2660" s="61"/>
      <c r="AB2660" s="69">
        <f>IFERROR(ABS(AA$23-AA2659),Q_max*10)</f>
        <v>5500</v>
      </c>
      <c r="AC2660" s="75">
        <f>AA2651</f>
        <v>1382.8594859329398</v>
      </c>
      <c r="AD2660" s="61"/>
      <c r="AE2660" s="69">
        <f>IFERROR(ABS(AD$23-AD2659),Q_max*10)</f>
        <v>5500</v>
      </c>
      <c r="AF2660" s="75">
        <f>AD2651</f>
        <v>2274.2947157039844</v>
      </c>
      <c r="AG2660" s="61"/>
      <c r="AH2660" s="69">
        <f>IFERROR(ABS(AG$23-AG2659),Q_max*10)</f>
        <v>5500</v>
      </c>
      <c r="AI2660" s="75">
        <f>AG2651</f>
        <v>3386.114921702997</v>
      </c>
      <c r="AJ2660" s="61"/>
      <c r="AK2660" s="69">
        <f>IFERROR(ABS(AJ$23-AJ2659),Q_max*10)</f>
        <v>5500</v>
      </c>
      <c r="AL2660" s="75">
        <f>AJ2651</f>
        <v>4518.7834895148044</v>
      </c>
      <c r="AM2660" s="61"/>
      <c r="AN2660" s="69">
        <f>IFERROR(ABS(AM$23-AM2659),Q_max*10)</f>
        <v>5500</v>
      </c>
      <c r="AO2660" s="75">
        <f>AM2651</f>
        <v>5513.7746065872816</v>
      </c>
      <c r="AP2660" s="61"/>
      <c r="AQ2660" s="69">
        <f>IFERROR(ABS(AP$23-AP2659),Q_max*10)</f>
        <v>5500</v>
      </c>
      <c r="AR2660" s="75">
        <f>AP2651</f>
        <v>6401.3211451552597</v>
      </c>
      <c r="AS2660" s="61"/>
      <c r="AT2660" s="69">
        <f>IFERROR(ABS(AS$23-AS2659),Q_max*10)</f>
        <v>5500</v>
      </c>
      <c r="AU2660" s="75">
        <f>AS2651</f>
        <v>7285.3005811967332</v>
      </c>
    </row>
    <row r="2661" spans="15:47" ht="14.5" x14ac:dyDescent="0.35">
      <c r="O2661" s="8"/>
      <c r="P2661" s="6"/>
      <c r="Q2661" s="60"/>
      <c r="R2661" s="67"/>
      <c r="S2661" s="56"/>
      <c r="T2661" s="72"/>
      <c r="V2661" s="11"/>
      <c r="W2661" s="38"/>
      <c r="Y2661" s="11"/>
      <c r="Z2661" s="38"/>
      <c r="AB2661" s="11"/>
      <c r="AC2661" s="38"/>
      <c r="AE2661" s="11"/>
      <c r="AF2661" s="38"/>
      <c r="AH2661" s="11"/>
      <c r="AI2661" s="38"/>
      <c r="AK2661" s="11"/>
      <c r="AL2661" s="38"/>
      <c r="AN2661" s="11"/>
      <c r="AO2661" s="38"/>
      <c r="AQ2661" s="11"/>
      <c r="AR2661" s="38"/>
      <c r="AT2661" s="11"/>
      <c r="AU2661" s="38"/>
    </row>
    <row r="2662" spans="15:47" ht="14" x14ac:dyDescent="0.3">
      <c r="O2662" s="8" t="s">
        <v>235</v>
      </c>
      <c r="P2662" s="6"/>
      <c r="Q2662" s="60"/>
      <c r="R2662" s="53">
        <f>R2651*1.02</f>
        <v>90.893125610152495</v>
      </c>
      <c r="S2662" s="58" t="s">
        <v>238</v>
      </c>
      <c r="T2662" s="73" t="s">
        <v>241</v>
      </c>
      <c r="U2662" s="84">
        <f>U2651*1.01</f>
        <v>304.7398421033094</v>
      </c>
      <c r="V2662" s="58" t="s">
        <v>238</v>
      </c>
      <c r="W2662" s="73" t="s">
        <v>241</v>
      </c>
      <c r="X2662" s="84">
        <f>X2651*1.01</f>
        <v>731.49292681245254</v>
      </c>
      <c r="Y2662" s="58" t="s">
        <v>238</v>
      </c>
      <c r="Z2662" s="73" t="s">
        <v>241</v>
      </c>
      <c r="AA2662" s="84">
        <f>AA2651*1.01</f>
        <v>1396.6880807922691</v>
      </c>
      <c r="AB2662" s="58" t="s">
        <v>238</v>
      </c>
      <c r="AC2662" s="73" t="s">
        <v>241</v>
      </c>
      <c r="AD2662" s="84">
        <f>AD2651*1.01</f>
        <v>2297.0376628610243</v>
      </c>
      <c r="AE2662" s="58" t="s">
        <v>238</v>
      </c>
      <c r="AF2662" s="73" t="s">
        <v>241</v>
      </c>
      <c r="AG2662" s="84">
        <f>AG2651*1.01</f>
        <v>3419.9760709200268</v>
      </c>
      <c r="AH2662" s="58" t="s">
        <v>238</v>
      </c>
      <c r="AI2662" s="73" t="s">
        <v>241</v>
      </c>
      <c r="AJ2662" s="84">
        <f>AJ2651*1.01</f>
        <v>4563.9713244099521</v>
      </c>
      <c r="AK2662" s="58" t="s">
        <v>238</v>
      </c>
      <c r="AL2662" s="73" t="s">
        <v>241</v>
      </c>
      <c r="AM2662" s="84">
        <f>AM2651*1.01</f>
        <v>5568.9123526531548</v>
      </c>
      <c r="AN2662" s="58" t="s">
        <v>238</v>
      </c>
      <c r="AO2662" s="73" t="s">
        <v>241</v>
      </c>
      <c r="AP2662" s="84">
        <f>AP2651*1.01</f>
        <v>6465.3343566068124</v>
      </c>
      <c r="AQ2662" s="58" t="s">
        <v>238</v>
      </c>
      <c r="AR2662" s="73" t="s">
        <v>241</v>
      </c>
      <c r="AS2662" s="84">
        <f>AS2651*1.01</f>
        <v>7358.1535870087009</v>
      </c>
      <c r="AT2662" s="58" t="s">
        <v>238</v>
      </c>
      <c r="AU2662" s="73" t="s">
        <v>241</v>
      </c>
    </row>
    <row r="2663" spans="15:47" ht="13" x14ac:dyDescent="0.25">
      <c r="O2663" s="6"/>
      <c r="P2663" s="6"/>
      <c r="Q2663" s="60"/>
      <c r="R2663" s="70"/>
      <c r="S2663" s="63" t="s">
        <v>250</v>
      </c>
      <c r="T2663" s="71" t="s">
        <v>242</v>
      </c>
      <c r="U2663" s="61"/>
      <c r="V2663" s="63" t="s">
        <v>250</v>
      </c>
      <c r="W2663" s="71" t="s">
        <v>242</v>
      </c>
      <c r="X2663" s="61"/>
      <c r="Y2663" s="63" t="s">
        <v>250</v>
      </c>
      <c r="Z2663" s="71" t="s">
        <v>242</v>
      </c>
      <c r="AA2663" s="61"/>
      <c r="AB2663" s="63" t="s">
        <v>250</v>
      </c>
      <c r="AC2663" s="71" t="s">
        <v>242</v>
      </c>
      <c r="AD2663" s="61"/>
      <c r="AE2663" s="63" t="s">
        <v>250</v>
      </c>
      <c r="AF2663" s="71" t="s">
        <v>242</v>
      </c>
      <c r="AG2663" s="61"/>
      <c r="AH2663" s="63" t="s">
        <v>250</v>
      </c>
      <c r="AI2663" s="71" t="s">
        <v>242</v>
      </c>
      <c r="AJ2663" s="61"/>
      <c r="AK2663" s="63" t="s">
        <v>250</v>
      </c>
      <c r="AL2663" s="71" t="s">
        <v>242</v>
      </c>
      <c r="AM2663" s="61"/>
      <c r="AN2663" s="63" t="s">
        <v>250</v>
      </c>
      <c r="AO2663" s="71" t="s">
        <v>242</v>
      </c>
      <c r="AP2663" s="61"/>
      <c r="AQ2663" s="63" t="s">
        <v>250</v>
      </c>
      <c r="AR2663" s="71" t="s">
        <v>242</v>
      </c>
      <c r="AS2663" s="61"/>
      <c r="AT2663" s="63" t="s">
        <v>250</v>
      </c>
      <c r="AU2663" s="71" t="s">
        <v>242</v>
      </c>
    </row>
    <row r="2664" spans="15:47" ht="13" x14ac:dyDescent="0.3">
      <c r="O2664" s="6" t="s">
        <v>231</v>
      </c>
      <c r="P2664" s="6"/>
      <c r="Q2664" s="60"/>
      <c r="R2664" s="85">
        <f>P_1_minQ-(R2662^2*R_up)+dpup_minQ</f>
        <v>56.637130689524383</v>
      </c>
      <c r="S2664" s="56"/>
      <c r="T2664" s="72"/>
      <c r="U2664" s="53">
        <f>P_1_minQ-(U2662^2*R_up)+dpup_minQ</f>
        <v>53.77982535072104</v>
      </c>
      <c r="V2664" s="44"/>
      <c r="W2664" s="72"/>
      <c r="X2664" s="53">
        <f>P_1_minQ-(X2662^2*R_up)+dpup_minQ</f>
        <v>38.845156974783926</v>
      </c>
      <c r="Y2664" s="44"/>
      <c r="Z2664" s="72"/>
      <c r="AA2664" s="53">
        <f>P_1_minQ-(AA2662^2*R_up)+dpup_minQ</f>
        <v>-8.9648968263151723</v>
      </c>
      <c r="AB2664" s="44"/>
      <c r="AC2664" s="72"/>
      <c r="AD2664" s="53">
        <f>P_1_minQ-(AD2662^2*R_up)+dpup_minQ</f>
        <v>-121.27980495109887</v>
      </c>
      <c r="AE2664" s="44"/>
      <c r="AF2664" s="72"/>
      <c r="AG2664" s="53">
        <f>P_1_minQ-(AG2662^2*R_up)+dpup_minQ</f>
        <v>-338.093526702654</v>
      </c>
      <c r="AH2664" s="44"/>
      <c r="AI2664" s="72"/>
      <c r="AJ2664" s="53">
        <f>P_1_minQ-(AJ2662^2*R_up)+dpup_minQ</f>
        <v>-646.55681357772141</v>
      </c>
      <c r="AK2664" s="44"/>
      <c r="AL2664" s="72"/>
      <c r="AM2664" s="53">
        <f>P_1_minQ-(AM2662^2*R_up)+dpup_minQ</f>
        <v>-990.45922970391416</v>
      </c>
      <c r="AN2664" s="44"/>
      <c r="AO2664" s="72"/>
      <c r="AP2664" s="53">
        <f>P_1_minQ-(AP2662^2*R_up)+dpup_minQ</f>
        <v>-1354.7876171131518</v>
      </c>
      <c r="AQ2664" s="44"/>
      <c r="AR2664" s="72"/>
      <c r="AS2664" s="53">
        <f>P_1_minQ-(AS2662^2*R_up)+dpup_minQ</f>
        <v>-1771.6020672073289</v>
      </c>
      <c r="AT2664" s="44"/>
      <c r="AU2664" s="72"/>
    </row>
    <row r="2665" spans="15:47" ht="13" x14ac:dyDescent="0.3">
      <c r="O2665" s="6" t="s">
        <v>233</v>
      </c>
      <c r="P2665" s="6"/>
      <c r="Q2665" s="60"/>
      <c r="R2665" s="85">
        <f>P_2_minQ+(R2662^2*R_dn)-dpdn_minQ</f>
        <v>24.712573862095123</v>
      </c>
      <c r="S2665" s="66"/>
      <c r="T2665" s="74"/>
      <c r="U2665" s="53">
        <f>P_2_minQ+(U2662^2*R_dn)-dpdn_minQ</f>
        <v>25.284034929855792</v>
      </c>
      <c r="V2665" s="45"/>
      <c r="W2665" s="74"/>
      <c r="X2665" s="53">
        <f>P_2_minQ+(X2662^2*R_dn)-dpdn_minQ</f>
        <v>28.270968605043215</v>
      </c>
      <c r="Y2665" s="45"/>
      <c r="Z2665" s="74"/>
      <c r="AA2665" s="53">
        <f>P_2_minQ+(AA2662^2*R_dn)-dpdn_minQ</f>
        <v>37.832979365263043</v>
      </c>
      <c r="AB2665" s="45"/>
      <c r="AC2665" s="74"/>
      <c r="AD2665" s="53">
        <f>P_2_minQ+(AD2662^2*R_dn)-dpdn_minQ</f>
        <v>60.295960990219776</v>
      </c>
      <c r="AE2665" s="45"/>
      <c r="AF2665" s="74"/>
      <c r="AG2665" s="53">
        <f>P_2_minQ+(AG2662^2*R_dn)-dpdn_minQ</f>
        <v>103.6587053405308</v>
      </c>
      <c r="AH2665" s="45"/>
      <c r="AI2665" s="74"/>
      <c r="AJ2665" s="53">
        <f>P_2_minQ+(AJ2662^2*R_dn)-dpdn_minQ</f>
        <v>165.3513627155443</v>
      </c>
      <c r="AK2665" s="45"/>
      <c r="AL2665" s="74"/>
      <c r="AM2665" s="53">
        <f>P_2_minQ+(AM2662^2*R_dn)-dpdn_minQ</f>
        <v>234.13184594078282</v>
      </c>
      <c r="AN2665" s="45"/>
      <c r="AO2665" s="74"/>
      <c r="AP2665" s="53">
        <f>P_2_minQ+(AP2662^2*R_dn)-dpdn_minQ</f>
        <v>306.99752342263031</v>
      </c>
      <c r="AQ2665" s="45"/>
      <c r="AR2665" s="74"/>
      <c r="AS2665" s="53">
        <f>P_2_minQ+(AS2662^2*R_dn)-dpdn_minQ</f>
        <v>390.36041344146571</v>
      </c>
      <c r="AT2665" s="45"/>
      <c r="AU2665" s="74"/>
    </row>
    <row r="2666" spans="15:47" x14ac:dyDescent="0.25">
      <c r="O2666" s="6" t="s">
        <v>243</v>
      </c>
      <c r="Q2666" s="60"/>
      <c r="R2666" s="53">
        <f>R2664-R2665</f>
        <v>31.92455682742926</v>
      </c>
      <c r="S2666" s="56"/>
      <c r="T2666" s="72"/>
      <c r="U2666" s="64">
        <f>U2664-U2665</f>
        <v>28.495790420865248</v>
      </c>
      <c r="V2666" s="44"/>
      <c r="W2666" s="72"/>
      <c r="X2666" s="64">
        <f>X2664-X2665</f>
        <v>10.57418836974071</v>
      </c>
      <c r="Y2666" s="44"/>
      <c r="Z2666" s="72"/>
      <c r="AA2666" s="64">
        <f>AA2664-AA2665</f>
        <v>-46.797876191578212</v>
      </c>
      <c r="AB2666" s="44"/>
      <c r="AC2666" s="72"/>
      <c r="AD2666" s="64">
        <f>AD2664-AD2665</f>
        <v>-181.57576594131865</v>
      </c>
      <c r="AE2666" s="44"/>
      <c r="AF2666" s="72"/>
      <c r="AG2666" s="64">
        <f>AG2664-AG2665</f>
        <v>-441.75223204318479</v>
      </c>
      <c r="AH2666" s="44"/>
      <c r="AI2666" s="72"/>
      <c r="AJ2666" s="64">
        <f>AJ2664-AJ2665</f>
        <v>-811.90817629326568</v>
      </c>
      <c r="AK2666" s="44"/>
      <c r="AL2666" s="72"/>
      <c r="AM2666" s="64">
        <f>AM2664-AM2665</f>
        <v>-1224.591075644697</v>
      </c>
      <c r="AN2666" s="44"/>
      <c r="AO2666" s="72"/>
      <c r="AP2666" s="64">
        <f>AP2664-AP2665</f>
        <v>-1661.7851405357821</v>
      </c>
      <c r="AQ2666" s="44"/>
      <c r="AR2666" s="72"/>
      <c r="AS2666" s="64">
        <f>AS2664-AS2665</f>
        <v>-2161.9624806487946</v>
      </c>
      <c r="AT2666" s="44"/>
      <c r="AU2666" s="72"/>
    </row>
    <row r="2667" spans="15:47" ht="13" x14ac:dyDescent="0.3">
      <c r="O2667" s="6" t="s">
        <v>75</v>
      </c>
      <c r="P2667" s="6">
        <v>3</v>
      </c>
      <c r="Q2667" s="65"/>
      <c r="R2667" s="85">
        <f>(F_LP_h/F_P_h)^2*(R2664-('Valve Sizing'!$V$4*'Valve Sizing'!$G$7))</f>
        <v>46.534126241944598</v>
      </c>
      <c r="S2667" s="58"/>
      <c r="T2667" s="73"/>
      <c r="U2667" s="53">
        <f>(U$29/U$27)^2*(U2664-('Valve Sizing'!$V$4*'Valve Sizing'!$G$7))</f>
        <v>44.156089034732695</v>
      </c>
      <c r="V2667" s="41"/>
      <c r="W2667" s="73"/>
      <c r="X2667" s="53">
        <f>(X$29/X$27)^2*(X2664-('Valve Sizing'!$V$4*'Valve Sizing'!$G$7))</f>
        <v>31.075623013208926</v>
      </c>
      <c r="Y2667" s="41"/>
      <c r="Z2667" s="73"/>
      <c r="AA2667" s="53">
        <f>(AA$29/AA$27)^2*(AA2664-('Valve Sizing'!$V$4*'Valve Sizing'!$G$7))</f>
        <v>-7.2681227009031444</v>
      </c>
      <c r="AB2667" s="41"/>
      <c r="AC2667" s="73"/>
      <c r="AD2667" s="53">
        <f>(AD$29/AD$27)^2*(AD2664-('Valve Sizing'!$V$4*'Valve Sizing'!$G$7))</f>
        <v>-87.782832124741375</v>
      </c>
      <c r="AE2667" s="41"/>
      <c r="AF2667" s="73"/>
      <c r="AG2667" s="53">
        <f>(AG$29/AG$27)^2*(AG2664-('Valve Sizing'!$V$4*'Valve Sizing'!$G$7))</f>
        <v>-218.03050728687168</v>
      </c>
      <c r="AH2667" s="41"/>
      <c r="AI2667" s="73"/>
      <c r="AJ2667" s="53">
        <f>(AJ$29/AJ$27)^2*(AJ2664-('Valve Sizing'!$V$4*'Valve Sizing'!$G$7))</f>
        <v>-374.19991539673026</v>
      </c>
      <c r="AK2667" s="41"/>
      <c r="AL2667" s="73"/>
      <c r="AM2667" s="53">
        <f>(AM$29/AM$27)^2*(AM2664-('Valve Sizing'!$V$4*'Valve Sizing'!$G$7))</f>
        <v>-474.11771177361521</v>
      </c>
      <c r="AN2667" s="41"/>
      <c r="AO2667" s="73"/>
      <c r="AP2667" s="53">
        <f>(AP$29/AP$27)^2*(AP2664-('Valve Sizing'!$V$4*'Valve Sizing'!$G$7))</f>
        <v>-534.80919764756561</v>
      </c>
      <c r="AQ2667" s="41"/>
      <c r="AR2667" s="73"/>
      <c r="AS2667" s="53">
        <f>(AS$29/AS$27)^2*(AS2664-('Valve Sizing'!$V$4*'Valve Sizing'!$G$7))</f>
        <v>-666.53733203638683</v>
      </c>
      <c r="AT2667" s="41"/>
      <c r="AU2667" s="73"/>
    </row>
    <row r="2668" spans="15:47" ht="13" x14ac:dyDescent="0.25">
      <c r="O2668" s="1" t="s">
        <v>69</v>
      </c>
      <c r="P2668" s="17">
        <v>7</v>
      </c>
      <c r="Q2668" s="65"/>
      <c r="R2668" s="53">
        <f>(R2662/(N_1*F_P_h))*SQRT('Valve Sizing'!$G$6/R2666)</f>
        <v>16.089113972143032</v>
      </c>
      <c r="S2668" s="58"/>
      <c r="T2668" s="73"/>
      <c r="U2668" s="64">
        <f>(U2662/(N_1*U$27))*SQRT('Valve Sizing'!$G$6/U2666)</f>
        <v>57.135305597538171</v>
      </c>
      <c r="V2668" s="41"/>
      <c r="W2668" s="73"/>
      <c r="X2668" s="64">
        <f>(X2662/(N_1*X$27))*SQRT('Valve Sizing'!$G$6/X2666)</f>
        <v>225.64563013643024</v>
      </c>
      <c r="Y2668" s="41"/>
      <c r="Z2668" s="73"/>
      <c r="AA2668" s="64" t="e">
        <f>(AA2662/(N_1*AA$27))*SQRT('Valve Sizing'!$G$6/AA2666)</f>
        <v>#NUM!</v>
      </c>
      <c r="AB2668" s="41"/>
      <c r="AC2668" s="73"/>
      <c r="AD2668" s="64" t="e">
        <f>(AD2662/(N_1*AD$27))*SQRT('Valve Sizing'!$G$6/AD2666)</f>
        <v>#NUM!</v>
      </c>
      <c r="AE2668" s="41"/>
      <c r="AF2668" s="73"/>
      <c r="AG2668" s="64" t="e">
        <f>(AG2662/(N_1*AG$27))*SQRT('Valve Sizing'!$G$6/AG2666)</f>
        <v>#NUM!</v>
      </c>
      <c r="AH2668" s="41"/>
      <c r="AI2668" s="73"/>
      <c r="AJ2668" s="64" t="e">
        <f>(AJ2662/(N_1*AJ$27))*SQRT('Valve Sizing'!$G$6/AJ2666)</f>
        <v>#NUM!</v>
      </c>
      <c r="AK2668" s="41"/>
      <c r="AL2668" s="73"/>
      <c r="AM2668" s="64" t="e">
        <f>(AM2662/(N_1*AM$27))*SQRT('Valve Sizing'!$G$6/AM2666)</f>
        <v>#NUM!</v>
      </c>
      <c r="AN2668" s="41"/>
      <c r="AO2668" s="73"/>
      <c r="AP2668" s="64" t="e">
        <f>(AP2662/(N_1*AP$27))*SQRT('Valve Sizing'!$G$6/AP2666)</f>
        <v>#NUM!</v>
      </c>
      <c r="AQ2668" s="41"/>
      <c r="AR2668" s="73"/>
      <c r="AS2668" s="64" t="e">
        <f>(AS2662/(N_1*AS$27))*SQRT('Valve Sizing'!$G$6/AS2666)</f>
        <v>#NUM!</v>
      </c>
      <c r="AT2668" s="41"/>
      <c r="AU2668" s="73"/>
    </row>
    <row r="2669" spans="15:47" ht="13" x14ac:dyDescent="0.3">
      <c r="O2669" s="1" t="s">
        <v>72</v>
      </c>
      <c r="P2669" s="17">
        <v>7</v>
      </c>
      <c r="Q2669" s="65"/>
      <c r="R2669" s="53">
        <f>(R2662/(N_1*F_P_h))*SQRT('Valve Sizing'!$G$6/R2667)</f>
        <v>13.326275423033882</v>
      </c>
      <c r="S2669" s="56"/>
      <c r="T2669" s="72"/>
      <c r="U2669" s="85">
        <f>(U2662/(N_1*U$27))*SQRT('Valve Sizing'!$G$6/U2667)</f>
        <v>45.898617919777266</v>
      </c>
      <c r="V2669" s="44"/>
      <c r="W2669" s="72"/>
      <c r="X2669" s="85">
        <f>(X2662/(N_1*X$27))*SQRT('Valve Sizing'!$G$6/X2667)</f>
        <v>131.62564931502752</v>
      </c>
      <c r="Y2669" s="44"/>
      <c r="Z2669" s="72"/>
      <c r="AA2669" s="85" t="e">
        <f>(AA2662/(N_1*AA$27))*SQRT('Valve Sizing'!$G$6/AA2667)</f>
        <v>#NUM!</v>
      </c>
      <c r="AB2669" s="44"/>
      <c r="AC2669" s="72"/>
      <c r="AD2669" s="85" t="e">
        <f>(AD2662/(N_1*AD$27))*SQRT('Valve Sizing'!$G$6/AD2667)</f>
        <v>#NUM!</v>
      </c>
      <c r="AE2669" s="44"/>
      <c r="AF2669" s="72"/>
      <c r="AG2669" s="85" t="e">
        <f>(AG2662/(N_1*AG$27))*SQRT('Valve Sizing'!$G$6/AG2667)</f>
        <v>#NUM!</v>
      </c>
      <c r="AH2669" s="44"/>
      <c r="AI2669" s="72"/>
      <c r="AJ2669" s="85" t="e">
        <f>(AJ2662/(N_1*AJ$27))*SQRT('Valve Sizing'!$G$6/AJ2667)</f>
        <v>#NUM!</v>
      </c>
      <c r="AK2669" s="44"/>
      <c r="AL2669" s="72"/>
      <c r="AM2669" s="85" t="e">
        <f>(AM2662/(N_1*AM$27))*SQRT('Valve Sizing'!$G$6/AM2667)</f>
        <v>#NUM!</v>
      </c>
      <c r="AN2669" s="44"/>
      <c r="AO2669" s="72"/>
      <c r="AP2669" s="85" t="e">
        <f>(AP2662/(N_1*AP$27))*SQRT('Valve Sizing'!$G$6/AP2667)</f>
        <v>#NUM!</v>
      </c>
      <c r="AQ2669" s="44"/>
      <c r="AR2669" s="72"/>
      <c r="AS2669" s="85" t="e">
        <f>(AS2662/(N_1*AS$27))*SQRT('Valve Sizing'!$G$6/AS2667)</f>
        <v>#NUM!</v>
      </c>
      <c r="AT2669" s="44"/>
      <c r="AU2669" s="72"/>
    </row>
    <row r="2670" spans="15:47" x14ac:dyDescent="0.25">
      <c r="O2670" s="1" t="s">
        <v>246</v>
      </c>
      <c r="P2670" s="18"/>
      <c r="Q2670" s="65"/>
      <c r="R2670" s="53">
        <f>IF(R2666&lt;R2667,R2668,R2669)</f>
        <v>16.089113972143032</v>
      </c>
      <c r="S2670" s="49"/>
      <c r="T2670" s="72"/>
      <c r="U2670" s="64">
        <f>IF(U2666&lt;U2667,U2668,U2669)</f>
        <v>57.135305597538171</v>
      </c>
      <c r="V2670" s="44"/>
      <c r="W2670" s="72"/>
      <c r="X2670" s="64">
        <f>IF(X2666&lt;X2667,X2668,X2669)</f>
        <v>225.64563013643024</v>
      </c>
      <c r="Y2670" s="44"/>
      <c r="Z2670" s="72"/>
      <c r="AA2670" s="64" t="e">
        <f>IF(AA2666&lt;AA2667,AA2668,AA2669)</f>
        <v>#NUM!</v>
      </c>
      <c r="AB2670" s="44"/>
      <c r="AC2670" s="72"/>
      <c r="AD2670" s="64" t="e">
        <f>IF(AD2666&lt;AD2667,AD2668,AD2669)</f>
        <v>#NUM!</v>
      </c>
      <c r="AE2670" s="44"/>
      <c r="AF2670" s="72"/>
      <c r="AG2670" s="64" t="e">
        <f>IF(AG2666&lt;AG2667,AG2668,AG2669)</f>
        <v>#NUM!</v>
      </c>
      <c r="AH2670" s="44"/>
      <c r="AI2670" s="72"/>
      <c r="AJ2670" s="64" t="e">
        <f>IF(AJ2666&lt;AJ2667,AJ2668,AJ2669)</f>
        <v>#NUM!</v>
      </c>
      <c r="AK2670" s="44"/>
      <c r="AL2670" s="72"/>
      <c r="AM2670" s="64" t="e">
        <f>IF(AM2666&lt;AM2667,AM2668,AM2669)</f>
        <v>#NUM!</v>
      </c>
      <c r="AN2670" s="44"/>
      <c r="AO2670" s="72"/>
      <c r="AP2670" s="64" t="e">
        <f>IF(AP2666&lt;AP2667,AP2668,AP2669)</f>
        <v>#NUM!</v>
      </c>
      <c r="AQ2670" s="44"/>
      <c r="AR2670" s="72"/>
      <c r="AS2670" s="64" t="e">
        <f>IF(AS2666&lt;AS2667,AS2668,AS2669)</f>
        <v>#NUM!</v>
      </c>
      <c r="AT2670" s="44"/>
      <c r="AU2670" s="72"/>
    </row>
    <row r="2671" spans="15:47" ht="13" x14ac:dyDescent="0.3">
      <c r="O2671" s="7" t="s">
        <v>264</v>
      </c>
      <c r="Q2671" s="61"/>
      <c r="R2671" s="53"/>
      <c r="S2671" s="69">
        <f>IFERROR(ABS(C_h-R2670),Q_max*10)</f>
        <v>11.089113972143032</v>
      </c>
      <c r="T2671" s="76">
        <f>R2662</f>
        <v>90.893125610152495</v>
      </c>
      <c r="U2671" s="61"/>
      <c r="V2671" s="69">
        <f>IFERROR(ABS(U$23-U2670),Q_max*10)</f>
        <v>45.135305597538171</v>
      </c>
      <c r="W2671" s="75">
        <f>U2662</f>
        <v>304.7398421033094</v>
      </c>
      <c r="X2671" s="61"/>
      <c r="Y2671" s="69">
        <f>IFERROR(ABS(X$23-X2670),Q_max*10)</f>
        <v>202.64563013643024</v>
      </c>
      <c r="Z2671" s="75">
        <f>X2662</f>
        <v>731.49292681245254</v>
      </c>
      <c r="AA2671" s="61"/>
      <c r="AB2671" s="69">
        <f>IFERROR(ABS(AA$23-AA2670),Q_max*10)</f>
        <v>5500</v>
      </c>
      <c r="AC2671" s="75">
        <f>AA2662</f>
        <v>1396.6880807922691</v>
      </c>
      <c r="AD2671" s="61"/>
      <c r="AE2671" s="69">
        <f>IFERROR(ABS(AD$23-AD2670),Q_max*10)</f>
        <v>5500</v>
      </c>
      <c r="AF2671" s="75">
        <f>AD2662</f>
        <v>2297.0376628610243</v>
      </c>
      <c r="AG2671" s="61"/>
      <c r="AH2671" s="69">
        <f>IFERROR(ABS(AG$23-AG2670),Q_max*10)</f>
        <v>5500</v>
      </c>
      <c r="AI2671" s="75">
        <f>AG2662</f>
        <v>3419.9760709200268</v>
      </c>
      <c r="AJ2671" s="61"/>
      <c r="AK2671" s="69">
        <f>IFERROR(ABS(AJ$23-AJ2670),Q_max*10)</f>
        <v>5500</v>
      </c>
      <c r="AL2671" s="75">
        <f>AJ2662</f>
        <v>4563.9713244099521</v>
      </c>
      <c r="AM2671" s="61"/>
      <c r="AN2671" s="69">
        <f>IFERROR(ABS(AM$23-AM2670),Q_max*10)</f>
        <v>5500</v>
      </c>
      <c r="AO2671" s="75">
        <f>AM2662</f>
        <v>5568.9123526531548</v>
      </c>
      <c r="AP2671" s="61"/>
      <c r="AQ2671" s="69">
        <f>IFERROR(ABS(AP$23-AP2670),Q_max*10)</f>
        <v>5500</v>
      </c>
      <c r="AR2671" s="75">
        <f>AP2662</f>
        <v>6465.3343566068124</v>
      </c>
      <c r="AS2671" s="61"/>
      <c r="AT2671" s="69">
        <f>IFERROR(ABS(AS$23-AS2670),Q_max*10)</f>
        <v>5500</v>
      </c>
      <c r="AU2671" s="75">
        <f>AS2662</f>
        <v>7358.1535870087009</v>
      </c>
    </row>
    <row r="2672" spans="15:47" ht="14.5" x14ac:dyDescent="0.35">
      <c r="O2672" s="6"/>
      <c r="P2672" s="6"/>
      <c r="Q2672" s="60"/>
      <c r="R2672" s="67"/>
      <c r="S2672" s="58"/>
      <c r="T2672" s="73"/>
      <c r="V2672" s="11"/>
      <c r="W2672" s="38"/>
      <c r="Y2672" s="11"/>
      <c r="Z2672" s="38"/>
      <c r="AB2672" s="11"/>
      <c r="AC2672" s="38"/>
      <c r="AE2672" s="11"/>
      <c r="AF2672" s="38"/>
      <c r="AH2672" s="11"/>
      <c r="AI2672" s="38"/>
      <c r="AK2672" s="11"/>
      <c r="AL2672" s="38"/>
      <c r="AN2672" s="11"/>
      <c r="AO2672" s="38"/>
      <c r="AQ2672" s="11"/>
      <c r="AR2672" s="38"/>
      <c r="AT2672" s="11"/>
      <c r="AU2672" s="38"/>
    </row>
    <row r="2673" spans="15:47" ht="14" x14ac:dyDescent="0.3">
      <c r="O2673" s="8" t="s">
        <v>235</v>
      </c>
      <c r="P2673" s="6"/>
      <c r="Q2673" s="60"/>
      <c r="R2673" s="53">
        <f>R2662*1.02</f>
        <v>92.710988122355545</v>
      </c>
      <c r="S2673" s="58" t="s">
        <v>238</v>
      </c>
      <c r="T2673" s="73" t="s">
        <v>241</v>
      </c>
      <c r="U2673" s="84">
        <f>U2662*1.01</f>
        <v>307.78724052434251</v>
      </c>
      <c r="V2673" s="58" t="s">
        <v>238</v>
      </c>
      <c r="W2673" s="73" t="s">
        <v>241</v>
      </c>
      <c r="X2673" s="84">
        <f>X2662*1.01</f>
        <v>738.80785608057704</v>
      </c>
      <c r="Y2673" s="58" t="s">
        <v>238</v>
      </c>
      <c r="Z2673" s="73" t="s">
        <v>241</v>
      </c>
      <c r="AA2673" s="84">
        <f>AA2662*1.01</f>
        <v>1410.6549616001919</v>
      </c>
      <c r="AB2673" s="58" t="s">
        <v>238</v>
      </c>
      <c r="AC2673" s="73" t="s">
        <v>241</v>
      </c>
      <c r="AD2673" s="84">
        <f>AD2662*1.01</f>
        <v>2320.0080394896345</v>
      </c>
      <c r="AE2673" s="58" t="s">
        <v>238</v>
      </c>
      <c r="AF2673" s="73" t="s">
        <v>241</v>
      </c>
      <c r="AG2673" s="84">
        <f>AG2662*1.01</f>
        <v>3454.1758316292271</v>
      </c>
      <c r="AH2673" s="58" t="s">
        <v>238</v>
      </c>
      <c r="AI2673" s="73" t="s">
        <v>241</v>
      </c>
      <c r="AJ2673" s="84">
        <f>AJ2662*1.01</f>
        <v>4609.6110376540519</v>
      </c>
      <c r="AK2673" s="58" t="s">
        <v>238</v>
      </c>
      <c r="AL2673" s="73" t="s">
        <v>241</v>
      </c>
      <c r="AM2673" s="84">
        <f>AM2662*1.01</f>
        <v>5624.601476179686</v>
      </c>
      <c r="AN2673" s="58" t="s">
        <v>238</v>
      </c>
      <c r="AO2673" s="73" t="s">
        <v>241</v>
      </c>
      <c r="AP2673" s="84">
        <f>AP2662*1.01</f>
        <v>6529.987700172881</v>
      </c>
      <c r="AQ2673" s="58" t="s">
        <v>238</v>
      </c>
      <c r="AR2673" s="73" t="s">
        <v>241</v>
      </c>
      <c r="AS2673" s="84">
        <f>AS2662*1.01</f>
        <v>7431.7351228787884</v>
      </c>
      <c r="AT2673" s="58" t="s">
        <v>238</v>
      </c>
      <c r="AU2673" s="73" t="s">
        <v>241</v>
      </c>
    </row>
    <row r="2674" spans="15:47" ht="13" x14ac:dyDescent="0.25">
      <c r="O2674" s="6"/>
      <c r="P2674" s="6"/>
      <c r="Q2674" s="60"/>
      <c r="R2674" s="70"/>
      <c r="S2674" s="63" t="s">
        <v>250</v>
      </c>
      <c r="T2674" s="71" t="s">
        <v>242</v>
      </c>
      <c r="U2674" s="61"/>
      <c r="V2674" s="63" t="s">
        <v>250</v>
      </c>
      <c r="W2674" s="71" t="s">
        <v>242</v>
      </c>
      <c r="X2674" s="61"/>
      <c r="Y2674" s="63" t="s">
        <v>250</v>
      </c>
      <c r="Z2674" s="71" t="s">
        <v>242</v>
      </c>
      <c r="AA2674" s="61"/>
      <c r="AB2674" s="63" t="s">
        <v>250</v>
      </c>
      <c r="AC2674" s="71" t="s">
        <v>242</v>
      </c>
      <c r="AD2674" s="61"/>
      <c r="AE2674" s="63" t="s">
        <v>250</v>
      </c>
      <c r="AF2674" s="71" t="s">
        <v>242</v>
      </c>
      <c r="AG2674" s="61"/>
      <c r="AH2674" s="63" t="s">
        <v>250</v>
      </c>
      <c r="AI2674" s="71" t="s">
        <v>242</v>
      </c>
      <c r="AJ2674" s="61"/>
      <c r="AK2674" s="63" t="s">
        <v>250</v>
      </c>
      <c r="AL2674" s="71" t="s">
        <v>242</v>
      </c>
      <c r="AM2674" s="61"/>
      <c r="AN2674" s="63" t="s">
        <v>250</v>
      </c>
      <c r="AO2674" s="71" t="s">
        <v>242</v>
      </c>
      <c r="AP2674" s="61"/>
      <c r="AQ2674" s="63" t="s">
        <v>250</v>
      </c>
      <c r="AR2674" s="71" t="s">
        <v>242</v>
      </c>
      <c r="AS2674" s="61"/>
      <c r="AT2674" s="63" t="s">
        <v>250</v>
      </c>
      <c r="AU2674" s="71" t="s">
        <v>242</v>
      </c>
    </row>
    <row r="2675" spans="15:47" ht="13" x14ac:dyDescent="0.3">
      <c r="O2675" s="6" t="s">
        <v>231</v>
      </c>
      <c r="P2675" s="6"/>
      <c r="Q2675" s="60"/>
      <c r="R2675" s="85">
        <f>P_1_minQ-(R2673^2*R_up)+dpup_minQ</f>
        <v>56.62585858430856</v>
      </c>
      <c r="S2675" s="56"/>
      <c r="T2675" s="72"/>
      <c r="U2675" s="53">
        <f>P_1_minQ-(U2673^2*R_up)+dpup_minQ</f>
        <v>53.716785362053713</v>
      </c>
      <c r="V2675" s="44"/>
      <c r="W2675" s="72"/>
      <c r="X2675" s="53">
        <f>P_1_minQ-(X2673^2*R_up)+dpup_minQ</f>
        <v>38.48193015176026</v>
      </c>
      <c r="Y2675" s="44"/>
      <c r="Z2675" s="72"/>
      <c r="AA2675" s="53">
        <f>P_1_minQ-(AA2673^2*R_up)+dpup_minQ</f>
        <v>-10.289105730740932</v>
      </c>
      <c r="AB2675" s="44"/>
      <c r="AC2675" s="72"/>
      <c r="AD2675" s="53">
        <f>P_1_minQ-(AD2673^2*R_up)+dpup_minQ</f>
        <v>-124.86154350883274</v>
      </c>
      <c r="AE2675" s="44"/>
      <c r="AF2675" s="72"/>
      <c r="AG2675" s="53">
        <f>P_1_minQ-(AG2673^2*R_up)+dpup_minQ</f>
        <v>-346.03322106759413</v>
      </c>
      <c r="AH2675" s="44"/>
      <c r="AI2675" s="72"/>
      <c r="AJ2675" s="53">
        <f>P_1_minQ-(AJ2673^2*R_up)+dpup_minQ</f>
        <v>-660.69662000885046</v>
      </c>
      <c r="AK2675" s="44"/>
      <c r="AL2675" s="72"/>
      <c r="AM2675" s="53">
        <f>P_1_minQ-(AM2673^2*R_up)+dpup_minQ</f>
        <v>-1011.5114746991794</v>
      </c>
      <c r="AN2675" s="44"/>
      <c r="AO2675" s="72"/>
      <c r="AP2675" s="53">
        <f>P_1_minQ-(AP2673^2*R_up)+dpup_minQ</f>
        <v>-1383.1628626953432</v>
      </c>
      <c r="AQ2675" s="44"/>
      <c r="AR2675" s="72"/>
      <c r="AS2675" s="53">
        <f>P_1_minQ-(AS2673^2*R_up)+dpup_minQ</f>
        <v>-1808.3552832364132</v>
      </c>
      <c r="AT2675" s="44"/>
      <c r="AU2675" s="72"/>
    </row>
    <row r="2676" spans="15:47" ht="13" x14ac:dyDescent="0.3">
      <c r="O2676" s="6" t="s">
        <v>233</v>
      </c>
      <c r="P2676" s="6"/>
      <c r="Q2676" s="60"/>
      <c r="R2676" s="85">
        <f>P_2_minQ+(R2673^2*R_dn)-dpdn_minQ</f>
        <v>24.714828283138289</v>
      </c>
      <c r="S2676" s="66"/>
      <c r="T2676" s="74"/>
      <c r="U2676" s="53">
        <f>P_2_minQ+(U2673^2*R_dn)-dpdn_minQ</f>
        <v>25.296642927589257</v>
      </c>
      <c r="V2676" s="45"/>
      <c r="W2676" s="74"/>
      <c r="X2676" s="53">
        <f>P_2_minQ+(X2673^2*R_dn)-dpdn_minQ</f>
        <v>28.343613969647947</v>
      </c>
      <c r="Y2676" s="45"/>
      <c r="Z2676" s="74"/>
      <c r="AA2676" s="53">
        <f>P_2_minQ+(AA2673^2*R_dn)-dpdn_minQ</f>
        <v>38.097821146148192</v>
      </c>
      <c r="AB2676" s="45"/>
      <c r="AC2676" s="74"/>
      <c r="AD2676" s="53">
        <f>P_2_minQ+(AD2673^2*R_dn)-dpdn_minQ</f>
        <v>61.01230870176655</v>
      </c>
      <c r="AE2676" s="45"/>
      <c r="AF2676" s="74"/>
      <c r="AG2676" s="53">
        <f>P_2_minQ+(AG2673^2*R_dn)-dpdn_minQ</f>
        <v>105.24664421351883</v>
      </c>
      <c r="AH2676" s="45"/>
      <c r="AI2676" s="74"/>
      <c r="AJ2676" s="53">
        <f>P_2_minQ+(AJ2673^2*R_dn)-dpdn_minQ</f>
        <v>168.17932400177008</v>
      </c>
      <c r="AK2676" s="45"/>
      <c r="AL2676" s="74"/>
      <c r="AM2676" s="53">
        <f>P_2_minQ+(AM2673^2*R_dn)-dpdn_minQ</f>
        <v>238.34229493983585</v>
      </c>
      <c r="AN2676" s="45"/>
      <c r="AO2676" s="74"/>
      <c r="AP2676" s="53">
        <f>P_2_minQ+(AP2673^2*R_dn)-dpdn_minQ</f>
        <v>312.6725725390686</v>
      </c>
      <c r="AQ2676" s="45"/>
      <c r="AR2676" s="74"/>
      <c r="AS2676" s="53">
        <f>P_2_minQ+(AS2673^2*R_dn)-dpdn_minQ</f>
        <v>397.71105664728259</v>
      </c>
      <c r="AT2676" s="45"/>
      <c r="AU2676" s="74"/>
    </row>
    <row r="2677" spans="15:47" x14ac:dyDescent="0.25">
      <c r="O2677" s="6" t="s">
        <v>243</v>
      </c>
      <c r="Q2677" s="60"/>
      <c r="R2677" s="53">
        <f>R2675-R2676</f>
        <v>31.911030301170271</v>
      </c>
      <c r="S2677" s="56"/>
      <c r="T2677" s="72"/>
      <c r="U2677" s="64">
        <f>U2675-U2676</f>
        <v>28.420142434464456</v>
      </c>
      <c r="V2677" s="44"/>
      <c r="W2677" s="72"/>
      <c r="X2677" s="64">
        <f>X2675-X2676</f>
        <v>10.138316182112312</v>
      </c>
      <c r="Y2677" s="44"/>
      <c r="Z2677" s="72"/>
      <c r="AA2677" s="64">
        <f>AA2675-AA2676</f>
        <v>-48.38692687688912</v>
      </c>
      <c r="AB2677" s="44"/>
      <c r="AC2677" s="72"/>
      <c r="AD2677" s="64">
        <f>AD2675-AD2676</f>
        <v>-185.8738522105993</v>
      </c>
      <c r="AE2677" s="44"/>
      <c r="AF2677" s="72"/>
      <c r="AG2677" s="64">
        <f>AG2675-AG2676</f>
        <v>-451.27986528111296</v>
      </c>
      <c r="AH2677" s="44"/>
      <c r="AI2677" s="72"/>
      <c r="AJ2677" s="64">
        <f>AJ2675-AJ2676</f>
        <v>-828.87594401062051</v>
      </c>
      <c r="AK2677" s="44"/>
      <c r="AL2677" s="72"/>
      <c r="AM2677" s="64">
        <f>AM2675-AM2676</f>
        <v>-1249.8537696390154</v>
      </c>
      <c r="AN2677" s="44"/>
      <c r="AO2677" s="72"/>
      <c r="AP2677" s="64">
        <f>AP2675-AP2676</f>
        <v>-1695.8354352344118</v>
      </c>
      <c r="AQ2677" s="44"/>
      <c r="AR2677" s="72"/>
      <c r="AS2677" s="64">
        <f>AS2675-AS2676</f>
        <v>-2206.0663398836959</v>
      </c>
      <c r="AT2677" s="44"/>
      <c r="AU2677" s="72"/>
    </row>
    <row r="2678" spans="15:47" ht="13" x14ac:dyDescent="0.3">
      <c r="O2678" s="6" t="s">
        <v>75</v>
      </c>
      <c r="P2678" s="6">
        <v>3</v>
      </c>
      <c r="Q2678" s="65"/>
      <c r="R2678" s="85">
        <f>(F_LP_h/F_P_h)^2*(R2675-('Valve Sizing'!$V$4*'Valve Sizing'!$G$7))</f>
        <v>46.524792347153785</v>
      </c>
      <c r="S2678" s="58"/>
      <c r="T2678" s="73"/>
      <c r="U2678" s="53">
        <f>(U$29/U$27)^2*(U2675-('Valve Sizing'!$V$4*'Valve Sizing'!$G$7))</f>
        <v>44.103902842828923</v>
      </c>
      <c r="V2678" s="41"/>
      <c r="W2678" s="73"/>
      <c r="X2678" s="53">
        <f>(X$29/X$27)^2*(X2675-('Valve Sizing'!$V$4*'Valve Sizing'!$G$7))</f>
        <v>30.781716734496158</v>
      </c>
      <c r="Y2678" s="41"/>
      <c r="Z2678" s="73"/>
      <c r="AA2678" s="53">
        <f>(AA$29/AA$27)^2*(AA2675-('Valve Sizing'!$V$4*'Valve Sizing'!$G$7))</f>
        <v>-8.291467662734723</v>
      </c>
      <c r="AB2678" s="41"/>
      <c r="AC2678" s="73"/>
      <c r="AD2678" s="53">
        <f>(AD$29/AD$27)^2*(AD2675-('Valve Sizing'!$V$4*'Valve Sizing'!$G$7))</f>
        <v>-90.365936868374661</v>
      </c>
      <c r="AE2678" s="41"/>
      <c r="AF2678" s="73"/>
      <c r="AG2678" s="53">
        <f>(AG$29/AG$27)^2*(AG2675-('Valve Sizing'!$V$4*'Valve Sizing'!$G$7))</f>
        <v>-223.14401941685392</v>
      </c>
      <c r="AH2678" s="41"/>
      <c r="AI2678" s="73"/>
      <c r="AJ2678" s="53">
        <f>(AJ$29/AJ$27)^2*(AJ2675-('Valve Sizing'!$V$4*'Valve Sizing'!$G$7))</f>
        <v>-382.37787514491163</v>
      </c>
      <c r="AK2678" s="41"/>
      <c r="AL2678" s="73"/>
      <c r="AM2678" s="53">
        <f>(AM$29/AM$27)^2*(AM2675-('Valve Sizing'!$V$4*'Valve Sizing'!$G$7))</f>
        <v>-484.19062468418502</v>
      </c>
      <c r="AN2678" s="41"/>
      <c r="AO2678" s="73"/>
      <c r="AP2678" s="53">
        <f>(AP$29/AP$27)^2*(AP2675-('Valve Sizing'!$V$4*'Valve Sizing'!$G$7))</f>
        <v>-546.00683078718123</v>
      </c>
      <c r="AQ2678" s="41"/>
      <c r="AR2678" s="73"/>
      <c r="AS2678" s="53">
        <f>(AS$29/AS$27)^2*(AS2675-('Valve Sizing'!$V$4*'Valve Sizing'!$G$7))</f>
        <v>-680.36171589943581</v>
      </c>
      <c r="AT2678" s="41"/>
      <c r="AU2678" s="73"/>
    </row>
    <row r="2679" spans="15:47" ht="13" x14ac:dyDescent="0.25">
      <c r="O2679" s="1" t="s">
        <v>69</v>
      </c>
      <c r="P2679" s="17">
        <v>7</v>
      </c>
      <c r="Q2679" s="65"/>
      <c r="R2679" s="53">
        <f>(R2673/(N_1*F_P_h))*SQRT('Valve Sizing'!$G$6/R2677)</f>
        <v>16.414374028679834</v>
      </c>
      <c r="S2679" s="58"/>
      <c r="T2679" s="73"/>
      <c r="U2679" s="64">
        <f>(U2673/(N_1*U$27))*SQRT('Valve Sizing'!$G$6/U2677)</f>
        <v>57.78340864653542</v>
      </c>
      <c r="V2679" s="41"/>
      <c r="W2679" s="73"/>
      <c r="X2679" s="64">
        <f>(X2673/(N_1*X$27))*SQRT('Valve Sizing'!$G$6/X2677)</f>
        <v>232.74958045910327</v>
      </c>
      <c r="Y2679" s="41"/>
      <c r="Z2679" s="73"/>
      <c r="AA2679" s="64" t="e">
        <f>(AA2673/(N_1*AA$27))*SQRT('Valve Sizing'!$G$6/AA2677)</f>
        <v>#NUM!</v>
      </c>
      <c r="AB2679" s="41"/>
      <c r="AC2679" s="73"/>
      <c r="AD2679" s="64" t="e">
        <f>(AD2673/(N_1*AD$27))*SQRT('Valve Sizing'!$G$6/AD2677)</f>
        <v>#NUM!</v>
      </c>
      <c r="AE2679" s="41"/>
      <c r="AF2679" s="73"/>
      <c r="AG2679" s="64" t="e">
        <f>(AG2673/(N_1*AG$27))*SQRT('Valve Sizing'!$G$6/AG2677)</f>
        <v>#NUM!</v>
      </c>
      <c r="AH2679" s="41"/>
      <c r="AI2679" s="73"/>
      <c r="AJ2679" s="64" t="e">
        <f>(AJ2673/(N_1*AJ$27))*SQRT('Valve Sizing'!$G$6/AJ2677)</f>
        <v>#NUM!</v>
      </c>
      <c r="AK2679" s="41"/>
      <c r="AL2679" s="73"/>
      <c r="AM2679" s="64" t="e">
        <f>(AM2673/(N_1*AM$27))*SQRT('Valve Sizing'!$G$6/AM2677)</f>
        <v>#NUM!</v>
      </c>
      <c r="AN2679" s="41"/>
      <c r="AO2679" s="73"/>
      <c r="AP2679" s="64" t="e">
        <f>(AP2673/(N_1*AP$27))*SQRT('Valve Sizing'!$G$6/AP2677)</f>
        <v>#NUM!</v>
      </c>
      <c r="AQ2679" s="41"/>
      <c r="AR2679" s="73"/>
      <c r="AS2679" s="64" t="e">
        <f>(AS2673/(N_1*AS$27))*SQRT('Valve Sizing'!$G$6/AS2677)</f>
        <v>#NUM!</v>
      </c>
      <c r="AT2679" s="41"/>
      <c r="AU2679" s="73"/>
    </row>
    <row r="2680" spans="15:47" ht="13" x14ac:dyDescent="0.3">
      <c r="O2680" s="1" t="s">
        <v>72</v>
      </c>
      <c r="P2680" s="17">
        <v>7</v>
      </c>
      <c r="Q2680" s="65"/>
      <c r="R2680" s="53">
        <f>(R2673/(N_1*F_P_h))*SQRT('Valve Sizing'!$G$6/R2678)</f>
        <v>13.594164370261597</v>
      </c>
      <c r="S2680" s="56"/>
      <c r="T2680" s="72"/>
      <c r="U2680" s="85">
        <f>(U2673/(N_1*U$27))*SQRT('Valve Sizing'!$G$6/U2678)</f>
        <v>46.385022438962537</v>
      </c>
      <c r="V2680" s="44"/>
      <c r="W2680" s="72"/>
      <c r="X2680" s="85">
        <f>(X2673/(N_1*X$27))*SQRT('Valve Sizing'!$G$6/X2678)</f>
        <v>133.57506797122946</v>
      </c>
      <c r="Y2680" s="44"/>
      <c r="Z2680" s="72"/>
      <c r="AA2680" s="85" t="e">
        <f>(AA2673/(N_1*AA$27))*SQRT('Valve Sizing'!$G$6/AA2678)</f>
        <v>#NUM!</v>
      </c>
      <c r="AB2680" s="44"/>
      <c r="AC2680" s="72"/>
      <c r="AD2680" s="85" t="e">
        <f>(AD2673/(N_1*AD$27))*SQRT('Valve Sizing'!$G$6/AD2678)</f>
        <v>#NUM!</v>
      </c>
      <c r="AE2680" s="44"/>
      <c r="AF2680" s="72"/>
      <c r="AG2680" s="85" t="e">
        <f>(AG2673/(N_1*AG$27))*SQRT('Valve Sizing'!$G$6/AG2678)</f>
        <v>#NUM!</v>
      </c>
      <c r="AH2680" s="44"/>
      <c r="AI2680" s="72"/>
      <c r="AJ2680" s="85" t="e">
        <f>(AJ2673/(N_1*AJ$27))*SQRT('Valve Sizing'!$G$6/AJ2678)</f>
        <v>#NUM!</v>
      </c>
      <c r="AK2680" s="44"/>
      <c r="AL2680" s="72"/>
      <c r="AM2680" s="85" t="e">
        <f>(AM2673/(N_1*AM$27))*SQRT('Valve Sizing'!$G$6/AM2678)</f>
        <v>#NUM!</v>
      </c>
      <c r="AN2680" s="44"/>
      <c r="AO2680" s="72"/>
      <c r="AP2680" s="85" t="e">
        <f>(AP2673/(N_1*AP$27))*SQRT('Valve Sizing'!$G$6/AP2678)</f>
        <v>#NUM!</v>
      </c>
      <c r="AQ2680" s="44"/>
      <c r="AR2680" s="72"/>
      <c r="AS2680" s="85" t="e">
        <f>(AS2673/(N_1*AS$27))*SQRT('Valve Sizing'!$G$6/AS2678)</f>
        <v>#NUM!</v>
      </c>
      <c r="AT2680" s="44"/>
      <c r="AU2680" s="72"/>
    </row>
    <row r="2681" spans="15:47" x14ac:dyDescent="0.25">
      <c r="O2681" s="1" t="s">
        <v>246</v>
      </c>
      <c r="P2681" s="18"/>
      <c r="Q2681" s="65"/>
      <c r="R2681" s="53">
        <f>IF(R2677&lt;R2678,R2679,R2680)</f>
        <v>16.414374028679834</v>
      </c>
      <c r="S2681" s="49"/>
      <c r="T2681" s="72"/>
      <c r="U2681" s="64">
        <f>IF(U2677&lt;U2678,U2679,U2680)</f>
        <v>57.78340864653542</v>
      </c>
      <c r="V2681" s="44"/>
      <c r="W2681" s="72"/>
      <c r="X2681" s="64">
        <f>IF(X2677&lt;X2678,X2679,X2680)</f>
        <v>232.74958045910327</v>
      </c>
      <c r="Y2681" s="44"/>
      <c r="Z2681" s="72"/>
      <c r="AA2681" s="64" t="e">
        <f>IF(AA2677&lt;AA2678,AA2679,AA2680)</f>
        <v>#NUM!</v>
      </c>
      <c r="AB2681" s="44"/>
      <c r="AC2681" s="72"/>
      <c r="AD2681" s="64" t="e">
        <f>IF(AD2677&lt;AD2678,AD2679,AD2680)</f>
        <v>#NUM!</v>
      </c>
      <c r="AE2681" s="44"/>
      <c r="AF2681" s="72"/>
      <c r="AG2681" s="64" t="e">
        <f>IF(AG2677&lt;AG2678,AG2679,AG2680)</f>
        <v>#NUM!</v>
      </c>
      <c r="AH2681" s="44"/>
      <c r="AI2681" s="72"/>
      <c r="AJ2681" s="64" t="e">
        <f>IF(AJ2677&lt;AJ2678,AJ2679,AJ2680)</f>
        <v>#NUM!</v>
      </c>
      <c r="AK2681" s="44"/>
      <c r="AL2681" s="72"/>
      <c r="AM2681" s="64" t="e">
        <f>IF(AM2677&lt;AM2678,AM2679,AM2680)</f>
        <v>#NUM!</v>
      </c>
      <c r="AN2681" s="44"/>
      <c r="AO2681" s="72"/>
      <c r="AP2681" s="64" t="e">
        <f>IF(AP2677&lt;AP2678,AP2679,AP2680)</f>
        <v>#NUM!</v>
      </c>
      <c r="AQ2681" s="44"/>
      <c r="AR2681" s="72"/>
      <c r="AS2681" s="64" t="e">
        <f>IF(AS2677&lt;AS2678,AS2679,AS2680)</f>
        <v>#NUM!</v>
      </c>
      <c r="AT2681" s="44"/>
      <c r="AU2681" s="72"/>
    </row>
    <row r="2682" spans="15:47" ht="13" x14ac:dyDescent="0.3">
      <c r="O2682" s="7" t="s">
        <v>264</v>
      </c>
      <c r="Q2682" s="61"/>
      <c r="R2682" s="53"/>
      <c r="S2682" s="69">
        <f>IFERROR(ABS(C_h-R2681),Q_max*10)</f>
        <v>11.414374028679834</v>
      </c>
      <c r="T2682" s="76">
        <f>R2673</f>
        <v>92.710988122355545</v>
      </c>
      <c r="U2682" s="61"/>
      <c r="V2682" s="69">
        <f>IFERROR(ABS(U$23-U2681),Q_max*10)</f>
        <v>45.78340864653542</v>
      </c>
      <c r="W2682" s="75">
        <f>U2673</f>
        <v>307.78724052434251</v>
      </c>
      <c r="X2682" s="61"/>
      <c r="Y2682" s="69">
        <f>IFERROR(ABS(X$23-X2681),Q_max*10)</f>
        <v>209.74958045910327</v>
      </c>
      <c r="Z2682" s="75">
        <f>X2673</f>
        <v>738.80785608057704</v>
      </c>
      <c r="AA2682" s="61"/>
      <c r="AB2682" s="69">
        <f>IFERROR(ABS(AA$23-AA2681),Q_max*10)</f>
        <v>5500</v>
      </c>
      <c r="AC2682" s="75">
        <f>AA2673</f>
        <v>1410.6549616001919</v>
      </c>
      <c r="AD2682" s="61"/>
      <c r="AE2682" s="69">
        <f>IFERROR(ABS(AD$23-AD2681),Q_max*10)</f>
        <v>5500</v>
      </c>
      <c r="AF2682" s="75">
        <f>AD2673</f>
        <v>2320.0080394896345</v>
      </c>
      <c r="AG2682" s="61"/>
      <c r="AH2682" s="69">
        <f>IFERROR(ABS(AG$23-AG2681),Q_max*10)</f>
        <v>5500</v>
      </c>
      <c r="AI2682" s="75">
        <f>AG2673</f>
        <v>3454.1758316292271</v>
      </c>
      <c r="AJ2682" s="61"/>
      <c r="AK2682" s="69">
        <f>IFERROR(ABS(AJ$23-AJ2681),Q_max*10)</f>
        <v>5500</v>
      </c>
      <c r="AL2682" s="75">
        <f>AJ2673</f>
        <v>4609.6110376540519</v>
      </c>
      <c r="AM2682" s="61"/>
      <c r="AN2682" s="69">
        <f>IFERROR(ABS(AM$23-AM2681),Q_max*10)</f>
        <v>5500</v>
      </c>
      <c r="AO2682" s="75">
        <f>AM2673</f>
        <v>5624.601476179686</v>
      </c>
      <c r="AP2682" s="61"/>
      <c r="AQ2682" s="69">
        <f>IFERROR(ABS(AP$23-AP2681),Q_max*10)</f>
        <v>5500</v>
      </c>
      <c r="AR2682" s="75">
        <f>AP2673</f>
        <v>6529.987700172881</v>
      </c>
      <c r="AS2682" s="61"/>
      <c r="AT2682" s="69">
        <f>IFERROR(ABS(AS$23-AS2681),Q_max*10)</f>
        <v>5500</v>
      </c>
      <c r="AU2682" s="75">
        <f>AS2673</f>
        <v>7431.7351228787884</v>
      </c>
    </row>
    <row r="2683" spans="15:47" ht="14.5" x14ac:dyDescent="0.35">
      <c r="O2683" s="8"/>
      <c r="P2683" s="6"/>
      <c r="Q2683" s="60"/>
      <c r="R2683" s="67"/>
      <c r="S2683" s="56"/>
      <c r="T2683" s="72"/>
      <c r="V2683" s="11"/>
      <c r="W2683" s="38"/>
      <c r="Y2683" s="11"/>
      <c r="Z2683" s="38"/>
      <c r="AB2683" s="11"/>
      <c r="AC2683" s="38"/>
      <c r="AE2683" s="11"/>
      <c r="AF2683" s="38"/>
      <c r="AH2683" s="11"/>
      <c r="AI2683" s="38"/>
      <c r="AK2683" s="11"/>
      <c r="AL2683" s="38"/>
      <c r="AN2683" s="11"/>
      <c r="AO2683" s="38"/>
      <c r="AQ2683" s="11"/>
      <c r="AR2683" s="38"/>
      <c r="AT2683" s="11"/>
      <c r="AU2683" s="38"/>
    </row>
    <row r="2684" spans="15:47" ht="14" x14ac:dyDescent="0.3">
      <c r="O2684" s="8" t="s">
        <v>235</v>
      </c>
      <c r="P2684" s="6"/>
      <c r="Q2684" s="60"/>
      <c r="R2684" s="53">
        <f>R2673*1.02</f>
        <v>94.56520788480266</v>
      </c>
      <c r="S2684" s="58" t="s">
        <v>238</v>
      </c>
      <c r="T2684" s="73" t="s">
        <v>241</v>
      </c>
      <c r="U2684" s="84">
        <f>U2673*1.01</f>
        <v>310.86511292958596</v>
      </c>
      <c r="V2684" s="58" t="s">
        <v>238</v>
      </c>
      <c r="W2684" s="73" t="s">
        <v>241</v>
      </c>
      <c r="X2684" s="84">
        <f>X2673*1.01</f>
        <v>746.19593464138279</v>
      </c>
      <c r="Y2684" s="58" t="s">
        <v>238</v>
      </c>
      <c r="Z2684" s="73" t="s">
        <v>241</v>
      </c>
      <c r="AA2684" s="84">
        <f>AA2673*1.01</f>
        <v>1424.7615112161939</v>
      </c>
      <c r="AB2684" s="58" t="s">
        <v>238</v>
      </c>
      <c r="AC2684" s="73" t="s">
        <v>241</v>
      </c>
      <c r="AD2684" s="84">
        <f>AD2673*1.01</f>
        <v>2343.2081198845308</v>
      </c>
      <c r="AE2684" s="58" t="s">
        <v>238</v>
      </c>
      <c r="AF2684" s="73" t="s">
        <v>241</v>
      </c>
      <c r="AG2684" s="84">
        <f>AG2673*1.01</f>
        <v>3488.7175899455192</v>
      </c>
      <c r="AH2684" s="58" t="s">
        <v>238</v>
      </c>
      <c r="AI2684" s="73" t="s">
        <v>241</v>
      </c>
      <c r="AJ2684" s="84">
        <f>AJ2673*1.01</f>
        <v>4655.7071480305922</v>
      </c>
      <c r="AK2684" s="58" t="s">
        <v>238</v>
      </c>
      <c r="AL2684" s="73" t="s">
        <v>241</v>
      </c>
      <c r="AM2684" s="84">
        <f>AM2673*1.01</f>
        <v>5680.8474909414826</v>
      </c>
      <c r="AN2684" s="58" t="s">
        <v>238</v>
      </c>
      <c r="AO2684" s="73" t="s">
        <v>241</v>
      </c>
      <c r="AP2684" s="84">
        <f>AP2673*1.01</f>
        <v>6595.2875771746094</v>
      </c>
      <c r="AQ2684" s="58" t="s">
        <v>238</v>
      </c>
      <c r="AR2684" s="73" t="s">
        <v>241</v>
      </c>
      <c r="AS2684" s="84">
        <f>AS2673*1.01</f>
        <v>7506.052474107576</v>
      </c>
      <c r="AT2684" s="58" t="s">
        <v>238</v>
      </c>
      <c r="AU2684" s="73" t="s">
        <v>241</v>
      </c>
    </row>
    <row r="2685" spans="15:47" ht="13" x14ac:dyDescent="0.25">
      <c r="O2685" s="6"/>
      <c r="P2685" s="6"/>
      <c r="Q2685" s="60"/>
      <c r="R2685" s="70"/>
      <c r="S2685" s="63" t="s">
        <v>250</v>
      </c>
      <c r="T2685" s="71" t="s">
        <v>242</v>
      </c>
      <c r="U2685" s="61"/>
      <c r="V2685" s="63" t="s">
        <v>250</v>
      </c>
      <c r="W2685" s="71" t="s">
        <v>242</v>
      </c>
      <c r="X2685" s="61"/>
      <c r="Y2685" s="63" t="s">
        <v>250</v>
      </c>
      <c r="Z2685" s="71" t="s">
        <v>242</v>
      </c>
      <c r="AA2685" s="61"/>
      <c r="AB2685" s="63" t="s">
        <v>250</v>
      </c>
      <c r="AC2685" s="71" t="s">
        <v>242</v>
      </c>
      <c r="AD2685" s="61"/>
      <c r="AE2685" s="63" t="s">
        <v>250</v>
      </c>
      <c r="AF2685" s="71" t="s">
        <v>242</v>
      </c>
      <c r="AG2685" s="61"/>
      <c r="AH2685" s="63" t="s">
        <v>250</v>
      </c>
      <c r="AI2685" s="71" t="s">
        <v>242</v>
      </c>
      <c r="AJ2685" s="61"/>
      <c r="AK2685" s="63" t="s">
        <v>250</v>
      </c>
      <c r="AL2685" s="71" t="s">
        <v>242</v>
      </c>
      <c r="AM2685" s="61"/>
      <c r="AN2685" s="63" t="s">
        <v>250</v>
      </c>
      <c r="AO2685" s="71" t="s">
        <v>242</v>
      </c>
      <c r="AP2685" s="61"/>
      <c r="AQ2685" s="63" t="s">
        <v>250</v>
      </c>
      <c r="AR2685" s="71" t="s">
        <v>242</v>
      </c>
      <c r="AS2685" s="61"/>
      <c r="AT2685" s="63" t="s">
        <v>250</v>
      </c>
      <c r="AU2685" s="71" t="s">
        <v>242</v>
      </c>
    </row>
    <row r="2686" spans="15:47" ht="13" x14ac:dyDescent="0.3">
      <c r="O2686" s="6" t="s">
        <v>231</v>
      </c>
      <c r="P2686" s="6"/>
      <c r="Q2686" s="60"/>
      <c r="R2686" s="85">
        <f>P_1_minQ-(R2684^2*R_up)+dpup_minQ</f>
        <v>56.614131086042015</v>
      </c>
      <c r="S2686" s="56"/>
      <c r="T2686" s="72"/>
      <c r="U2686" s="53">
        <f>P_1_minQ-(U2684^2*R_up)+dpup_minQ</f>
        <v>53.652478269614178</v>
      </c>
      <c r="V2686" s="44"/>
      <c r="W2686" s="72"/>
      <c r="X2686" s="53">
        <f>P_1_minQ-(X2684^2*R_up)+dpup_minQ</f>
        <v>38.111402469593827</v>
      </c>
      <c r="Y2686" s="44"/>
      <c r="Z2686" s="72"/>
      <c r="AA2686" s="53">
        <f>P_1_minQ-(AA2684^2*R_up)+dpup_minQ</f>
        <v>-11.639931234145639</v>
      </c>
      <c r="AB2686" s="44"/>
      <c r="AC2686" s="72"/>
      <c r="AD2686" s="53">
        <f>P_1_minQ-(AD2684^2*R_up)+dpup_minQ</f>
        <v>-128.51527501157713</v>
      </c>
      <c r="AE2686" s="44"/>
      <c r="AF2686" s="72"/>
      <c r="AG2686" s="53">
        <f>P_1_minQ-(AG2684^2*R_up)+dpup_minQ</f>
        <v>-354.13250328926961</v>
      </c>
      <c r="AH2686" s="44"/>
      <c r="AI2686" s="72"/>
      <c r="AJ2686" s="53">
        <f>P_1_minQ-(AJ2684^2*R_up)+dpup_minQ</f>
        <v>-675.12063654924509</v>
      </c>
      <c r="AK2686" s="44"/>
      <c r="AL2686" s="72"/>
      <c r="AM2686" s="53">
        <f>P_1_minQ-(AM2684^2*R_up)+dpup_minQ</f>
        <v>-1032.9868698188498</v>
      </c>
      <c r="AN2686" s="44"/>
      <c r="AO2686" s="72"/>
      <c r="AP2686" s="53">
        <f>P_1_minQ-(AP2684^2*R_up)+dpup_minQ</f>
        <v>-1412.1084507137364</v>
      </c>
      <c r="AQ2686" s="44"/>
      <c r="AR2686" s="72"/>
      <c r="AS2686" s="53">
        <f>P_1_minQ-(AS2684^2*R_up)+dpup_minQ</f>
        <v>-1845.8472389076821</v>
      </c>
      <c r="AT2686" s="44"/>
      <c r="AU2686" s="72"/>
    </row>
    <row r="2687" spans="15:47" ht="13" x14ac:dyDescent="0.3">
      <c r="O2687" s="6" t="s">
        <v>233</v>
      </c>
      <c r="P2687" s="6"/>
      <c r="Q2687" s="60"/>
      <c r="R2687" s="85">
        <f>P_2_minQ+(R2684^2*R_dn)-dpdn_minQ</f>
        <v>24.717173782791598</v>
      </c>
      <c r="S2687" s="66"/>
      <c r="T2687" s="74"/>
      <c r="U2687" s="53">
        <f>P_2_minQ+(U2684^2*R_dn)-dpdn_minQ</f>
        <v>25.309504346077166</v>
      </c>
      <c r="V2687" s="45"/>
      <c r="W2687" s="74"/>
      <c r="X2687" s="53">
        <f>P_2_minQ+(X2684^2*R_dn)-dpdn_minQ</f>
        <v>28.417719506081237</v>
      </c>
      <c r="Y2687" s="45"/>
      <c r="Z2687" s="74"/>
      <c r="AA2687" s="53">
        <f>P_2_minQ+(AA2684^2*R_dn)-dpdn_minQ</f>
        <v>38.367986246829133</v>
      </c>
      <c r="AB2687" s="45"/>
      <c r="AC2687" s="74"/>
      <c r="AD2687" s="53">
        <f>P_2_minQ+(AD2684^2*R_dn)-dpdn_minQ</f>
        <v>61.743055002315423</v>
      </c>
      <c r="AE2687" s="45"/>
      <c r="AF2687" s="74"/>
      <c r="AG2687" s="53">
        <f>P_2_minQ+(AG2684^2*R_dn)-dpdn_minQ</f>
        <v>106.86650065785392</v>
      </c>
      <c r="AH2687" s="45"/>
      <c r="AI2687" s="74"/>
      <c r="AJ2687" s="53">
        <f>P_2_minQ+(AJ2684^2*R_dn)-dpdn_minQ</f>
        <v>171.06412730984906</v>
      </c>
      <c r="AK2687" s="45"/>
      <c r="AL2687" s="74"/>
      <c r="AM2687" s="53">
        <f>P_2_minQ+(AM2684^2*R_dn)-dpdn_minQ</f>
        <v>242.63737396376993</v>
      </c>
      <c r="AN2687" s="45"/>
      <c r="AO2687" s="74"/>
      <c r="AP2687" s="53">
        <f>P_2_minQ+(AP2684^2*R_dn)-dpdn_minQ</f>
        <v>318.46169014274722</v>
      </c>
      <c r="AQ2687" s="45"/>
      <c r="AR2687" s="74"/>
      <c r="AS2687" s="53">
        <f>P_2_minQ+(AS2684^2*R_dn)-dpdn_minQ</f>
        <v>405.20944778153637</v>
      </c>
      <c r="AT2687" s="45"/>
      <c r="AU2687" s="74"/>
    </row>
    <row r="2688" spans="15:47" x14ac:dyDescent="0.25">
      <c r="O2688" s="6" t="s">
        <v>243</v>
      </c>
      <c r="Q2688" s="60"/>
      <c r="R2688" s="53">
        <f>R2686-R2687</f>
        <v>31.896957303250417</v>
      </c>
      <c r="S2688" s="56"/>
      <c r="T2688" s="72"/>
      <c r="U2688" s="64">
        <f>U2686-U2687</f>
        <v>28.342973923537013</v>
      </c>
      <c r="V2688" s="44"/>
      <c r="W2688" s="72"/>
      <c r="X2688" s="64">
        <f>X2686-X2687</f>
        <v>9.6936829635125896</v>
      </c>
      <c r="Y2688" s="44"/>
      <c r="Z2688" s="72"/>
      <c r="AA2688" s="64">
        <f>AA2686-AA2687</f>
        <v>-50.007917480974768</v>
      </c>
      <c r="AB2688" s="44"/>
      <c r="AC2688" s="72"/>
      <c r="AD2688" s="64">
        <f>AD2686-AD2687</f>
        <v>-190.25833001389256</v>
      </c>
      <c r="AE2688" s="44"/>
      <c r="AF2688" s="72"/>
      <c r="AG2688" s="64">
        <f>AG2686-AG2687</f>
        <v>-460.99900394712353</v>
      </c>
      <c r="AH2688" s="44"/>
      <c r="AI2688" s="72"/>
      <c r="AJ2688" s="64">
        <f>AJ2686-AJ2687</f>
        <v>-846.18476385909412</v>
      </c>
      <c r="AK2688" s="44"/>
      <c r="AL2688" s="72"/>
      <c r="AM2688" s="64">
        <f>AM2686-AM2687</f>
        <v>-1275.6242437826197</v>
      </c>
      <c r="AN2688" s="44"/>
      <c r="AO2688" s="72"/>
      <c r="AP2688" s="64">
        <f>AP2686-AP2687</f>
        <v>-1730.5701408564837</v>
      </c>
      <c r="AQ2688" s="44"/>
      <c r="AR2688" s="72"/>
      <c r="AS2688" s="64">
        <f>AS2686-AS2687</f>
        <v>-2251.0566866892186</v>
      </c>
      <c r="AT2688" s="44"/>
      <c r="AU2688" s="72"/>
    </row>
    <row r="2689" spans="15:47" ht="13" x14ac:dyDescent="0.3">
      <c r="O2689" s="6" t="s">
        <v>75</v>
      </c>
      <c r="P2689" s="6">
        <v>3</v>
      </c>
      <c r="Q2689" s="65"/>
      <c r="R2689" s="85">
        <f>(F_LP_h/F_P_h)^2*(R2686-('Valve Sizing'!$V$4*'Valve Sizing'!$G$7))</f>
        <v>46.515081363013422</v>
      </c>
      <c r="S2689" s="58"/>
      <c r="T2689" s="73"/>
      <c r="U2689" s="53">
        <f>(U$29/U$27)^2*(U2686-('Valve Sizing'!$V$4*'Valve Sizing'!$G$7))</f>
        <v>44.050667708467891</v>
      </c>
      <c r="V2689" s="41"/>
      <c r="W2689" s="73"/>
      <c r="X2689" s="53">
        <f>(X$29/X$27)^2*(X2686-('Valve Sizing'!$V$4*'Valve Sizing'!$G$7))</f>
        <v>30.481902939581271</v>
      </c>
      <c r="Y2689" s="41"/>
      <c r="Z2689" s="73"/>
      <c r="AA2689" s="53">
        <f>(AA$29/AA$27)^2*(AA2686-('Valve Sizing'!$V$4*'Valve Sizing'!$G$7))</f>
        <v>-9.3353818582991064</v>
      </c>
      <c r="AB2689" s="41"/>
      <c r="AC2689" s="73"/>
      <c r="AD2689" s="53">
        <f>(AD$29/AD$27)^2*(AD2686-('Valve Sizing'!$V$4*'Valve Sizing'!$G$7))</f>
        <v>-93.000962017355022</v>
      </c>
      <c r="AE2689" s="41"/>
      <c r="AF2689" s="73"/>
      <c r="AG2689" s="53">
        <f>(AG$29/AG$27)^2*(AG2686-('Valve Sizing'!$V$4*'Valve Sizing'!$G$7))</f>
        <v>-228.36031314064886</v>
      </c>
      <c r="AH2689" s="41"/>
      <c r="AI2689" s="73"/>
      <c r="AJ2689" s="53">
        <f>(AJ$29/AJ$27)^2*(AJ2686-('Valve Sizing'!$V$4*'Valve Sizing'!$G$7))</f>
        <v>-390.72021188403136</v>
      </c>
      <c r="AK2689" s="41"/>
      <c r="AL2689" s="73"/>
      <c r="AM2689" s="53">
        <f>(AM$29/AM$27)^2*(AM2686-('Valve Sizing'!$V$4*'Valve Sizing'!$G$7))</f>
        <v>-494.46600314425746</v>
      </c>
      <c r="AN2689" s="41"/>
      <c r="AO2689" s="73"/>
      <c r="AP2689" s="53">
        <f>(AP$29/AP$27)^2*(AP2686-('Valve Sizing'!$V$4*'Valve Sizing'!$G$7))</f>
        <v>-557.42953635290303</v>
      </c>
      <c r="AQ2689" s="41"/>
      <c r="AR2689" s="73"/>
      <c r="AS2689" s="53">
        <f>(AS$29/AS$27)^2*(AS2686-('Valve Sizing'!$V$4*'Valve Sizing'!$G$7))</f>
        <v>-694.46396987813205</v>
      </c>
      <c r="AT2689" s="41"/>
      <c r="AU2689" s="73"/>
    </row>
    <row r="2690" spans="15:47" ht="13" x14ac:dyDescent="0.25">
      <c r="O2690" s="1" t="s">
        <v>69</v>
      </c>
      <c r="P2690" s="17">
        <v>7</v>
      </c>
      <c r="Q2690" s="65"/>
      <c r="R2690" s="53">
        <f>(R2684/(N_1*F_P_h))*SQRT('Valve Sizing'!$G$6/R2688)</f>
        <v>16.746354548924089</v>
      </c>
      <c r="S2690" s="58"/>
      <c r="T2690" s="73"/>
      <c r="U2690" s="64">
        <f>(U2684/(N_1*U$27))*SQRT('Valve Sizing'!$G$6/U2688)</f>
        <v>58.440637874978563</v>
      </c>
      <c r="V2690" s="41"/>
      <c r="W2690" s="73"/>
      <c r="X2690" s="64">
        <f>(X2684/(N_1*X$27))*SQRT('Valve Sizing'!$G$6/X2688)</f>
        <v>240.40793074844547</v>
      </c>
      <c r="Y2690" s="41"/>
      <c r="Z2690" s="73"/>
      <c r="AA2690" s="64" t="e">
        <f>(AA2684/(N_1*AA$27))*SQRT('Valve Sizing'!$G$6/AA2688)</f>
        <v>#NUM!</v>
      </c>
      <c r="AB2690" s="41"/>
      <c r="AC2690" s="73"/>
      <c r="AD2690" s="64" t="e">
        <f>(AD2684/(N_1*AD$27))*SQRT('Valve Sizing'!$G$6/AD2688)</f>
        <v>#NUM!</v>
      </c>
      <c r="AE2690" s="41"/>
      <c r="AF2690" s="73"/>
      <c r="AG2690" s="64" t="e">
        <f>(AG2684/(N_1*AG$27))*SQRT('Valve Sizing'!$G$6/AG2688)</f>
        <v>#NUM!</v>
      </c>
      <c r="AH2690" s="41"/>
      <c r="AI2690" s="73"/>
      <c r="AJ2690" s="64" t="e">
        <f>(AJ2684/(N_1*AJ$27))*SQRT('Valve Sizing'!$G$6/AJ2688)</f>
        <v>#NUM!</v>
      </c>
      <c r="AK2690" s="41"/>
      <c r="AL2690" s="73"/>
      <c r="AM2690" s="64" t="e">
        <f>(AM2684/(N_1*AM$27))*SQRT('Valve Sizing'!$G$6/AM2688)</f>
        <v>#NUM!</v>
      </c>
      <c r="AN2690" s="41"/>
      <c r="AO2690" s="73"/>
      <c r="AP2690" s="64" t="e">
        <f>(AP2684/(N_1*AP$27))*SQRT('Valve Sizing'!$G$6/AP2688)</f>
        <v>#NUM!</v>
      </c>
      <c r="AQ2690" s="41"/>
      <c r="AR2690" s="73"/>
      <c r="AS2690" s="64" t="e">
        <f>(AS2684/(N_1*AS$27))*SQRT('Valve Sizing'!$G$6/AS2688)</f>
        <v>#NUM!</v>
      </c>
      <c r="AT2690" s="41"/>
      <c r="AU2690" s="73"/>
    </row>
    <row r="2691" spans="15:47" ht="13" x14ac:dyDescent="0.3">
      <c r="O2691" s="1" t="s">
        <v>72</v>
      </c>
      <c r="P2691" s="17">
        <v>7</v>
      </c>
      <c r="Q2691" s="65"/>
      <c r="R2691" s="53">
        <f>(R2684/(N_1*F_P_h))*SQRT('Valve Sizing'!$G$6/R2689)</f>
        <v>13.867494994076699</v>
      </c>
      <c r="S2691" s="56"/>
      <c r="T2691" s="72"/>
      <c r="U2691" s="85">
        <f>(U2684/(N_1*U$27))*SQRT('Valve Sizing'!$G$6/U2689)</f>
        <v>46.877172495288477</v>
      </c>
      <c r="V2691" s="44"/>
      <c r="W2691" s="72"/>
      <c r="X2691" s="85">
        <f>(X2684/(N_1*X$27))*SQRT('Valve Sizing'!$G$6/X2689)</f>
        <v>135.57267284786349</v>
      </c>
      <c r="Y2691" s="44"/>
      <c r="Z2691" s="72"/>
      <c r="AA2691" s="85" t="e">
        <f>(AA2684/(N_1*AA$27))*SQRT('Valve Sizing'!$G$6/AA2689)</f>
        <v>#NUM!</v>
      </c>
      <c r="AB2691" s="44"/>
      <c r="AC2691" s="72"/>
      <c r="AD2691" s="85" t="e">
        <f>(AD2684/(N_1*AD$27))*SQRT('Valve Sizing'!$G$6/AD2689)</f>
        <v>#NUM!</v>
      </c>
      <c r="AE2691" s="44"/>
      <c r="AF2691" s="72"/>
      <c r="AG2691" s="85" t="e">
        <f>(AG2684/(N_1*AG$27))*SQRT('Valve Sizing'!$G$6/AG2689)</f>
        <v>#NUM!</v>
      </c>
      <c r="AH2691" s="44"/>
      <c r="AI2691" s="72"/>
      <c r="AJ2691" s="85" t="e">
        <f>(AJ2684/(N_1*AJ$27))*SQRT('Valve Sizing'!$G$6/AJ2689)</f>
        <v>#NUM!</v>
      </c>
      <c r="AK2691" s="44"/>
      <c r="AL2691" s="72"/>
      <c r="AM2691" s="85" t="e">
        <f>(AM2684/(N_1*AM$27))*SQRT('Valve Sizing'!$G$6/AM2689)</f>
        <v>#NUM!</v>
      </c>
      <c r="AN2691" s="44"/>
      <c r="AO2691" s="72"/>
      <c r="AP2691" s="85" t="e">
        <f>(AP2684/(N_1*AP$27))*SQRT('Valve Sizing'!$G$6/AP2689)</f>
        <v>#NUM!</v>
      </c>
      <c r="AQ2691" s="44"/>
      <c r="AR2691" s="72"/>
      <c r="AS2691" s="85" t="e">
        <f>(AS2684/(N_1*AS$27))*SQRT('Valve Sizing'!$G$6/AS2689)</f>
        <v>#NUM!</v>
      </c>
      <c r="AT2691" s="44"/>
      <c r="AU2691" s="72"/>
    </row>
    <row r="2692" spans="15:47" x14ac:dyDescent="0.25">
      <c r="O2692" s="1" t="s">
        <v>246</v>
      </c>
      <c r="P2692" s="18"/>
      <c r="Q2692" s="65"/>
      <c r="R2692" s="53">
        <f>IF(R2688&lt;R2689,R2690,R2691)</f>
        <v>16.746354548924089</v>
      </c>
      <c r="S2692" s="49"/>
      <c r="T2692" s="72"/>
      <c r="U2692" s="64">
        <f>IF(U2688&lt;U2689,U2690,U2691)</f>
        <v>58.440637874978563</v>
      </c>
      <c r="V2692" s="44"/>
      <c r="W2692" s="72"/>
      <c r="X2692" s="64">
        <f>IF(X2688&lt;X2689,X2690,X2691)</f>
        <v>240.40793074844547</v>
      </c>
      <c r="Y2692" s="44"/>
      <c r="Z2692" s="72"/>
      <c r="AA2692" s="64" t="e">
        <f>IF(AA2688&lt;AA2689,AA2690,AA2691)</f>
        <v>#NUM!</v>
      </c>
      <c r="AB2692" s="44"/>
      <c r="AC2692" s="72"/>
      <c r="AD2692" s="64" t="e">
        <f>IF(AD2688&lt;AD2689,AD2690,AD2691)</f>
        <v>#NUM!</v>
      </c>
      <c r="AE2692" s="44"/>
      <c r="AF2692" s="72"/>
      <c r="AG2692" s="64" t="e">
        <f>IF(AG2688&lt;AG2689,AG2690,AG2691)</f>
        <v>#NUM!</v>
      </c>
      <c r="AH2692" s="44"/>
      <c r="AI2692" s="72"/>
      <c r="AJ2692" s="64" t="e">
        <f>IF(AJ2688&lt;AJ2689,AJ2690,AJ2691)</f>
        <v>#NUM!</v>
      </c>
      <c r="AK2692" s="44"/>
      <c r="AL2692" s="72"/>
      <c r="AM2692" s="64" t="e">
        <f>IF(AM2688&lt;AM2689,AM2690,AM2691)</f>
        <v>#NUM!</v>
      </c>
      <c r="AN2692" s="44"/>
      <c r="AO2692" s="72"/>
      <c r="AP2692" s="64" t="e">
        <f>IF(AP2688&lt;AP2689,AP2690,AP2691)</f>
        <v>#NUM!</v>
      </c>
      <c r="AQ2692" s="44"/>
      <c r="AR2692" s="72"/>
      <c r="AS2692" s="64" t="e">
        <f>IF(AS2688&lt;AS2689,AS2690,AS2691)</f>
        <v>#NUM!</v>
      </c>
      <c r="AT2692" s="44"/>
      <c r="AU2692" s="72"/>
    </row>
    <row r="2693" spans="15:47" ht="13" x14ac:dyDescent="0.3">
      <c r="O2693" s="7" t="s">
        <v>264</v>
      </c>
      <c r="Q2693" s="61"/>
      <c r="R2693" s="53"/>
      <c r="S2693" s="69">
        <f>IFERROR(ABS(C_h-R2692),Q_max*10)</f>
        <v>11.746354548924089</v>
      </c>
      <c r="T2693" s="76">
        <f>R2684</f>
        <v>94.56520788480266</v>
      </c>
      <c r="U2693" s="61"/>
      <c r="V2693" s="69">
        <f>IFERROR(ABS(U$23-U2692),Q_max*10)</f>
        <v>46.440637874978563</v>
      </c>
      <c r="W2693" s="75">
        <f>U2684</f>
        <v>310.86511292958596</v>
      </c>
      <c r="X2693" s="61"/>
      <c r="Y2693" s="69">
        <f>IFERROR(ABS(X$23-X2692),Q_max*10)</f>
        <v>217.40793074844547</v>
      </c>
      <c r="Z2693" s="75">
        <f>X2684</f>
        <v>746.19593464138279</v>
      </c>
      <c r="AA2693" s="61"/>
      <c r="AB2693" s="69">
        <f>IFERROR(ABS(AA$23-AA2692),Q_max*10)</f>
        <v>5500</v>
      </c>
      <c r="AC2693" s="75">
        <f>AA2684</f>
        <v>1424.7615112161939</v>
      </c>
      <c r="AD2693" s="61"/>
      <c r="AE2693" s="69">
        <f>IFERROR(ABS(AD$23-AD2692),Q_max*10)</f>
        <v>5500</v>
      </c>
      <c r="AF2693" s="75">
        <f>AD2684</f>
        <v>2343.2081198845308</v>
      </c>
      <c r="AG2693" s="61"/>
      <c r="AH2693" s="69">
        <f>IFERROR(ABS(AG$23-AG2692),Q_max*10)</f>
        <v>5500</v>
      </c>
      <c r="AI2693" s="75">
        <f>AG2684</f>
        <v>3488.7175899455192</v>
      </c>
      <c r="AJ2693" s="61"/>
      <c r="AK2693" s="69">
        <f>IFERROR(ABS(AJ$23-AJ2692),Q_max*10)</f>
        <v>5500</v>
      </c>
      <c r="AL2693" s="75">
        <f>AJ2684</f>
        <v>4655.7071480305922</v>
      </c>
      <c r="AM2693" s="61"/>
      <c r="AN2693" s="69">
        <f>IFERROR(ABS(AM$23-AM2692),Q_max*10)</f>
        <v>5500</v>
      </c>
      <c r="AO2693" s="75">
        <f>AM2684</f>
        <v>5680.8474909414826</v>
      </c>
      <c r="AP2693" s="61"/>
      <c r="AQ2693" s="69">
        <f>IFERROR(ABS(AP$23-AP2692),Q_max*10)</f>
        <v>5500</v>
      </c>
      <c r="AR2693" s="75">
        <f>AP2684</f>
        <v>6595.2875771746094</v>
      </c>
      <c r="AS2693" s="61"/>
      <c r="AT2693" s="69">
        <f>IFERROR(ABS(AS$23-AS2692),Q_max*10)</f>
        <v>5500</v>
      </c>
      <c r="AU2693" s="75">
        <f>AS2684</f>
        <v>7506.052474107576</v>
      </c>
    </row>
    <row r="2694" spans="15:47" ht="14.5" x14ac:dyDescent="0.35">
      <c r="O2694" s="6"/>
      <c r="P2694" s="6"/>
      <c r="Q2694" s="60"/>
      <c r="R2694" s="67"/>
      <c r="S2694" s="56"/>
      <c r="T2694" s="72"/>
      <c r="V2694" s="11"/>
      <c r="W2694" s="38"/>
      <c r="Y2694" s="11"/>
      <c r="Z2694" s="38"/>
      <c r="AB2694" s="11"/>
      <c r="AC2694" s="38"/>
      <c r="AE2694" s="11"/>
      <c r="AF2694" s="38"/>
      <c r="AH2694" s="11"/>
      <c r="AI2694" s="38"/>
      <c r="AK2694" s="11"/>
      <c r="AL2694" s="38"/>
      <c r="AN2694" s="11"/>
      <c r="AO2694" s="38"/>
      <c r="AQ2694" s="11"/>
      <c r="AR2694" s="38"/>
      <c r="AT2694" s="11"/>
      <c r="AU2694" s="38"/>
    </row>
    <row r="2695" spans="15:47" ht="14" x14ac:dyDescent="0.3">
      <c r="O2695" s="8" t="s">
        <v>235</v>
      </c>
      <c r="P2695" s="6"/>
      <c r="Q2695" s="60"/>
      <c r="R2695" s="53">
        <f>R2684*1.02</f>
        <v>96.456512042498716</v>
      </c>
      <c r="S2695" s="58" t="s">
        <v>238</v>
      </c>
      <c r="T2695" s="73" t="s">
        <v>241</v>
      </c>
      <c r="U2695" s="84">
        <f>U2684*1.01</f>
        <v>313.97376405888184</v>
      </c>
      <c r="V2695" s="58" t="s">
        <v>238</v>
      </c>
      <c r="W2695" s="73" t="s">
        <v>241</v>
      </c>
      <c r="X2695" s="84">
        <f>X2684*1.01</f>
        <v>753.65789398779657</v>
      </c>
      <c r="Y2695" s="58" t="s">
        <v>238</v>
      </c>
      <c r="Z2695" s="73" t="s">
        <v>241</v>
      </c>
      <c r="AA2695" s="84">
        <f>AA2684*1.01</f>
        <v>1439.0091263283557</v>
      </c>
      <c r="AB2695" s="58" t="s">
        <v>238</v>
      </c>
      <c r="AC2695" s="73" t="s">
        <v>241</v>
      </c>
      <c r="AD2695" s="84">
        <f>AD2684*1.01</f>
        <v>2366.6402010833763</v>
      </c>
      <c r="AE2695" s="58" t="s">
        <v>238</v>
      </c>
      <c r="AF2695" s="73" t="s">
        <v>241</v>
      </c>
      <c r="AG2695" s="84">
        <f>AG2684*1.01</f>
        <v>3523.6047658449743</v>
      </c>
      <c r="AH2695" s="58" t="s">
        <v>238</v>
      </c>
      <c r="AI2695" s="73" t="s">
        <v>241</v>
      </c>
      <c r="AJ2695" s="84">
        <f>AJ2684*1.01</f>
        <v>4702.2642195108983</v>
      </c>
      <c r="AK2695" s="58" t="s">
        <v>238</v>
      </c>
      <c r="AL2695" s="73" t="s">
        <v>241</v>
      </c>
      <c r="AM2695" s="84">
        <f>AM2684*1.01</f>
        <v>5737.6559658508977</v>
      </c>
      <c r="AN2695" s="58" t="s">
        <v>238</v>
      </c>
      <c r="AO2695" s="73" t="s">
        <v>241</v>
      </c>
      <c r="AP2695" s="84">
        <f>AP2684*1.01</f>
        <v>6661.2404529463556</v>
      </c>
      <c r="AQ2695" s="58" t="s">
        <v>238</v>
      </c>
      <c r="AR2695" s="73" t="s">
        <v>241</v>
      </c>
      <c r="AS2695" s="84">
        <f>AS2684*1.01</f>
        <v>7581.1129988486518</v>
      </c>
      <c r="AT2695" s="58" t="s">
        <v>238</v>
      </c>
      <c r="AU2695" s="73" t="s">
        <v>241</v>
      </c>
    </row>
    <row r="2696" spans="15:47" ht="13" x14ac:dyDescent="0.25">
      <c r="O2696" s="6"/>
      <c r="P2696" s="6"/>
      <c r="Q2696" s="60"/>
      <c r="R2696" s="70"/>
      <c r="S2696" s="63" t="s">
        <v>250</v>
      </c>
      <c r="T2696" s="71" t="s">
        <v>242</v>
      </c>
      <c r="U2696" s="61"/>
      <c r="V2696" s="63" t="s">
        <v>250</v>
      </c>
      <c r="W2696" s="71" t="s">
        <v>242</v>
      </c>
      <c r="X2696" s="61"/>
      <c r="Y2696" s="63" t="s">
        <v>250</v>
      </c>
      <c r="Z2696" s="71" t="s">
        <v>242</v>
      </c>
      <c r="AA2696" s="61"/>
      <c r="AB2696" s="63" t="s">
        <v>250</v>
      </c>
      <c r="AC2696" s="71" t="s">
        <v>242</v>
      </c>
      <c r="AD2696" s="61"/>
      <c r="AE2696" s="63" t="s">
        <v>250</v>
      </c>
      <c r="AF2696" s="71" t="s">
        <v>242</v>
      </c>
      <c r="AG2696" s="61"/>
      <c r="AH2696" s="63" t="s">
        <v>250</v>
      </c>
      <c r="AI2696" s="71" t="s">
        <v>242</v>
      </c>
      <c r="AJ2696" s="61"/>
      <c r="AK2696" s="63" t="s">
        <v>250</v>
      </c>
      <c r="AL2696" s="71" t="s">
        <v>242</v>
      </c>
      <c r="AM2696" s="61"/>
      <c r="AN2696" s="63" t="s">
        <v>250</v>
      </c>
      <c r="AO2696" s="71" t="s">
        <v>242</v>
      </c>
      <c r="AP2696" s="61"/>
      <c r="AQ2696" s="63" t="s">
        <v>250</v>
      </c>
      <c r="AR2696" s="71" t="s">
        <v>242</v>
      </c>
      <c r="AS2696" s="61"/>
      <c r="AT2696" s="63" t="s">
        <v>250</v>
      </c>
      <c r="AU2696" s="71" t="s">
        <v>242</v>
      </c>
    </row>
    <row r="2697" spans="15:47" ht="13" x14ac:dyDescent="0.3">
      <c r="O2697" s="6" t="s">
        <v>231</v>
      </c>
      <c r="P2697" s="6"/>
      <c r="Q2697" s="60"/>
      <c r="R2697" s="85">
        <f>P_1_minQ-(R2695^2*R_up)+dpup_minQ</f>
        <v>56.601929796845504</v>
      </c>
      <c r="S2697" s="56"/>
      <c r="T2697" s="72"/>
      <c r="U2697" s="53">
        <f>P_1_minQ-(U2695^2*R_up)+dpup_minQ</f>
        <v>53.586878604616601</v>
      </c>
      <c r="V2697" s="44"/>
      <c r="W2697" s="72"/>
      <c r="X2697" s="53">
        <f>P_1_minQ-(X2695^2*R_up)+dpup_minQ</f>
        <v>37.733427181015848</v>
      </c>
      <c r="Y2697" s="44"/>
      <c r="Z2697" s="72"/>
      <c r="AA2697" s="53">
        <f>P_1_minQ-(AA2695^2*R_up)+dpup_minQ</f>
        <v>-13.017908330168783</v>
      </c>
      <c r="AB2697" s="44"/>
      <c r="AC2697" s="72"/>
      <c r="AD2697" s="53">
        <f>P_1_minQ-(AD2695^2*R_up)+dpup_minQ</f>
        <v>-132.24244651752664</v>
      </c>
      <c r="AE2697" s="44"/>
      <c r="AF2697" s="72"/>
      <c r="AG2697" s="53">
        <f>P_1_minQ-(AG2695^2*R_up)+dpup_minQ</f>
        <v>-362.39458108360071</v>
      </c>
      <c r="AH2697" s="44"/>
      <c r="AI2697" s="72"/>
      <c r="AJ2697" s="53">
        <f>P_1_minQ-(AJ2695^2*R_up)+dpup_minQ</f>
        <v>-689.8345758221019</v>
      </c>
      <c r="AK2697" s="44"/>
      <c r="AL2697" s="72"/>
      <c r="AM2697" s="53">
        <f>P_1_minQ-(AM2695^2*R_up)+dpup_minQ</f>
        <v>-1054.8939203804255</v>
      </c>
      <c r="AN2697" s="44"/>
      <c r="AO2697" s="72"/>
      <c r="AP2697" s="53">
        <f>P_1_minQ-(AP2695^2*R_up)+dpup_minQ</f>
        <v>-1441.6358450512992</v>
      </c>
      <c r="AQ2697" s="44"/>
      <c r="AR2697" s="72"/>
      <c r="AS2697" s="53">
        <f>P_1_minQ-(AS2695^2*R_up)+dpup_minQ</f>
        <v>-1884.0927828879433</v>
      </c>
      <c r="AT2697" s="44"/>
      <c r="AU2697" s="72"/>
    </row>
    <row r="2698" spans="15:47" ht="13" x14ac:dyDescent="0.3">
      <c r="O2698" s="6" t="s">
        <v>233</v>
      </c>
      <c r="P2698" s="6"/>
      <c r="Q2698" s="60"/>
      <c r="R2698" s="85">
        <f>P_2_minQ+(R2695^2*R_dn)-dpdn_minQ</f>
        <v>24.719614040630901</v>
      </c>
      <c r="S2698" s="66"/>
      <c r="T2698" s="74"/>
      <c r="U2698" s="53">
        <f>P_2_minQ+(U2695^2*R_dn)-dpdn_minQ</f>
        <v>25.322624279076681</v>
      </c>
      <c r="V2698" s="45"/>
      <c r="W2698" s="74"/>
      <c r="X2698" s="53">
        <f>P_2_minQ+(X2695^2*R_dn)-dpdn_minQ</f>
        <v>28.493314563796833</v>
      </c>
      <c r="Y2698" s="45"/>
      <c r="Z2698" s="74"/>
      <c r="AA2698" s="53">
        <f>P_2_minQ+(AA2695^2*R_dn)-dpdn_minQ</f>
        <v>38.643581666033761</v>
      </c>
      <c r="AB2698" s="45"/>
      <c r="AC2698" s="74"/>
      <c r="AD2698" s="53">
        <f>P_2_minQ+(AD2695^2*R_dn)-dpdn_minQ</f>
        <v>62.488489303505332</v>
      </c>
      <c r="AE2698" s="45"/>
      <c r="AF2698" s="74"/>
      <c r="AG2698" s="53">
        <f>P_2_minQ+(AG2695^2*R_dn)-dpdn_minQ</f>
        <v>108.51891621672013</v>
      </c>
      <c r="AH2698" s="45"/>
      <c r="AI2698" s="74"/>
      <c r="AJ2698" s="53">
        <f>P_2_minQ+(AJ2695^2*R_dn)-dpdn_minQ</f>
        <v>174.00691516442041</v>
      </c>
      <c r="AK2698" s="45"/>
      <c r="AL2698" s="74"/>
      <c r="AM2698" s="53">
        <f>P_2_minQ+(AM2695^2*R_dn)-dpdn_minQ</f>
        <v>247.0187840760851</v>
      </c>
      <c r="AN2698" s="45"/>
      <c r="AO2698" s="74"/>
      <c r="AP2698" s="53">
        <f>P_2_minQ+(AP2695^2*R_dn)-dpdn_minQ</f>
        <v>324.36716901025977</v>
      </c>
      <c r="AQ2698" s="45"/>
      <c r="AR2698" s="74"/>
      <c r="AS2698" s="53">
        <f>P_2_minQ+(AS2695^2*R_dn)-dpdn_minQ</f>
        <v>412.85855657758862</v>
      </c>
      <c r="AT2698" s="45"/>
      <c r="AU2698" s="74"/>
    </row>
    <row r="2699" spans="15:47" x14ac:dyDescent="0.25">
      <c r="O2699" s="6" t="s">
        <v>243</v>
      </c>
      <c r="Q2699" s="60"/>
      <c r="R2699" s="53">
        <f>R2697-R2698</f>
        <v>31.882315756214602</v>
      </c>
      <c r="S2699" s="56"/>
      <c r="T2699" s="72"/>
      <c r="U2699" s="64">
        <f>U2697-U2698</f>
        <v>28.26425432553992</v>
      </c>
      <c r="V2699" s="44"/>
      <c r="W2699" s="72"/>
      <c r="X2699" s="64">
        <f>X2697-X2698</f>
        <v>9.2401126172190153</v>
      </c>
      <c r="Y2699" s="44"/>
      <c r="Z2699" s="72"/>
      <c r="AA2699" s="64">
        <f>AA2697-AA2698</f>
        <v>-51.661489996202548</v>
      </c>
      <c r="AB2699" s="44"/>
      <c r="AC2699" s="72"/>
      <c r="AD2699" s="64">
        <f>AD2697-AD2698</f>
        <v>-194.73093582103198</v>
      </c>
      <c r="AE2699" s="44"/>
      <c r="AF2699" s="72"/>
      <c r="AG2699" s="64">
        <f>AG2697-AG2698</f>
        <v>-470.91349730032084</v>
      </c>
      <c r="AH2699" s="44"/>
      <c r="AI2699" s="72"/>
      <c r="AJ2699" s="64">
        <f>AJ2697-AJ2698</f>
        <v>-863.84149098652233</v>
      </c>
      <c r="AK2699" s="44"/>
      <c r="AL2699" s="72"/>
      <c r="AM2699" s="64">
        <f>AM2697-AM2698</f>
        <v>-1301.9127044565105</v>
      </c>
      <c r="AN2699" s="44"/>
      <c r="AO2699" s="72"/>
      <c r="AP2699" s="64">
        <f>AP2697-AP2698</f>
        <v>-1766.003014061559</v>
      </c>
      <c r="AQ2699" s="44"/>
      <c r="AR2699" s="72"/>
      <c r="AS2699" s="64">
        <f>AS2697-AS2698</f>
        <v>-2296.9513394655319</v>
      </c>
      <c r="AT2699" s="44"/>
      <c r="AU2699" s="72"/>
    </row>
    <row r="2700" spans="15:47" ht="13" x14ac:dyDescent="0.3">
      <c r="O2700" s="6" t="s">
        <v>75</v>
      </c>
      <c r="P2700" s="6">
        <v>3</v>
      </c>
      <c r="Q2700" s="65"/>
      <c r="R2700" s="85">
        <f>(F_LP_h/F_P_h)^2*(R2697-('Valve Sizing'!$V$4*'Valve Sizing'!$G$7))</f>
        <v>46.504978055113789</v>
      </c>
      <c r="S2700" s="58"/>
      <c r="T2700" s="73"/>
      <c r="U2700" s="53">
        <f>(U$29/U$27)^2*(U2697-('Valve Sizing'!$V$4*'Valve Sizing'!$G$7))</f>
        <v>43.996362547906195</v>
      </c>
      <c r="V2700" s="41"/>
      <c r="W2700" s="73"/>
      <c r="X2700" s="53">
        <f>(X$29/X$27)^2*(X2697-('Valve Sizing'!$V$4*'Valve Sizing'!$G$7))</f>
        <v>30.176062887388596</v>
      </c>
      <c r="Y2700" s="41"/>
      <c r="Z2700" s="73"/>
      <c r="AA2700" s="53">
        <f>(AA$29/AA$27)^2*(AA2697-('Valve Sizing'!$V$4*'Valve Sizing'!$G$7))</f>
        <v>-10.400278729194339</v>
      </c>
      <c r="AB2700" s="41"/>
      <c r="AC2700" s="73"/>
      <c r="AD2700" s="53">
        <f>(AD$29/AD$27)^2*(AD2697-('Valve Sizing'!$V$4*'Valve Sizing'!$G$7))</f>
        <v>-95.688951171829856</v>
      </c>
      <c r="AE2700" s="41"/>
      <c r="AF2700" s="73"/>
      <c r="AG2700" s="53">
        <f>(AG$29/AG$27)^2*(AG2697-('Valve Sizing'!$V$4*'Valve Sizing'!$G$7))</f>
        <v>-233.68145436829201</v>
      </c>
      <c r="AH2700" s="41"/>
      <c r="AI2700" s="73"/>
      <c r="AJ2700" s="53">
        <f>(AJ$29/AJ$27)^2*(AJ2697-('Valve Sizing'!$V$4*'Valve Sizing'!$G$7))</f>
        <v>-399.2302295916075</v>
      </c>
      <c r="AK2700" s="41"/>
      <c r="AL2700" s="73"/>
      <c r="AM2700" s="53">
        <f>(AM$29/AM$27)^2*(AM2697-('Valve Sizing'!$V$4*'Valve Sizing'!$G$7))</f>
        <v>-504.94791671137733</v>
      </c>
      <c r="AN2700" s="41"/>
      <c r="AO2700" s="73"/>
      <c r="AP2700" s="53">
        <f>(AP$29/AP$27)^2*(AP2697-('Valve Sizing'!$V$4*'Valve Sizing'!$G$7))</f>
        <v>-569.08183830049575</v>
      </c>
      <c r="AQ2700" s="41"/>
      <c r="AR2700" s="73"/>
      <c r="AS2700" s="53">
        <f>(AS$29/AS$27)^2*(AS2697-('Valve Sizing'!$V$4*'Valve Sizing'!$G$7))</f>
        <v>-708.84967916180005</v>
      </c>
      <c r="AT2700" s="41"/>
      <c r="AU2700" s="73"/>
    </row>
    <row r="2701" spans="15:47" ht="13" x14ac:dyDescent="0.25">
      <c r="O2701" s="1" t="s">
        <v>69</v>
      </c>
      <c r="P2701" s="17">
        <v>7</v>
      </c>
      <c r="Q2701" s="65"/>
      <c r="R2701" s="53">
        <f>(R2695/(N_1*F_P_h))*SQRT('Valve Sizing'!$G$6/R2699)</f>
        <v>17.085203370113007</v>
      </c>
      <c r="S2701" s="58"/>
      <c r="T2701" s="73"/>
      <c r="U2701" s="64">
        <f>(U2695/(N_1*U$27))*SQRT('Valve Sizing'!$G$6/U2699)</f>
        <v>59.107183286551361</v>
      </c>
      <c r="V2701" s="41"/>
      <c r="W2701" s="73"/>
      <c r="X2701" s="64">
        <f>(X2695/(N_1*X$27))*SQRT('Valve Sizing'!$G$6/X2699)</f>
        <v>248.70008739576343</v>
      </c>
      <c r="Y2701" s="41"/>
      <c r="Z2701" s="73"/>
      <c r="AA2701" s="64" t="e">
        <f>(AA2695/(N_1*AA$27))*SQRT('Valve Sizing'!$G$6/AA2699)</f>
        <v>#NUM!</v>
      </c>
      <c r="AB2701" s="41"/>
      <c r="AC2701" s="73"/>
      <c r="AD2701" s="64" t="e">
        <f>(AD2695/(N_1*AD$27))*SQRT('Valve Sizing'!$G$6/AD2699)</f>
        <v>#NUM!</v>
      </c>
      <c r="AE2701" s="41"/>
      <c r="AF2701" s="73"/>
      <c r="AG2701" s="64" t="e">
        <f>(AG2695/(N_1*AG$27))*SQRT('Valve Sizing'!$G$6/AG2699)</f>
        <v>#NUM!</v>
      </c>
      <c r="AH2701" s="41"/>
      <c r="AI2701" s="73"/>
      <c r="AJ2701" s="64" t="e">
        <f>(AJ2695/(N_1*AJ$27))*SQRT('Valve Sizing'!$G$6/AJ2699)</f>
        <v>#NUM!</v>
      </c>
      <c r="AK2701" s="41"/>
      <c r="AL2701" s="73"/>
      <c r="AM2701" s="64" t="e">
        <f>(AM2695/(N_1*AM$27))*SQRT('Valve Sizing'!$G$6/AM2699)</f>
        <v>#NUM!</v>
      </c>
      <c r="AN2701" s="41"/>
      <c r="AO2701" s="73"/>
      <c r="AP2701" s="64" t="e">
        <f>(AP2695/(N_1*AP$27))*SQRT('Valve Sizing'!$G$6/AP2699)</f>
        <v>#NUM!</v>
      </c>
      <c r="AQ2701" s="41"/>
      <c r="AR2701" s="73"/>
      <c r="AS2701" s="64" t="e">
        <f>(AS2695/(N_1*AS$27))*SQRT('Valve Sizing'!$G$6/AS2699)</f>
        <v>#NUM!</v>
      </c>
      <c r="AT2701" s="41"/>
      <c r="AU2701" s="73"/>
    </row>
    <row r="2702" spans="15:47" ht="13" x14ac:dyDescent="0.3">
      <c r="O2702" s="1" t="s">
        <v>72</v>
      </c>
      <c r="P2702" s="17">
        <v>7</v>
      </c>
      <c r="Q2702" s="65"/>
      <c r="R2702" s="53">
        <f>(R2695/(N_1*F_P_h))*SQRT('Valve Sizing'!$G$6/R2700)</f>
        <v>14.146381309715357</v>
      </c>
      <c r="S2702" s="56"/>
      <c r="T2702" s="72"/>
      <c r="U2702" s="85">
        <f>(U2695/(N_1*U$27))*SQRT('Valve Sizing'!$G$6/U2700)</f>
        <v>47.375155000979824</v>
      </c>
      <c r="V2702" s="44"/>
      <c r="W2702" s="72"/>
      <c r="X2702" s="85">
        <f>(X2695/(N_1*X$27))*SQRT('Valve Sizing'!$G$6/X2700)</f>
        <v>137.62054772950376</v>
      </c>
      <c r="Y2702" s="44"/>
      <c r="Z2702" s="72"/>
      <c r="AA2702" s="85" t="e">
        <f>(AA2695/(N_1*AA$27))*SQRT('Valve Sizing'!$G$6/AA2700)</f>
        <v>#NUM!</v>
      </c>
      <c r="AB2702" s="44"/>
      <c r="AC2702" s="72"/>
      <c r="AD2702" s="85" t="e">
        <f>(AD2695/(N_1*AD$27))*SQRT('Valve Sizing'!$G$6/AD2700)</f>
        <v>#NUM!</v>
      </c>
      <c r="AE2702" s="44"/>
      <c r="AF2702" s="72"/>
      <c r="AG2702" s="85" t="e">
        <f>(AG2695/(N_1*AG$27))*SQRT('Valve Sizing'!$G$6/AG2700)</f>
        <v>#NUM!</v>
      </c>
      <c r="AH2702" s="44"/>
      <c r="AI2702" s="72"/>
      <c r="AJ2702" s="85" t="e">
        <f>(AJ2695/(N_1*AJ$27))*SQRT('Valve Sizing'!$G$6/AJ2700)</f>
        <v>#NUM!</v>
      </c>
      <c r="AK2702" s="44"/>
      <c r="AL2702" s="72"/>
      <c r="AM2702" s="85" t="e">
        <f>(AM2695/(N_1*AM$27))*SQRT('Valve Sizing'!$G$6/AM2700)</f>
        <v>#NUM!</v>
      </c>
      <c r="AN2702" s="44"/>
      <c r="AO2702" s="72"/>
      <c r="AP2702" s="85" t="e">
        <f>(AP2695/(N_1*AP$27))*SQRT('Valve Sizing'!$G$6/AP2700)</f>
        <v>#NUM!</v>
      </c>
      <c r="AQ2702" s="44"/>
      <c r="AR2702" s="72"/>
      <c r="AS2702" s="85" t="e">
        <f>(AS2695/(N_1*AS$27))*SQRT('Valve Sizing'!$G$6/AS2700)</f>
        <v>#NUM!</v>
      </c>
      <c r="AT2702" s="44"/>
      <c r="AU2702" s="72"/>
    </row>
    <row r="2703" spans="15:47" x14ac:dyDescent="0.25">
      <c r="O2703" s="1" t="s">
        <v>246</v>
      </c>
      <c r="P2703" s="18"/>
      <c r="Q2703" s="65"/>
      <c r="R2703" s="53">
        <f>IF(R2699&lt;R2700,R2701,R2702)</f>
        <v>17.085203370113007</v>
      </c>
      <c r="S2703" s="49"/>
      <c r="T2703" s="72"/>
      <c r="U2703" s="64">
        <f>IF(U2699&lt;U2700,U2701,U2702)</f>
        <v>59.107183286551361</v>
      </c>
      <c r="V2703" s="44"/>
      <c r="W2703" s="72"/>
      <c r="X2703" s="64">
        <f>IF(X2699&lt;X2700,X2701,X2702)</f>
        <v>248.70008739576343</v>
      </c>
      <c r="Y2703" s="44"/>
      <c r="Z2703" s="72"/>
      <c r="AA2703" s="64" t="e">
        <f>IF(AA2699&lt;AA2700,AA2701,AA2702)</f>
        <v>#NUM!</v>
      </c>
      <c r="AB2703" s="44"/>
      <c r="AC2703" s="72"/>
      <c r="AD2703" s="64" t="e">
        <f>IF(AD2699&lt;AD2700,AD2701,AD2702)</f>
        <v>#NUM!</v>
      </c>
      <c r="AE2703" s="44"/>
      <c r="AF2703" s="72"/>
      <c r="AG2703" s="64" t="e">
        <f>IF(AG2699&lt;AG2700,AG2701,AG2702)</f>
        <v>#NUM!</v>
      </c>
      <c r="AH2703" s="44"/>
      <c r="AI2703" s="72"/>
      <c r="AJ2703" s="64" t="e">
        <f>IF(AJ2699&lt;AJ2700,AJ2701,AJ2702)</f>
        <v>#NUM!</v>
      </c>
      <c r="AK2703" s="44"/>
      <c r="AL2703" s="72"/>
      <c r="AM2703" s="64" t="e">
        <f>IF(AM2699&lt;AM2700,AM2701,AM2702)</f>
        <v>#NUM!</v>
      </c>
      <c r="AN2703" s="44"/>
      <c r="AO2703" s="72"/>
      <c r="AP2703" s="64" t="e">
        <f>IF(AP2699&lt;AP2700,AP2701,AP2702)</f>
        <v>#NUM!</v>
      </c>
      <c r="AQ2703" s="44"/>
      <c r="AR2703" s="72"/>
      <c r="AS2703" s="64" t="e">
        <f>IF(AS2699&lt;AS2700,AS2701,AS2702)</f>
        <v>#NUM!</v>
      </c>
      <c r="AT2703" s="44"/>
      <c r="AU2703" s="72"/>
    </row>
    <row r="2704" spans="15:47" ht="13" x14ac:dyDescent="0.3">
      <c r="O2704" s="7" t="s">
        <v>264</v>
      </c>
      <c r="Q2704" s="61"/>
      <c r="R2704" s="53"/>
      <c r="S2704" s="69">
        <f>IFERROR(ABS(C_h-R2703),Q_max*10)</f>
        <v>12.085203370113007</v>
      </c>
      <c r="T2704" s="76">
        <f>R2695</f>
        <v>96.456512042498716</v>
      </c>
      <c r="U2704" s="61"/>
      <c r="V2704" s="69">
        <f>IFERROR(ABS(U$23-U2703),Q_max*10)</f>
        <v>47.107183286551361</v>
      </c>
      <c r="W2704" s="75">
        <f>U2695</f>
        <v>313.97376405888184</v>
      </c>
      <c r="X2704" s="61"/>
      <c r="Y2704" s="69">
        <f>IFERROR(ABS(X$23-X2703),Q_max*10)</f>
        <v>225.70008739576343</v>
      </c>
      <c r="Z2704" s="75">
        <f>X2695</f>
        <v>753.65789398779657</v>
      </c>
      <c r="AA2704" s="61"/>
      <c r="AB2704" s="69">
        <f>IFERROR(ABS(AA$23-AA2703),Q_max*10)</f>
        <v>5500</v>
      </c>
      <c r="AC2704" s="75">
        <f>AA2695</f>
        <v>1439.0091263283557</v>
      </c>
      <c r="AD2704" s="61"/>
      <c r="AE2704" s="69">
        <f>IFERROR(ABS(AD$23-AD2703),Q_max*10)</f>
        <v>5500</v>
      </c>
      <c r="AF2704" s="75">
        <f>AD2695</f>
        <v>2366.6402010833763</v>
      </c>
      <c r="AG2704" s="61"/>
      <c r="AH2704" s="69">
        <f>IFERROR(ABS(AG$23-AG2703),Q_max*10)</f>
        <v>5500</v>
      </c>
      <c r="AI2704" s="75">
        <f>AG2695</f>
        <v>3523.6047658449743</v>
      </c>
      <c r="AJ2704" s="61"/>
      <c r="AK2704" s="69">
        <f>IFERROR(ABS(AJ$23-AJ2703),Q_max*10)</f>
        <v>5500</v>
      </c>
      <c r="AL2704" s="75">
        <f>AJ2695</f>
        <v>4702.2642195108983</v>
      </c>
      <c r="AM2704" s="61"/>
      <c r="AN2704" s="69">
        <f>IFERROR(ABS(AM$23-AM2703),Q_max*10)</f>
        <v>5500</v>
      </c>
      <c r="AO2704" s="75">
        <f>AM2695</f>
        <v>5737.6559658508977</v>
      </c>
      <c r="AP2704" s="61"/>
      <c r="AQ2704" s="69">
        <f>IFERROR(ABS(AP$23-AP2703),Q_max*10)</f>
        <v>5500</v>
      </c>
      <c r="AR2704" s="75">
        <f>AP2695</f>
        <v>6661.2404529463556</v>
      </c>
      <c r="AS2704" s="61"/>
      <c r="AT2704" s="69">
        <f>IFERROR(ABS(AS$23-AS2703),Q_max*10)</f>
        <v>5500</v>
      </c>
      <c r="AU2704" s="75">
        <f>AS2695</f>
        <v>7581.1129988486518</v>
      </c>
    </row>
    <row r="2705" spans="15:47" ht="14.5" x14ac:dyDescent="0.35">
      <c r="O2705" s="6"/>
      <c r="P2705" s="6"/>
      <c r="Q2705" s="60"/>
      <c r="R2705" s="67"/>
      <c r="S2705" s="56"/>
      <c r="T2705" s="72"/>
      <c r="V2705" s="11"/>
      <c r="W2705" s="38"/>
      <c r="Y2705" s="11"/>
      <c r="Z2705" s="38"/>
      <c r="AB2705" s="11"/>
      <c r="AC2705" s="38"/>
      <c r="AE2705" s="11"/>
      <c r="AF2705" s="38"/>
      <c r="AH2705" s="11"/>
      <c r="AI2705" s="38"/>
      <c r="AK2705" s="11"/>
      <c r="AL2705" s="38"/>
      <c r="AN2705" s="11"/>
      <c r="AO2705" s="38"/>
      <c r="AQ2705" s="11"/>
      <c r="AR2705" s="38"/>
      <c r="AT2705" s="11"/>
      <c r="AU2705" s="38"/>
    </row>
    <row r="2706" spans="15:47" ht="14" x14ac:dyDescent="0.3">
      <c r="O2706" s="8" t="s">
        <v>235</v>
      </c>
      <c r="P2706" s="6"/>
      <c r="Q2706" s="60"/>
      <c r="R2706" s="53">
        <f>R2695*1.02</f>
        <v>98.385642283348687</v>
      </c>
      <c r="S2706" s="58" t="s">
        <v>238</v>
      </c>
      <c r="T2706" s="73" t="s">
        <v>241</v>
      </c>
      <c r="U2706" s="84">
        <f>U2695*1.01</f>
        <v>317.11350169947065</v>
      </c>
      <c r="V2706" s="58" t="s">
        <v>238</v>
      </c>
      <c r="W2706" s="73" t="s">
        <v>241</v>
      </c>
      <c r="X2706" s="84">
        <f>X2695*1.01</f>
        <v>761.1944729276745</v>
      </c>
      <c r="Y2706" s="58" t="s">
        <v>238</v>
      </c>
      <c r="Z2706" s="73" t="s">
        <v>241</v>
      </c>
      <c r="AA2706" s="84">
        <f>AA2695*1.01</f>
        <v>1453.3992175916392</v>
      </c>
      <c r="AB2706" s="58" t="s">
        <v>238</v>
      </c>
      <c r="AC2706" s="73" t="s">
        <v>241</v>
      </c>
      <c r="AD2706" s="84">
        <f>AD2695*1.01</f>
        <v>2390.30660309421</v>
      </c>
      <c r="AE2706" s="58" t="s">
        <v>238</v>
      </c>
      <c r="AF2706" s="73" t="s">
        <v>241</v>
      </c>
      <c r="AG2706" s="84">
        <f>AG2695*1.01</f>
        <v>3558.8408135034242</v>
      </c>
      <c r="AH2706" s="58" t="s">
        <v>238</v>
      </c>
      <c r="AI2706" s="73" t="s">
        <v>241</v>
      </c>
      <c r="AJ2706" s="84">
        <f>AJ2695*1.01</f>
        <v>4749.2868617060076</v>
      </c>
      <c r="AK2706" s="58" t="s">
        <v>238</v>
      </c>
      <c r="AL2706" s="73" t="s">
        <v>241</v>
      </c>
      <c r="AM2706" s="84">
        <f>AM2695*1.01</f>
        <v>5795.0325255094067</v>
      </c>
      <c r="AN2706" s="58" t="s">
        <v>238</v>
      </c>
      <c r="AO2706" s="73" t="s">
        <v>241</v>
      </c>
      <c r="AP2706" s="84">
        <f>AP2695*1.01</f>
        <v>6727.8528574758193</v>
      </c>
      <c r="AQ2706" s="58" t="s">
        <v>238</v>
      </c>
      <c r="AR2706" s="73" t="s">
        <v>241</v>
      </c>
      <c r="AS2706" s="84">
        <f>AS2695*1.01</f>
        <v>7656.9241288371386</v>
      </c>
      <c r="AT2706" s="58" t="s">
        <v>238</v>
      </c>
      <c r="AU2706" s="73" t="s">
        <v>241</v>
      </c>
    </row>
    <row r="2707" spans="15:47" ht="13" x14ac:dyDescent="0.25">
      <c r="O2707" s="6"/>
      <c r="P2707" s="6"/>
      <c r="Q2707" s="60"/>
      <c r="R2707" s="70"/>
      <c r="S2707" s="63" t="s">
        <v>250</v>
      </c>
      <c r="T2707" s="71" t="s">
        <v>242</v>
      </c>
      <c r="U2707" s="61"/>
      <c r="V2707" s="63" t="s">
        <v>250</v>
      </c>
      <c r="W2707" s="71" t="s">
        <v>242</v>
      </c>
      <c r="X2707" s="61"/>
      <c r="Y2707" s="63" t="s">
        <v>250</v>
      </c>
      <c r="Z2707" s="71" t="s">
        <v>242</v>
      </c>
      <c r="AA2707" s="61"/>
      <c r="AB2707" s="63" t="s">
        <v>250</v>
      </c>
      <c r="AC2707" s="71" t="s">
        <v>242</v>
      </c>
      <c r="AD2707" s="61"/>
      <c r="AE2707" s="63" t="s">
        <v>250</v>
      </c>
      <c r="AF2707" s="71" t="s">
        <v>242</v>
      </c>
      <c r="AG2707" s="61"/>
      <c r="AH2707" s="63" t="s">
        <v>250</v>
      </c>
      <c r="AI2707" s="71" t="s">
        <v>242</v>
      </c>
      <c r="AJ2707" s="61"/>
      <c r="AK2707" s="63" t="s">
        <v>250</v>
      </c>
      <c r="AL2707" s="71" t="s">
        <v>242</v>
      </c>
      <c r="AM2707" s="61"/>
      <c r="AN2707" s="63" t="s">
        <v>250</v>
      </c>
      <c r="AO2707" s="71" t="s">
        <v>242</v>
      </c>
      <c r="AP2707" s="61"/>
      <c r="AQ2707" s="63" t="s">
        <v>250</v>
      </c>
      <c r="AR2707" s="71" t="s">
        <v>242</v>
      </c>
      <c r="AS2707" s="61"/>
      <c r="AT2707" s="63" t="s">
        <v>250</v>
      </c>
      <c r="AU2707" s="71" t="s">
        <v>242</v>
      </c>
    </row>
    <row r="2708" spans="15:47" ht="13" x14ac:dyDescent="0.3">
      <c r="O2708" s="6" t="s">
        <v>231</v>
      </c>
      <c r="P2708" s="6"/>
      <c r="Q2708" s="60"/>
      <c r="R2708" s="85">
        <f>P_1_minQ-(R2706^2*R_up)+dpup_minQ</f>
        <v>56.589235575565446</v>
      </c>
      <c r="S2708" s="56"/>
      <c r="T2708" s="72"/>
      <c r="U2708" s="53">
        <f>P_1_minQ-(U2706^2*R_up)+dpup_minQ</f>
        <v>53.519960386352579</v>
      </c>
      <c r="V2708" s="44"/>
      <c r="W2708" s="72"/>
      <c r="X2708" s="53">
        <f>P_1_minQ-(X2706^2*R_up)+dpup_minQ</f>
        <v>37.347854589137448</v>
      </c>
      <c r="Y2708" s="44"/>
      <c r="Z2708" s="72"/>
      <c r="AA2708" s="53">
        <f>P_1_minQ-(AA2706^2*R_up)+dpup_minQ</f>
        <v>-14.42358276582198</v>
      </c>
      <c r="AB2708" s="44"/>
      <c r="AC2708" s="72"/>
      <c r="AD2708" s="53">
        <f>P_1_minQ-(AD2706^2*R_up)+dpup_minQ</f>
        <v>-136.04453417074578</v>
      </c>
      <c r="AE2708" s="44"/>
      <c r="AF2708" s="72"/>
      <c r="AG2708" s="53">
        <f>P_1_minQ-(AG2706^2*R_up)+dpup_minQ</f>
        <v>-370.82272664159797</v>
      </c>
      <c r="AH2708" s="44"/>
      <c r="AI2708" s="72"/>
      <c r="AJ2708" s="53">
        <f>P_1_minQ-(AJ2706^2*R_up)+dpup_minQ</f>
        <v>-704.844265274343</v>
      </c>
      <c r="AK2708" s="44"/>
      <c r="AL2708" s="72"/>
      <c r="AM2708" s="53">
        <f>P_1_minQ-(AM2706^2*R_up)+dpup_minQ</f>
        <v>-1077.241302658289</v>
      </c>
      <c r="AN2708" s="44"/>
      <c r="AO2708" s="72"/>
      <c r="AP2708" s="53">
        <f>P_1_minQ-(AP2706^2*R_up)+dpup_minQ</f>
        <v>-1471.7567400150472</v>
      </c>
      <c r="AQ2708" s="44"/>
      <c r="AR2708" s="72"/>
      <c r="AS2708" s="53">
        <f>P_1_minQ-(AS2706^2*R_up)+dpup_minQ</f>
        <v>-1923.1070623022079</v>
      </c>
      <c r="AT2708" s="44"/>
      <c r="AU2708" s="72"/>
    </row>
    <row r="2709" spans="15:47" ht="13" x14ac:dyDescent="0.3">
      <c r="O2709" s="6" t="s">
        <v>233</v>
      </c>
      <c r="P2709" s="6"/>
      <c r="Q2709" s="60"/>
      <c r="R2709" s="85">
        <f>P_2_minQ+(R2706^2*R_dn)-dpdn_minQ</f>
        <v>24.72215288488691</v>
      </c>
      <c r="S2709" s="66"/>
      <c r="T2709" s="74"/>
      <c r="U2709" s="53">
        <f>P_2_minQ+(U2706^2*R_dn)-dpdn_minQ</f>
        <v>25.336007922729486</v>
      </c>
      <c r="V2709" s="45"/>
      <c r="W2709" s="74"/>
      <c r="X2709" s="53">
        <f>P_2_minQ+(X2706^2*R_dn)-dpdn_minQ</f>
        <v>28.570429082172513</v>
      </c>
      <c r="Y2709" s="45"/>
      <c r="Z2709" s="74"/>
      <c r="AA2709" s="53">
        <f>P_2_minQ+(AA2706^2*R_dn)-dpdn_minQ</f>
        <v>38.924716553164401</v>
      </c>
      <c r="AB2709" s="45"/>
      <c r="AC2709" s="74"/>
      <c r="AD2709" s="53">
        <f>P_2_minQ+(AD2706^2*R_dn)-dpdn_minQ</f>
        <v>63.248906834149153</v>
      </c>
      <c r="AE2709" s="45"/>
      <c r="AF2709" s="74"/>
      <c r="AG2709" s="53">
        <f>P_2_minQ+(AG2706^2*R_dn)-dpdn_minQ</f>
        <v>110.2045453283196</v>
      </c>
      <c r="AH2709" s="45"/>
      <c r="AI2709" s="74"/>
      <c r="AJ2709" s="53">
        <f>P_2_minQ+(AJ2706^2*R_dn)-dpdn_minQ</f>
        <v>177.00885305486864</v>
      </c>
      <c r="AK2709" s="45"/>
      <c r="AL2709" s="74"/>
      <c r="AM2709" s="53">
        <f>P_2_minQ+(AM2706^2*R_dn)-dpdn_minQ</f>
        <v>251.4882605316578</v>
      </c>
      <c r="AN2709" s="45"/>
      <c r="AO2709" s="74"/>
      <c r="AP2709" s="53">
        <f>P_2_minQ+(AP2706^2*R_dn)-dpdn_minQ</f>
        <v>330.3913480030094</v>
      </c>
      <c r="AQ2709" s="45"/>
      <c r="AR2709" s="74"/>
      <c r="AS2709" s="53">
        <f>P_2_minQ+(AS2706^2*R_dn)-dpdn_minQ</f>
        <v>420.66141246044151</v>
      </c>
      <c r="AT2709" s="45"/>
      <c r="AU2709" s="74"/>
    </row>
    <row r="2710" spans="15:47" x14ac:dyDescent="0.25">
      <c r="O2710" s="6" t="s">
        <v>243</v>
      </c>
      <c r="Q2710" s="60"/>
      <c r="R2710" s="53">
        <f>R2708-R2709</f>
        <v>31.867082690678536</v>
      </c>
      <c r="S2710" s="56"/>
      <c r="T2710" s="72"/>
      <c r="U2710" s="64">
        <f>U2708-U2709</f>
        <v>28.183952463623093</v>
      </c>
      <c r="V2710" s="44"/>
      <c r="W2710" s="72"/>
      <c r="X2710" s="64">
        <f>X2708-X2709</f>
        <v>8.777425506964935</v>
      </c>
      <c r="Y2710" s="44"/>
      <c r="Z2710" s="72"/>
      <c r="AA2710" s="64">
        <f>AA2708-AA2709</f>
        <v>-53.348299318986378</v>
      </c>
      <c r="AB2710" s="44"/>
      <c r="AC2710" s="72"/>
      <c r="AD2710" s="64">
        <f>AD2708-AD2709</f>
        <v>-199.29344100489493</v>
      </c>
      <c r="AE2710" s="44"/>
      <c r="AF2710" s="72"/>
      <c r="AG2710" s="64">
        <f>AG2708-AG2709</f>
        <v>-481.02727196991759</v>
      </c>
      <c r="AH2710" s="44"/>
      <c r="AI2710" s="72"/>
      <c r="AJ2710" s="64">
        <f>AJ2708-AJ2709</f>
        <v>-881.85311832921161</v>
      </c>
      <c r="AK2710" s="44"/>
      <c r="AL2710" s="72"/>
      <c r="AM2710" s="64">
        <f>AM2708-AM2709</f>
        <v>-1328.7295631899467</v>
      </c>
      <c r="AN2710" s="44"/>
      <c r="AO2710" s="72"/>
      <c r="AP2710" s="64">
        <f>AP2708-AP2709</f>
        <v>-1802.1480880180566</v>
      </c>
      <c r="AQ2710" s="44"/>
      <c r="AR2710" s="72"/>
      <c r="AS2710" s="64">
        <f>AS2708-AS2709</f>
        <v>-2343.7684747626495</v>
      </c>
      <c r="AT2710" s="44"/>
      <c r="AU2710" s="72"/>
    </row>
    <row r="2711" spans="15:47" ht="13" x14ac:dyDescent="0.3">
      <c r="O2711" s="6" t="s">
        <v>75</v>
      </c>
      <c r="P2711" s="6">
        <v>3</v>
      </c>
      <c r="Q2711" s="65"/>
      <c r="R2711" s="85">
        <f>(F_LP_h/F_P_h)^2*(R2708-('Valve Sizing'!$V$4*'Valve Sizing'!$G$7))</f>
        <v>46.494466573575004</v>
      </c>
      <c r="S2711" s="58"/>
      <c r="T2711" s="73"/>
      <c r="U2711" s="53">
        <f>(U$29/U$27)^2*(U2708-('Valve Sizing'!$V$4*'Valve Sizing'!$G$7))</f>
        <v>43.940965853617207</v>
      </c>
      <c r="V2711" s="41"/>
      <c r="W2711" s="73"/>
      <c r="X2711" s="53">
        <f>(X$29/X$27)^2*(X2708-('Valve Sizing'!$V$4*'Valve Sizing'!$G$7))</f>
        <v>29.864075450146846</v>
      </c>
      <c r="Y2711" s="41"/>
      <c r="Z2711" s="73"/>
      <c r="AA2711" s="53">
        <f>(AA$29/AA$27)^2*(AA2708-('Valve Sizing'!$V$4*'Valve Sizing'!$G$7))</f>
        <v>-11.486580027194552</v>
      </c>
      <c r="AB2711" s="41"/>
      <c r="AC2711" s="73"/>
      <c r="AD2711" s="53">
        <f>(AD$29/AD$27)^2*(AD2708-('Valve Sizing'!$V$4*'Valve Sizing'!$G$7))</f>
        <v>-98.430968908309666</v>
      </c>
      <c r="AE2711" s="41"/>
      <c r="AF2711" s="73"/>
      <c r="AG2711" s="53">
        <f>(AG$29/AG$27)^2*(AG2708-('Valve Sizing'!$V$4*'Valve Sizing'!$G$7))</f>
        <v>-239.10955053461086</v>
      </c>
      <c r="AH2711" s="41"/>
      <c r="AI2711" s="73"/>
      <c r="AJ2711" s="53">
        <f>(AJ$29/AJ$27)^2*(AJ2708-('Valve Sizing'!$V$4*'Valve Sizing'!$G$7))</f>
        <v>-407.9112986551059</v>
      </c>
      <c r="AK2711" s="41"/>
      <c r="AL2711" s="73"/>
      <c r="AM2711" s="53">
        <f>(AM$29/AM$27)^2*(AM2708-('Valve Sizing'!$V$4*'Valve Sizing'!$G$7))</f>
        <v>-515.64051674119639</v>
      </c>
      <c r="AN2711" s="41"/>
      <c r="AO2711" s="73"/>
      <c r="AP2711" s="53">
        <f>(AP$29/AP$27)^2*(AP2708-('Valve Sizing'!$V$4*'Valve Sizing'!$G$7))</f>
        <v>-580.96835151723531</v>
      </c>
      <c r="AQ2711" s="41"/>
      <c r="AR2711" s="73"/>
      <c r="AS2711" s="53">
        <f>(AS$29/AS$27)^2*(AS2708-('Valve Sizing'!$V$4*'Valve Sizing'!$G$7))</f>
        <v>-723.52454120206983</v>
      </c>
      <c r="AT2711" s="41"/>
      <c r="AU2711" s="73"/>
    </row>
    <row r="2712" spans="15:47" ht="13" x14ac:dyDescent="0.25">
      <c r="O2712" s="1" t="s">
        <v>69</v>
      </c>
      <c r="P2712" s="17">
        <v>7</v>
      </c>
      <c r="Q2712" s="65"/>
      <c r="R2712" s="53">
        <f>(R2706/(N_1*F_P_h))*SQRT('Valve Sizing'!$G$6/R2710)</f>
        <v>17.431072134812776</v>
      </c>
      <c r="S2712" s="58"/>
      <c r="T2712" s="73"/>
      <c r="U2712" s="64">
        <f>(U2706/(N_1*U$27))*SQRT('Valve Sizing'!$G$6/U2710)</f>
        <v>59.783240914325766</v>
      </c>
      <c r="V2712" s="41"/>
      <c r="W2712" s="73"/>
      <c r="X2712" s="64">
        <f>(X2706/(N_1*X$27))*SQRT('Valve Sizing'!$G$6/X2710)</f>
        <v>257.72251909481355</v>
      </c>
      <c r="Y2712" s="41"/>
      <c r="Z2712" s="73"/>
      <c r="AA2712" s="64" t="e">
        <f>(AA2706/(N_1*AA$27))*SQRT('Valve Sizing'!$G$6/AA2710)</f>
        <v>#NUM!</v>
      </c>
      <c r="AB2712" s="41"/>
      <c r="AC2712" s="73"/>
      <c r="AD2712" s="64" t="e">
        <f>(AD2706/(N_1*AD$27))*SQRT('Valve Sizing'!$G$6/AD2710)</f>
        <v>#NUM!</v>
      </c>
      <c r="AE2712" s="41"/>
      <c r="AF2712" s="73"/>
      <c r="AG2712" s="64" t="e">
        <f>(AG2706/(N_1*AG$27))*SQRT('Valve Sizing'!$G$6/AG2710)</f>
        <v>#NUM!</v>
      </c>
      <c r="AH2712" s="41"/>
      <c r="AI2712" s="73"/>
      <c r="AJ2712" s="64" t="e">
        <f>(AJ2706/(N_1*AJ$27))*SQRT('Valve Sizing'!$G$6/AJ2710)</f>
        <v>#NUM!</v>
      </c>
      <c r="AK2712" s="41"/>
      <c r="AL2712" s="73"/>
      <c r="AM2712" s="64" t="e">
        <f>(AM2706/(N_1*AM$27))*SQRT('Valve Sizing'!$G$6/AM2710)</f>
        <v>#NUM!</v>
      </c>
      <c r="AN2712" s="41"/>
      <c r="AO2712" s="73"/>
      <c r="AP2712" s="64" t="e">
        <f>(AP2706/(N_1*AP$27))*SQRT('Valve Sizing'!$G$6/AP2710)</f>
        <v>#NUM!</v>
      </c>
      <c r="AQ2712" s="41"/>
      <c r="AR2712" s="73"/>
      <c r="AS2712" s="64" t="e">
        <f>(AS2706/(N_1*AS$27))*SQRT('Valve Sizing'!$G$6/AS2710)</f>
        <v>#NUM!</v>
      </c>
      <c r="AT2712" s="41"/>
      <c r="AU2712" s="73"/>
    </row>
    <row r="2713" spans="15:47" ht="13" x14ac:dyDescent="0.3">
      <c r="O2713" s="1" t="s">
        <v>72</v>
      </c>
      <c r="P2713" s="17">
        <v>7</v>
      </c>
      <c r="Q2713" s="65"/>
      <c r="R2713" s="53">
        <f>(R2706/(N_1*F_P_h))*SQRT('Valve Sizing'!$G$6/R2711)</f>
        <v>14.430939934758035</v>
      </c>
      <c r="S2713" s="56"/>
      <c r="T2713" s="72"/>
      <c r="U2713" s="85">
        <f>(U2706/(N_1*U$27))*SQRT('Valve Sizing'!$G$6/U2711)</f>
        <v>47.879058782431017</v>
      </c>
      <c r="V2713" s="44"/>
      <c r="W2713" s="72"/>
      <c r="X2713" s="85">
        <f>(X2706/(N_1*X$27))*SQRT('Valve Sizing'!$G$6/X2711)</f>
        <v>139.72091040390038</v>
      </c>
      <c r="Y2713" s="44"/>
      <c r="Z2713" s="72"/>
      <c r="AA2713" s="85" t="e">
        <f>(AA2706/(N_1*AA$27))*SQRT('Valve Sizing'!$G$6/AA2711)</f>
        <v>#NUM!</v>
      </c>
      <c r="AB2713" s="44"/>
      <c r="AC2713" s="72"/>
      <c r="AD2713" s="85" t="e">
        <f>(AD2706/(N_1*AD$27))*SQRT('Valve Sizing'!$G$6/AD2711)</f>
        <v>#NUM!</v>
      </c>
      <c r="AE2713" s="44"/>
      <c r="AF2713" s="72"/>
      <c r="AG2713" s="85" t="e">
        <f>(AG2706/(N_1*AG$27))*SQRT('Valve Sizing'!$G$6/AG2711)</f>
        <v>#NUM!</v>
      </c>
      <c r="AH2713" s="44"/>
      <c r="AI2713" s="72"/>
      <c r="AJ2713" s="85" t="e">
        <f>(AJ2706/(N_1*AJ$27))*SQRT('Valve Sizing'!$G$6/AJ2711)</f>
        <v>#NUM!</v>
      </c>
      <c r="AK2713" s="44"/>
      <c r="AL2713" s="72"/>
      <c r="AM2713" s="85" t="e">
        <f>(AM2706/(N_1*AM$27))*SQRT('Valve Sizing'!$G$6/AM2711)</f>
        <v>#NUM!</v>
      </c>
      <c r="AN2713" s="44"/>
      <c r="AO2713" s="72"/>
      <c r="AP2713" s="85" t="e">
        <f>(AP2706/(N_1*AP$27))*SQRT('Valve Sizing'!$G$6/AP2711)</f>
        <v>#NUM!</v>
      </c>
      <c r="AQ2713" s="44"/>
      <c r="AR2713" s="72"/>
      <c r="AS2713" s="85" t="e">
        <f>(AS2706/(N_1*AS$27))*SQRT('Valve Sizing'!$G$6/AS2711)</f>
        <v>#NUM!</v>
      </c>
      <c r="AT2713" s="44"/>
      <c r="AU2713" s="72"/>
    </row>
    <row r="2714" spans="15:47" x14ac:dyDescent="0.25">
      <c r="O2714" s="1" t="s">
        <v>246</v>
      </c>
      <c r="P2714" s="18"/>
      <c r="Q2714" s="65"/>
      <c r="R2714" s="53">
        <f>IF(R2710&lt;R2711,R2712,R2713)</f>
        <v>17.431072134812776</v>
      </c>
      <c r="S2714" s="49"/>
      <c r="T2714" s="72"/>
      <c r="U2714" s="64">
        <f>IF(U2710&lt;U2711,U2712,U2713)</f>
        <v>59.783240914325766</v>
      </c>
      <c r="V2714" s="44"/>
      <c r="W2714" s="72"/>
      <c r="X2714" s="64">
        <f>IF(X2710&lt;X2711,X2712,X2713)</f>
        <v>257.72251909481355</v>
      </c>
      <c r="Y2714" s="44"/>
      <c r="Z2714" s="72"/>
      <c r="AA2714" s="64" t="e">
        <f>IF(AA2710&lt;AA2711,AA2712,AA2713)</f>
        <v>#NUM!</v>
      </c>
      <c r="AB2714" s="44"/>
      <c r="AC2714" s="72"/>
      <c r="AD2714" s="64" t="e">
        <f>IF(AD2710&lt;AD2711,AD2712,AD2713)</f>
        <v>#NUM!</v>
      </c>
      <c r="AE2714" s="44"/>
      <c r="AF2714" s="72"/>
      <c r="AG2714" s="64" t="e">
        <f>IF(AG2710&lt;AG2711,AG2712,AG2713)</f>
        <v>#NUM!</v>
      </c>
      <c r="AH2714" s="44"/>
      <c r="AI2714" s="72"/>
      <c r="AJ2714" s="64" t="e">
        <f>IF(AJ2710&lt;AJ2711,AJ2712,AJ2713)</f>
        <v>#NUM!</v>
      </c>
      <c r="AK2714" s="44"/>
      <c r="AL2714" s="72"/>
      <c r="AM2714" s="64" t="e">
        <f>IF(AM2710&lt;AM2711,AM2712,AM2713)</f>
        <v>#NUM!</v>
      </c>
      <c r="AN2714" s="44"/>
      <c r="AO2714" s="72"/>
      <c r="AP2714" s="64" t="e">
        <f>IF(AP2710&lt;AP2711,AP2712,AP2713)</f>
        <v>#NUM!</v>
      </c>
      <c r="AQ2714" s="44"/>
      <c r="AR2714" s="72"/>
      <c r="AS2714" s="64" t="e">
        <f>IF(AS2710&lt;AS2711,AS2712,AS2713)</f>
        <v>#NUM!</v>
      </c>
      <c r="AT2714" s="44"/>
      <c r="AU2714" s="72"/>
    </row>
    <row r="2715" spans="15:47" ht="13" x14ac:dyDescent="0.3">
      <c r="O2715" s="7" t="s">
        <v>264</v>
      </c>
      <c r="Q2715" s="61"/>
      <c r="R2715" s="53"/>
      <c r="S2715" s="69">
        <f>IFERROR(ABS(C_h-R2714),Q_max*10)</f>
        <v>12.431072134812776</v>
      </c>
      <c r="T2715" s="76">
        <f>R2706</f>
        <v>98.385642283348687</v>
      </c>
      <c r="U2715" s="61"/>
      <c r="V2715" s="69">
        <f>IFERROR(ABS(U$23-U2714),Q_max*10)</f>
        <v>47.783240914325766</v>
      </c>
      <c r="W2715" s="75">
        <f>U2706</f>
        <v>317.11350169947065</v>
      </c>
      <c r="X2715" s="61"/>
      <c r="Y2715" s="69">
        <f>IFERROR(ABS(X$23-X2714),Q_max*10)</f>
        <v>234.72251909481355</v>
      </c>
      <c r="Z2715" s="75">
        <f>X2706</f>
        <v>761.1944729276745</v>
      </c>
      <c r="AA2715" s="61"/>
      <c r="AB2715" s="69">
        <f>IFERROR(ABS(AA$23-AA2714),Q_max*10)</f>
        <v>5500</v>
      </c>
      <c r="AC2715" s="75">
        <f>AA2706</f>
        <v>1453.3992175916392</v>
      </c>
      <c r="AD2715" s="61"/>
      <c r="AE2715" s="69">
        <f>IFERROR(ABS(AD$23-AD2714),Q_max*10)</f>
        <v>5500</v>
      </c>
      <c r="AF2715" s="75">
        <f>AD2706</f>
        <v>2390.30660309421</v>
      </c>
      <c r="AG2715" s="61"/>
      <c r="AH2715" s="69">
        <f>IFERROR(ABS(AG$23-AG2714),Q_max*10)</f>
        <v>5500</v>
      </c>
      <c r="AI2715" s="75">
        <f>AG2706</f>
        <v>3558.8408135034242</v>
      </c>
      <c r="AJ2715" s="61"/>
      <c r="AK2715" s="69">
        <f>IFERROR(ABS(AJ$23-AJ2714),Q_max*10)</f>
        <v>5500</v>
      </c>
      <c r="AL2715" s="75">
        <f>AJ2706</f>
        <v>4749.2868617060076</v>
      </c>
      <c r="AM2715" s="61"/>
      <c r="AN2715" s="69">
        <f>IFERROR(ABS(AM$23-AM2714),Q_max*10)</f>
        <v>5500</v>
      </c>
      <c r="AO2715" s="75">
        <f>AM2706</f>
        <v>5795.0325255094067</v>
      </c>
      <c r="AP2715" s="61"/>
      <c r="AQ2715" s="69">
        <f>IFERROR(ABS(AP$23-AP2714),Q_max*10)</f>
        <v>5500</v>
      </c>
      <c r="AR2715" s="75">
        <f>AP2706</f>
        <v>6727.8528574758193</v>
      </c>
      <c r="AS2715" s="61"/>
      <c r="AT2715" s="69">
        <f>IFERROR(ABS(AS$23-AS2714),Q_max*10)</f>
        <v>5500</v>
      </c>
      <c r="AU2715" s="75">
        <f>AS2706</f>
        <v>7656.9241288371386</v>
      </c>
    </row>
    <row r="2716" spans="15:47" ht="14.5" x14ac:dyDescent="0.35">
      <c r="O2716" s="6"/>
      <c r="P2716" s="6"/>
      <c r="Q2716" s="60"/>
      <c r="R2716" s="67"/>
      <c r="S2716" s="58"/>
      <c r="T2716" s="73"/>
      <c r="V2716" s="11"/>
      <c r="W2716" s="38"/>
      <c r="Y2716" s="11"/>
      <c r="Z2716" s="38"/>
      <c r="AB2716" s="11"/>
      <c r="AC2716" s="38"/>
      <c r="AE2716" s="11"/>
      <c r="AF2716" s="38"/>
      <c r="AH2716" s="11"/>
      <c r="AI2716" s="38"/>
      <c r="AK2716" s="11"/>
      <c r="AL2716" s="38"/>
      <c r="AN2716" s="11"/>
      <c r="AO2716" s="38"/>
      <c r="AQ2716" s="11"/>
      <c r="AR2716" s="38"/>
      <c r="AT2716" s="11"/>
      <c r="AU2716" s="38"/>
    </row>
    <row r="2717" spans="15:47" ht="14" x14ac:dyDescent="0.3">
      <c r="O2717" s="8" t="s">
        <v>235</v>
      </c>
      <c r="P2717" s="6"/>
      <c r="Q2717" s="60"/>
      <c r="R2717" s="53">
        <f>R2706*1.02</f>
        <v>100.35335512901567</v>
      </c>
      <c r="S2717" s="58" t="s">
        <v>238</v>
      </c>
      <c r="T2717" s="73" t="s">
        <v>241</v>
      </c>
      <c r="U2717" s="84">
        <f>U2706*1.01</f>
        <v>320.28463671646534</v>
      </c>
      <c r="V2717" s="58" t="s">
        <v>238</v>
      </c>
      <c r="W2717" s="73" t="s">
        <v>241</v>
      </c>
      <c r="X2717" s="84">
        <f>X2706*1.01</f>
        <v>768.80641765695123</v>
      </c>
      <c r="Y2717" s="58" t="s">
        <v>238</v>
      </c>
      <c r="Z2717" s="73" t="s">
        <v>241</v>
      </c>
      <c r="AA2717" s="84">
        <f>AA2706*1.01</f>
        <v>1467.9332097675556</v>
      </c>
      <c r="AB2717" s="58" t="s">
        <v>238</v>
      </c>
      <c r="AC2717" s="73" t="s">
        <v>241</v>
      </c>
      <c r="AD2717" s="84">
        <f>AD2706*1.01</f>
        <v>2414.2096691251522</v>
      </c>
      <c r="AE2717" s="58" t="s">
        <v>238</v>
      </c>
      <c r="AF2717" s="73" t="s">
        <v>241</v>
      </c>
      <c r="AG2717" s="84">
        <f>AG2706*1.01</f>
        <v>3594.4292216384583</v>
      </c>
      <c r="AH2717" s="58" t="s">
        <v>238</v>
      </c>
      <c r="AI2717" s="73" t="s">
        <v>241</v>
      </c>
      <c r="AJ2717" s="84">
        <f>AJ2706*1.01</f>
        <v>4796.7797303230673</v>
      </c>
      <c r="AK2717" s="58" t="s">
        <v>238</v>
      </c>
      <c r="AL2717" s="73" t="s">
        <v>241</v>
      </c>
      <c r="AM2717" s="84">
        <f>AM2706*1.01</f>
        <v>5852.9828507645007</v>
      </c>
      <c r="AN2717" s="58" t="s">
        <v>238</v>
      </c>
      <c r="AO2717" s="73" t="s">
        <v>241</v>
      </c>
      <c r="AP2717" s="84">
        <f>AP2706*1.01</f>
        <v>6795.1313860505779</v>
      </c>
      <c r="AQ2717" s="58" t="s">
        <v>238</v>
      </c>
      <c r="AR2717" s="73" t="s">
        <v>241</v>
      </c>
      <c r="AS2717" s="84">
        <f>AS2706*1.01</f>
        <v>7733.4933701255104</v>
      </c>
      <c r="AT2717" s="58" t="s">
        <v>238</v>
      </c>
      <c r="AU2717" s="73" t="s">
        <v>241</v>
      </c>
    </row>
    <row r="2718" spans="15:47" ht="13" x14ac:dyDescent="0.25">
      <c r="O2718" s="6"/>
      <c r="P2718" s="6"/>
      <c r="Q2718" s="60"/>
      <c r="R2718" s="70"/>
      <c r="S2718" s="63" t="s">
        <v>250</v>
      </c>
      <c r="T2718" s="71" t="s">
        <v>242</v>
      </c>
      <c r="U2718" s="61"/>
      <c r="V2718" s="63" t="s">
        <v>250</v>
      </c>
      <c r="W2718" s="71" t="s">
        <v>242</v>
      </c>
      <c r="X2718" s="61"/>
      <c r="Y2718" s="63" t="s">
        <v>250</v>
      </c>
      <c r="Z2718" s="71" t="s">
        <v>242</v>
      </c>
      <c r="AA2718" s="61"/>
      <c r="AB2718" s="63" t="s">
        <v>250</v>
      </c>
      <c r="AC2718" s="71" t="s">
        <v>242</v>
      </c>
      <c r="AD2718" s="61"/>
      <c r="AE2718" s="63" t="s">
        <v>250</v>
      </c>
      <c r="AF2718" s="71" t="s">
        <v>242</v>
      </c>
      <c r="AG2718" s="61"/>
      <c r="AH2718" s="63" t="s">
        <v>250</v>
      </c>
      <c r="AI2718" s="71" t="s">
        <v>242</v>
      </c>
      <c r="AJ2718" s="61"/>
      <c r="AK2718" s="63" t="s">
        <v>250</v>
      </c>
      <c r="AL2718" s="71" t="s">
        <v>242</v>
      </c>
      <c r="AM2718" s="61"/>
      <c r="AN2718" s="63" t="s">
        <v>250</v>
      </c>
      <c r="AO2718" s="71" t="s">
        <v>242</v>
      </c>
      <c r="AP2718" s="61"/>
      <c r="AQ2718" s="63" t="s">
        <v>250</v>
      </c>
      <c r="AR2718" s="71" t="s">
        <v>242</v>
      </c>
      <c r="AS2718" s="61"/>
      <c r="AT2718" s="63" t="s">
        <v>250</v>
      </c>
      <c r="AU2718" s="71" t="s">
        <v>242</v>
      </c>
    </row>
    <row r="2719" spans="15:47" ht="13" x14ac:dyDescent="0.3">
      <c r="O2719" s="6" t="s">
        <v>231</v>
      </c>
      <c r="P2719" s="6"/>
      <c r="Q2719" s="60"/>
      <c r="R2719" s="85">
        <f>P_1_minQ-(R2717^2*R_up)+dpup_minQ</f>
        <v>56.576028507745683</v>
      </c>
      <c r="S2719" s="56"/>
      <c r="T2719" s="72"/>
      <c r="U2719" s="53">
        <f>P_1_minQ-(U2717^2*R_up)+dpup_minQ</f>
        <v>53.451697111901446</v>
      </c>
      <c r="V2719" s="44"/>
      <c r="W2719" s="72"/>
      <c r="X2719" s="53">
        <f>P_1_minQ-(X2717^2*R_up)+dpup_minQ</f>
        <v>36.954531988162294</v>
      </c>
      <c r="Y2719" s="44"/>
      <c r="Z2719" s="72"/>
      <c r="AA2719" s="53">
        <f>P_1_minQ-(AA2717^2*R_up)+dpup_minQ</f>
        <v>-15.857511257631831</v>
      </c>
      <c r="AB2719" s="44"/>
      <c r="AC2719" s="72"/>
      <c r="AD2719" s="53">
        <f>P_1_minQ-(AD2717^2*R_up)+dpup_minQ</f>
        <v>-139.92304378579459</v>
      </c>
      <c r="AE2719" s="44"/>
      <c r="AF2719" s="72"/>
      <c r="AG2719" s="53">
        <f>P_1_minQ-(AG2717^2*R_up)+dpup_minQ</f>
        <v>-379.42027792531081</v>
      </c>
      <c r="AH2719" s="44"/>
      <c r="AI2719" s="72"/>
      <c r="AJ2719" s="53">
        <f>P_1_minQ-(AJ2717^2*R_up)+dpup_minQ</f>
        <v>-720.15564948457404</v>
      </c>
      <c r="AK2719" s="44"/>
      <c r="AL2719" s="72"/>
      <c r="AM2719" s="53">
        <f>P_1_minQ-(AM2717^2*R_up)+dpup_minQ</f>
        <v>-1100.0378673199373</v>
      </c>
      <c r="AN2719" s="44"/>
      <c r="AO2719" s="72"/>
      <c r="AP2719" s="53">
        <f>P_1_minQ-(AP2717^2*R_up)+dpup_minQ</f>
        <v>-1502.4830649675669</v>
      </c>
      <c r="AQ2719" s="44"/>
      <c r="AR2719" s="72"/>
      <c r="AS2719" s="53">
        <f>P_1_minQ-(AS2717^2*R_up)+dpup_minQ</f>
        <v>-1962.9055287326994</v>
      </c>
      <c r="AT2719" s="44"/>
      <c r="AU2719" s="72"/>
    </row>
    <row r="2720" spans="15:47" ht="13" x14ac:dyDescent="0.3">
      <c r="O2720" s="6" t="s">
        <v>233</v>
      </c>
      <c r="P2720" s="6"/>
      <c r="Q2720" s="60"/>
      <c r="R2720" s="85">
        <f>P_2_minQ+(R2717^2*R_dn)-dpdn_minQ</f>
        <v>24.724794298450863</v>
      </c>
      <c r="S2720" s="66"/>
      <c r="T2720" s="74"/>
      <c r="U2720" s="53">
        <f>P_2_minQ+(U2717^2*R_dn)-dpdn_minQ</f>
        <v>25.349660577619712</v>
      </c>
      <c r="V2720" s="45"/>
      <c r="W2720" s="74"/>
      <c r="X2720" s="53">
        <f>P_2_minQ+(X2717^2*R_dn)-dpdn_minQ</f>
        <v>28.649093602367543</v>
      </c>
      <c r="Y2720" s="45"/>
      <c r="Z2720" s="74"/>
      <c r="AA2720" s="53">
        <f>P_2_minQ+(AA2717^2*R_dn)-dpdn_minQ</f>
        <v>39.211502251526369</v>
      </c>
      <c r="AB2720" s="45"/>
      <c r="AC2720" s="74"/>
      <c r="AD2720" s="53">
        <f>P_2_minQ+(AD2717^2*R_dn)-dpdn_minQ</f>
        <v>64.024608757158916</v>
      </c>
      <c r="AE2720" s="45"/>
      <c r="AF2720" s="74"/>
      <c r="AG2720" s="53">
        <f>P_2_minQ+(AG2717^2*R_dn)-dpdn_minQ</f>
        <v>111.92405558506216</v>
      </c>
      <c r="AH2720" s="45"/>
      <c r="AI2720" s="74"/>
      <c r="AJ2720" s="53">
        <f>P_2_minQ+(AJ2717^2*R_dn)-dpdn_minQ</f>
        <v>180.07112989691481</v>
      </c>
      <c r="AK2720" s="45"/>
      <c r="AL2720" s="74"/>
      <c r="AM2720" s="53">
        <f>P_2_minQ+(AM2717^2*R_dn)-dpdn_minQ</f>
        <v>256.04757346398742</v>
      </c>
      <c r="AN2720" s="45"/>
      <c r="AO2720" s="74"/>
      <c r="AP2720" s="53">
        <f>P_2_minQ+(AP2717^2*R_dn)-dpdn_minQ</f>
        <v>336.5366129935133</v>
      </c>
      <c r="AQ2720" s="45"/>
      <c r="AR2720" s="74"/>
      <c r="AS2720" s="53">
        <f>P_2_minQ+(AS2717^2*R_dn)-dpdn_minQ</f>
        <v>428.6211057465398</v>
      </c>
      <c r="AT2720" s="45"/>
      <c r="AU2720" s="74"/>
    </row>
    <row r="2721" spans="15:47" x14ac:dyDescent="0.25">
      <c r="O2721" s="6" t="s">
        <v>243</v>
      </c>
      <c r="Q2721" s="60"/>
      <c r="R2721" s="53">
        <f>R2719-R2720</f>
        <v>31.85123420929482</v>
      </c>
      <c r="S2721" s="56"/>
      <c r="T2721" s="72"/>
      <c r="U2721" s="64">
        <f>U2719-U2720</f>
        <v>28.102036534281734</v>
      </c>
      <c r="V2721" s="44"/>
      <c r="W2721" s="72"/>
      <c r="X2721" s="64">
        <f>X2719-X2720</f>
        <v>8.3054383857947514</v>
      </c>
      <c r="Y2721" s="44"/>
      <c r="Z2721" s="72"/>
      <c r="AA2721" s="64">
        <f>AA2719-AA2720</f>
        <v>-55.069013509158196</v>
      </c>
      <c r="AB2721" s="44"/>
      <c r="AC2721" s="72"/>
      <c r="AD2721" s="64">
        <f>AD2719-AD2720</f>
        <v>-203.94765254295351</v>
      </c>
      <c r="AE2721" s="44"/>
      <c r="AF2721" s="72"/>
      <c r="AG2721" s="64">
        <f>AG2719-AG2720</f>
        <v>-491.34433351037296</v>
      </c>
      <c r="AH2721" s="44"/>
      <c r="AI2721" s="72"/>
      <c r="AJ2721" s="64">
        <f>AJ2719-AJ2720</f>
        <v>-900.22677938148888</v>
      </c>
      <c r="AK2721" s="44"/>
      <c r="AL2721" s="72"/>
      <c r="AM2721" s="64">
        <f>AM2719-AM2720</f>
        <v>-1356.0854407839247</v>
      </c>
      <c r="AN2721" s="44"/>
      <c r="AO2721" s="72"/>
      <c r="AP2721" s="64">
        <f>AP2719-AP2720</f>
        <v>-1839.0196779610801</v>
      </c>
      <c r="AQ2721" s="44"/>
      <c r="AR2721" s="72"/>
      <c r="AS2721" s="64">
        <f>AS2719-AS2720</f>
        <v>-2391.526634479239</v>
      </c>
      <c r="AT2721" s="44"/>
      <c r="AU2721" s="72"/>
    </row>
    <row r="2722" spans="15:47" ht="13" x14ac:dyDescent="0.3">
      <c r="O2722" s="6" t="s">
        <v>75</v>
      </c>
      <c r="P2722" s="6">
        <v>3</v>
      </c>
      <c r="Q2722" s="65"/>
      <c r="R2722" s="85">
        <f>(F_LP_h/F_P_h)^2*(R2719-('Valve Sizing'!$V$4*'Valve Sizing'!$G$7))</f>
        <v>46.483530428182057</v>
      </c>
      <c r="S2722" s="58"/>
      <c r="T2722" s="73"/>
      <c r="U2722" s="53">
        <f>(U$29/U$27)^2*(U2719-('Valve Sizing'!$V$4*'Valve Sizing'!$G$7))</f>
        <v>43.88445568577302</v>
      </c>
      <c r="V2722" s="41"/>
      <c r="W2722" s="73"/>
      <c r="X2722" s="53">
        <f>(X$29/X$27)^2*(X2719-('Valve Sizing'!$V$4*'Valve Sizing'!$G$7))</f>
        <v>29.545817065416536</v>
      </c>
      <c r="Y2722" s="41"/>
      <c r="Z2722" s="73"/>
      <c r="AA2722" s="53">
        <f>(AA$29/AA$27)^2*(AA2719-('Valve Sizing'!$V$4*'Valve Sizing'!$G$7))</f>
        <v>-12.594715981284594</v>
      </c>
      <c r="AB2722" s="41"/>
      <c r="AC2722" s="73"/>
      <c r="AD2722" s="53">
        <f>(AD$29/AD$27)^2*(AD2719-('Valve Sizing'!$V$4*'Valve Sizing'!$G$7))</f>
        <v>-101.2281012012927</v>
      </c>
      <c r="AE2722" s="41"/>
      <c r="AF2722" s="73"/>
      <c r="AG2722" s="53">
        <f>(AG$29/AG$27)^2*(AG2719-('Valve Sizing'!$V$4*'Valve Sizing'!$G$7))</f>
        <v>-244.64675143387262</v>
      </c>
      <c r="AH2722" s="41"/>
      <c r="AI2722" s="73"/>
      <c r="AJ2722" s="53">
        <f>(AJ$29/AJ$27)^2*(AJ2719-('Valve Sizing'!$V$4*'Valve Sizing'!$G$7))</f>
        <v>-416.76685720678057</v>
      </c>
      <c r="AK2722" s="41"/>
      <c r="AL2722" s="73"/>
      <c r="AM2722" s="53">
        <f>(AM$29/AM$27)^2*(AM2719-('Valve Sizing'!$V$4*'Valve Sizing'!$G$7))</f>
        <v>-526.54803803161474</v>
      </c>
      <c r="AN2722" s="41"/>
      <c r="AO2722" s="73"/>
      <c r="AP2722" s="53">
        <f>(AP$29/AP$27)^2*(AP2719-('Valve Sizing'!$V$4*'Valve Sizing'!$G$7))</f>
        <v>-593.09378364963129</v>
      </c>
      <c r="AQ2722" s="41"/>
      <c r="AR2722" s="73"/>
      <c r="AS2722" s="53">
        <f>(AS$29/AS$27)^2*(AS2719-('Valve Sizing'!$V$4*'Valve Sizing'!$G$7))</f>
        <v>-738.49436796934913</v>
      </c>
      <c r="AT2722" s="41"/>
      <c r="AU2722" s="73"/>
    </row>
    <row r="2723" spans="15:47" ht="13" x14ac:dyDescent="0.25">
      <c r="O2723" s="1" t="s">
        <v>69</v>
      </c>
      <c r="P2723" s="17">
        <v>7</v>
      </c>
      <c r="Q2723" s="65"/>
      <c r="R2723" s="53">
        <f>(R2717/(N_1*F_P_h))*SQRT('Valve Sizing'!$G$6/R2721)</f>
        <v>17.784116421809131</v>
      </c>
      <c r="S2723" s="58"/>
      <c r="T2723" s="73"/>
      <c r="U2723" s="64">
        <f>(U2717/(N_1*U$27))*SQRT('Valve Sizing'!$G$6/U2721)</f>
        <v>60.469013080386695</v>
      </c>
      <c r="V2723" s="41"/>
      <c r="W2723" s="73"/>
      <c r="X2723" s="64">
        <f>(X2717/(N_1*X$27))*SQRT('Valve Sizing'!$G$6/X2721)</f>
        <v>267.59379409276784</v>
      </c>
      <c r="Y2723" s="41"/>
      <c r="Z2723" s="73"/>
      <c r="AA2723" s="64" t="e">
        <f>(AA2717/(N_1*AA$27))*SQRT('Valve Sizing'!$G$6/AA2721)</f>
        <v>#NUM!</v>
      </c>
      <c r="AB2723" s="41"/>
      <c r="AC2723" s="73"/>
      <c r="AD2723" s="64" t="e">
        <f>(AD2717/(N_1*AD$27))*SQRT('Valve Sizing'!$G$6/AD2721)</f>
        <v>#NUM!</v>
      </c>
      <c r="AE2723" s="41"/>
      <c r="AF2723" s="73"/>
      <c r="AG2723" s="64" t="e">
        <f>(AG2717/(N_1*AG$27))*SQRT('Valve Sizing'!$G$6/AG2721)</f>
        <v>#NUM!</v>
      </c>
      <c r="AH2723" s="41"/>
      <c r="AI2723" s="73"/>
      <c r="AJ2723" s="64" t="e">
        <f>(AJ2717/(N_1*AJ$27))*SQRT('Valve Sizing'!$G$6/AJ2721)</f>
        <v>#NUM!</v>
      </c>
      <c r="AK2723" s="41"/>
      <c r="AL2723" s="73"/>
      <c r="AM2723" s="64" t="e">
        <f>(AM2717/(N_1*AM$27))*SQRT('Valve Sizing'!$G$6/AM2721)</f>
        <v>#NUM!</v>
      </c>
      <c r="AN2723" s="41"/>
      <c r="AO2723" s="73"/>
      <c r="AP2723" s="64" t="e">
        <f>(AP2717/(N_1*AP$27))*SQRT('Valve Sizing'!$G$6/AP2721)</f>
        <v>#NUM!</v>
      </c>
      <c r="AQ2723" s="41"/>
      <c r="AR2723" s="73"/>
      <c r="AS2723" s="64" t="e">
        <f>(AS2717/(N_1*AS$27))*SQRT('Valve Sizing'!$G$6/AS2721)</f>
        <v>#NUM!</v>
      </c>
      <c r="AT2723" s="41"/>
      <c r="AU2723" s="73"/>
    </row>
    <row r="2724" spans="15:47" ht="13" x14ac:dyDescent="0.3">
      <c r="O2724" s="1" t="s">
        <v>72</v>
      </c>
      <c r="P2724" s="17">
        <v>7</v>
      </c>
      <c r="Q2724" s="65"/>
      <c r="R2724" s="53">
        <f>(R2717/(N_1*F_P_h))*SQRT('Valve Sizing'!$G$6/R2722)</f>
        <v>14.721290161401217</v>
      </c>
      <c r="S2724" s="56"/>
      <c r="T2724" s="72"/>
      <c r="U2724" s="85">
        <f>(U2717/(N_1*U$27))*SQRT('Valve Sizing'!$G$6/U2722)</f>
        <v>48.388974639757244</v>
      </c>
      <c r="V2724" s="44"/>
      <c r="W2724" s="72"/>
      <c r="X2724" s="85">
        <f>(X2717/(N_1*X$27))*SQRT('Valve Sizing'!$G$6/X2722)</f>
        <v>141.87612405228771</v>
      </c>
      <c r="Y2724" s="44"/>
      <c r="Z2724" s="72"/>
      <c r="AA2724" s="85" t="e">
        <f>(AA2717/(N_1*AA$27))*SQRT('Valve Sizing'!$G$6/AA2722)</f>
        <v>#NUM!</v>
      </c>
      <c r="AB2724" s="44"/>
      <c r="AC2724" s="72"/>
      <c r="AD2724" s="85" t="e">
        <f>(AD2717/(N_1*AD$27))*SQRT('Valve Sizing'!$G$6/AD2722)</f>
        <v>#NUM!</v>
      </c>
      <c r="AE2724" s="44"/>
      <c r="AF2724" s="72"/>
      <c r="AG2724" s="85" t="e">
        <f>(AG2717/(N_1*AG$27))*SQRT('Valve Sizing'!$G$6/AG2722)</f>
        <v>#NUM!</v>
      </c>
      <c r="AH2724" s="44"/>
      <c r="AI2724" s="72"/>
      <c r="AJ2724" s="85" t="e">
        <f>(AJ2717/(N_1*AJ$27))*SQRT('Valve Sizing'!$G$6/AJ2722)</f>
        <v>#NUM!</v>
      </c>
      <c r="AK2724" s="44"/>
      <c r="AL2724" s="72"/>
      <c r="AM2724" s="85" t="e">
        <f>(AM2717/(N_1*AM$27))*SQRT('Valve Sizing'!$G$6/AM2722)</f>
        <v>#NUM!</v>
      </c>
      <c r="AN2724" s="44"/>
      <c r="AO2724" s="72"/>
      <c r="AP2724" s="85" t="e">
        <f>(AP2717/(N_1*AP$27))*SQRT('Valve Sizing'!$G$6/AP2722)</f>
        <v>#NUM!</v>
      </c>
      <c r="AQ2724" s="44"/>
      <c r="AR2724" s="72"/>
      <c r="AS2724" s="85" t="e">
        <f>(AS2717/(N_1*AS$27))*SQRT('Valve Sizing'!$G$6/AS2722)</f>
        <v>#NUM!</v>
      </c>
      <c r="AT2724" s="44"/>
      <c r="AU2724" s="72"/>
    </row>
    <row r="2725" spans="15:47" x14ac:dyDescent="0.25">
      <c r="O2725" s="1" t="s">
        <v>246</v>
      </c>
      <c r="P2725" s="18"/>
      <c r="Q2725" s="65"/>
      <c r="R2725" s="53">
        <f>IF(R2721&lt;R2722,R2723,R2724)</f>
        <v>17.784116421809131</v>
      </c>
      <c r="S2725" s="49"/>
      <c r="T2725" s="72"/>
      <c r="U2725" s="64">
        <f>IF(U2721&lt;U2722,U2723,U2724)</f>
        <v>60.469013080386695</v>
      </c>
      <c r="V2725" s="44"/>
      <c r="W2725" s="72"/>
      <c r="X2725" s="64">
        <f>IF(X2721&lt;X2722,X2723,X2724)</f>
        <v>267.59379409276784</v>
      </c>
      <c r="Y2725" s="44"/>
      <c r="Z2725" s="72"/>
      <c r="AA2725" s="64" t="e">
        <f>IF(AA2721&lt;AA2722,AA2723,AA2724)</f>
        <v>#NUM!</v>
      </c>
      <c r="AB2725" s="44"/>
      <c r="AC2725" s="72"/>
      <c r="AD2725" s="64" t="e">
        <f>IF(AD2721&lt;AD2722,AD2723,AD2724)</f>
        <v>#NUM!</v>
      </c>
      <c r="AE2725" s="44"/>
      <c r="AF2725" s="72"/>
      <c r="AG2725" s="64" t="e">
        <f>IF(AG2721&lt;AG2722,AG2723,AG2724)</f>
        <v>#NUM!</v>
      </c>
      <c r="AH2725" s="44"/>
      <c r="AI2725" s="72"/>
      <c r="AJ2725" s="64" t="e">
        <f>IF(AJ2721&lt;AJ2722,AJ2723,AJ2724)</f>
        <v>#NUM!</v>
      </c>
      <c r="AK2725" s="44"/>
      <c r="AL2725" s="72"/>
      <c r="AM2725" s="64" t="e">
        <f>IF(AM2721&lt;AM2722,AM2723,AM2724)</f>
        <v>#NUM!</v>
      </c>
      <c r="AN2725" s="44"/>
      <c r="AO2725" s="72"/>
      <c r="AP2725" s="64" t="e">
        <f>IF(AP2721&lt;AP2722,AP2723,AP2724)</f>
        <v>#NUM!</v>
      </c>
      <c r="AQ2725" s="44"/>
      <c r="AR2725" s="72"/>
      <c r="AS2725" s="64" t="e">
        <f>IF(AS2721&lt;AS2722,AS2723,AS2724)</f>
        <v>#NUM!</v>
      </c>
      <c r="AT2725" s="44"/>
      <c r="AU2725" s="72"/>
    </row>
    <row r="2726" spans="15:47" ht="13" x14ac:dyDescent="0.3">
      <c r="O2726" s="7" t="s">
        <v>264</v>
      </c>
      <c r="Q2726" s="61"/>
      <c r="R2726" s="53"/>
      <c r="S2726" s="69">
        <f>IFERROR(ABS(C_h-R2725),Q_max*10)</f>
        <v>12.784116421809131</v>
      </c>
      <c r="T2726" s="76">
        <f>R2717</f>
        <v>100.35335512901567</v>
      </c>
      <c r="U2726" s="61"/>
      <c r="V2726" s="69">
        <f>IFERROR(ABS(U$23-U2725),Q_max*10)</f>
        <v>48.469013080386695</v>
      </c>
      <c r="W2726" s="75">
        <f>U2717</f>
        <v>320.28463671646534</v>
      </c>
      <c r="X2726" s="61"/>
      <c r="Y2726" s="69">
        <f>IFERROR(ABS(X$23-X2725),Q_max*10)</f>
        <v>244.59379409276784</v>
      </c>
      <c r="Z2726" s="75">
        <f>X2717</f>
        <v>768.80641765695123</v>
      </c>
      <c r="AA2726" s="61"/>
      <c r="AB2726" s="69">
        <f>IFERROR(ABS(AA$23-AA2725),Q_max*10)</f>
        <v>5500</v>
      </c>
      <c r="AC2726" s="75">
        <f>AA2717</f>
        <v>1467.9332097675556</v>
      </c>
      <c r="AD2726" s="61"/>
      <c r="AE2726" s="69">
        <f>IFERROR(ABS(AD$23-AD2725),Q_max*10)</f>
        <v>5500</v>
      </c>
      <c r="AF2726" s="75">
        <f>AD2717</f>
        <v>2414.2096691251522</v>
      </c>
      <c r="AG2726" s="61"/>
      <c r="AH2726" s="69">
        <f>IFERROR(ABS(AG$23-AG2725),Q_max*10)</f>
        <v>5500</v>
      </c>
      <c r="AI2726" s="75">
        <f>AG2717</f>
        <v>3594.4292216384583</v>
      </c>
      <c r="AJ2726" s="61"/>
      <c r="AK2726" s="69">
        <f>IFERROR(ABS(AJ$23-AJ2725),Q_max*10)</f>
        <v>5500</v>
      </c>
      <c r="AL2726" s="75">
        <f>AJ2717</f>
        <v>4796.7797303230673</v>
      </c>
      <c r="AM2726" s="61"/>
      <c r="AN2726" s="69">
        <f>IFERROR(ABS(AM$23-AM2725),Q_max*10)</f>
        <v>5500</v>
      </c>
      <c r="AO2726" s="75">
        <f>AM2717</f>
        <v>5852.9828507645007</v>
      </c>
      <c r="AP2726" s="61"/>
      <c r="AQ2726" s="69">
        <f>IFERROR(ABS(AP$23-AP2725),Q_max*10)</f>
        <v>5500</v>
      </c>
      <c r="AR2726" s="75">
        <f>AP2717</f>
        <v>6795.1313860505779</v>
      </c>
      <c r="AS2726" s="61"/>
      <c r="AT2726" s="69">
        <f>IFERROR(ABS(AS$23-AS2725),Q_max*10)</f>
        <v>5500</v>
      </c>
      <c r="AU2726" s="75">
        <f>AS2717</f>
        <v>7733.4933701255104</v>
      </c>
    </row>
    <row r="2727" spans="15:47" ht="14.5" x14ac:dyDescent="0.35">
      <c r="O2727" s="8"/>
      <c r="P2727" s="6"/>
      <c r="Q2727" s="60"/>
      <c r="R2727" s="67"/>
      <c r="S2727" s="56"/>
      <c r="T2727" s="72"/>
      <c r="V2727" s="11"/>
      <c r="W2727" s="38"/>
      <c r="Y2727" s="11"/>
      <c r="Z2727" s="38"/>
      <c r="AB2727" s="11"/>
      <c r="AC2727" s="38"/>
      <c r="AE2727" s="11"/>
      <c r="AF2727" s="38"/>
      <c r="AH2727" s="11"/>
      <c r="AI2727" s="38"/>
      <c r="AK2727" s="11"/>
      <c r="AL2727" s="38"/>
      <c r="AN2727" s="11"/>
      <c r="AO2727" s="38"/>
      <c r="AQ2727" s="11"/>
      <c r="AR2727" s="38"/>
      <c r="AT2727" s="11"/>
      <c r="AU2727" s="38"/>
    </row>
    <row r="2728" spans="15:47" ht="14" x14ac:dyDescent="0.3">
      <c r="O2728" s="8" t="s">
        <v>235</v>
      </c>
      <c r="P2728" s="6"/>
      <c r="Q2728" s="60"/>
      <c r="R2728" s="53">
        <f>R2717*1.02</f>
        <v>102.36042223159599</v>
      </c>
      <c r="S2728" s="58" t="s">
        <v>238</v>
      </c>
      <c r="T2728" s="73" t="s">
        <v>241</v>
      </c>
      <c r="U2728" s="84">
        <f>U2717*1.01</f>
        <v>323.48748308363002</v>
      </c>
      <c r="V2728" s="58" t="s">
        <v>238</v>
      </c>
      <c r="W2728" s="73" t="s">
        <v>241</v>
      </c>
      <c r="X2728" s="84">
        <f>X2717*1.01</f>
        <v>776.49448183352069</v>
      </c>
      <c r="Y2728" s="58" t="s">
        <v>238</v>
      </c>
      <c r="Z2728" s="73" t="s">
        <v>241</v>
      </c>
      <c r="AA2728" s="84">
        <f>AA2717*1.01</f>
        <v>1482.6125418652312</v>
      </c>
      <c r="AB2728" s="58" t="s">
        <v>238</v>
      </c>
      <c r="AC2728" s="73" t="s">
        <v>241</v>
      </c>
      <c r="AD2728" s="84">
        <f>AD2717*1.01</f>
        <v>2438.3517658164037</v>
      </c>
      <c r="AE2728" s="58" t="s">
        <v>238</v>
      </c>
      <c r="AF2728" s="73" t="s">
        <v>241</v>
      </c>
      <c r="AG2728" s="84">
        <f>AG2717*1.01</f>
        <v>3630.3735138548432</v>
      </c>
      <c r="AH2728" s="58" t="s">
        <v>238</v>
      </c>
      <c r="AI2728" s="73" t="s">
        <v>241</v>
      </c>
      <c r="AJ2728" s="84">
        <f>AJ2717*1.01</f>
        <v>4844.7475276262976</v>
      </c>
      <c r="AK2728" s="58" t="s">
        <v>238</v>
      </c>
      <c r="AL2728" s="73" t="s">
        <v>241</v>
      </c>
      <c r="AM2728" s="84">
        <f>AM2717*1.01</f>
        <v>5911.5126792721458</v>
      </c>
      <c r="AN2728" s="58" t="s">
        <v>238</v>
      </c>
      <c r="AO2728" s="73" t="s">
        <v>241</v>
      </c>
      <c r="AP2728" s="84">
        <f>AP2717*1.01</f>
        <v>6863.0826999110841</v>
      </c>
      <c r="AQ2728" s="58" t="s">
        <v>238</v>
      </c>
      <c r="AR2728" s="73" t="s">
        <v>241</v>
      </c>
      <c r="AS2728" s="84">
        <f>AS2717*1.01</f>
        <v>7810.8283038267655</v>
      </c>
      <c r="AT2728" s="58" t="s">
        <v>238</v>
      </c>
      <c r="AU2728" s="73" t="s">
        <v>241</v>
      </c>
    </row>
    <row r="2729" spans="15:47" ht="13" x14ac:dyDescent="0.25">
      <c r="O2729" s="6"/>
      <c r="P2729" s="6"/>
      <c r="Q2729" s="60"/>
      <c r="R2729" s="70"/>
      <c r="S2729" s="63" t="s">
        <v>250</v>
      </c>
      <c r="T2729" s="71" t="s">
        <v>242</v>
      </c>
      <c r="U2729" s="61"/>
      <c r="V2729" s="63" t="s">
        <v>250</v>
      </c>
      <c r="W2729" s="71" t="s">
        <v>242</v>
      </c>
      <c r="X2729" s="61"/>
      <c r="Y2729" s="63" t="s">
        <v>250</v>
      </c>
      <c r="Z2729" s="71" t="s">
        <v>242</v>
      </c>
      <c r="AA2729" s="61"/>
      <c r="AB2729" s="63" t="s">
        <v>250</v>
      </c>
      <c r="AC2729" s="71" t="s">
        <v>242</v>
      </c>
      <c r="AD2729" s="61"/>
      <c r="AE2729" s="63" t="s">
        <v>250</v>
      </c>
      <c r="AF2729" s="71" t="s">
        <v>242</v>
      </c>
      <c r="AG2729" s="61"/>
      <c r="AH2729" s="63" t="s">
        <v>250</v>
      </c>
      <c r="AI2729" s="71" t="s">
        <v>242</v>
      </c>
      <c r="AJ2729" s="61"/>
      <c r="AK2729" s="63" t="s">
        <v>250</v>
      </c>
      <c r="AL2729" s="71" t="s">
        <v>242</v>
      </c>
      <c r="AM2729" s="61"/>
      <c r="AN2729" s="63" t="s">
        <v>250</v>
      </c>
      <c r="AO2729" s="71" t="s">
        <v>242</v>
      </c>
      <c r="AP2729" s="61"/>
      <c r="AQ2729" s="63" t="s">
        <v>250</v>
      </c>
      <c r="AR2729" s="71" t="s">
        <v>242</v>
      </c>
      <c r="AS2729" s="61"/>
      <c r="AT2729" s="63" t="s">
        <v>250</v>
      </c>
      <c r="AU2729" s="71" t="s">
        <v>242</v>
      </c>
    </row>
    <row r="2730" spans="15:47" ht="13" x14ac:dyDescent="0.3">
      <c r="O2730" s="6" t="s">
        <v>231</v>
      </c>
      <c r="P2730" s="6"/>
      <c r="Q2730" s="60"/>
      <c r="R2730" s="85">
        <f>P_1_minQ-(R2728^2*R_up)+dpup_minQ</f>
        <v>56.562287874385994</v>
      </c>
      <c r="S2730" s="56"/>
      <c r="T2730" s="72"/>
      <c r="U2730" s="53">
        <f>P_1_minQ-(U2728^2*R_up)+dpup_minQ</f>
        <v>53.382061745633848</v>
      </c>
      <c r="V2730" s="44"/>
      <c r="W2730" s="72"/>
      <c r="X2730" s="53">
        <f>P_1_minQ-(X2728^2*R_up)+dpup_minQ</f>
        <v>36.55330360290754</v>
      </c>
      <c r="Y2730" s="44"/>
      <c r="Z2730" s="72"/>
      <c r="AA2730" s="53">
        <f>P_1_minQ-(AA2728^2*R_up)+dpup_minQ</f>
        <v>-17.320261712127053</v>
      </c>
      <c r="AB2730" s="44"/>
      <c r="AC2730" s="72"/>
      <c r="AD2730" s="53">
        <f>P_1_minQ-(AD2728^2*R_up)+dpup_minQ</f>
        <v>-143.87951144410587</v>
      </c>
      <c r="AE2730" s="44"/>
      <c r="AF2730" s="72"/>
      <c r="AG2730" s="53">
        <f>P_1_minQ-(AG2728^2*R_up)+dpup_minQ</f>
        <v>-388.19063998982648</v>
      </c>
      <c r="AH2730" s="44"/>
      <c r="AI2730" s="72"/>
      <c r="AJ2730" s="53">
        <f>P_1_minQ-(AJ2728^2*R_up)+dpup_minQ</f>
        <v>-735.77479251743068</v>
      </c>
      <c r="AK2730" s="44"/>
      <c r="AL2730" s="72"/>
      <c r="AM2730" s="53">
        <f>P_1_minQ-(AM2728^2*R_up)+dpup_minQ</f>
        <v>-1123.2926429312849</v>
      </c>
      <c r="AN2730" s="44"/>
      <c r="AO2730" s="72"/>
      <c r="AP2730" s="53">
        <f>P_1_minQ-(AP2728^2*R_up)+dpup_minQ</f>
        <v>-1533.8269890516317</v>
      </c>
      <c r="AQ2730" s="44"/>
      <c r="AR2730" s="72"/>
      <c r="AS2730" s="53">
        <f>P_1_minQ-(AS2728^2*R_up)+dpup_minQ</f>
        <v>-2003.5039443384433</v>
      </c>
      <c r="AT2730" s="44"/>
      <c r="AU2730" s="72"/>
    </row>
    <row r="2731" spans="15:47" ht="13" x14ac:dyDescent="0.3">
      <c r="O2731" s="6" t="s">
        <v>233</v>
      </c>
      <c r="P2731" s="6"/>
      <c r="Q2731" s="60"/>
      <c r="R2731" s="85">
        <f>P_2_minQ+(R2728^2*R_dn)-dpdn_minQ</f>
        <v>24.727542425122802</v>
      </c>
      <c r="S2731" s="66"/>
      <c r="T2731" s="74"/>
      <c r="U2731" s="53">
        <f>P_2_minQ+(U2728^2*R_dn)-dpdn_minQ</f>
        <v>25.363587650873232</v>
      </c>
      <c r="V2731" s="45"/>
      <c r="W2731" s="74"/>
      <c r="X2731" s="53">
        <f>P_2_minQ+(X2728^2*R_dn)-dpdn_minQ</f>
        <v>28.729339279418493</v>
      </c>
      <c r="Y2731" s="45"/>
      <c r="Z2731" s="74"/>
      <c r="AA2731" s="53">
        <f>P_2_minQ+(AA2728^2*R_dn)-dpdn_minQ</f>
        <v>39.50405234242541</v>
      </c>
      <c r="AB2731" s="45"/>
      <c r="AC2731" s="74"/>
      <c r="AD2731" s="53">
        <f>P_2_minQ+(AD2728^2*R_dn)-dpdn_minQ</f>
        <v>64.815902288821178</v>
      </c>
      <c r="AE2731" s="45"/>
      <c r="AF2731" s="74"/>
      <c r="AG2731" s="53">
        <f>P_2_minQ+(AG2728^2*R_dn)-dpdn_minQ</f>
        <v>113.67812799796529</v>
      </c>
      <c r="AH2731" s="45"/>
      <c r="AI2731" s="74"/>
      <c r="AJ2731" s="53">
        <f>P_2_minQ+(AJ2728^2*R_dn)-dpdn_minQ</f>
        <v>183.19495850348611</v>
      </c>
      <c r="AK2731" s="45"/>
      <c r="AL2731" s="74"/>
      <c r="AM2731" s="53">
        <f>P_2_minQ+(AM2728^2*R_dn)-dpdn_minQ</f>
        <v>260.69852858625694</v>
      </c>
      <c r="AN2731" s="45"/>
      <c r="AO2731" s="74"/>
      <c r="AP2731" s="53">
        <f>P_2_minQ+(AP2728^2*R_dn)-dpdn_minQ</f>
        <v>342.80539781032627</v>
      </c>
      <c r="AQ2731" s="45"/>
      <c r="AR2731" s="74"/>
      <c r="AS2731" s="53">
        <f>P_2_minQ+(AS2728^2*R_dn)-dpdn_minQ</f>
        <v>436.74078886768859</v>
      </c>
      <c r="AT2731" s="45"/>
      <c r="AU2731" s="74"/>
    </row>
    <row r="2732" spans="15:47" x14ac:dyDescent="0.25">
      <c r="O2732" s="6" t="s">
        <v>243</v>
      </c>
      <c r="Q2732" s="60"/>
      <c r="R2732" s="53">
        <f>R2730-R2731</f>
        <v>31.834745449263192</v>
      </c>
      <c r="S2732" s="56"/>
      <c r="T2732" s="72"/>
      <c r="U2732" s="64">
        <f>U2730-U2731</f>
        <v>28.018474094760617</v>
      </c>
      <c r="V2732" s="44"/>
      <c r="W2732" s="72"/>
      <c r="X2732" s="64">
        <f>X2730-X2731</f>
        <v>7.8239643234890472</v>
      </c>
      <c r="Y2732" s="44"/>
      <c r="Z2732" s="72"/>
      <c r="AA2732" s="64">
        <f>AA2730-AA2731</f>
        <v>-56.82431405455246</v>
      </c>
      <c r="AB2732" s="44"/>
      <c r="AC2732" s="72"/>
      <c r="AD2732" s="64">
        <f>AD2730-AD2731</f>
        <v>-208.69541373292705</v>
      </c>
      <c r="AE2732" s="44"/>
      <c r="AF2732" s="72"/>
      <c r="AG2732" s="64">
        <f>AG2730-AG2731</f>
        <v>-501.86876798779178</v>
      </c>
      <c r="AH2732" s="44"/>
      <c r="AI2732" s="72"/>
      <c r="AJ2732" s="64">
        <f>AJ2730-AJ2731</f>
        <v>-918.96975102091676</v>
      </c>
      <c r="AK2732" s="44"/>
      <c r="AL2732" s="72"/>
      <c r="AM2732" s="64">
        <f>AM2730-AM2731</f>
        <v>-1383.9911715175419</v>
      </c>
      <c r="AN2732" s="44"/>
      <c r="AO2732" s="72"/>
      <c r="AP2732" s="64">
        <f>AP2730-AP2731</f>
        <v>-1876.6323868619579</v>
      </c>
      <c r="AQ2732" s="44"/>
      <c r="AR2732" s="72"/>
      <c r="AS2732" s="64">
        <f>AS2730-AS2731</f>
        <v>-2440.244733206132</v>
      </c>
      <c r="AT2732" s="44"/>
      <c r="AU2732" s="72"/>
    </row>
    <row r="2733" spans="15:47" ht="13" x14ac:dyDescent="0.3">
      <c r="O2733" s="6" t="s">
        <v>75</v>
      </c>
      <c r="P2733" s="6">
        <v>3</v>
      </c>
      <c r="Q2733" s="65"/>
      <c r="R2733" s="85">
        <f>(F_LP_h/F_P_h)^2*(R2730-('Valve Sizing'!$V$4*'Valve Sizing'!$G$7))</f>
        <v>46.472152462515233</v>
      </c>
      <c r="S2733" s="58"/>
      <c r="T2733" s="73"/>
      <c r="U2733" s="53">
        <f>(U$29/U$27)^2*(U2730-('Valve Sizing'!$V$4*'Valve Sizing'!$G$7))</f>
        <v>43.82680966355516</v>
      </c>
      <c r="V2733" s="41"/>
      <c r="W2733" s="73"/>
      <c r="X2733" s="53">
        <f>(X$29/X$27)^2*(X2730-('Valve Sizing'!$V$4*'Valve Sizing'!$G$7))</f>
        <v>29.221161687153149</v>
      </c>
      <c r="Y2733" s="41"/>
      <c r="Z2733" s="73"/>
      <c r="AA2733" s="53">
        <f>(AA$29/AA$27)^2*(AA2730-('Valve Sizing'!$V$4*'Valve Sizing'!$G$7))</f>
        <v>-13.725125468051836</v>
      </c>
      <c r="AB2733" s="41"/>
      <c r="AC2733" s="73"/>
      <c r="AD2733" s="53">
        <f>(AD$29/AD$27)^2*(AD2730-('Valve Sizing'!$V$4*'Valve Sizing'!$G$7))</f>
        <v>-104.0814558533647</v>
      </c>
      <c r="AE2733" s="41"/>
      <c r="AF2733" s="73"/>
      <c r="AG2733" s="53">
        <f>(AG$29/AG$27)^2*(AG2730-('Valve Sizing'!$V$4*'Valve Sizing'!$G$7))</f>
        <v>-250.29525007120967</v>
      </c>
      <c r="AH2733" s="41"/>
      <c r="AI2733" s="73"/>
      <c r="AJ2733" s="53">
        <f>(AJ$29/AJ$27)^2*(AJ2730-('Valve Sizing'!$V$4*'Valve Sizing'!$G$7))</f>
        <v>-425.80041248534383</v>
      </c>
      <c r="AK2733" s="41"/>
      <c r="AL2733" s="73"/>
      <c r="AM2733" s="53">
        <f>(AM$29/AM$27)^2*(AM2730-('Valve Sizing'!$V$4*'Valve Sizing'!$G$7))</f>
        <v>-537.6748004999705</v>
      </c>
      <c r="AN2733" s="41"/>
      <c r="AO2733" s="73"/>
      <c r="AP2733" s="53">
        <f>(AP$29/AP$27)^2*(AP2730-('Valve Sizing'!$V$4*'Valve Sizing'!$G$7))</f>
        <v>-605.46293696788837</v>
      </c>
      <c r="AQ2733" s="41"/>
      <c r="AR2733" s="73"/>
      <c r="AS2733" s="53">
        <f>(AS$29/AS$27)^2*(AS2730-('Valve Sizing'!$V$4*'Valve Sizing'!$G$7))</f>
        <v>-753.76508825465055</v>
      </c>
      <c r="AT2733" s="41"/>
      <c r="AU2733" s="73"/>
    </row>
    <row r="2734" spans="15:47" ht="13" x14ac:dyDescent="0.25">
      <c r="O2734" s="1" t="s">
        <v>69</v>
      </c>
      <c r="P2734" s="17">
        <v>7</v>
      </c>
      <c r="Q2734" s="65"/>
      <c r="R2734" s="53">
        <f>(R2728/(N_1*F_P_h))*SQRT('Valve Sizing'!$G$6/R2732)</f>
        <v>18.144495883274928</v>
      </c>
      <c r="S2734" s="58"/>
      <c r="T2734" s="73"/>
      <c r="U2734" s="64">
        <f>(U2728/(N_1*U$27))*SQRT('Valve Sizing'!$G$6/U2732)</f>
        <v>61.164708669328952</v>
      </c>
      <c r="V2734" s="41"/>
      <c r="W2734" s="73"/>
      <c r="X2734" s="64">
        <f>(X2728/(N_1*X$27))*SQRT('Valve Sizing'!$G$6/X2732)</f>
        <v>278.46156569382384</v>
      </c>
      <c r="Y2734" s="41"/>
      <c r="Z2734" s="73"/>
      <c r="AA2734" s="64" t="e">
        <f>(AA2728/(N_1*AA$27))*SQRT('Valve Sizing'!$G$6/AA2732)</f>
        <v>#NUM!</v>
      </c>
      <c r="AB2734" s="41"/>
      <c r="AC2734" s="73"/>
      <c r="AD2734" s="64" t="e">
        <f>(AD2728/(N_1*AD$27))*SQRT('Valve Sizing'!$G$6/AD2732)</f>
        <v>#NUM!</v>
      </c>
      <c r="AE2734" s="41"/>
      <c r="AF2734" s="73"/>
      <c r="AG2734" s="64" t="e">
        <f>(AG2728/(N_1*AG$27))*SQRT('Valve Sizing'!$G$6/AG2732)</f>
        <v>#NUM!</v>
      </c>
      <c r="AH2734" s="41"/>
      <c r="AI2734" s="73"/>
      <c r="AJ2734" s="64" t="e">
        <f>(AJ2728/(N_1*AJ$27))*SQRT('Valve Sizing'!$G$6/AJ2732)</f>
        <v>#NUM!</v>
      </c>
      <c r="AK2734" s="41"/>
      <c r="AL2734" s="73"/>
      <c r="AM2734" s="64" t="e">
        <f>(AM2728/(N_1*AM$27))*SQRT('Valve Sizing'!$G$6/AM2732)</f>
        <v>#NUM!</v>
      </c>
      <c r="AN2734" s="41"/>
      <c r="AO2734" s="73"/>
      <c r="AP2734" s="64" t="e">
        <f>(AP2728/(N_1*AP$27))*SQRT('Valve Sizing'!$G$6/AP2732)</f>
        <v>#NUM!</v>
      </c>
      <c r="AQ2734" s="41"/>
      <c r="AR2734" s="73"/>
      <c r="AS2734" s="64" t="e">
        <f>(AS2728/(N_1*AS$27))*SQRT('Valve Sizing'!$G$6/AS2732)</f>
        <v>#NUM!</v>
      </c>
      <c r="AT2734" s="41"/>
      <c r="AU2734" s="73"/>
    </row>
    <row r="2735" spans="15:47" ht="13" x14ac:dyDescent="0.3">
      <c r="O2735" s="1" t="s">
        <v>72</v>
      </c>
      <c r="P2735" s="17">
        <v>7</v>
      </c>
      <c r="Q2735" s="65"/>
      <c r="R2735" s="53">
        <f>(R2728/(N_1*F_P_h))*SQRT('Valve Sizing'!$G$6/R2733)</f>
        <v>15.017554031466748</v>
      </c>
      <c r="S2735" s="56"/>
      <c r="T2735" s="72"/>
      <c r="U2735" s="85">
        <f>(U2728/(N_1*U$27))*SQRT('Valve Sizing'!$G$6/U2733)</f>
        <v>48.904995408688613</v>
      </c>
      <c r="V2735" s="44"/>
      <c r="W2735" s="72"/>
      <c r="X2735" s="85">
        <f>(X2728/(N_1*X$27))*SQRT('Valve Sizing'!$G$6/X2733)</f>
        <v>144.08870984915782</v>
      </c>
      <c r="Y2735" s="44"/>
      <c r="Z2735" s="72"/>
      <c r="AA2735" s="85" t="e">
        <f>(AA2728/(N_1*AA$27))*SQRT('Valve Sizing'!$G$6/AA2733)</f>
        <v>#NUM!</v>
      </c>
      <c r="AB2735" s="44"/>
      <c r="AC2735" s="72"/>
      <c r="AD2735" s="85" t="e">
        <f>(AD2728/(N_1*AD$27))*SQRT('Valve Sizing'!$G$6/AD2733)</f>
        <v>#NUM!</v>
      </c>
      <c r="AE2735" s="44"/>
      <c r="AF2735" s="72"/>
      <c r="AG2735" s="85" t="e">
        <f>(AG2728/(N_1*AG$27))*SQRT('Valve Sizing'!$G$6/AG2733)</f>
        <v>#NUM!</v>
      </c>
      <c r="AH2735" s="44"/>
      <c r="AI2735" s="72"/>
      <c r="AJ2735" s="85" t="e">
        <f>(AJ2728/(N_1*AJ$27))*SQRT('Valve Sizing'!$G$6/AJ2733)</f>
        <v>#NUM!</v>
      </c>
      <c r="AK2735" s="44"/>
      <c r="AL2735" s="72"/>
      <c r="AM2735" s="85" t="e">
        <f>(AM2728/(N_1*AM$27))*SQRT('Valve Sizing'!$G$6/AM2733)</f>
        <v>#NUM!</v>
      </c>
      <c r="AN2735" s="44"/>
      <c r="AO2735" s="72"/>
      <c r="AP2735" s="85" t="e">
        <f>(AP2728/(N_1*AP$27))*SQRT('Valve Sizing'!$G$6/AP2733)</f>
        <v>#NUM!</v>
      </c>
      <c r="AQ2735" s="44"/>
      <c r="AR2735" s="72"/>
      <c r="AS2735" s="85" t="e">
        <f>(AS2728/(N_1*AS$27))*SQRT('Valve Sizing'!$G$6/AS2733)</f>
        <v>#NUM!</v>
      </c>
      <c r="AT2735" s="44"/>
      <c r="AU2735" s="72"/>
    </row>
    <row r="2736" spans="15:47" x14ac:dyDescent="0.25">
      <c r="O2736" s="1" t="s">
        <v>246</v>
      </c>
      <c r="P2736" s="18"/>
      <c r="Q2736" s="65"/>
      <c r="R2736" s="53">
        <f>IF(R2732&lt;R2733,R2734,R2735)</f>
        <v>18.144495883274928</v>
      </c>
      <c r="S2736" s="49"/>
      <c r="T2736" s="72"/>
      <c r="U2736" s="64">
        <f>IF(U2732&lt;U2733,U2734,U2735)</f>
        <v>61.164708669328952</v>
      </c>
      <c r="V2736" s="44"/>
      <c r="W2736" s="72"/>
      <c r="X2736" s="64">
        <f>IF(X2732&lt;X2733,X2734,X2735)</f>
        <v>278.46156569382384</v>
      </c>
      <c r="Y2736" s="44"/>
      <c r="Z2736" s="72"/>
      <c r="AA2736" s="64" t="e">
        <f>IF(AA2732&lt;AA2733,AA2734,AA2735)</f>
        <v>#NUM!</v>
      </c>
      <c r="AB2736" s="44"/>
      <c r="AC2736" s="72"/>
      <c r="AD2736" s="64" t="e">
        <f>IF(AD2732&lt;AD2733,AD2734,AD2735)</f>
        <v>#NUM!</v>
      </c>
      <c r="AE2736" s="44"/>
      <c r="AF2736" s="72"/>
      <c r="AG2736" s="64" t="e">
        <f>IF(AG2732&lt;AG2733,AG2734,AG2735)</f>
        <v>#NUM!</v>
      </c>
      <c r="AH2736" s="44"/>
      <c r="AI2736" s="72"/>
      <c r="AJ2736" s="64" t="e">
        <f>IF(AJ2732&lt;AJ2733,AJ2734,AJ2735)</f>
        <v>#NUM!</v>
      </c>
      <c r="AK2736" s="44"/>
      <c r="AL2736" s="72"/>
      <c r="AM2736" s="64" t="e">
        <f>IF(AM2732&lt;AM2733,AM2734,AM2735)</f>
        <v>#NUM!</v>
      </c>
      <c r="AN2736" s="44"/>
      <c r="AO2736" s="72"/>
      <c r="AP2736" s="64" t="e">
        <f>IF(AP2732&lt;AP2733,AP2734,AP2735)</f>
        <v>#NUM!</v>
      </c>
      <c r="AQ2736" s="44"/>
      <c r="AR2736" s="72"/>
      <c r="AS2736" s="64" t="e">
        <f>IF(AS2732&lt;AS2733,AS2734,AS2735)</f>
        <v>#NUM!</v>
      </c>
      <c r="AT2736" s="44"/>
      <c r="AU2736" s="72"/>
    </row>
    <row r="2737" spans="15:47" ht="13" x14ac:dyDescent="0.3">
      <c r="O2737" s="7" t="s">
        <v>264</v>
      </c>
      <c r="Q2737" s="61"/>
      <c r="R2737" s="53"/>
      <c r="S2737" s="69">
        <f>IFERROR(ABS(C_h-R2736),Q_max*10)</f>
        <v>13.144495883274928</v>
      </c>
      <c r="T2737" s="76">
        <f>R2728</f>
        <v>102.36042223159599</v>
      </c>
      <c r="U2737" s="61"/>
      <c r="V2737" s="69">
        <f>IFERROR(ABS(U$23-U2736),Q_max*10)</f>
        <v>49.164708669328952</v>
      </c>
      <c r="W2737" s="75">
        <f>U2728</f>
        <v>323.48748308363002</v>
      </c>
      <c r="X2737" s="61"/>
      <c r="Y2737" s="69">
        <f>IFERROR(ABS(X$23-X2736),Q_max*10)</f>
        <v>255.46156569382384</v>
      </c>
      <c r="Z2737" s="75">
        <f>X2728</f>
        <v>776.49448183352069</v>
      </c>
      <c r="AA2737" s="61"/>
      <c r="AB2737" s="69">
        <f>IFERROR(ABS(AA$23-AA2736),Q_max*10)</f>
        <v>5500</v>
      </c>
      <c r="AC2737" s="75">
        <f>AA2728</f>
        <v>1482.6125418652312</v>
      </c>
      <c r="AD2737" s="61"/>
      <c r="AE2737" s="69">
        <f>IFERROR(ABS(AD$23-AD2736),Q_max*10)</f>
        <v>5500</v>
      </c>
      <c r="AF2737" s="75">
        <f>AD2728</f>
        <v>2438.3517658164037</v>
      </c>
      <c r="AG2737" s="61"/>
      <c r="AH2737" s="69">
        <f>IFERROR(ABS(AG$23-AG2736),Q_max*10)</f>
        <v>5500</v>
      </c>
      <c r="AI2737" s="75">
        <f>AG2728</f>
        <v>3630.3735138548432</v>
      </c>
      <c r="AJ2737" s="61"/>
      <c r="AK2737" s="69">
        <f>IFERROR(ABS(AJ$23-AJ2736),Q_max*10)</f>
        <v>5500</v>
      </c>
      <c r="AL2737" s="75">
        <f>AJ2728</f>
        <v>4844.7475276262976</v>
      </c>
      <c r="AM2737" s="61"/>
      <c r="AN2737" s="69">
        <f>IFERROR(ABS(AM$23-AM2736),Q_max*10)</f>
        <v>5500</v>
      </c>
      <c r="AO2737" s="75">
        <f>AM2728</f>
        <v>5911.5126792721458</v>
      </c>
      <c r="AP2737" s="61"/>
      <c r="AQ2737" s="69">
        <f>IFERROR(ABS(AP$23-AP2736),Q_max*10)</f>
        <v>5500</v>
      </c>
      <c r="AR2737" s="75">
        <f>AP2728</f>
        <v>6863.0826999110841</v>
      </c>
      <c r="AS2737" s="61"/>
      <c r="AT2737" s="69">
        <f>IFERROR(ABS(AS$23-AS2736),Q_max*10)</f>
        <v>5500</v>
      </c>
      <c r="AU2737" s="75">
        <f>AS2728</f>
        <v>7810.8283038267655</v>
      </c>
    </row>
    <row r="2738" spans="15:47" ht="14.5" x14ac:dyDescent="0.35">
      <c r="O2738" s="6"/>
      <c r="P2738" s="6"/>
      <c r="Q2738" s="60"/>
      <c r="R2738" s="67"/>
      <c r="S2738" s="66"/>
      <c r="T2738" s="74"/>
      <c r="V2738" s="11"/>
      <c r="W2738" s="38"/>
      <c r="Y2738" s="11"/>
      <c r="Z2738" s="38"/>
      <c r="AB2738" s="11"/>
      <c r="AC2738" s="38"/>
      <c r="AE2738" s="11"/>
      <c r="AF2738" s="38"/>
      <c r="AH2738" s="11"/>
      <c r="AI2738" s="38"/>
      <c r="AK2738" s="11"/>
      <c r="AL2738" s="38"/>
      <c r="AN2738" s="11"/>
      <c r="AO2738" s="38"/>
      <c r="AQ2738" s="11"/>
      <c r="AR2738" s="38"/>
      <c r="AT2738" s="11"/>
      <c r="AU2738" s="38"/>
    </row>
    <row r="2739" spans="15:47" ht="14" x14ac:dyDescent="0.3">
      <c r="O2739" s="8" t="s">
        <v>235</v>
      </c>
      <c r="P2739" s="6"/>
      <c r="Q2739" s="60"/>
      <c r="R2739" s="53">
        <f>R2728*1.02</f>
        <v>104.40763067622791</v>
      </c>
      <c r="S2739" s="58" t="s">
        <v>238</v>
      </c>
      <c r="T2739" s="73" t="s">
        <v>241</v>
      </c>
      <c r="U2739" s="84">
        <f>U2728*1.01</f>
        <v>326.72235791446633</v>
      </c>
      <c r="V2739" s="58" t="s">
        <v>238</v>
      </c>
      <c r="W2739" s="73" t="s">
        <v>241</v>
      </c>
      <c r="X2739" s="84">
        <f>X2728*1.01</f>
        <v>784.25942665185596</v>
      </c>
      <c r="Y2739" s="58" t="s">
        <v>238</v>
      </c>
      <c r="Z2739" s="73" t="s">
        <v>241</v>
      </c>
      <c r="AA2739" s="84">
        <f>AA2728*1.01</f>
        <v>1497.4386672838834</v>
      </c>
      <c r="AB2739" s="58" t="s">
        <v>238</v>
      </c>
      <c r="AC2739" s="73" t="s">
        <v>241</v>
      </c>
      <c r="AD2739" s="84">
        <f>AD2728*1.01</f>
        <v>2462.735283474568</v>
      </c>
      <c r="AE2739" s="58" t="s">
        <v>238</v>
      </c>
      <c r="AF2739" s="73" t="s">
        <v>241</v>
      </c>
      <c r="AG2739" s="84">
        <f>AG2728*1.01</f>
        <v>3666.6772489933915</v>
      </c>
      <c r="AH2739" s="58" t="s">
        <v>238</v>
      </c>
      <c r="AI2739" s="73" t="s">
        <v>241</v>
      </c>
      <c r="AJ2739" s="84">
        <f>AJ2728*1.01</f>
        <v>4893.1950029025602</v>
      </c>
      <c r="AK2739" s="58" t="s">
        <v>238</v>
      </c>
      <c r="AL2739" s="73" t="s">
        <v>241</v>
      </c>
      <c r="AM2739" s="84">
        <f>AM2728*1.01</f>
        <v>5970.6278060648674</v>
      </c>
      <c r="AN2739" s="58" t="s">
        <v>238</v>
      </c>
      <c r="AO2739" s="73" t="s">
        <v>241</v>
      </c>
      <c r="AP2739" s="84">
        <f>AP2728*1.01</f>
        <v>6931.7135269101946</v>
      </c>
      <c r="AQ2739" s="58" t="s">
        <v>238</v>
      </c>
      <c r="AR2739" s="73" t="s">
        <v>241</v>
      </c>
      <c r="AS2739" s="84">
        <f>AS2728*1.01</f>
        <v>7888.936586865033</v>
      </c>
      <c r="AT2739" s="58" t="s">
        <v>238</v>
      </c>
      <c r="AU2739" s="73" t="s">
        <v>241</v>
      </c>
    </row>
    <row r="2740" spans="15:47" ht="13" x14ac:dyDescent="0.25">
      <c r="O2740" s="6"/>
      <c r="P2740" s="6"/>
      <c r="Q2740" s="60"/>
      <c r="R2740" s="70"/>
      <c r="S2740" s="63" t="s">
        <v>250</v>
      </c>
      <c r="T2740" s="71" t="s">
        <v>242</v>
      </c>
      <c r="U2740" s="61"/>
      <c r="V2740" s="63" t="s">
        <v>250</v>
      </c>
      <c r="W2740" s="71" t="s">
        <v>242</v>
      </c>
      <c r="X2740" s="61"/>
      <c r="Y2740" s="63" t="s">
        <v>250</v>
      </c>
      <c r="Z2740" s="71" t="s">
        <v>242</v>
      </c>
      <c r="AA2740" s="61"/>
      <c r="AB2740" s="63" t="s">
        <v>250</v>
      </c>
      <c r="AC2740" s="71" t="s">
        <v>242</v>
      </c>
      <c r="AD2740" s="61"/>
      <c r="AE2740" s="63" t="s">
        <v>250</v>
      </c>
      <c r="AF2740" s="71" t="s">
        <v>242</v>
      </c>
      <c r="AG2740" s="61"/>
      <c r="AH2740" s="63" t="s">
        <v>250</v>
      </c>
      <c r="AI2740" s="71" t="s">
        <v>242</v>
      </c>
      <c r="AJ2740" s="61"/>
      <c r="AK2740" s="63" t="s">
        <v>250</v>
      </c>
      <c r="AL2740" s="71" t="s">
        <v>242</v>
      </c>
      <c r="AM2740" s="61"/>
      <c r="AN2740" s="63" t="s">
        <v>250</v>
      </c>
      <c r="AO2740" s="71" t="s">
        <v>242</v>
      </c>
      <c r="AP2740" s="61"/>
      <c r="AQ2740" s="63" t="s">
        <v>250</v>
      </c>
      <c r="AR2740" s="71" t="s">
        <v>242</v>
      </c>
      <c r="AS2740" s="61"/>
      <c r="AT2740" s="63" t="s">
        <v>250</v>
      </c>
      <c r="AU2740" s="71" t="s">
        <v>242</v>
      </c>
    </row>
    <row r="2741" spans="15:47" ht="13" x14ac:dyDescent="0.3">
      <c r="O2741" s="6" t="s">
        <v>231</v>
      </c>
      <c r="P2741" s="6"/>
      <c r="Q2741" s="60"/>
      <c r="R2741" s="85">
        <f>P_1_minQ-(R2739^2*R_up)+dpup_minQ</f>
        <v>56.547992119438582</v>
      </c>
      <c r="S2741" s="56"/>
      <c r="T2741" s="72"/>
      <c r="U2741" s="53">
        <f>P_1_minQ-(U2739^2*R_up)+dpup_minQ</f>
        <v>53.311026708504265</v>
      </c>
      <c r="V2741" s="44"/>
      <c r="W2741" s="72"/>
      <c r="X2741" s="53">
        <f>P_1_minQ-(X2739^2*R_up)+dpup_minQ</f>
        <v>36.144010527109153</v>
      </c>
      <c r="Y2741" s="44"/>
      <c r="Z2741" s="72"/>
      <c r="AA2741" s="53">
        <f>P_1_minQ-(AA2739^2*R_up)+dpup_minQ</f>
        <v>-18.812413450757607</v>
      </c>
      <c r="AB2741" s="44"/>
      <c r="AC2741" s="72"/>
      <c r="AD2741" s="53">
        <f>P_1_minQ-(AD2739^2*R_up)+dpup_minQ</f>
        <v>-147.91550410234922</v>
      </c>
      <c r="AE2741" s="44"/>
      <c r="AF2741" s="72"/>
      <c r="AG2741" s="53">
        <f>P_1_minQ-(AG2739^2*R_up)+dpup_minQ</f>
        <v>-397.13728633183877</v>
      </c>
      <c r="AH2741" s="44"/>
      <c r="AI2741" s="72"/>
      <c r="AJ2741" s="53">
        <f>P_1_minQ-(AJ2739^2*R_up)+dpup_minQ</f>
        <v>-751.70788032524774</v>
      </c>
      <c r="AK2741" s="44"/>
      <c r="AL2741" s="72"/>
      <c r="AM2741" s="53">
        <f>P_1_minQ-(AM2739^2*R_up)+dpup_minQ</f>
        <v>-1147.0148395324206</v>
      </c>
      <c r="AN2741" s="44"/>
      <c r="AO2741" s="72"/>
      <c r="AP2741" s="53">
        <f>P_1_minQ-(AP2739^2*R_up)+dpup_minQ</f>
        <v>-1565.8009260097863</v>
      </c>
      <c r="AQ2741" s="44"/>
      <c r="AR2741" s="72"/>
      <c r="AS2741" s="53">
        <f>P_1_minQ-(AS2739^2*R_up)+dpup_minQ</f>
        <v>-2044.9183880978628</v>
      </c>
      <c r="AT2741" s="44"/>
      <c r="AU2741" s="72"/>
    </row>
    <row r="2742" spans="15:47" ht="13" x14ac:dyDescent="0.3">
      <c r="O2742" s="6" t="s">
        <v>233</v>
      </c>
      <c r="P2742" s="6"/>
      <c r="Q2742" s="60"/>
      <c r="R2742" s="85">
        <f>P_2_minQ+(R2739^2*R_dn)-dpdn_minQ</f>
        <v>24.730401576112286</v>
      </c>
      <c r="S2742" s="66"/>
      <c r="T2742" s="74"/>
      <c r="U2742" s="53">
        <f>P_2_minQ+(U2739^2*R_dn)-dpdn_minQ</f>
        <v>25.377794658299148</v>
      </c>
      <c r="V2742" s="45"/>
      <c r="W2742" s="74"/>
      <c r="X2742" s="53">
        <f>P_2_minQ+(X2739^2*R_dn)-dpdn_minQ</f>
        <v>28.811197894578168</v>
      </c>
      <c r="Y2742" s="45"/>
      <c r="Z2742" s="74"/>
      <c r="AA2742" s="53">
        <f>P_2_minQ+(AA2739^2*R_dn)-dpdn_minQ</f>
        <v>39.802482690151528</v>
      </c>
      <c r="AB2742" s="45"/>
      <c r="AC2742" s="74"/>
      <c r="AD2742" s="53">
        <f>P_2_minQ+(AD2739^2*R_dn)-dpdn_minQ</f>
        <v>65.623100820469844</v>
      </c>
      <c r="AE2742" s="45"/>
      <c r="AF2742" s="74"/>
      <c r="AG2742" s="53">
        <f>P_2_minQ+(AG2739^2*R_dn)-dpdn_minQ</f>
        <v>115.46745726636775</v>
      </c>
      <c r="AH2742" s="45"/>
      <c r="AI2742" s="74"/>
      <c r="AJ2742" s="53">
        <f>P_2_minQ+(AJ2739^2*R_dn)-dpdn_minQ</f>
        <v>186.38157606504953</v>
      </c>
      <c r="AK2742" s="45"/>
      <c r="AL2742" s="74"/>
      <c r="AM2742" s="53">
        <f>P_2_minQ+(AM2739^2*R_dn)-dpdn_minQ</f>
        <v>265.44296790648406</v>
      </c>
      <c r="AN2742" s="45"/>
      <c r="AO2742" s="74"/>
      <c r="AP2742" s="53">
        <f>P_2_minQ+(AP2739^2*R_dn)-dpdn_minQ</f>
        <v>349.2001852019572</v>
      </c>
      <c r="AQ2742" s="45"/>
      <c r="AR2742" s="74"/>
      <c r="AS2742" s="53">
        <f>P_2_minQ+(AS2739^2*R_dn)-dpdn_minQ</f>
        <v>445.02367761957254</v>
      </c>
      <c r="AT2742" s="45"/>
      <c r="AU2742" s="74"/>
    </row>
    <row r="2743" spans="15:47" x14ac:dyDescent="0.25">
      <c r="O2743" s="6" t="s">
        <v>243</v>
      </c>
      <c r="Q2743" s="60"/>
      <c r="R2743" s="53">
        <f>R2741-R2742</f>
        <v>31.817590543326297</v>
      </c>
      <c r="S2743" s="56"/>
      <c r="T2743" s="72"/>
      <c r="U2743" s="64">
        <f>U2741-U2742</f>
        <v>27.933232050205117</v>
      </c>
      <c r="V2743" s="44"/>
      <c r="W2743" s="72"/>
      <c r="X2743" s="64">
        <f>X2741-X2742</f>
        <v>7.3328126325309846</v>
      </c>
      <c r="Y2743" s="44"/>
      <c r="Z2743" s="72"/>
      <c r="AA2743" s="64">
        <f>AA2741-AA2742</f>
        <v>-58.614896140909138</v>
      </c>
      <c r="AB2743" s="44"/>
      <c r="AC2743" s="72"/>
      <c r="AD2743" s="64">
        <f>AD2741-AD2742</f>
        <v>-213.53860492281905</v>
      </c>
      <c r="AE2743" s="44"/>
      <c r="AF2743" s="72"/>
      <c r="AG2743" s="64">
        <f>AG2741-AG2742</f>
        <v>-512.60474359820648</v>
      </c>
      <c r="AH2743" s="44"/>
      <c r="AI2743" s="72"/>
      <c r="AJ2743" s="64">
        <f>AJ2741-AJ2742</f>
        <v>-938.0894563902973</v>
      </c>
      <c r="AK2743" s="44"/>
      <c r="AL2743" s="72"/>
      <c r="AM2743" s="64">
        <f>AM2741-AM2742</f>
        <v>-1412.4578074389046</v>
      </c>
      <c r="AN2743" s="44"/>
      <c r="AO2743" s="72"/>
      <c r="AP2743" s="64">
        <f>AP2741-AP2742</f>
        <v>-1915.0011112117436</v>
      </c>
      <c r="AQ2743" s="44"/>
      <c r="AR2743" s="72"/>
      <c r="AS2743" s="64">
        <f>AS2741-AS2742</f>
        <v>-2489.9420657174355</v>
      </c>
      <c r="AT2743" s="44"/>
      <c r="AU2743" s="72"/>
    </row>
    <row r="2744" spans="15:47" ht="13" x14ac:dyDescent="0.3">
      <c r="O2744" s="6" t="s">
        <v>75</v>
      </c>
      <c r="P2744" s="6">
        <v>3</v>
      </c>
      <c r="Q2744" s="65"/>
      <c r="R2744" s="85">
        <f>(F_LP_h/F_P_h)^2*(R2741-('Valve Sizing'!$V$4*'Valve Sizing'!$G$7))</f>
        <v>46.460314827035475</v>
      </c>
      <c r="S2744" s="58"/>
      <c r="T2744" s="73"/>
      <c r="U2744" s="53">
        <f>(U$29/U$27)^2*(U2741-('Valve Sizing'!$V$4*'Valve Sizing'!$G$7))</f>
        <v>43.76800495629071</v>
      </c>
      <c r="V2744" s="41"/>
      <c r="W2744" s="73"/>
      <c r="X2744" s="53">
        <f>(X$29/X$27)^2*(X2741-('Valve Sizing'!$V$4*'Valve Sizing'!$G$7))</f>
        <v>28.889980735786658</v>
      </c>
      <c r="Y2744" s="41"/>
      <c r="Z2744" s="73"/>
      <c r="AA2744" s="53">
        <f>(AA$29/AA$27)^2*(AA2741-('Valve Sizing'!$V$4*'Valve Sizing'!$G$7))</f>
        <v>-14.878256185503083</v>
      </c>
      <c r="AB2744" s="41"/>
      <c r="AC2744" s="73"/>
      <c r="AD2744" s="53">
        <f>(AD$29/AD$27)^2*(AD2741-('Valve Sizing'!$V$4*'Valve Sizing'!$G$7))</f>
        <v>-106.99216293394333</v>
      </c>
      <c r="AE2744" s="41"/>
      <c r="AF2744" s="73"/>
      <c r="AG2744" s="53">
        <f>(AG$29/AG$27)^2*(AG2741-('Valve Sizing'!$V$4*'Valve Sizing'!$G$7))</f>
        <v>-256.05728353115705</v>
      </c>
      <c r="AH2744" s="41"/>
      <c r="AI2744" s="73"/>
      <c r="AJ2744" s="53">
        <f>(AJ$29/AJ$27)^2*(AJ2741-('Valve Sizing'!$V$4*'Valve Sizing'!$G$7))</f>
        <v>-435.01554222500624</v>
      </c>
      <c r="AK2744" s="41"/>
      <c r="AL2744" s="73"/>
      <c r="AM2744" s="53">
        <f>(AM$29/AM$27)^2*(AM2741-('Valve Sizing'!$V$4*'Valve Sizing'!$G$7))</f>
        <v>-549.02521089394031</v>
      </c>
      <c r="AN2744" s="41"/>
      <c r="AO2744" s="73"/>
      <c r="AP2744" s="53">
        <f>(AP$29/AP$27)^2*(AP2741-('Valve Sizing'!$V$4*'Valve Sizing'!$G$7))</f>
        <v>-618.08071026784239</v>
      </c>
      <c r="AQ2744" s="41"/>
      <c r="AR2744" s="73"/>
      <c r="AS2744" s="53">
        <f>(AS$29/AS$27)^2*(AS2741-('Valve Sizing'!$V$4*'Valve Sizing'!$G$7))</f>
        <v>-769.34275001768663</v>
      </c>
      <c r="AT2744" s="41"/>
      <c r="AU2744" s="73"/>
    </row>
    <row r="2745" spans="15:47" ht="13" x14ac:dyDescent="0.25">
      <c r="O2745" s="1" t="s">
        <v>69</v>
      </c>
      <c r="P2745" s="17">
        <v>7</v>
      </c>
      <c r="Q2745" s="65"/>
      <c r="R2745" s="53">
        <f>(R2739/(N_1*F_P_h))*SQRT('Valve Sizing'!$G$6/R2743)</f>
        <v>18.512374388597795</v>
      </c>
      <c r="S2745" s="58"/>
      <c r="T2745" s="73"/>
      <c r="U2745" s="64">
        <f>(U2739/(N_1*U$27))*SQRT('Valve Sizing'!$G$6/U2743)</f>
        <v>61.870543416510927</v>
      </c>
      <c r="V2745" s="41"/>
      <c r="W2745" s="73"/>
      <c r="X2745" s="64">
        <f>(X2739/(N_1*X$27))*SQRT('Valve Sizing'!$G$6/X2743)</f>
        <v>290.51246486078645</v>
      </c>
      <c r="Y2745" s="41"/>
      <c r="Z2745" s="73"/>
      <c r="AA2745" s="64" t="e">
        <f>(AA2739/(N_1*AA$27))*SQRT('Valve Sizing'!$G$6/AA2743)</f>
        <v>#NUM!</v>
      </c>
      <c r="AB2745" s="41"/>
      <c r="AC2745" s="73"/>
      <c r="AD2745" s="64" t="e">
        <f>(AD2739/(N_1*AD$27))*SQRT('Valve Sizing'!$G$6/AD2743)</f>
        <v>#NUM!</v>
      </c>
      <c r="AE2745" s="41"/>
      <c r="AF2745" s="73"/>
      <c r="AG2745" s="64" t="e">
        <f>(AG2739/(N_1*AG$27))*SQRT('Valve Sizing'!$G$6/AG2743)</f>
        <v>#NUM!</v>
      </c>
      <c r="AH2745" s="41"/>
      <c r="AI2745" s="73"/>
      <c r="AJ2745" s="64" t="e">
        <f>(AJ2739/(N_1*AJ$27))*SQRT('Valve Sizing'!$G$6/AJ2743)</f>
        <v>#NUM!</v>
      </c>
      <c r="AK2745" s="41"/>
      <c r="AL2745" s="73"/>
      <c r="AM2745" s="64" t="e">
        <f>(AM2739/(N_1*AM$27))*SQRT('Valve Sizing'!$G$6/AM2743)</f>
        <v>#NUM!</v>
      </c>
      <c r="AN2745" s="41"/>
      <c r="AO2745" s="73"/>
      <c r="AP2745" s="64" t="e">
        <f>(AP2739/(N_1*AP$27))*SQRT('Valve Sizing'!$G$6/AP2743)</f>
        <v>#NUM!</v>
      </c>
      <c r="AQ2745" s="41"/>
      <c r="AR2745" s="73"/>
      <c r="AS2745" s="64" t="e">
        <f>(AS2739/(N_1*AS$27))*SQRT('Valve Sizing'!$G$6/AS2743)</f>
        <v>#NUM!</v>
      </c>
      <c r="AT2745" s="41"/>
      <c r="AU2745" s="73"/>
    </row>
    <row r="2746" spans="15:47" ht="13" x14ac:dyDescent="0.3">
      <c r="O2746" s="1" t="s">
        <v>72</v>
      </c>
      <c r="P2746" s="17">
        <v>7</v>
      </c>
      <c r="Q2746" s="65"/>
      <c r="R2746" s="53">
        <f>(R2739/(N_1*F_P_h))*SQRT('Valve Sizing'!$G$6/R2744)</f>
        <v>15.319856414288493</v>
      </c>
      <c r="S2746" s="56"/>
      <c r="T2746" s="72"/>
      <c r="U2746" s="85">
        <f>(U2739/(N_1*U$27))*SQRT('Valve Sizing'!$G$6/U2744)</f>
        <v>49.427216024916667</v>
      </c>
      <c r="V2746" s="44"/>
      <c r="W2746" s="72"/>
      <c r="X2746" s="85">
        <f>(X2739/(N_1*X$27))*SQRT('Valve Sizing'!$G$6/X2744)</f>
        <v>146.36136092654161</v>
      </c>
      <c r="Y2746" s="44"/>
      <c r="Z2746" s="72"/>
      <c r="AA2746" s="85" t="e">
        <f>(AA2739/(N_1*AA$27))*SQRT('Valve Sizing'!$G$6/AA2744)</f>
        <v>#NUM!</v>
      </c>
      <c r="AB2746" s="44"/>
      <c r="AC2746" s="72"/>
      <c r="AD2746" s="85" t="e">
        <f>(AD2739/(N_1*AD$27))*SQRT('Valve Sizing'!$G$6/AD2744)</f>
        <v>#NUM!</v>
      </c>
      <c r="AE2746" s="44"/>
      <c r="AF2746" s="72"/>
      <c r="AG2746" s="85" t="e">
        <f>(AG2739/(N_1*AG$27))*SQRT('Valve Sizing'!$G$6/AG2744)</f>
        <v>#NUM!</v>
      </c>
      <c r="AH2746" s="44"/>
      <c r="AI2746" s="72"/>
      <c r="AJ2746" s="85" t="e">
        <f>(AJ2739/(N_1*AJ$27))*SQRT('Valve Sizing'!$G$6/AJ2744)</f>
        <v>#NUM!</v>
      </c>
      <c r="AK2746" s="44"/>
      <c r="AL2746" s="72"/>
      <c r="AM2746" s="85" t="e">
        <f>(AM2739/(N_1*AM$27))*SQRT('Valve Sizing'!$G$6/AM2744)</f>
        <v>#NUM!</v>
      </c>
      <c r="AN2746" s="44"/>
      <c r="AO2746" s="72"/>
      <c r="AP2746" s="85" t="e">
        <f>(AP2739/(N_1*AP$27))*SQRT('Valve Sizing'!$G$6/AP2744)</f>
        <v>#NUM!</v>
      </c>
      <c r="AQ2746" s="44"/>
      <c r="AR2746" s="72"/>
      <c r="AS2746" s="85" t="e">
        <f>(AS2739/(N_1*AS$27))*SQRT('Valve Sizing'!$G$6/AS2744)</f>
        <v>#NUM!</v>
      </c>
      <c r="AT2746" s="44"/>
      <c r="AU2746" s="72"/>
    </row>
    <row r="2747" spans="15:47" x14ac:dyDescent="0.25">
      <c r="O2747" s="1" t="s">
        <v>246</v>
      </c>
      <c r="P2747" s="18"/>
      <c r="Q2747" s="65"/>
      <c r="R2747" s="53">
        <f>IF(R2743&lt;R2744,R2745,R2746)</f>
        <v>18.512374388597795</v>
      </c>
      <c r="S2747" s="49"/>
      <c r="T2747" s="72"/>
      <c r="U2747" s="64">
        <f>IF(U2743&lt;U2744,U2745,U2746)</f>
        <v>61.870543416510927</v>
      </c>
      <c r="V2747" s="44"/>
      <c r="W2747" s="72"/>
      <c r="X2747" s="64">
        <f>IF(X2743&lt;X2744,X2745,X2746)</f>
        <v>290.51246486078645</v>
      </c>
      <c r="Y2747" s="44"/>
      <c r="Z2747" s="72"/>
      <c r="AA2747" s="64" t="e">
        <f>IF(AA2743&lt;AA2744,AA2745,AA2746)</f>
        <v>#NUM!</v>
      </c>
      <c r="AB2747" s="44"/>
      <c r="AC2747" s="72"/>
      <c r="AD2747" s="64" t="e">
        <f>IF(AD2743&lt;AD2744,AD2745,AD2746)</f>
        <v>#NUM!</v>
      </c>
      <c r="AE2747" s="44"/>
      <c r="AF2747" s="72"/>
      <c r="AG2747" s="64" t="e">
        <f>IF(AG2743&lt;AG2744,AG2745,AG2746)</f>
        <v>#NUM!</v>
      </c>
      <c r="AH2747" s="44"/>
      <c r="AI2747" s="72"/>
      <c r="AJ2747" s="64" t="e">
        <f>IF(AJ2743&lt;AJ2744,AJ2745,AJ2746)</f>
        <v>#NUM!</v>
      </c>
      <c r="AK2747" s="44"/>
      <c r="AL2747" s="72"/>
      <c r="AM2747" s="64" t="e">
        <f>IF(AM2743&lt;AM2744,AM2745,AM2746)</f>
        <v>#NUM!</v>
      </c>
      <c r="AN2747" s="44"/>
      <c r="AO2747" s="72"/>
      <c r="AP2747" s="64" t="e">
        <f>IF(AP2743&lt;AP2744,AP2745,AP2746)</f>
        <v>#NUM!</v>
      </c>
      <c r="AQ2747" s="44"/>
      <c r="AR2747" s="72"/>
      <c r="AS2747" s="64" t="e">
        <f>IF(AS2743&lt;AS2744,AS2745,AS2746)</f>
        <v>#NUM!</v>
      </c>
      <c r="AT2747" s="44"/>
      <c r="AU2747" s="72"/>
    </row>
    <row r="2748" spans="15:47" ht="13" x14ac:dyDescent="0.3">
      <c r="O2748" s="7" t="s">
        <v>264</v>
      </c>
      <c r="Q2748" s="61"/>
      <c r="R2748" s="53"/>
      <c r="S2748" s="69">
        <f>IFERROR(ABS(C_h-R2747),Q_max*10)</f>
        <v>13.512374388597795</v>
      </c>
      <c r="T2748" s="76">
        <f>R2739</f>
        <v>104.40763067622791</v>
      </c>
      <c r="U2748" s="61"/>
      <c r="V2748" s="69">
        <f>IFERROR(ABS(U$23-U2747),Q_max*10)</f>
        <v>49.870543416510927</v>
      </c>
      <c r="W2748" s="75">
        <f>U2739</f>
        <v>326.72235791446633</v>
      </c>
      <c r="X2748" s="61"/>
      <c r="Y2748" s="69">
        <f>IFERROR(ABS(X$23-X2747),Q_max*10)</f>
        <v>267.51246486078645</v>
      </c>
      <c r="Z2748" s="75">
        <f>X2739</f>
        <v>784.25942665185596</v>
      </c>
      <c r="AA2748" s="61"/>
      <c r="AB2748" s="69">
        <f>IFERROR(ABS(AA$23-AA2747),Q_max*10)</f>
        <v>5500</v>
      </c>
      <c r="AC2748" s="75">
        <f>AA2739</f>
        <v>1497.4386672838834</v>
      </c>
      <c r="AD2748" s="61"/>
      <c r="AE2748" s="69">
        <f>IFERROR(ABS(AD$23-AD2747),Q_max*10)</f>
        <v>5500</v>
      </c>
      <c r="AF2748" s="75">
        <f>AD2739</f>
        <v>2462.735283474568</v>
      </c>
      <c r="AG2748" s="61"/>
      <c r="AH2748" s="69">
        <f>IFERROR(ABS(AG$23-AG2747),Q_max*10)</f>
        <v>5500</v>
      </c>
      <c r="AI2748" s="75">
        <f>AG2739</f>
        <v>3666.6772489933915</v>
      </c>
      <c r="AJ2748" s="61"/>
      <c r="AK2748" s="69">
        <f>IFERROR(ABS(AJ$23-AJ2747),Q_max*10)</f>
        <v>5500</v>
      </c>
      <c r="AL2748" s="75">
        <f>AJ2739</f>
        <v>4893.1950029025602</v>
      </c>
      <c r="AM2748" s="61"/>
      <c r="AN2748" s="69">
        <f>IFERROR(ABS(AM$23-AM2747),Q_max*10)</f>
        <v>5500</v>
      </c>
      <c r="AO2748" s="75">
        <f>AM2739</f>
        <v>5970.6278060648674</v>
      </c>
      <c r="AP2748" s="61"/>
      <c r="AQ2748" s="69">
        <f>IFERROR(ABS(AP$23-AP2747),Q_max*10)</f>
        <v>5500</v>
      </c>
      <c r="AR2748" s="75">
        <f>AP2739</f>
        <v>6931.7135269101946</v>
      </c>
      <c r="AS2748" s="61"/>
      <c r="AT2748" s="69">
        <f>IFERROR(ABS(AS$23-AS2747),Q_max*10)</f>
        <v>5500</v>
      </c>
      <c r="AU2748" s="75">
        <f>AS2739</f>
        <v>7888.936586865033</v>
      </c>
    </row>
    <row r="2749" spans="15:47" ht="14.5" x14ac:dyDescent="0.35">
      <c r="O2749" s="6"/>
      <c r="P2749" s="6"/>
      <c r="Q2749" s="60"/>
      <c r="R2749" s="67"/>
      <c r="S2749" s="56"/>
      <c r="T2749" s="72"/>
      <c r="V2749" s="11"/>
      <c r="W2749" s="38"/>
      <c r="Y2749" s="11"/>
      <c r="Z2749" s="38"/>
      <c r="AB2749" s="11"/>
      <c r="AC2749" s="38"/>
      <c r="AE2749" s="11"/>
      <c r="AF2749" s="38"/>
      <c r="AH2749" s="11"/>
      <c r="AI2749" s="38"/>
      <c r="AK2749" s="11"/>
      <c r="AL2749" s="38"/>
      <c r="AN2749" s="11"/>
      <c r="AO2749" s="38"/>
      <c r="AQ2749" s="11"/>
      <c r="AR2749" s="38"/>
      <c r="AT2749" s="11"/>
      <c r="AU2749" s="38"/>
    </row>
    <row r="2750" spans="15:47" ht="14" x14ac:dyDescent="0.3">
      <c r="O2750" s="8" t="s">
        <v>235</v>
      </c>
      <c r="P2750" s="6"/>
      <c r="Q2750" s="60"/>
      <c r="R2750" s="53">
        <f>R2739*1.02</f>
        <v>106.49578328975247</v>
      </c>
      <c r="S2750" s="58" t="s">
        <v>238</v>
      </c>
      <c r="T2750" s="73" t="s">
        <v>241</v>
      </c>
      <c r="U2750" s="84">
        <f>U2739*1.01</f>
        <v>329.98958149361101</v>
      </c>
      <c r="V2750" s="58" t="s">
        <v>238</v>
      </c>
      <c r="W2750" s="73" t="s">
        <v>241</v>
      </c>
      <c r="X2750" s="84">
        <f>X2739*1.01</f>
        <v>792.10202091837448</v>
      </c>
      <c r="Y2750" s="58" t="s">
        <v>238</v>
      </c>
      <c r="Z2750" s="73" t="s">
        <v>241</v>
      </c>
      <c r="AA2750" s="84">
        <f>AA2739*1.01</f>
        <v>1512.4130539567223</v>
      </c>
      <c r="AB2750" s="58" t="s">
        <v>238</v>
      </c>
      <c r="AC2750" s="73" t="s">
        <v>241</v>
      </c>
      <c r="AD2750" s="84">
        <f>AD2739*1.01</f>
        <v>2487.3626363093135</v>
      </c>
      <c r="AE2750" s="58" t="s">
        <v>238</v>
      </c>
      <c r="AF2750" s="73" t="s">
        <v>241</v>
      </c>
      <c r="AG2750" s="84">
        <f>AG2739*1.01</f>
        <v>3703.3440214833254</v>
      </c>
      <c r="AH2750" s="58" t="s">
        <v>238</v>
      </c>
      <c r="AI2750" s="73" t="s">
        <v>241</v>
      </c>
      <c r="AJ2750" s="84">
        <f>AJ2739*1.01</f>
        <v>4942.1269529315859</v>
      </c>
      <c r="AK2750" s="58" t="s">
        <v>238</v>
      </c>
      <c r="AL2750" s="73" t="s">
        <v>241</v>
      </c>
      <c r="AM2750" s="84">
        <f>AM2739*1.01</f>
        <v>6030.3340841255158</v>
      </c>
      <c r="AN2750" s="58" t="s">
        <v>238</v>
      </c>
      <c r="AO2750" s="73" t="s">
        <v>241</v>
      </c>
      <c r="AP2750" s="84">
        <f>AP2739*1.01</f>
        <v>7001.030662179297</v>
      </c>
      <c r="AQ2750" s="58" t="s">
        <v>238</v>
      </c>
      <c r="AR2750" s="73" t="s">
        <v>241</v>
      </c>
      <c r="AS2750" s="84">
        <f>AS2739*1.01</f>
        <v>7967.8259527336832</v>
      </c>
      <c r="AT2750" s="58" t="s">
        <v>238</v>
      </c>
      <c r="AU2750" s="73" t="s">
        <v>241</v>
      </c>
    </row>
    <row r="2751" spans="15:47" ht="13" x14ac:dyDescent="0.25">
      <c r="O2751" s="6"/>
      <c r="P2751" s="6"/>
      <c r="Q2751" s="60"/>
      <c r="R2751" s="70"/>
      <c r="S2751" s="63" t="s">
        <v>250</v>
      </c>
      <c r="T2751" s="71" t="s">
        <v>242</v>
      </c>
      <c r="U2751" s="61"/>
      <c r="V2751" s="63" t="s">
        <v>250</v>
      </c>
      <c r="W2751" s="71" t="s">
        <v>242</v>
      </c>
      <c r="X2751" s="61"/>
      <c r="Y2751" s="63" t="s">
        <v>250</v>
      </c>
      <c r="Z2751" s="71" t="s">
        <v>242</v>
      </c>
      <c r="AA2751" s="61"/>
      <c r="AB2751" s="63" t="s">
        <v>250</v>
      </c>
      <c r="AC2751" s="71" t="s">
        <v>242</v>
      </c>
      <c r="AD2751" s="61"/>
      <c r="AE2751" s="63" t="s">
        <v>250</v>
      </c>
      <c r="AF2751" s="71" t="s">
        <v>242</v>
      </c>
      <c r="AG2751" s="61"/>
      <c r="AH2751" s="63" t="s">
        <v>250</v>
      </c>
      <c r="AI2751" s="71" t="s">
        <v>242</v>
      </c>
      <c r="AJ2751" s="61"/>
      <c r="AK2751" s="63" t="s">
        <v>250</v>
      </c>
      <c r="AL2751" s="71" t="s">
        <v>242</v>
      </c>
      <c r="AM2751" s="61"/>
      <c r="AN2751" s="63" t="s">
        <v>250</v>
      </c>
      <c r="AO2751" s="71" t="s">
        <v>242</v>
      </c>
      <c r="AP2751" s="61"/>
      <c r="AQ2751" s="63" t="s">
        <v>250</v>
      </c>
      <c r="AR2751" s="71" t="s">
        <v>242</v>
      </c>
      <c r="AS2751" s="61"/>
      <c r="AT2751" s="63" t="s">
        <v>250</v>
      </c>
      <c r="AU2751" s="71" t="s">
        <v>242</v>
      </c>
    </row>
    <row r="2752" spans="15:47" ht="13" x14ac:dyDescent="0.3">
      <c r="O2752" s="6" t="s">
        <v>231</v>
      </c>
      <c r="P2752" s="6"/>
      <c r="Q2752" s="60"/>
      <c r="R2752" s="85">
        <f>P_1_minQ-(R2750^2*R_up)+dpup_minQ</f>
        <v>56.533118815991287</v>
      </c>
      <c r="S2752" s="56"/>
      <c r="T2752" s="72"/>
      <c r="U2752" s="53">
        <f>P_1_minQ-(U2750^2*R_up)+dpup_minQ</f>
        <v>53.238563867128384</v>
      </c>
      <c r="V2752" s="44"/>
      <c r="W2752" s="72"/>
      <c r="X2752" s="53">
        <f>P_1_minQ-(X2750^2*R_up)+dpup_minQ</f>
        <v>35.726490660487237</v>
      </c>
      <c r="Y2752" s="44"/>
      <c r="Z2752" s="72"/>
      <c r="AA2752" s="53">
        <f>P_1_minQ-(AA2750^2*R_up)+dpup_minQ</f>
        <v>-20.334557439334663</v>
      </c>
      <c r="AB2752" s="44"/>
      <c r="AC2752" s="72"/>
      <c r="AD2752" s="53">
        <f>P_1_minQ-(AD2750^2*R_up)+dpup_minQ</f>
        <v>-152.03262021302325</v>
      </c>
      <c r="AE2752" s="44"/>
      <c r="AF2752" s="72"/>
      <c r="AG2752" s="53">
        <f>P_1_minQ-(AG2750^2*R_up)+dpup_minQ</f>
        <v>-406.26376026532552</v>
      </c>
      <c r="AH2752" s="44"/>
      <c r="AI2752" s="72"/>
      <c r="AJ2752" s="53">
        <f>P_1_minQ-(AJ2750^2*R_up)+dpup_minQ</f>
        <v>-767.96122319800213</v>
      </c>
      <c r="AK2752" s="44"/>
      <c r="AL2752" s="72"/>
      <c r="AM2752" s="53">
        <f>P_1_minQ-(AM2750^2*R_up)+dpup_minQ</f>
        <v>-1171.213852285239</v>
      </c>
      <c r="AN2752" s="44"/>
      <c r="AO2752" s="72"/>
      <c r="AP2752" s="53">
        <f>P_1_minQ-(AP2750^2*R_up)+dpup_minQ</f>
        <v>-1598.4175391008</v>
      </c>
      <c r="AQ2752" s="44"/>
      <c r="AR2752" s="72"/>
      <c r="AS2752" s="53">
        <f>P_1_minQ-(AS2750^2*R_up)+dpup_minQ</f>
        <v>-2087.1652621768467</v>
      </c>
      <c r="AT2752" s="44"/>
      <c r="AU2752" s="72"/>
    </row>
    <row r="2753" spans="15:47" ht="13" x14ac:dyDescent="0.3">
      <c r="O2753" s="6" t="s">
        <v>233</v>
      </c>
      <c r="P2753" s="6"/>
      <c r="Q2753" s="60"/>
      <c r="R2753" s="85">
        <f>P_2_minQ+(R2750^2*R_dn)-dpdn_minQ</f>
        <v>24.733376236801742</v>
      </c>
      <c r="S2753" s="66"/>
      <c r="T2753" s="74"/>
      <c r="U2753" s="53">
        <f>P_2_minQ+(U2750^2*R_dn)-dpdn_minQ</f>
        <v>25.392287226574325</v>
      </c>
      <c r="V2753" s="45"/>
      <c r="W2753" s="74"/>
      <c r="X2753" s="53">
        <f>P_2_minQ+(X2750^2*R_dn)-dpdn_minQ</f>
        <v>28.894701867902555</v>
      </c>
      <c r="Y2753" s="45"/>
      <c r="Z2753" s="74"/>
      <c r="AA2753" s="53">
        <f>P_2_minQ+(AA2750^2*R_dn)-dpdn_minQ</f>
        <v>40.106911487866938</v>
      </c>
      <c r="AB2753" s="45"/>
      <c r="AC2753" s="74"/>
      <c r="AD2753" s="53">
        <f>P_2_minQ+(AD2750^2*R_dn)-dpdn_minQ</f>
        <v>66.446524042604651</v>
      </c>
      <c r="AE2753" s="45"/>
      <c r="AF2753" s="74"/>
      <c r="AG2753" s="53">
        <f>P_2_minQ+(AG2750^2*R_dn)-dpdn_minQ</f>
        <v>117.2927520530651</v>
      </c>
      <c r="AH2753" s="45"/>
      <c r="AI2753" s="74"/>
      <c r="AJ2753" s="53">
        <f>P_2_minQ+(AJ2750^2*R_dn)-dpdn_minQ</f>
        <v>189.63224463960043</v>
      </c>
      <c r="AK2753" s="45"/>
      <c r="AL2753" s="74"/>
      <c r="AM2753" s="53">
        <f>P_2_minQ+(AM2750^2*R_dn)-dpdn_minQ</f>
        <v>270.28277045704777</v>
      </c>
      <c r="AN2753" s="45"/>
      <c r="AO2753" s="74"/>
      <c r="AP2753" s="53">
        <f>P_2_minQ+(AP2750^2*R_dn)-dpdn_minQ</f>
        <v>355.72350782015991</v>
      </c>
      <c r="AQ2753" s="45"/>
      <c r="AR2753" s="74"/>
      <c r="AS2753" s="53">
        <f>P_2_minQ+(AS2750^2*R_dn)-dpdn_minQ</f>
        <v>453.47305243536925</v>
      </c>
      <c r="AT2753" s="45"/>
      <c r="AU2753" s="74"/>
    </row>
    <row r="2754" spans="15:47" x14ac:dyDescent="0.25">
      <c r="O2754" s="6" t="s">
        <v>243</v>
      </c>
      <c r="Q2754" s="60"/>
      <c r="R2754" s="53">
        <f>R2752-R2753</f>
        <v>31.799742579189545</v>
      </c>
      <c r="S2754" s="56"/>
      <c r="T2754" s="72"/>
      <c r="U2754" s="64">
        <f>U2752-U2753</f>
        <v>27.846276640554059</v>
      </c>
      <c r="V2754" s="44"/>
      <c r="W2754" s="72"/>
      <c r="X2754" s="64">
        <f>X2752-X2753</f>
        <v>6.8317887925846819</v>
      </c>
      <c r="Y2754" s="44"/>
      <c r="Z2754" s="72"/>
      <c r="AA2754" s="64">
        <f>AA2752-AA2753</f>
        <v>-60.441468927201598</v>
      </c>
      <c r="AB2754" s="44"/>
      <c r="AC2754" s="72"/>
      <c r="AD2754" s="64">
        <f>AD2752-AD2753</f>
        <v>-218.47914425562789</v>
      </c>
      <c r="AE2754" s="44"/>
      <c r="AF2754" s="72"/>
      <c r="AG2754" s="64">
        <f>AG2752-AG2753</f>
        <v>-523.55651231839056</v>
      </c>
      <c r="AH2754" s="44"/>
      <c r="AI2754" s="72"/>
      <c r="AJ2754" s="64">
        <f>AJ2752-AJ2753</f>
        <v>-957.59346783760259</v>
      </c>
      <c r="AK2754" s="44"/>
      <c r="AL2754" s="72"/>
      <c r="AM2754" s="64">
        <f>AM2752-AM2753</f>
        <v>-1441.4966227422867</v>
      </c>
      <c r="AN2754" s="44"/>
      <c r="AO2754" s="72"/>
      <c r="AP2754" s="64">
        <f>AP2752-AP2753</f>
        <v>-1954.14104692096</v>
      </c>
      <c r="AQ2754" s="44"/>
      <c r="AR2754" s="72"/>
      <c r="AS2754" s="64">
        <f>AS2752-AS2753</f>
        <v>-2540.6383146122162</v>
      </c>
      <c r="AT2754" s="44"/>
      <c r="AU2754" s="72"/>
    </row>
    <row r="2755" spans="15:47" ht="13" x14ac:dyDescent="0.3">
      <c r="O2755" s="6" t="s">
        <v>75</v>
      </c>
      <c r="P2755" s="6">
        <v>3</v>
      </c>
      <c r="Q2755" s="65"/>
      <c r="R2755" s="85">
        <f>(F_LP_h/F_P_h)^2*(R2752-('Valve Sizing'!$V$4*'Valve Sizing'!$G$7))</f>
        <v>46.447998951082333</v>
      </c>
      <c r="S2755" s="58"/>
      <c r="T2755" s="73"/>
      <c r="U2755" s="53">
        <f>(U$29/U$27)^2*(U2752-('Valve Sizing'!$V$4*'Valve Sizing'!$G$7))</f>
        <v>43.708018274410257</v>
      </c>
      <c r="V2755" s="41"/>
      <c r="W2755" s="73"/>
      <c r="X2755" s="53">
        <f>(X$29/X$27)^2*(X2752-('Valve Sizing'!$V$4*'Valve Sizing'!$G$7))</f>
        <v>28.552143047297712</v>
      </c>
      <c r="Y2755" s="41"/>
      <c r="Z2755" s="73"/>
      <c r="AA2755" s="53">
        <f>(AA$29/AA$27)^2*(AA2752-('Valve Sizing'!$V$4*'Valve Sizing'!$G$7))</f>
        <v>-16.054564830375124</v>
      </c>
      <c r="AB2755" s="41"/>
      <c r="AC2755" s="73"/>
      <c r="AD2755" s="53">
        <f>(AD$29/AD$27)^2*(AD2752-('Valve Sizing'!$V$4*'Valve Sizing'!$G$7))</f>
        <v>-109.96137522684161</v>
      </c>
      <c r="AE2755" s="41"/>
      <c r="AF2755" s="73"/>
      <c r="AG2755" s="53">
        <f>(AG$29/AG$27)^2*(AG2752-('Valve Sizing'!$V$4*'Valve Sizing'!$G$7))</f>
        <v>-261.93513386364947</v>
      </c>
      <c r="AH2755" s="41"/>
      <c r="AI2755" s="73"/>
      <c r="AJ2755" s="53">
        <f>(AJ$29/AJ$27)^2*(AJ2752-('Valve Sizing'!$V$4*'Valve Sizing'!$G$7))</f>
        <v>-444.41589607243594</v>
      </c>
      <c r="AK2755" s="41"/>
      <c r="AL2755" s="73"/>
      <c r="AM2755" s="53">
        <f>(AM$29/AM$27)^2*(AM2752-('Valve Sizing'!$V$4*'Valve Sizing'!$G$7))</f>
        <v>-560.60376453682875</v>
      </c>
      <c r="AN2755" s="41"/>
      <c r="AO2755" s="73"/>
      <c r="AP2755" s="53">
        <f>(AP$29/AP$27)^2*(AP2752-('Valve Sizing'!$V$4*'Valve Sizing'!$G$7))</f>
        <v>-630.95210081112555</v>
      </c>
      <c r="AQ2755" s="41"/>
      <c r="AR2755" s="73"/>
      <c r="AS2755" s="53">
        <f>(AS$29/AS$27)^2*(AS2752-('Valve Sizing'!$V$4*'Valve Sizing'!$G$7))</f>
        <v>-785.23352278215975</v>
      </c>
      <c r="AT2755" s="41"/>
      <c r="AU2755" s="73"/>
    </row>
    <row r="2756" spans="15:47" ht="13" x14ac:dyDescent="0.25">
      <c r="O2756" s="1" t="s">
        <v>69</v>
      </c>
      <c r="P2756" s="17">
        <v>7</v>
      </c>
      <c r="Q2756" s="65"/>
      <c r="R2756" s="53">
        <f>(R2750/(N_1*F_P_h))*SQRT('Valve Sizing'!$G$6/R2754)</f>
        <v>18.88792017527777</v>
      </c>
      <c r="S2756" s="58"/>
      <c r="T2756" s="73"/>
      <c r="U2756" s="64">
        <f>(U2750/(N_1*U$27))*SQRT('Valve Sizing'!$G$6/U2754)</f>
        <v>62.586740212015606</v>
      </c>
      <c r="V2756" s="41"/>
      <c r="W2756" s="73"/>
      <c r="X2756" s="64">
        <f>(X2750/(N_1*X$27))*SQRT('Valve Sizing'!$G$6/X2754)</f>
        <v>303.98644831259526</v>
      </c>
      <c r="Y2756" s="41"/>
      <c r="Z2756" s="73"/>
      <c r="AA2756" s="64" t="e">
        <f>(AA2750/(N_1*AA$27))*SQRT('Valve Sizing'!$G$6/AA2754)</f>
        <v>#NUM!</v>
      </c>
      <c r="AB2756" s="41"/>
      <c r="AC2756" s="73"/>
      <c r="AD2756" s="64" t="e">
        <f>(AD2750/(N_1*AD$27))*SQRT('Valve Sizing'!$G$6/AD2754)</f>
        <v>#NUM!</v>
      </c>
      <c r="AE2756" s="41"/>
      <c r="AF2756" s="73"/>
      <c r="AG2756" s="64" t="e">
        <f>(AG2750/(N_1*AG$27))*SQRT('Valve Sizing'!$G$6/AG2754)</f>
        <v>#NUM!</v>
      </c>
      <c r="AH2756" s="41"/>
      <c r="AI2756" s="73"/>
      <c r="AJ2756" s="64" t="e">
        <f>(AJ2750/(N_1*AJ$27))*SQRT('Valve Sizing'!$G$6/AJ2754)</f>
        <v>#NUM!</v>
      </c>
      <c r="AK2756" s="41"/>
      <c r="AL2756" s="73"/>
      <c r="AM2756" s="64" t="e">
        <f>(AM2750/(N_1*AM$27))*SQRT('Valve Sizing'!$G$6/AM2754)</f>
        <v>#NUM!</v>
      </c>
      <c r="AN2756" s="41"/>
      <c r="AO2756" s="73"/>
      <c r="AP2756" s="64" t="e">
        <f>(AP2750/(N_1*AP$27))*SQRT('Valve Sizing'!$G$6/AP2754)</f>
        <v>#NUM!</v>
      </c>
      <c r="AQ2756" s="41"/>
      <c r="AR2756" s="73"/>
      <c r="AS2756" s="64" t="e">
        <f>(AS2750/(N_1*AS$27))*SQRT('Valve Sizing'!$G$6/AS2754)</f>
        <v>#NUM!</v>
      </c>
      <c r="AT2756" s="41"/>
      <c r="AU2756" s="73"/>
    </row>
    <row r="2757" spans="15:47" ht="13" x14ac:dyDescent="0.3">
      <c r="O2757" s="1" t="s">
        <v>72</v>
      </c>
      <c r="P2757" s="17">
        <v>7</v>
      </c>
      <c r="Q2757" s="65"/>
      <c r="R2757" s="53">
        <f>(R2750/(N_1*F_P_h))*SQRT('Valve Sizing'!$G$6/R2755)</f>
        <v>15.628325087624512</v>
      </c>
      <c r="S2757" s="56"/>
      <c r="T2757" s="72"/>
      <c r="U2757" s="85">
        <f>(U2750/(N_1*U$27))*SQRT('Valve Sizing'!$G$6/U2755)</f>
        <v>49.955733591008922</v>
      </c>
      <c r="V2757" s="44"/>
      <c r="W2757" s="72"/>
      <c r="X2757" s="85">
        <f>(X2750/(N_1*X$27))*SQRT('Valve Sizing'!$G$6/X2755)</f>
        <v>148.69695788126126</v>
      </c>
      <c r="Y2757" s="44"/>
      <c r="Z2757" s="72"/>
      <c r="AA2757" s="85" t="e">
        <f>(AA2750/(N_1*AA$27))*SQRT('Valve Sizing'!$G$6/AA2755)</f>
        <v>#NUM!</v>
      </c>
      <c r="AB2757" s="44"/>
      <c r="AC2757" s="72"/>
      <c r="AD2757" s="85" t="e">
        <f>(AD2750/(N_1*AD$27))*SQRT('Valve Sizing'!$G$6/AD2755)</f>
        <v>#NUM!</v>
      </c>
      <c r="AE2757" s="44"/>
      <c r="AF2757" s="72"/>
      <c r="AG2757" s="85" t="e">
        <f>(AG2750/(N_1*AG$27))*SQRT('Valve Sizing'!$G$6/AG2755)</f>
        <v>#NUM!</v>
      </c>
      <c r="AH2757" s="44"/>
      <c r="AI2757" s="72"/>
      <c r="AJ2757" s="85" t="e">
        <f>(AJ2750/(N_1*AJ$27))*SQRT('Valve Sizing'!$G$6/AJ2755)</f>
        <v>#NUM!</v>
      </c>
      <c r="AK2757" s="44"/>
      <c r="AL2757" s="72"/>
      <c r="AM2757" s="85" t="e">
        <f>(AM2750/(N_1*AM$27))*SQRT('Valve Sizing'!$G$6/AM2755)</f>
        <v>#NUM!</v>
      </c>
      <c r="AN2757" s="44"/>
      <c r="AO2757" s="72"/>
      <c r="AP2757" s="85" t="e">
        <f>(AP2750/(N_1*AP$27))*SQRT('Valve Sizing'!$G$6/AP2755)</f>
        <v>#NUM!</v>
      </c>
      <c r="AQ2757" s="44"/>
      <c r="AR2757" s="72"/>
      <c r="AS2757" s="85" t="e">
        <f>(AS2750/(N_1*AS$27))*SQRT('Valve Sizing'!$G$6/AS2755)</f>
        <v>#NUM!</v>
      </c>
      <c r="AT2757" s="44"/>
      <c r="AU2757" s="72"/>
    </row>
    <row r="2758" spans="15:47" x14ac:dyDescent="0.25">
      <c r="O2758" s="1" t="s">
        <v>246</v>
      </c>
      <c r="P2758" s="18"/>
      <c r="Q2758" s="65"/>
      <c r="R2758" s="53">
        <f>IF(R2754&lt;R2755,R2756,R2757)</f>
        <v>18.88792017527777</v>
      </c>
      <c r="S2758" s="49"/>
      <c r="T2758" s="72"/>
      <c r="U2758" s="64">
        <f>IF(U2754&lt;U2755,U2756,U2757)</f>
        <v>62.586740212015606</v>
      </c>
      <c r="V2758" s="44"/>
      <c r="W2758" s="72"/>
      <c r="X2758" s="64">
        <f>IF(X2754&lt;X2755,X2756,X2757)</f>
        <v>303.98644831259526</v>
      </c>
      <c r="Y2758" s="44"/>
      <c r="Z2758" s="72"/>
      <c r="AA2758" s="64" t="e">
        <f>IF(AA2754&lt;AA2755,AA2756,AA2757)</f>
        <v>#NUM!</v>
      </c>
      <c r="AB2758" s="44"/>
      <c r="AC2758" s="72"/>
      <c r="AD2758" s="64" t="e">
        <f>IF(AD2754&lt;AD2755,AD2756,AD2757)</f>
        <v>#NUM!</v>
      </c>
      <c r="AE2758" s="44"/>
      <c r="AF2758" s="72"/>
      <c r="AG2758" s="64" t="e">
        <f>IF(AG2754&lt;AG2755,AG2756,AG2757)</f>
        <v>#NUM!</v>
      </c>
      <c r="AH2758" s="44"/>
      <c r="AI2758" s="72"/>
      <c r="AJ2758" s="64" t="e">
        <f>IF(AJ2754&lt;AJ2755,AJ2756,AJ2757)</f>
        <v>#NUM!</v>
      </c>
      <c r="AK2758" s="44"/>
      <c r="AL2758" s="72"/>
      <c r="AM2758" s="64" t="e">
        <f>IF(AM2754&lt;AM2755,AM2756,AM2757)</f>
        <v>#NUM!</v>
      </c>
      <c r="AN2758" s="44"/>
      <c r="AO2758" s="72"/>
      <c r="AP2758" s="64" t="e">
        <f>IF(AP2754&lt;AP2755,AP2756,AP2757)</f>
        <v>#NUM!</v>
      </c>
      <c r="AQ2758" s="44"/>
      <c r="AR2758" s="72"/>
      <c r="AS2758" s="64" t="e">
        <f>IF(AS2754&lt;AS2755,AS2756,AS2757)</f>
        <v>#NUM!</v>
      </c>
      <c r="AT2758" s="44"/>
      <c r="AU2758" s="72"/>
    </row>
    <row r="2759" spans="15:47" ht="13" x14ac:dyDescent="0.3">
      <c r="O2759" s="7" t="s">
        <v>264</v>
      </c>
      <c r="Q2759" s="61"/>
      <c r="R2759" s="53"/>
      <c r="S2759" s="69">
        <f>IFERROR(ABS(C_h-R2758),Q_max*10)</f>
        <v>13.88792017527777</v>
      </c>
      <c r="T2759" s="76">
        <f>R2750</f>
        <v>106.49578328975247</v>
      </c>
      <c r="U2759" s="61"/>
      <c r="V2759" s="69">
        <f>IFERROR(ABS(U$23-U2758),Q_max*10)</f>
        <v>50.586740212015606</v>
      </c>
      <c r="W2759" s="75">
        <f>U2750</f>
        <v>329.98958149361101</v>
      </c>
      <c r="X2759" s="61"/>
      <c r="Y2759" s="69">
        <f>IFERROR(ABS(X$23-X2758),Q_max*10)</f>
        <v>280.98644831259526</v>
      </c>
      <c r="Z2759" s="75">
        <f>X2750</f>
        <v>792.10202091837448</v>
      </c>
      <c r="AA2759" s="61"/>
      <c r="AB2759" s="69">
        <f>IFERROR(ABS(AA$23-AA2758),Q_max*10)</f>
        <v>5500</v>
      </c>
      <c r="AC2759" s="75">
        <f>AA2750</f>
        <v>1512.4130539567223</v>
      </c>
      <c r="AD2759" s="61"/>
      <c r="AE2759" s="69">
        <f>IFERROR(ABS(AD$23-AD2758),Q_max*10)</f>
        <v>5500</v>
      </c>
      <c r="AF2759" s="75">
        <f>AD2750</f>
        <v>2487.3626363093135</v>
      </c>
      <c r="AG2759" s="61"/>
      <c r="AH2759" s="69">
        <f>IFERROR(ABS(AG$23-AG2758),Q_max*10)</f>
        <v>5500</v>
      </c>
      <c r="AI2759" s="75">
        <f>AG2750</f>
        <v>3703.3440214833254</v>
      </c>
      <c r="AJ2759" s="61"/>
      <c r="AK2759" s="69">
        <f>IFERROR(ABS(AJ$23-AJ2758),Q_max*10)</f>
        <v>5500</v>
      </c>
      <c r="AL2759" s="75">
        <f>AJ2750</f>
        <v>4942.1269529315859</v>
      </c>
      <c r="AM2759" s="61"/>
      <c r="AN2759" s="69">
        <f>IFERROR(ABS(AM$23-AM2758),Q_max*10)</f>
        <v>5500</v>
      </c>
      <c r="AO2759" s="75">
        <f>AM2750</f>
        <v>6030.3340841255158</v>
      </c>
      <c r="AP2759" s="61"/>
      <c r="AQ2759" s="69">
        <f>IFERROR(ABS(AP$23-AP2758),Q_max*10)</f>
        <v>5500</v>
      </c>
      <c r="AR2759" s="75">
        <f>AP2750</f>
        <v>7001.030662179297</v>
      </c>
      <c r="AS2759" s="61"/>
      <c r="AT2759" s="69">
        <f>IFERROR(ABS(AS$23-AS2758),Q_max*10)</f>
        <v>5500</v>
      </c>
      <c r="AU2759" s="75">
        <f>AS2750</f>
        <v>7967.8259527336832</v>
      </c>
    </row>
    <row r="2760" spans="15:47" ht="14.5" x14ac:dyDescent="0.35">
      <c r="O2760" s="8"/>
      <c r="P2760" s="6"/>
      <c r="Q2760" s="60"/>
      <c r="R2760" s="67"/>
      <c r="S2760" s="58"/>
      <c r="T2760" s="73"/>
      <c r="V2760" s="11"/>
      <c r="W2760" s="38"/>
      <c r="Y2760" s="11"/>
      <c r="Z2760" s="38"/>
      <c r="AB2760" s="11"/>
      <c r="AC2760" s="38"/>
      <c r="AE2760" s="11"/>
      <c r="AF2760" s="38"/>
      <c r="AH2760" s="11"/>
      <c r="AI2760" s="38"/>
      <c r="AK2760" s="11"/>
      <c r="AL2760" s="38"/>
      <c r="AN2760" s="11"/>
      <c r="AO2760" s="38"/>
      <c r="AQ2760" s="11"/>
      <c r="AR2760" s="38"/>
      <c r="AT2760" s="11"/>
      <c r="AU2760" s="38"/>
    </row>
    <row r="2761" spans="15:47" ht="14" x14ac:dyDescent="0.3">
      <c r="O2761" s="8" t="s">
        <v>235</v>
      </c>
      <c r="P2761" s="6"/>
      <c r="Q2761" s="60"/>
      <c r="R2761" s="53">
        <f>R2750*1.02</f>
        <v>108.62569895554752</v>
      </c>
      <c r="S2761" s="58" t="s">
        <v>238</v>
      </c>
      <c r="T2761" s="73" t="s">
        <v>241</v>
      </c>
      <c r="U2761" s="84">
        <f>U2750*1.01</f>
        <v>333.28947730854713</v>
      </c>
      <c r="V2761" s="58" t="s">
        <v>238</v>
      </c>
      <c r="W2761" s="73" t="s">
        <v>241</v>
      </c>
      <c r="X2761" s="84">
        <f>X2750*1.01</f>
        <v>800.02304112755826</v>
      </c>
      <c r="Y2761" s="58" t="s">
        <v>238</v>
      </c>
      <c r="Z2761" s="73" t="s">
        <v>241</v>
      </c>
      <c r="AA2761" s="84">
        <f>AA2750*1.01</f>
        <v>1527.5371844962895</v>
      </c>
      <c r="AB2761" s="58" t="s">
        <v>238</v>
      </c>
      <c r="AC2761" s="73" t="s">
        <v>241</v>
      </c>
      <c r="AD2761" s="84">
        <f>AD2750*1.01</f>
        <v>2512.2362626724066</v>
      </c>
      <c r="AE2761" s="58" t="s">
        <v>238</v>
      </c>
      <c r="AF2761" s="73" t="s">
        <v>241</v>
      </c>
      <c r="AG2761" s="84">
        <f>AG2750*1.01</f>
        <v>3740.3774616981586</v>
      </c>
      <c r="AH2761" s="58" t="s">
        <v>238</v>
      </c>
      <c r="AI2761" s="73" t="s">
        <v>241</v>
      </c>
      <c r="AJ2761" s="84">
        <f>AJ2750*1.01</f>
        <v>4991.5482224609023</v>
      </c>
      <c r="AK2761" s="58" t="s">
        <v>238</v>
      </c>
      <c r="AL2761" s="73" t="s">
        <v>241</v>
      </c>
      <c r="AM2761" s="84">
        <f>AM2750*1.01</f>
        <v>6090.6374249667706</v>
      </c>
      <c r="AN2761" s="58" t="s">
        <v>238</v>
      </c>
      <c r="AO2761" s="73" t="s">
        <v>241</v>
      </c>
      <c r="AP2761" s="84">
        <f>AP2750*1.01</f>
        <v>7071.0409688010905</v>
      </c>
      <c r="AQ2761" s="58" t="s">
        <v>238</v>
      </c>
      <c r="AR2761" s="73" t="s">
        <v>241</v>
      </c>
      <c r="AS2761" s="84">
        <f>AS2750*1.01</f>
        <v>8047.5042122610203</v>
      </c>
      <c r="AT2761" s="58" t="s">
        <v>238</v>
      </c>
      <c r="AU2761" s="73" t="s">
        <v>241</v>
      </c>
    </row>
    <row r="2762" spans="15:47" ht="13" x14ac:dyDescent="0.25">
      <c r="O2762" s="6"/>
      <c r="P2762" s="6"/>
      <c r="Q2762" s="60"/>
      <c r="R2762" s="70"/>
      <c r="S2762" s="63" t="s">
        <v>250</v>
      </c>
      <c r="T2762" s="71" t="s">
        <v>242</v>
      </c>
      <c r="U2762" s="61"/>
      <c r="V2762" s="63" t="s">
        <v>250</v>
      </c>
      <c r="W2762" s="71" t="s">
        <v>242</v>
      </c>
      <c r="X2762" s="61"/>
      <c r="Y2762" s="63" t="s">
        <v>250</v>
      </c>
      <c r="Z2762" s="71" t="s">
        <v>242</v>
      </c>
      <c r="AA2762" s="61"/>
      <c r="AB2762" s="63" t="s">
        <v>250</v>
      </c>
      <c r="AC2762" s="71" t="s">
        <v>242</v>
      </c>
      <c r="AD2762" s="61"/>
      <c r="AE2762" s="63" t="s">
        <v>250</v>
      </c>
      <c r="AF2762" s="71" t="s">
        <v>242</v>
      </c>
      <c r="AG2762" s="61"/>
      <c r="AH2762" s="63" t="s">
        <v>250</v>
      </c>
      <c r="AI2762" s="71" t="s">
        <v>242</v>
      </c>
      <c r="AJ2762" s="61"/>
      <c r="AK2762" s="63" t="s">
        <v>250</v>
      </c>
      <c r="AL2762" s="71" t="s">
        <v>242</v>
      </c>
      <c r="AM2762" s="61"/>
      <c r="AN2762" s="63" t="s">
        <v>250</v>
      </c>
      <c r="AO2762" s="71" t="s">
        <v>242</v>
      </c>
      <c r="AP2762" s="61"/>
      <c r="AQ2762" s="63" t="s">
        <v>250</v>
      </c>
      <c r="AR2762" s="71" t="s">
        <v>242</v>
      </c>
      <c r="AS2762" s="61"/>
      <c r="AT2762" s="63" t="s">
        <v>250</v>
      </c>
      <c r="AU2762" s="71" t="s">
        <v>242</v>
      </c>
    </row>
    <row r="2763" spans="15:47" ht="13" x14ac:dyDescent="0.3">
      <c r="O2763" s="6" t="s">
        <v>231</v>
      </c>
      <c r="P2763" s="6"/>
      <c r="Q2763" s="60"/>
      <c r="R2763" s="85">
        <f>P_1_minQ-(R2761^2*R_up)+dpup_minQ</f>
        <v>56.517644631084728</v>
      </c>
      <c r="S2763" s="56"/>
      <c r="T2763" s="72"/>
      <c r="U2763" s="53">
        <f>P_1_minQ-(U2761^2*R_up)+dpup_minQ</f>
        <v>53.164644522640849</v>
      </c>
      <c r="V2763" s="44"/>
      <c r="W2763" s="72"/>
      <c r="X2763" s="53">
        <f>P_1_minQ-(X2761^2*R_up)+dpup_minQ</f>
        <v>35.300578644546206</v>
      </c>
      <c r="Y2763" s="44"/>
      <c r="Z2763" s="72"/>
      <c r="AA2763" s="53">
        <f>P_1_minQ-(AA2761^2*R_up)+dpup_minQ</f>
        <v>-21.887296522082099</v>
      </c>
      <c r="AB2763" s="44"/>
      <c r="AC2763" s="72"/>
      <c r="AD2763" s="53">
        <f>P_1_minQ-(AD2761^2*R_up)+dpup_minQ</f>
        <v>-156.23249035752181</v>
      </c>
      <c r="AE2763" s="44"/>
      <c r="AF2763" s="72"/>
      <c r="AG2763" s="53">
        <f>P_1_minQ-(AG2761^2*R_up)+dpup_minQ</f>
        <v>-415.57367632487546</v>
      </c>
      <c r="AH2763" s="44"/>
      <c r="AI2763" s="72"/>
      <c r="AJ2763" s="53">
        <f>P_1_minQ-(AJ2761^2*R_up)+dpup_minQ</f>
        <v>-784.5412582624989</v>
      </c>
      <c r="AK2763" s="44"/>
      <c r="AL2763" s="72"/>
      <c r="AM2763" s="53">
        <f>P_1_minQ-(AM2761^2*R_up)+dpup_minQ</f>
        <v>-1195.8992651943888</v>
      </c>
      <c r="AN2763" s="44"/>
      <c r="AO2763" s="72"/>
      <c r="AP2763" s="53">
        <f>P_1_minQ-(AP2761^2*R_up)+dpup_minQ</f>
        <v>-1631.6897461149431</v>
      </c>
      <c r="AQ2763" s="44"/>
      <c r="AR2763" s="72"/>
      <c r="AS2763" s="53">
        <f>P_1_minQ-(AS2761^2*R_up)+dpup_minQ</f>
        <v>-2130.2612984248185</v>
      </c>
      <c r="AT2763" s="44"/>
      <c r="AU2763" s="72"/>
    </row>
    <row r="2764" spans="15:47" ht="13" x14ac:dyDescent="0.3">
      <c r="O2764" s="6" t="s">
        <v>233</v>
      </c>
      <c r="P2764" s="6"/>
      <c r="Q2764" s="60"/>
      <c r="R2764" s="85">
        <f>P_2_minQ+(R2761^2*R_dn)-dpdn_minQ</f>
        <v>24.736471073783054</v>
      </c>
      <c r="S2764" s="66"/>
      <c r="T2764" s="74"/>
      <c r="U2764" s="53">
        <f>P_2_minQ+(U2761^2*R_dn)-dpdn_minQ</f>
        <v>25.407071095471832</v>
      </c>
      <c r="V2764" s="45"/>
      <c r="W2764" s="74"/>
      <c r="X2764" s="53">
        <f>P_2_minQ+(X2761^2*R_dn)-dpdn_minQ</f>
        <v>28.979884271090757</v>
      </c>
      <c r="Y2764" s="45"/>
      <c r="Z2764" s="74"/>
      <c r="AA2764" s="53">
        <f>P_2_minQ+(AA2761^2*R_dn)-dpdn_minQ</f>
        <v>40.417459304416425</v>
      </c>
      <c r="AB2764" s="45"/>
      <c r="AC2764" s="74"/>
      <c r="AD2764" s="53">
        <f>P_2_minQ+(AD2761^2*R_dn)-dpdn_minQ</f>
        <v>67.286498071504369</v>
      </c>
      <c r="AE2764" s="45"/>
      <c r="AF2764" s="74"/>
      <c r="AG2764" s="53">
        <f>P_2_minQ+(AG2761^2*R_dn)-dpdn_minQ</f>
        <v>119.15473526497509</v>
      </c>
      <c r="AH2764" s="45"/>
      <c r="AI2764" s="74"/>
      <c r="AJ2764" s="53">
        <f>P_2_minQ+(AJ2761^2*R_dn)-dpdn_minQ</f>
        <v>192.94825165249981</v>
      </c>
      <c r="AK2764" s="45"/>
      <c r="AL2764" s="74"/>
      <c r="AM2764" s="53">
        <f>P_2_minQ+(AM2761^2*R_dn)-dpdn_minQ</f>
        <v>275.21985303887772</v>
      </c>
      <c r="AN2764" s="45"/>
      <c r="AO2764" s="74"/>
      <c r="AP2764" s="53">
        <f>P_2_minQ+(AP2761^2*R_dn)-dpdn_minQ</f>
        <v>362.37794922298855</v>
      </c>
      <c r="AQ2764" s="45"/>
      <c r="AR2764" s="74"/>
      <c r="AS2764" s="53">
        <f>P_2_minQ+(AS2761^2*R_dn)-dpdn_minQ</f>
        <v>462.09225968496355</v>
      </c>
      <c r="AT2764" s="45"/>
      <c r="AU2764" s="74"/>
    </row>
    <row r="2765" spans="15:47" x14ac:dyDescent="0.25">
      <c r="O2765" s="6" t="s">
        <v>243</v>
      </c>
      <c r="Q2765" s="60"/>
      <c r="R2765" s="53">
        <f>R2763-R2764</f>
        <v>31.781173557301674</v>
      </c>
      <c r="S2765" s="56"/>
      <c r="T2765" s="72"/>
      <c r="U2765" s="64">
        <f>U2763-U2764</f>
        <v>27.757573427169017</v>
      </c>
      <c r="V2765" s="44"/>
      <c r="W2765" s="72"/>
      <c r="X2765" s="64">
        <f>X2763-X2764</f>
        <v>6.3206943734554493</v>
      </c>
      <c r="Y2765" s="44"/>
      <c r="Z2765" s="72"/>
      <c r="AA2765" s="64">
        <f>AA2763-AA2764</f>
        <v>-62.304755826498521</v>
      </c>
      <c r="AB2765" s="44"/>
      <c r="AC2765" s="72"/>
      <c r="AD2765" s="64">
        <f>AD2763-AD2764</f>
        <v>-223.51898842902619</v>
      </c>
      <c r="AE2765" s="44"/>
      <c r="AF2765" s="72"/>
      <c r="AG2765" s="64">
        <f>AG2763-AG2764</f>
        <v>-534.72841158985057</v>
      </c>
      <c r="AH2765" s="44"/>
      <c r="AI2765" s="72"/>
      <c r="AJ2765" s="64">
        <f>AJ2763-AJ2764</f>
        <v>-977.48950991499873</v>
      </c>
      <c r="AK2765" s="44"/>
      <c r="AL2765" s="72"/>
      <c r="AM2765" s="64">
        <f>AM2763-AM2764</f>
        <v>-1471.1191182332666</v>
      </c>
      <c r="AN2765" s="44"/>
      <c r="AO2765" s="72"/>
      <c r="AP2765" s="64">
        <f>AP2763-AP2764</f>
        <v>-1994.0676953379316</v>
      </c>
      <c r="AQ2765" s="44"/>
      <c r="AR2765" s="72"/>
      <c r="AS2765" s="64">
        <f>AS2763-AS2764</f>
        <v>-2592.3535581097822</v>
      </c>
      <c r="AT2765" s="44"/>
      <c r="AU2765" s="72"/>
    </row>
    <row r="2766" spans="15:47" ht="13" x14ac:dyDescent="0.3">
      <c r="O2766" s="6" t="s">
        <v>75</v>
      </c>
      <c r="P2766" s="6">
        <v>3</v>
      </c>
      <c r="Q2766" s="65"/>
      <c r="R2766" s="85">
        <f>(F_LP_h/F_P_h)^2*(R2763-('Valve Sizing'!$V$4*'Valve Sizing'!$G$7))</f>
        <v>46.435185513740684</v>
      </c>
      <c r="S2766" s="58"/>
      <c r="T2766" s="73"/>
      <c r="U2766" s="53">
        <f>(U$29/U$27)^2*(U2763-('Valve Sizing'!$V$4*'Valve Sizing'!$G$7))</f>
        <v>43.646825860224013</v>
      </c>
      <c r="V2766" s="41"/>
      <c r="W2766" s="73"/>
      <c r="X2766" s="53">
        <f>(X$29/X$27)^2*(X2763-('Valve Sizing'!$V$4*'Valve Sizing'!$G$7))</f>
        <v>28.207514821270131</v>
      </c>
      <c r="Y2766" s="41"/>
      <c r="Z2766" s="73"/>
      <c r="AA2766" s="53">
        <f>(AA$29/AA$27)^2*(AA2763-('Valve Sizing'!$V$4*'Valve Sizing'!$G$7))</f>
        <v>-17.254517279009075</v>
      </c>
      <c r="AB2766" s="41"/>
      <c r="AC2766" s="73"/>
      <c r="AD2766" s="53">
        <f>(AD$29/AD$27)^2*(AD2763-('Valve Sizing'!$V$4*'Valve Sizing'!$G$7))</f>
        <v>-112.99026868682712</v>
      </c>
      <c r="AE2766" s="41"/>
      <c r="AF2766" s="73"/>
      <c r="AG2766" s="53">
        <f>(AG$29/AG$27)^2*(AG2763-('Valve Sizing'!$V$4*'Valve Sizing'!$G$7))</f>
        <v>-267.93112898782499</v>
      </c>
      <c r="AH2766" s="41"/>
      <c r="AI2766" s="73"/>
      <c r="AJ2766" s="53">
        <f>(AJ$29/AJ$27)^2*(AJ2763-('Valve Sizing'!$V$4*'Valve Sizing'!$G$7))</f>
        <v>-454.00519703219908</v>
      </c>
      <c r="AK2766" s="41"/>
      <c r="AL2766" s="73"/>
      <c r="AM2766" s="53">
        <f>(AM$29/AM$27)^2*(AM2763-('Valve Sizing'!$V$4*'Valve Sizing'!$G$7))</f>
        <v>-572.41504710793913</v>
      </c>
      <c r="AN2766" s="41"/>
      <c r="AO2766" s="73"/>
      <c r="AP2766" s="53">
        <f>(AP$29/AP$27)^2*(AP2763-('Valve Sizing'!$V$4*'Valve Sizing'!$G$7))</f>
        <v>-644.08220630432879</v>
      </c>
      <c r="AQ2766" s="41"/>
      <c r="AR2766" s="73"/>
      <c r="AS2766" s="53">
        <f>(AS$29/AS$27)^2*(AS2763-('Valve Sizing'!$V$4*'Valve Sizing'!$G$7))</f>
        <v>-801.44370007919883</v>
      </c>
      <c r="AT2766" s="41"/>
      <c r="AU2766" s="73"/>
    </row>
    <row r="2767" spans="15:47" ht="13" x14ac:dyDescent="0.25">
      <c r="O2767" s="1" t="s">
        <v>69</v>
      </c>
      <c r="P2767" s="17">
        <v>7</v>
      </c>
      <c r="Q2767" s="65"/>
      <c r="R2767" s="53">
        <f>(R2761/(N_1*F_P_h))*SQRT('Valve Sizing'!$G$6/R2765)</f>
        <v>19.271306007334335</v>
      </c>
      <c r="S2767" s="58"/>
      <c r="T2767" s="73"/>
      <c r="U2767" s="64">
        <f>(U2761/(N_1*U$27))*SQRT('Valve Sizing'!$G$6/U2765)</f>
        <v>63.313529421340498</v>
      </c>
      <c r="V2767" s="41"/>
      <c r="W2767" s="73"/>
      <c r="X2767" s="64">
        <f>(X2761/(N_1*X$27))*SQRT('Valve Sizing'!$G$6/X2765)</f>
        <v>319.19818787081704</v>
      </c>
      <c r="Y2767" s="41"/>
      <c r="Z2767" s="73"/>
      <c r="AA2767" s="64" t="e">
        <f>(AA2761/(N_1*AA$27))*SQRT('Valve Sizing'!$G$6/AA2765)</f>
        <v>#NUM!</v>
      </c>
      <c r="AB2767" s="41"/>
      <c r="AC2767" s="73"/>
      <c r="AD2767" s="64" t="e">
        <f>(AD2761/(N_1*AD$27))*SQRT('Valve Sizing'!$G$6/AD2765)</f>
        <v>#NUM!</v>
      </c>
      <c r="AE2767" s="41"/>
      <c r="AF2767" s="73"/>
      <c r="AG2767" s="64" t="e">
        <f>(AG2761/(N_1*AG$27))*SQRT('Valve Sizing'!$G$6/AG2765)</f>
        <v>#NUM!</v>
      </c>
      <c r="AH2767" s="41"/>
      <c r="AI2767" s="73"/>
      <c r="AJ2767" s="64" t="e">
        <f>(AJ2761/(N_1*AJ$27))*SQRT('Valve Sizing'!$G$6/AJ2765)</f>
        <v>#NUM!</v>
      </c>
      <c r="AK2767" s="41"/>
      <c r="AL2767" s="73"/>
      <c r="AM2767" s="64" t="e">
        <f>(AM2761/(N_1*AM$27))*SQRT('Valve Sizing'!$G$6/AM2765)</f>
        <v>#NUM!</v>
      </c>
      <c r="AN2767" s="41"/>
      <c r="AO2767" s="73"/>
      <c r="AP2767" s="64" t="e">
        <f>(AP2761/(N_1*AP$27))*SQRT('Valve Sizing'!$G$6/AP2765)</f>
        <v>#NUM!</v>
      </c>
      <c r="AQ2767" s="41"/>
      <c r="AR2767" s="73"/>
      <c r="AS2767" s="64" t="e">
        <f>(AS2761/(N_1*AS$27))*SQRT('Valve Sizing'!$G$6/AS2765)</f>
        <v>#NUM!</v>
      </c>
      <c r="AT2767" s="41"/>
      <c r="AU2767" s="73"/>
    </row>
    <row r="2768" spans="15:47" ht="13" x14ac:dyDescent="0.3">
      <c r="O2768" s="1" t="s">
        <v>72</v>
      </c>
      <c r="P2768" s="17">
        <v>7</v>
      </c>
      <c r="Q2768" s="65"/>
      <c r="R2768" s="53">
        <f>(R2761/(N_1*F_P_h))*SQRT('Valve Sizing'!$G$6/R2766)</f>
        <v>15.94309082175219</v>
      </c>
      <c r="S2768" s="56"/>
      <c r="T2768" s="72"/>
      <c r="U2768" s="85">
        <f>(U2761/(N_1*U$27))*SQRT('Valve Sizing'!$G$6/U2766)</f>
        <v>50.490647446012588</v>
      </c>
      <c r="V2768" s="44"/>
      <c r="W2768" s="72"/>
      <c r="X2768" s="85">
        <f>(X2761/(N_1*X$27))*SQRT('Valve Sizing'!$G$6/X2766)</f>
        <v>151.09858603113656</v>
      </c>
      <c r="Y2768" s="44"/>
      <c r="Z2768" s="72"/>
      <c r="AA2768" s="85" t="e">
        <f>(AA2761/(N_1*AA$27))*SQRT('Valve Sizing'!$G$6/AA2766)</f>
        <v>#NUM!</v>
      </c>
      <c r="AB2768" s="44"/>
      <c r="AC2768" s="72"/>
      <c r="AD2768" s="85" t="e">
        <f>(AD2761/(N_1*AD$27))*SQRT('Valve Sizing'!$G$6/AD2766)</f>
        <v>#NUM!</v>
      </c>
      <c r="AE2768" s="44"/>
      <c r="AF2768" s="72"/>
      <c r="AG2768" s="85" t="e">
        <f>(AG2761/(N_1*AG$27))*SQRT('Valve Sizing'!$G$6/AG2766)</f>
        <v>#NUM!</v>
      </c>
      <c r="AH2768" s="44"/>
      <c r="AI2768" s="72"/>
      <c r="AJ2768" s="85" t="e">
        <f>(AJ2761/(N_1*AJ$27))*SQRT('Valve Sizing'!$G$6/AJ2766)</f>
        <v>#NUM!</v>
      </c>
      <c r="AK2768" s="44"/>
      <c r="AL2768" s="72"/>
      <c r="AM2768" s="85" t="e">
        <f>(AM2761/(N_1*AM$27))*SQRT('Valve Sizing'!$G$6/AM2766)</f>
        <v>#NUM!</v>
      </c>
      <c r="AN2768" s="44"/>
      <c r="AO2768" s="72"/>
      <c r="AP2768" s="85" t="e">
        <f>(AP2761/(N_1*AP$27))*SQRT('Valve Sizing'!$G$6/AP2766)</f>
        <v>#NUM!</v>
      </c>
      <c r="AQ2768" s="44"/>
      <c r="AR2768" s="72"/>
      <c r="AS2768" s="85" t="e">
        <f>(AS2761/(N_1*AS$27))*SQRT('Valve Sizing'!$G$6/AS2766)</f>
        <v>#NUM!</v>
      </c>
      <c r="AT2768" s="44"/>
      <c r="AU2768" s="72"/>
    </row>
    <row r="2769" spans="15:47" x14ac:dyDescent="0.25">
      <c r="O2769" s="1" t="s">
        <v>246</v>
      </c>
      <c r="P2769" s="18"/>
      <c r="Q2769" s="65"/>
      <c r="R2769" s="53">
        <f>IF(R2765&lt;R2766,R2767,R2768)</f>
        <v>19.271306007334335</v>
      </c>
      <c r="S2769" s="49"/>
      <c r="T2769" s="72"/>
      <c r="U2769" s="64">
        <f>IF(U2765&lt;U2766,U2767,U2768)</f>
        <v>63.313529421340498</v>
      </c>
      <c r="V2769" s="44"/>
      <c r="W2769" s="72"/>
      <c r="X2769" s="64">
        <f>IF(X2765&lt;X2766,X2767,X2768)</f>
        <v>319.19818787081704</v>
      </c>
      <c r="Y2769" s="44"/>
      <c r="Z2769" s="72"/>
      <c r="AA2769" s="64" t="e">
        <f>IF(AA2765&lt;AA2766,AA2767,AA2768)</f>
        <v>#NUM!</v>
      </c>
      <c r="AB2769" s="44"/>
      <c r="AC2769" s="72"/>
      <c r="AD2769" s="64" t="e">
        <f>IF(AD2765&lt;AD2766,AD2767,AD2768)</f>
        <v>#NUM!</v>
      </c>
      <c r="AE2769" s="44"/>
      <c r="AF2769" s="72"/>
      <c r="AG2769" s="64" t="e">
        <f>IF(AG2765&lt;AG2766,AG2767,AG2768)</f>
        <v>#NUM!</v>
      </c>
      <c r="AH2769" s="44"/>
      <c r="AI2769" s="72"/>
      <c r="AJ2769" s="64" t="e">
        <f>IF(AJ2765&lt;AJ2766,AJ2767,AJ2768)</f>
        <v>#NUM!</v>
      </c>
      <c r="AK2769" s="44"/>
      <c r="AL2769" s="72"/>
      <c r="AM2769" s="64" t="e">
        <f>IF(AM2765&lt;AM2766,AM2767,AM2768)</f>
        <v>#NUM!</v>
      </c>
      <c r="AN2769" s="44"/>
      <c r="AO2769" s="72"/>
      <c r="AP2769" s="64" t="e">
        <f>IF(AP2765&lt;AP2766,AP2767,AP2768)</f>
        <v>#NUM!</v>
      </c>
      <c r="AQ2769" s="44"/>
      <c r="AR2769" s="72"/>
      <c r="AS2769" s="64" t="e">
        <f>IF(AS2765&lt;AS2766,AS2767,AS2768)</f>
        <v>#NUM!</v>
      </c>
      <c r="AT2769" s="44"/>
      <c r="AU2769" s="72"/>
    </row>
    <row r="2770" spans="15:47" ht="13" x14ac:dyDescent="0.3">
      <c r="O2770" s="7" t="s">
        <v>264</v>
      </c>
      <c r="Q2770" s="61"/>
      <c r="R2770" s="53"/>
      <c r="S2770" s="69">
        <f>IFERROR(ABS(C_h-R2769),Q_max*10)</f>
        <v>14.271306007334335</v>
      </c>
      <c r="T2770" s="76">
        <f>R2761</f>
        <v>108.62569895554752</v>
      </c>
      <c r="U2770" s="61"/>
      <c r="V2770" s="69">
        <f>IFERROR(ABS(U$23-U2769),Q_max*10)</f>
        <v>51.313529421340498</v>
      </c>
      <c r="W2770" s="75">
        <f>U2761</f>
        <v>333.28947730854713</v>
      </c>
      <c r="X2770" s="61"/>
      <c r="Y2770" s="69">
        <f>IFERROR(ABS(X$23-X2769),Q_max*10)</f>
        <v>296.19818787081704</v>
      </c>
      <c r="Z2770" s="75">
        <f>X2761</f>
        <v>800.02304112755826</v>
      </c>
      <c r="AA2770" s="61"/>
      <c r="AB2770" s="69">
        <f>IFERROR(ABS(AA$23-AA2769),Q_max*10)</f>
        <v>5500</v>
      </c>
      <c r="AC2770" s="75">
        <f>AA2761</f>
        <v>1527.5371844962895</v>
      </c>
      <c r="AD2770" s="61"/>
      <c r="AE2770" s="69">
        <f>IFERROR(ABS(AD$23-AD2769),Q_max*10)</f>
        <v>5500</v>
      </c>
      <c r="AF2770" s="75">
        <f>AD2761</f>
        <v>2512.2362626724066</v>
      </c>
      <c r="AG2770" s="61"/>
      <c r="AH2770" s="69">
        <f>IFERROR(ABS(AG$23-AG2769),Q_max*10)</f>
        <v>5500</v>
      </c>
      <c r="AI2770" s="75">
        <f>AG2761</f>
        <v>3740.3774616981586</v>
      </c>
      <c r="AJ2770" s="61"/>
      <c r="AK2770" s="69">
        <f>IFERROR(ABS(AJ$23-AJ2769),Q_max*10)</f>
        <v>5500</v>
      </c>
      <c r="AL2770" s="75">
        <f>AJ2761</f>
        <v>4991.5482224609023</v>
      </c>
      <c r="AM2770" s="61"/>
      <c r="AN2770" s="69">
        <f>IFERROR(ABS(AM$23-AM2769),Q_max*10)</f>
        <v>5500</v>
      </c>
      <c r="AO2770" s="75">
        <f>AM2761</f>
        <v>6090.6374249667706</v>
      </c>
      <c r="AP2770" s="61"/>
      <c r="AQ2770" s="69">
        <f>IFERROR(ABS(AP$23-AP2769),Q_max*10)</f>
        <v>5500</v>
      </c>
      <c r="AR2770" s="75">
        <f>AP2761</f>
        <v>7071.0409688010905</v>
      </c>
      <c r="AS2770" s="61"/>
      <c r="AT2770" s="69">
        <f>IFERROR(ABS(AS$23-AS2769),Q_max*10)</f>
        <v>5500</v>
      </c>
      <c r="AU2770" s="75">
        <f>AS2761</f>
        <v>8047.5042122610203</v>
      </c>
    </row>
    <row r="2771" spans="15:47" ht="14.5" x14ac:dyDescent="0.35">
      <c r="O2771" s="6"/>
      <c r="P2771" s="6"/>
      <c r="Q2771" s="60"/>
      <c r="R2771" s="67"/>
      <c r="S2771" s="56"/>
      <c r="T2771" s="72"/>
      <c r="V2771" s="11"/>
      <c r="W2771" s="38"/>
      <c r="Y2771" s="11"/>
      <c r="Z2771" s="38"/>
      <c r="AB2771" s="11"/>
      <c r="AC2771" s="38"/>
      <c r="AE2771" s="11"/>
      <c r="AF2771" s="38"/>
      <c r="AH2771" s="11"/>
      <c r="AI2771" s="38"/>
      <c r="AK2771" s="11"/>
      <c r="AL2771" s="38"/>
      <c r="AN2771" s="11"/>
      <c r="AO2771" s="38"/>
      <c r="AQ2771" s="11"/>
      <c r="AR2771" s="38"/>
      <c r="AT2771" s="11"/>
      <c r="AU2771" s="38"/>
    </row>
    <row r="2772" spans="15:47" ht="14" x14ac:dyDescent="0.3">
      <c r="O2772" s="8" t="s">
        <v>235</v>
      </c>
      <c r="P2772" s="6"/>
      <c r="Q2772" s="60"/>
      <c r="R2772" s="53">
        <f>R2761*1.02</f>
        <v>110.79821293465847</v>
      </c>
      <c r="S2772" s="58" t="s">
        <v>238</v>
      </c>
      <c r="T2772" s="73" t="s">
        <v>241</v>
      </c>
      <c r="U2772" s="84">
        <f>U2761*1.01</f>
        <v>336.62237208163259</v>
      </c>
      <c r="V2772" s="58" t="s">
        <v>238</v>
      </c>
      <c r="W2772" s="73" t="s">
        <v>241</v>
      </c>
      <c r="X2772" s="84">
        <f>X2761*1.01</f>
        <v>808.0232715388338</v>
      </c>
      <c r="Y2772" s="58" t="s">
        <v>238</v>
      </c>
      <c r="Z2772" s="73" t="s">
        <v>241</v>
      </c>
      <c r="AA2772" s="84">
        <f>AA2761*1.01</f>
        <v>1542.8125563412523</v>
      </c>
      <c r="AB2772" s="58" t="s">
        <v>238</v>
      </c>
      <c r="AC2772" s="73" t="s">
        <v>241</v>
      </c>
      <c r="AD2772" s="84">
        <f>AD2761*1.01</f>
        <v>2537.3586252991308</v>
      </c>
      <c r="AE2772" s="58" t="s">
        <v>238</v>
      </c>
      <c r="AF2772" s="73" t="s">
        <v>241</v>
      </c>
      <c r="AG2772" s="84">
        <f>AG2761*1.01</f>
        <v>3777.7812363151402</v>
      </c>
      <c r="AH2772" s="58" t="s">
        <v>238</v>
      </c>
      <c r="AI2772" s="73" t="s">
        <v>241</v>
      </c>
      <c r="AJ2772" s="84">
        <f>AJ2761*1.01</f>
        <v>5041.4637046855114</v>
      </c>
      <c r="AK2772" s="58" t="s">
        <v>238</v>
      </c>
      <c r="AL2772" s="73" t="s">
        <v>241</v>
      </c>
      <c r="AM2772" s="84">
        <f>AM2761*1.01</f>
        <v>6151.5437992164379</v>
      </c>
      <c r="AN2772" s="58" t="s">
        <v>238</v>
      </c>
      <c r="AO2772" s="73" t="s">
        <v>241</v>
      </c>
      <c r="AP2772" s="84">
        <f>AP2761*1.01</f>
        <v>7141.7513784891016</v>
      </c>
      <c r="AQ2772" s="58" t="s">
        <v>238</v>
      </c>
      <c r="AR2772" s="73" t="s">
        <v>241</v>
      </c>
      <c r="AS2772" s="84">
        <f>AS2761*1.01</f>
        <v>8127.9792543836302</v>
      </c>
      <c r="AT2772" s="58" t="s">
        <v>238</v>
      </c>
      <c r="AU2772" s="73" t="s">
        <v>241</v>
      </c>
    </row>
    <row r="2773" spans="15:47" ht="13" x14ac:dyDescent="0.25">
      <c r="O2773" s="6"/>
      <c r="P2773" s="6"/>
      <c r="Q2773" s="60"/>
      <c r="R2773" s="70"/>
      <c r="S2773" s="63" t="s">
        <v>250</v>
      </c>
      <c r="T2773" s="71" t="s">
        <v>242</v>
      </c>
      <c r="U2773" s="61"/>
      <c r="V2773" s="63" t="s">
        <v>250</v>
      </c>
      <c r="W2773" s="71" t="s">
        <v>242</v>
      </c>
      <c r="X2773" s="61"/>
      <c r="Y2773" s="63" t="s">
        <v>250</v>
      </c>
      <c r="Z2773" s="71" t="s">
        <v>242</v>
      </c>
      <c r="AA2773" s="61"/>
      <c r="AB2773" s="63" t="s">
        <v>250</v>
      </c>
      <c r="AC2773" s="71" t="s">
        <v>242</v>
      </c>
      <c r="AD2773" s="61"/>
      <c r="AE2773" s="63" t="s">
        <v>250</v>
      </c>
      <c r="AF2773" s="71" t="s">
        <v>242</v>
      </c>
      <c r="AG2773" s="61"/>
      <c r="AH2773" s="63" t="s">
        <v>250</v>
      </c>
      <c r="AI2773" s="71" t="s">
        <v>242</v>
      </c>
      <c r="AJ2773" s="61"/>
      <c r="AK2773" s="63" t="s">
        <v>250</v>
      </c>
      <c r="AL2773" s="71" t="s">
        <v>242</v>
      </c>
      <c r="AM2773" s="61"/>
      <c r="AN2773" s="63" t="s">
        <v>250</v>
      </c>
      <c r="AO2773" s="71" t="s">
        <v>242</v>
      </c>
      <c r="AP2773" s="61"/>
      <c r="AQ2773" s="63" t="s">
        <v>250</v>
      </c>
      <c r="AR2773" s="71" t="s">
        <v>242</v>
      </c>
      <c r="AS2773" s="61"/>
      <c r="AT2773" s="63" t="s">
        <v>250</v>
      </c>
      <c r="AU2773" s="71" t="s">
        <v>242</v>
      </c>
    </row>
    <row r="2774" spans="15:47" ht="13" x14ac:dyDescent="0.3">
      <c r="O2774" s="6" t="s">
        <v>231</v>
      </c>
      <c r="P2774" s="6"/>
      <c r="Q2774" s="60"/>
      <c r="R2774" s="85">
        <f>P_1_minQ-(R2772^2*R_up)+dpup_minQ</f>
        <v>56.501545289107938</v>
      </c>
      <c r="S2774" s="56"/>
      <c r="T2774" s="72"/>
      <c r="U2774" s="53">
        <f>P_1_minQ-(U2772^2*R_up)+dpup_minQ</f>
        <v>53.089239399329109</v>
      </c>
      <c r="V2774" s="44"/>
      <c r="W2774" s="72"/>
      <c r="X2774" s="53">
        <f>P_1_minQ-(X2772^2*R_up)+dpup_minQ</f>
        <v>34.866105797084764</v>
      </c>
      <c r="Y2774" s="44"/>
      <c r="Z2774" s="72"/>
      <c r="AA2774" s="53">
        <f>P_1_minQ-(AA2772^2*R_up)+dpup_minQ</f>
        <v>-23.471245660392771</v>
      </c>
      <c r="AB2774" s="44"/>
      <c r="AC2774" s="72"/>
      <c r="AD2774" s="53">
        <f>P_1_minQ-(AD2772^2*R_up)+dpup_minQ</f>
        <v>-160.51677789192487</v>
      </c>
      <c r="AE2774" s="44"/>
      <c r="AF2774" s="72"/>
      <c r="AG2774" s="53">
        <f>P_1_minQ-(AG2772^2*R_up)+dpup_minQ</f>
        <v>-425.07072169722221</v>
      </c>
      <c r="AH2774" s="44"/>
      <c r="AI2774" s="72"/>
      <c r="AJ2774" s="53">
        <f>P_1_minQ-(AJ2772^2*R_up)+dpup_minQ</f>
        <v>-801.45455203179199</v>
      </c>
      <c r="AK2774" s="44"/>
      <c r="AL2774" s="72"/>
      <c r="AM2774" s="53">
        <f>P_1_minQ-(AM2772^2*R_up)+dpup_minQ</f>
        <v>-1221.0808549030128</v>
      </c>
      <c r="AN2774" s="44"/>
      <c r="AO2774" s="72"/>
      <c r="AP2774" s="53">
        <f>P_1_minQ-(AP2772^2*R_up)+dpup_minQ</f>
        <v>-1665.6307244900704</v>
      </c>
      <c r="AQ2774" s="44"/>
      <c r="AR2774" s="72"/>
      <c r="AS2774" s="53">
        <f>P_1_minQ-(AS2772^2*R_up)+dpup_minQ</f>
        <v>-2174.223565001374</v>
      </c>
      <c r="AT2774" s="44"/>
      <c r="AU2774" s="72"/>
    </row>
    <row r="2775" spans="15:47" ht="13" x14ac:dyDescent="0.3">
      <c r="O2775" s="6" t="s">
        <v>233</v>
      </c>
      <c r="P2775" s="6"/>
      <c r="Q2775" s="60"/>
      <c r="R2775" s="85">
        <f>P_2_minQ+(R2772^2*R_dn)-dpdn_minQ</f>
        <v>24.739690942178413</v>
      </c>
      <c r="S2775" s="66"/>
      <c r="T2775" s="74"/>
      <c r="U2775" s="53">
        <f>P_2_minQ+(U2772^2*R_dn)-dpdn_minQ</f>
        <v>25.422152120134179</v>
      </c>
      <c r="V2775" s="45"/>
      <c r="W2775" s="74"/>
      <c r="X2775" s="53">
        <f>P_2_minQ+(X2772^2*R_dn)-dpdn_minQ</f>
        <v>29.066778840583048</v>
      </c>
      <c r="Y2775" s="45"/>
      <c r="Z2775" s="74"/>
      <c r="AA2775" s="53">
        <f>P_2_minQ+(AA2772^2*R_dn)-dpdn_minQ</f>
        <v>40.73424913207856</v>
      </c>
      <c r="AB2775" s="45"/>
      <c r="AC2775" s="74"/>
      <c r="AD2775" s="53">
        <f>P_2_minQ+(AD2772^2*R_dn)-dpdn_minQ</f>
        <v>68.143355578384984</v>
      </c>
      <c r="AE2775" s="45"/>
      <c r="AF2775" s="74"/>
      <c r="AG2775" s="53">
        <f>P_2_minQ+(AG2772^2*R_dn)-dpdn_minQ</f>
        <v>121.05414433944443</v>
      </c>
      <c r="AH2775" s="45"/>
      <c r="AI2775" s="74"/>
      <c r="AJ2775" s="53">
        <f>P_2_minQ+(AJ2772^2*R_dn)-dpdn_minQ</f>
        <v>196.33091040635841</v>
      </c>
      <c r="AK2775" s="45"/>
      <c r="AL2775" s="74"/>
      <c r="AM2775" s="53">
        <f>P_2_minQ+(AM2772^2*R_dn)-dpdn_minQ</f>
        <v>280.25617098060252</v>
      </c>
      <c r="AN2775" s="45"/>
      <c r="AO2775" s="74"/>
      <c r="AP2775" s="53">
        <f>P_2_minQ+(AP2772^2*R_dn)-dpdn_minQ</f>
        <v>369.16614489801401</v>
      </c>
      <c r="AQ2775" s="45"/>
      <c r="AR2775" s="74"/>
      <c r="AS2775" s="53">
        <f>P_2_minQ+(AS2772^2*R_dn)-dpdn_minQ</f>
        <v>470.88471300027464</v>
      </c>
      <c r="AT2775" s="45"/>
      <c r="AU2775" s="74"/>
    </row>
    <row r="2776" spans="15:47" x14ac:dyDescent="0.25">
      <c r="O2776" s="6" t="s">
        <v>243</v>
      </c>
      <c r="Q2776" s="60"/>
      <c r="R2776" s="53">
        <f>R2774-R2775</f>
        <v>31.761854346929525</v>
      </c>
      <c r="S2776" s="56"/>
      <c r="T2776" s="72"/>
      <c r="U2776" s="64">
        <f>U2774-U2775</f>
        <v>27.667087279194931</v>
      </c>
      <c r="V2776" s="44"/>
      <c r="W2776" s="72"/>
      <c r="X2776" s="64">
        <f>X2774-X2775</f>
        <v>5.7993269565017158</v>
      </c>
      <c r="Y2776" s="44"/>
      <c r="Z2776" s="72"/>
      <c r="AA2776" s="64">
        <f>AA2774-AA2775</f>
        <v>-64.205494792471328</v>
      </c>
      <c r="AB2776" s="44"/>
      <c r="AC2776" s="72"/>
      <c r="AD2776" s="64">
        <f>AD2774-AD2775</f>
        <v>-228.66013347030986</v>
      </c>
      <c r="AE2776" s="44"/>
      <c r="AF2776" s="72"/>
      <c r="AG2776" s="64">
        <f>AG2774-AG2775</f>
        <v>-546.12486603666662</v>
      </c>
      <c r="AH2776" s="44"/>
      <c r="AI2776" s="72"/>
      <c r="AJ2776" s="64">
        <f>AJ2774-AJ2775</f>
        <v>-997.78546243815038</v>
      </c>
      <c r="AK2776" s="44"/>
      <c r="AL2776" s="72"/>
      <c r="AM2776" s="64">
        <f>AM2774-AM2775</f>
        <v>-1501.3370258836153</v>
      </c>
      <c r="AN2776" s="44"/>
      <c r="AO2776" s="72"/>
      <c r="AP2776" s="64">
        <f>AP2774-AP2775</f>
        <v>-2034.7968693880844</v>
      </c>
      <c r="AQ2776" s="44"/>
      <c r="AR2776" s="72"/>
      <c r="AS2776" s="64">
        <f>AS2774-AS2775</f>
        <v>-2645.1082780016486</v>
      </c>
      <c r="AT2776" s="44"/>
      <c r="AU2776" s="72"/>
    </row>
    <row r="2777" spans="15:47" ht="13" x14ac:dyDescent="0.3">
      <c r="O2777" s="6" t="s">
        <v>75</v>
      </c>
      <c r="P2777" s="6">
        <v>3</v>
      </c>
      <c r="Q2777" s="65"/>
      <c r="R2777" s="85">
        <f>(F_LP_h/F_P_h)^2*(R2774-('Valve Sizing'!$V$4*'Valve Sizing'!$G$7))</f>
        <v>46.421854413530426</v>
      </c>
      <c r="S2777" s="58"/>
      <c r="T2777" s="73"/>
      <c r="U2777" s="53">
        <f>(U$29/U$27)^2*(U2774-('Valve Sizing'!$V$4*'Valve Sizing'!$G$7))</f>
        <v>43.584403478512613</v>
      </c>
      <c r="V2777" s="41"/>
      <c r="W2777" s="73"/>
      <c r="X2777" s="53">
        <f>(X$29/X$27)^2*(X2774-('Valve Sizing'!$V$4*'Valve Sizing'!$G$7))</f>
        <v>27.855959567899394</v>
      </c>
      <c r="Y2777" s="41"/>
      <c r="Z2777" s="73"/>
      <c r="AA2777" s="53">
        <f>(AA$29/AA$27)^2*(AA2774-('Valve Sizing'!$V$4*'Valve Sizing'!$G$7))</f>
        <v>-18.478588771860583</v>
      </c>
      <c r="AB2777" s="41"/>
      <c r="AC2777" s="73"/>
      <c r="AD2777" s="53">
        <f>(AD$29/AD$27)^2*(AD2774-('Valve Sizing'!$V$4*'Valve Sizing'!$G$7))</f>
        <v>-116.0800429053584</v>
      </c>
      <c r="AE2777" s="41"/>
      <c r="AF2777" s="73"/>
      <c r="AG2777" s="53">
        <f>(AG$29/AG$27)^2*(AG2774-('Valve Sizing'!$V$4*'Valve Sizing'!$G$7))</f>
        <v>-274.0476436139964</v>
      </c>
      <c r="AH2777" s="41"/>
      <c r="AI2777" s="73"/>
      <c r="AJ2777" s="53">
        <f>(AJ$29/AJ$27)^2*(AJ2774-('Valve Sizing'!$V$4*'Valve Sizing'!$G$7))</f>
        <v>-463.78724294125334</v>
      </c>
      <c r="AK2777" s="41"/>
      <c r="AL2777" s="73"/>
      <c r="AM2777" s="53">
        <f>(AM$29/AM$27)^2*(AM2774-('Valve Sizing'!$V$4*'Valve Sizing'!$G$7))</f>
        <v>-584.46373645872904</v>
      </c>
      <c r="AN2777" s="41"/>
      <c r="AO2777" s="73"/>
      <c r="AP2777" s="53">
        <f>(AP$29/AP$27)^2*(AP2774-('Valve Sizing'!$V$4*'Valve Sizing'!$G$7))</f>
        <v>-657.47622691794527</v>
      </c>
      <c r="AQ2777" s="41"/>
      <c r="AR2777" s="73"/>
      <c r="AS2777" s="53">
        <f>(AS$29/AS$27)^2*(AS2774-('Valve Sizing'!$V$4*'Valve Sizing'!$G$7))</f>
        <v>-817.97970193990818</v>
      </c>
      <c r="AT2777" s="41"/>
      <c r="AU2777" s="73"/>
    </row>
    <row r="2778" spans="15:47" ht="13" x14ac:dyDescent="0.25">
      <c r="O2778" s="1" t="s">
        <v>69</v>
      </c>
      <c r="P2778" s="17">
        <v>7</v>
      </c>
      <c r="Q2778" s="65"/>
      <c r="R2778" s="53">
        <f>(R2772/(N_1*F_P_h))*SQRT('Valve Sizing'!$G$6/R2776)</f>
        <v>19.662709341693706</v>
      </c>
      <c r="S2778" s="58"/>
      <c r="T2778" s="73"/>
      <c r="U2778" s="64">
        <f>(U2772/(N_1*U$27))*SQRT('Valve Sizing'!$G$6/U2776)</f>
        <v>64.051149223916212</v>
      </c>
      <c r="V2778" s="41"/>
      <c r="W2778" s="73"/>
      <c r="X2778" s="64">
        <f>(X2772/(N_1*X$27))*SQRT('Valve Sizing'!$G$6/X2776)</f>
        <v>336.56998968198792</v>
      </c>
      <c r="Y2778" s="41"/>
      <c r="Z2778" s="73"/>
      <c r="AA2778" s="64" t="e">
        <f>(AA2772/(N_1*AA$27))*SQRT('Valve Sizing'!$G$6/AA2776)</f>
        <v>#NUM!</v>
      </c>
      <c r="AB2778" s="41"/>
      <c r="AC2778" s="73"/>
      <c r="AD2778" s="64" t="e">
        <f>(AD2772/(N_1*AD$27))*SQRT('Valve Sizing'!$G$6/AD2776)</f>
        <v>#NUM!</v>
      </c>
      <c r="AE2778" s="41"/>
      <c r="AF2778" s="73"/>
      <c r="AG2778" s="64" t="e">
        <f>(AG2772/(N_1*AG$27))*SQRT('Valve Sizing'!$G$6/AG2776)</f>
        <v>#NUM!</v>
      </c>
      <c r="AH2778" s="41"/>
      <c r="AI2778" s="73"/>
      <c r="AJ2778" s="64" t="e">
        <f>(AJ2772/(N_1*AJ$27))*SQRT('Valve Sizing'!$G$6/AJ2776)</f>
        <v>#NUM!</v>
      </c>
      <c r="AK2778" s="41"/>
      <c r="AL2778" s="73"/>
      <c r="AM2778" s="64" t="e">
        <f>(AM2772/(N_1*AM$27))*SQRT('Valve Sizing'!$G$6/AM2776)</f>
        <v>#NUM!</v>
      </c>
      <c r="AN2778" s="41"/>
      <c r="AO2778" s="73"/>
      <c r="AP2778" s="64" t="e">
        <f>(AP2772/(N_1*AP$27))*SQRT('Valve Sizing'!$G$6/AP2776)</f>
        <v>#NUM!</v>
      </c>
      <c r="AQ2778" s="41"/>
      <c r="AR2778" s="73"/>
      <c r="AS2778" s="64" t="e">
        <f>(AS2772/(N_1*AS$27))*SQRT('Valve Sizing'!$G$6/AS2776)</f>
        <v>#NUM!</v>
      </c>
      <c r="AT2778" s="41"/>
      <c r="AU2778" s="73"/>
    </row>
    <row r="2779" spans="15:47" ht="13" x14ac:dyDescent="0.3">
      <c r="O2779" s="1" t="s">
        <v>72</v>
      </c>
      <c r="P2779" s="17">
        <v>7</v>
      </c>
      <c r="Q2779" s="65"/>
      <c r="R2779" s="53">
        <f>(R2772/(N_1*F_P_h))*SQRT('Valve Sizing'!$G$6/R2777)</f>
        <v>16.264287466913615</v>
      </c>
      <c r="S2779" s="56"/>
      <c r="T2779" s="72"/>
      <c r="U2779" s="85">
        <f>(U2772/(N_1*U$27))*SQRT('Valve Sizing'!$G$6/U2777)</f>
        <v>51.032059237876155</v>
      </c>
      <c r="V2779" s="44"/>
      <c r="W2779" s="72"/>
      <c r="X2779" s="85">
        <f>(X2772/(N_1*X$27))*SQRT('Valve Sizing'!$G$6/X2777)</f>
        <v>153.56955465855401</v>
      </c>
      <c r="Y2779" s="44"/>
      <c r="Z2779" s="72"/>
      <c r="AA2779" s="85" t="e">
        <f>(AA2772/(N_1*AA$27))*SQRT('Valve Sizing'!$G$6/AA2777)</f>
        <v>#NUM!</v>
      </c>
      <c r="AB2779" s="44"/>
      <c r="AC2779" s="72"/>
      <c r="AD2779" s="85" t="e">
        <f>(AD2772/(N_1*AD$27))*SQRT('Valve Sizing'!$G$6/AD2777)</f>
        <v>#NUM!</v>
      </c>
      <c r="AE2779" s="44"/>
      <c r="AF2779" s="72"/>
      <c r="AG2779" s="85" t="e">
        <f>(AG2772/(N_1*AG$27))*SQRT('Valve Sizing'!$G$6/AG2777)</f>
        <v>#NUM!</v>
      </c>
      <c r="AH2779" s="44"/>
      <c r="AI2779" s="72"/>
      <c r="AJ2779" s="85" t="e">
        <f>(AJ2772/(N_1*AJ$27))*SQRT('Valve Sizing'!$G$6/AJ2777)</f>
        <v>#NUM!</v>
      </c>
      <c r="AK2779" s="44"/>
      <c r="AL2779" s="72"/>
      <c r="AM2779" s="85" t="e">
        <f>(AM2772/(N_1*AM$27))*SQRT('Valve Sizing'!$G$6/AM2777)</f>
        <v>#NUM!</v>
      </c>
      <c r="AN2779" s="44"/>
      <c r="AO2779" s="72"/>
      <c r="AP2779" s="85" t="e">
        <f>(AP2772/(N_1*AP$27))*SQRT('Valve Sizing'!$G$6/AP2777)</f>
        <v>#NUM!</v>
      </c>
      <c r="AQ2779" s="44"/>
      <c r="AR2779" s="72"/>
      <c r="AS2779" s="85" t="e">
        <f>(AS2772/(N_1*AS$27))*SQRT('Valve Sizing'!$G$6/AS2777)</f>
        <v>#NUM!</v>
      </c>
      <c r="AT2779" s="44"/>
      <c r="AU2779" s="72"/>
    </row>
    <row r="2780" spans="15:47" x14ac:dyDescent="0.25">
      <c r="O2780" s="1" t="s">
        <v>246</v>
      </c>
      <c r="P2780" s="18"/>
      <c r="Q2780" s="65"/>
      <c r="R2780" s="53">
        <f>IF(R2776&lt;R2777,R2778,R2779)</f>
        <v>19.662709341693706</v>
      </c>
      <c r="S2780" s="49"/>
      <c r="T2780" s="72"/>
      <c r="U2780" s="64">
        <f>IF(U2776&lt;U2777,U2778,U2779)</f>
        <v>64.051149223916212</v>
      </c>
      <c r="V2780" s="44"/>
      <c r="W2780" s="72"/>
      <c r="X2780" s="64">
        <f>IF(X2776&lt;X2777,X2778,X2779)</f>
        <v>336.56998968198792</v>
      </c>
      <c r="Y2780" s="44"/>
      <c r="Z2780" s="72"/>
      <c r="AA2780" s="64" t="e">
        <f>IF(AA2776&lt;AA2777,AA2778,AA2779)</f>
        <v>#NUM!</v>
      </c>
      <c r="AB2780" s="44"/>
      <c r="AC2780" s="72"/>
      <c r="AD2780" s="64" t="e">
        <f>IF(AD2776&lt;AD2777,AD2778,AD2779)</f>
        <v>#NUM!</v>
      </c>
      <c r="AE2780" s="44"/>
      <c r="AF2780" s="72"/>
      <c r="AG2780" s="64" t="e">
        <f>IF(AG2776&lt;AG2777,AG2778,AG2779)</f>
        <v>#NUM!</v>
      </c>
      <c r="AH2780" s="44"/>
      <c r="AI2780" s="72"/>
      <c r="AJ2780" s="64" t="e">
        <f>IF(AJ2776&lt;AJ2777,AJ2778,AJ2779)</f>
        <v>#NUM!</v>
      </c>
      <c r="AK2780" s="44"/>
      <c r="AL2780" s="72"/>
      <c r="AM2780" s="64" t="e">
        <f>IF(AM2776&lt;AM2777,AM2778,AM2779)</f>
        <v>#NUM!</v>
      </c>
      <c r="AN2780" s="44"/>
      <c r="AO2780" s="72"/>
      <c r="AP2780" s="64" t="e">
        <f>IF(AP2776&lt;AP2777,AP2778,AP2779)</f>
        <v>#NUM!</v>
      </c>
      <c r="AQ2780" s="44"/>
      <c r="AR2780" s="72"/>
      <c r="AS2780" s="64" t="e">
        <f>IF(AS2776&lt;AS2777,AS2778,AS2779)</f>
        <v>#NUM!</v>
      </c>
      <c r="AT2780" s="44"/>
      <c r="AU2780" s="72"/>
    </row>
    <row r="2781" spans="15:47" ht="13" x14ac:dyDescent="0.3">
      <c r="O2781" s="7" t="s">
        <v>264</v>
      </c>
      <c r="Q2781" s="61"/>
      <c r="R2781" s="53"/>
      <c r="S2781" s="69">
        <f>IFERROR(ABS(C_h-R2780),Q_max*10)</f>
        <v>14.662709341693706</v>
      </c>
      <c r="T2781" s="76">
        <f>R2772</f>
        <v>110.79821293465847</v>
      </c>
      <c r="U2781" s="61"/>
      <c r="V2781" s="69">
        <f>IFERROR(ABS(U$23-U2780),Q_max*10)</f>
        <v>52.051149223916212</v>
      </c>
      <c r="W2781" s="75">
        <f>U2772</f>
        <v>336.62237208163259</v>
      </c>
      <c r="X2781" s="61"/>
      <c r="Y2781" s="69">
        <f>IFERROR(ABS(X$23-X2780),Q_max*10)</f>
        <v>313.56998968198792</v>
      </c>
      <c r="Z2781" s="75">
        <f>X2772</f>
        <v>808.0232715388338</v>
      </c>
      <c r="AA2781" s="61"/>
      <c r="AB2781" s="69">
        <f>IFERROR(ABS(AA$23-AA2780),Q_max*10)</f>
        <v>5500</v>
      </c>
      <c r="AC2781" s="75">
        <f>AA2772</f>
        <v>1542.8125563412523</v>
      </c>
      <c r="AD2781" s="61"/>
      <c r="AE2781" s="69">
        <f>IFERROR(ABS(AD$23-AD2780),Q_max*10)</f>
        <v>5500</v>
      </c>
      <c r="AF2781" s="75">
        <f>AD2772</f>
        <v>2537.3586252991308</v>
      </c>
      <c r="AG2781" s="61"/>
      <c r="AH2781" s="69">
        <f>IFERROR(ABS(AG$23-AG2780),Q_max*10)</f>
        <v>5500</v>
      </c>
      <c r="AI2781" s="75">
        <f>AG2772</f>
        <v>3777.7812363151402</v>
      </c>
      <c r="AJ2781" s="61"/>
      <c r="AK2781" s="69">
        <f>IFERROR(ABS(AJ$23-AJ2780),Q_max*10)</f>
        <v>5500</v>
      </c>
      <c r="AL2781" s="75">
        <f>AJ2772</f>
        <v>5041.4637046855114</v>
      </c>
      <c r="AM2781" s="61"/>
      <c r="AN2781" s="69">
        <f>IFERROR(ABS(AM$23-AM2780),Q_max*10)</f>
        <v>5500</v>
      </c>
      <c r="AO2781" s="75">
        <f>AM2772</f>
        <v>6151.5437992164379</v>
      </c>
      <c r="AP2781" s="61"/>
      <c r="AQ2781" s="69">
        <f>IFERROR(ABS(AP$23-AP2780),Q_max*10)</f>
        <v>5500</v>
      </c>
      <c r="AR2781" s="75">
        <f>AP2772</f>
        <v>7141.7513784891016</v>
      </c>
      <c r="AS2781" s="61"/>
      <c r="AT2781" s="69">
        <f>IFERROR(ABS(AS$23-AS2780),Q_max*10)</f>
        <v>5500</v>
      </c>
      <c r="AU2781" s="75">
        <f>AS2772</f>
        <v>8127.9792543836302</v>
      </c>
    </row>
    <row r="2782" spans="15:47" ht="14.5" x14ac:dyDescent="0.35">
      <c r="O2782" s="8"/>
      <c r="P2782" s="6"/>
      <c r="Q2782" s="60"/>
      <c r="R2782" s="67"/>
      <c r="S2782" s="66"/>
      <c r="T2782" s="74"/>
      <c r="V2782" s="11"/>
      <c r="W2782" s="38"/>
      <c r="Y2782" s="11"/>
      <c r="Z2782" s="38"/>
      <c r="AB2782" s="11"/>
      <c r="AC2782" s="38"/>
      <c r="AE2782" s="11"/>
      <c r="AF2782" s="38"/>
      <c r="AH2782" s="11"/>
      <c r="AI2782" s="38"/>
      <c r="AK2782" s="11"/>
      <c r="AL2782" s="38"/>
      <c r="AN2782" s="11"/>
      <c r="AO2782" s="38"/>
      <c r="AQ2782" s="11"/>
      <c r="AR2782" s="38"/>
      <c r="AT2782" s="11"/>
      <c r="AU2782" s="38"/>
    </row>
    <row r="2783" spans="15:47" ht="14" x14ac:dyDescent="0.3">
      <c r="O2783" s="8" t="s">
        <v>235</v>
      </c>
      <c r="P2783" s="6"/>
      <c r="Q2783" s="60"/>
      <c r="R2783" s="53">
        <f>R2772*1.02</f>
        <v>113.01417719335164</v>
      </c>
      <c r="S2783" s="58" t="s">
        <v>238</v>
      </c>
      <c r="T2783" s="73" t="s">
        <v>241</v>
      </c>
      <c r="U2783" s="84">
        <f>U2772*1.01</f>
        <v>339.98859580244891</v>
      </c>
      <c r="V2783" s="58" t="s">
        <v>238</v>
      </c>
      <c r="W2783" s="73" t="s">
        <v>241</v>
      </c>
      <c r="X2783" s="84">
        <f>X2772*1.01</f>
        <v>816.10350425422212</v>
      </c>
      <c r="Y2783" s="58" t="s">
        <v>238</v>
      </c>
      <c r="Z2783" s="73" t="s">
        <v>241</v>
      </c>
      <c r="AA2783" s="84">
        <f>AA2772*1.01</f>
        <v>1558.2406819046648</v>
      </c>
      <c r="AB2783" s="58" t="s">
        <v>238</v>
      </c>
      <c r="AC2783" s="73" t="s">
        <v>241</v>
      </c>
      <c r="AD2783" s="84">
        <f>AD2772*1.01</f>
        <v>2562.732211552122</v>
      </c>
      <c r="AE2783" s="58" t="s">
        <v>238</v>
      </c>
      <c r="AF2783" s="73" t="s">
        <v>241</v>
      </c>
      <c r="AG2783" s="84">
        <f>AG2772*1.01</f>
        <v>3815.5590486782917</v>
      </c>
      <c r="AH2783" s="58" t="s">
        <v>238</v>
      </c>
      <c r="AI2783" s="73" t="s">
        <v>241</v>
      </c>
      <c r="AJ2783" s="84">
        <f>AJ2772*1.01</f>
        <v>5091.8783417323666</v>
      </c>
      <c r="AK2783" s="58" t="s">
        <v>238</v>
      </c>
      <c r="AL2783" s="73" t="s">
        <v>241</v>
      </c>
      <c r="AM2783" s="84">
        <f>AM2772*1.01</f>
        <v>6213.0592372086021</v>
      </c>
      <c r="AN2783" s="58" t="s">
        <v>238</v>
      </c>
      <c r="AO2783" s="73" t="s">
        <v>241</v>
      </c>
      <c r="AP2783" s="84">
        <f>AP2772*1.01</f>
        <v>7213.1688922739932</v>
      </c>
      <c r="AQ2783" s="58" t="s">
        <v>238</v>
      </c>
      <c r="AR2783" s="73" t="s">
        <v>241</v>
      </c>
      <c r="AS2783" s="84">
        <f>AS2772*1.01</f>
        <v>8209.2590469274674</v>
      </c>
      <c r="AT2783" s="58" t="s">
        <v>238</v>
      </c>
      <c r="AU2783" s="73" t="s">
        <v>241</v>
      </c>
    </row>
    <row r="2784" spans="15:47" ht="13" x14ac:dyDescent="0.25">
      <c r="O2784" s="6"/>
      <c r="P2784" s="6"/>
      <c r="Q2784" s="60"/>
      <c r="R2784" s="70"/>
      <c r="S2784" s="63" t="s">
        <v>250</v>
      </c>
      <c r="T2784" s="71" t="s">
        <v>242</v>
      </c>
      <c r="U2784" s="61"/>
      <c r="V2784" s="63" t="s">
        <v>250</v>
      </c>
      <c r="W2784" s="71" t="s">
        <v>242</v>
      </c>
      <c r="X2784" s="61"/>
      <c r="Y2784" s="63" t="s">
        <v>250</v>
      </c>
      <c r="Z2784" s="71" t="s">
        <v>242</v>
      </c>
      <c r="AA2784" s="61"/>
      <c r="AB2784" s="63" t="s">
        <v>250</v>
      </c>
      <c r="AC2784" s="71" t="s">
        <v>242</v>
      </c>
      <c r="AD2784" s="61"/>
      <c r="AE2784" s="63" t="s">
        <v>250</v>
      </c>
      <c r="AF2784" s="71" t="s">
        <v>242</v>
      </c>
      <c r="AG2784" s="61"/>
      <c r="AH2784" s="63" t="s">
        <v>250</v>
      </c>
      <c r="AI2784" s="71" t="s">
        <v>242</v>
      </c>
      <c r="AJ2784" s="61"/>
      <c r="AK2784" s="63" t="s">
        <v>250</v>
      </c>
      <c r="AL2784" s="71" t="s">
        <v>242</v>
      </c>
      <c r="AM2784" s="61"/>
      <c r="AN2784" s="63" t="s">
        <v>250</v>
      </c>
      <c r="AO2784" s="71" t="s">
        <v>242</v>
      </c>
      <c r="AP2784" s="61"/>
      <c r="AQ2784" s="63" t="s">
        <v>250</v>
      </c>
      <c r="AR2784" s="71" t="s">
        <v>242</v>
      </c>
      <c r="AS2784" s="61"/>
      <c r="AT2784" s="63" t="s">
        <v>250</v>
      </c>
      <c r="AU2784" s="71" t="s">
        <v>242</v>
      </c>
    </row>
    <row r="2785" spans="15:47" ht="13" x14ac:dyDescent="0.3">
      <c r="O2785" s="6" t="s">
        <v>231</v>
      </c>
      <c r="P2785" s="6"/>
      <c r="Q2785" s="60"/>
      <c r="R2785" s="85">
        <f>P_1_minQ-(R2783^2*R_up)+dpup_minQ</f>
        <v>56.484795533715292</v>
      </c>
      <c r="S2785" s="56"/>
      <c r="T2785" s="72"/>
      <c r="U2785" s="53">
        <f>P_1_minQ-(U2783^2*R_up)+dpup_minQ</f>
        <v>53.012318633038802</v>
      </c>
      <c r="V2785" s="44"/>
      <c r="W2785" s="72"/>
      <c r="X2785" s="53">
        <f>P_1_minQ-(X2783^2*R_up)+dpup_minQ</f>
        <v>34.422900045389355</v>
      </c>
      <c r="Y2785" s="44"/>
      <c r="Z2785" s="72"/>
      <c r="AA2785" s="53">
        <f>P_1_minQ-(AA2783^2*R_up)+dpup_minQ</f>
        <v>-25.087032176383477</v>
      </c>
      <c r="AB2785" s="44"/>
      <c r="AC2785" s="72"/>
      <c r="AD2785" s="53">
        <f>P_1_minQ-(AD2783^2*R_up)+dpup_minQ</f>
        <v>-164.88717960576932</v>
      </c>
      <c r="AE2785" s="44"/>
      <c r="AF2785" s="72"/>
      <c r="AG2785" s="53">
        <f>P_1_minQ-(AG2783^2*R_up)+dpup_minQ</f>
        <v>-434.75865768155325</v>
      </c>
      <c r="AH2785" s="44"/>
      <c r="AI2785" s="72"/>
      <c r="AJ2785" s="53">
        <f>P_1_minQ-(AJ2783^2*R_up)+dpup_minQ</f>
        <v>-818.70780300584795</v>
      </c>
      <c r="AK2785" s="44"/>
      <c r="AL2785" s="72"/>
      <c r="AM2785" s="53">
        <f>P_1_minQ-(AM2783^2*R_up)+dpup_minQ</f>
        <v>-1246.76859456478</v>
      </c>
      <c r="AN2785" s="44"/>
      <c r="AO2785" s="72"/>
      <c r="AP2785" s="53">
        <f>P_1_minQ-(AP2783^2*R_up)+dpup_minQ</f>
        <v>-1700.2539165305379</v>
      </c>
      <c r="AQ2785" s="44"/>
      <c r="AR2785" s="72"/>
      <c r="AS2785" s="53">
        <f>P_1_minQ-(AS2783^2*R_up)+dpup_minQ</f>
        <v>-2219.0694731361186</v>
      </c>
      <c r="AT2785" s="44"/>
      <c r="AU2785" s="72"/>
    </row>
    <row r="2786" spans="15:47" ht="13" x14ac:dyDescent="0.3">
      <c r="O2786" s="6" t="s">
        <v>233</v>
      </c>
      <c r="P2786" s="6"/>
      <c r="Q2786" s="60"/>
      <c r="R2786" s="85">
        <f>P_2_minQ+(R2783^2*R_dn)-dpdn_minQ</f>
        <v>24.743040893256943</v>
      </c>
      <c r="S2786" s="66"/>
      <c r="T2786" s="74"/>
      <c r="U2786" s="53">
        <f>P_2_minQ+(U2783^2*R_dn)-dpdn_minQ</f>
        <v>25.43753627339224</v>
      </c>
      <c r="V2786" s="45"/>
      <c r="W2786" s="74"/>
      <c r="X2786" s="53">
        <f>P_2_minQ+(X2783^2*R_dn)-dpdn_minQ</f>
        <v>29.15541999092213</v>
      </c>
      <c r="Y2786" s="45"/>
      <c r="Z2786" s="74"/>
      <c r="AA2786" s="53">
        <f>P_2_minQ+(AA2783^2*R_dn)-dpdn_minQ</f>
        <v>41.057406435276704</v>
      </c>
      <c r="AB2786" s="45"/>
      <c r="AC2786" s="74"/>
      <c r="AD2786" s="53">
        <f>P_2_minQ+(AD2783^2*R_dn)-dpdn_minQ</f>
        <v>69.017435921153861</v>
      </c>
      <c r="AE2786" s="45"/>
      <c r="AF2786" s="74"/>
      <c r="AG2786" s="53">
        <f>P_2_minQ+(AG2783^2*R_dn)-dpdn_minQ</f>
        <v>122.99173153631065</v>
      </c>
      <c r="AH2786" s="45"/>
      <c r="AI2786" s="74"/>
      <c r="AJ2786" s="53">
        <f>P_2_minQ+(AJ2783^2*R_dn)-dpdn_minQ</f>
        <v>199.78156060116956</v>
      </c>
      <c r="AK2786" s="45"/>
      <c r="AL2786" s="74"/>
      <c r="AM2786" s="53">
        <f>P_2_minQ+(AM2783^2*R_dn)-dpdn_minQ</f>
        <v>285.39371891295599</v>
      </c>
      <c r="AN2786" s="45"/>
      <c r="AO2786" s="74"/>
      <c r="AP2786" s="53">
        <f>P_2_minQ+(AP2783^2*R_dn)-dpdn_minQ</f>
        <v>376.09078330610754</v>
      </c>
      <c r="AQ2786" s="45"/>
      <c r="AR2786" s="74"/>
      <c r="AS2786" s="53">
        <f>P_2_minQ+(AS2783^2*R_dn)-dpdn_minQ</f>
        <v>479.85389462722367</v>
      </c>
      <c r="AT2786" s="45"/>
      <c r="AU2786" s="74"/>
    </row>
    <row r="2787" spans="15:47" x14ac:dyDescent="0.25">
      <c r="O2787" s="6" t="s">
        <v>243</v>
      </c>
      <c r="Q2787" s="60"/>
      <c r="R2787" s="53">
        <f>R2785-R2786</f>
        <v>31.74175464045835</v>
      </c>
      <c r="S2787" s="56"/>
      <c r="T2787" s="72"/>
      <c r="U2787" s="64">
        <f>U2785-U2786</f>
        <v>27.574782359646562</v>
      </c>
      <c r="V2787" s="44"/>
      <c r="W2787" s="72"/>
      <c r="X2787" s="64">
        <f>X2785-X2786</f>
        <v>5.2674800544672244</v>
      </c>
      <c r="Y2787" s="44"/>
      <c r="Z2787" s="72"/>
      <c r="AA2787" s="64">
        <f>AA2785-AA2786</f>
        <v>-66.144438611660178</v>
      </c>
      <c r="AB2787" s="44"/>
      <c r="AC2787" s="72"/>
      <c r="AD2787" s="64">
        <f>AD2785-AD2786</f>
        <v>-233.90461552692318</v>
      </c>
      <c r="AE2787" s="44"/>
      <c r="AF2787" s="72"/>
      <c r="AG2787" s="64">
        <f>AG2785-AG2786</f>
        <v>-557.75038921786393</v>
      </c>
      <c r="AH2787" s="44"/>
      <c r="AI2787" s="72"/>
      <c r="AJ2787" s="64">
        <f>AJ2785-AJ2786</f>
        <v>-1018.4893636070175</v>
      </c>
      <c r="AK2787" s="44"/>
      <c r="AL2787" s="72"/>
      <c r="AM2787" s="64">
        <f>AM2785-AM2786</f>
        <v>-1532.162313477736</v>
      </c>
      <c r="AN2787" s="44"/>
      <c r="AO2787" s="72"/>
      <c r="AP2787" s="64">
        <f>AP2785-AP2786</f>
        <v>-2076.3446998366453</v>
      </c>
      <c r="AQ2787" s="44"/>
      <c r="AR2787" s="72"/>
      <c r="AS2787" s="64">
        <f>AS2785-AS2786</f>
        <v>-2698.9233677633424</v>
      </c>
      <c r="AT2787" s="44"/>
      <c r="AU2787" s="72"/>
    </row>
    <row r="2788" spans="15:47" ht="13" x14ac:dyDescent="0.3">
      <c r="O2788" s="6" t="s">
        <v>75</v>
      </c>
      <c r="P2788" s="6">
        <v>3</v>
      </c>
      <c r="Q2788" s="65"/>
      <c r="R2788" s="85">
        <f>(F_LP_h/F_P_h)^2*(R2785-('Valve Sizing'!$V$4*'Valve Sizing'!$G$7))</f>
        <v>46.407984736871683</v>
      </c>
      <c r="S2788" s="58"/>
      <c r="T2788" s="73"/>
      <c r="U2788" s="53">
        <f>(U$29/U$27)^2*(U2785-('Valve Sizing'!$V$4*'Valve Sizing'!$G$7))</f>
        <v>43.520726406928816</v>
      </c>
      <c r="V2788" s="41"/>
      <c r="W2788" s="73"/>
      <c r="X2788" s="53">
        <f>(X$29/X$27)^2*(X2785-('Valve Sizing'!$V$4*'Valve Sizing'!$G$7))</f>
        <v>27.497338053935916</v>
      </c>
      <c r="Y2788" s="41"/>
      <c r="Z2788" s="73"/>
      <c r="AA2788" s="53">
        <f>(AA$29/AA$27)^2*(AA2785-('Valve Sizing'!$V$4*'Valve Sizing'!$G$7))</f>
        <v>-19.727264101718394</v>
      </c>
      <c r="AB2788" s="41"/>
      <c r="AC2788" s="73"/>
      <c r="AD2788" s="53">
        <f>(AD$29/AD$27)^2*(AD2785-('Valve Sizing'!$V$4*'Valve Sizing'!$G$7))</f>
        <v>-119.23192158568206</v>
      </c>
      <c r="AE2788" s="41"/>
      <c r="AF2788" s="73"/>
      <c r="AG2788" s="53">
        <f>(AG$29/AG$27)^2*(AG2785-('Valve Sizing'!$V$4*'Valve Sizing'!$G$7))</f>
        <v>-280.28710018415387</v>
      </c>
      <c r="AH2788" s="41"/>
      <c r="AI2788" s="73"/>
      <c r="AJ2788" s="53">
        <f>(AJ$29/AJ$27)^2*(AJ2785-('Valve Sizing'!$V$4*'Valve Sizing'!$G$7))</f>
        <v>-473.76590797307966</v>
      </c>
      <c r="AK2788" s="41"/>
      <c r="AL2788" s="73"/>
      <c r="AM2788" s="53">
        <f>(AM$29/AM$27)^2*(AM2785-('Valve Sizing'!$V$4*'Valve Sizing'!$G$7))</f>
        <v>-596.7546044654697</v>
      </c>
      <c r="AN2788" s="41"/>
      <c r="AO2788" s="73"/>
      <c r="AP2788" s="53">
        <f>(AP$29/AP$27)^2*(AP2785-('Valve Sizing'!$V$4*'Valve Sizing'!$G$7))</f>
        <v>-671.13946734589558</v>
      </c>
      <c r="AQ2788" s="41"/>
      <c r="AR2788" s="73"/>
      <c r="AS2788" s="53">
        <f>(AS$29/AS$27)^2*(AS2785-('Valve Sizing'!$V$4*'Valve Sizing'!$G$7))</f>
        <v>-834.84807743801798</v>
      </c>
      <c r="AT2788" s="41"/>
      <c r="AU2788" s="73"/>
    </row>
    <row r="2789" spans="15:47" ht="13" x14ac:dyDescent="0.25">
      <c r="O2789" s="1" t="s">
        <v>69</v>
      </c>
      <c r="P2789" s="17">
        <v>7</v>
      </c>
      <c r="Q2789" s="65"/>
      <c r="R2789" s="53">
        <f>(R2783/(N_1*F_P_h))*SQRT('Valve Sizing'!$G$6/R2787)</f>
        <v>20.062312503061612</v>
      </c>
      <c r="S2789" s="58"/>
      <c r="T2789" s="73"/>
      <c r="U2789" s="64">
        <f>(U2783/(N_1*U$27))*SQRT('Valve Sizing'!$G$6/U2787)</f>
        <v>64.799845970637335</v>
      </c>
      <c r="V2789" s="41"/>
      <c r="W2789" s="73"/>
      <c r="X2789" s="64">
        <f>(X2783/(N_1*X$27))*SQRT('Valve Sizing'!$G$6/X2787)</f>
        <v>356.68439592708097</v>
      </c>
      <c r="Y2789" s="41"/>
      <c r="Z2789" s="73"/>
      <c r="AA2789" s="64" t="e">
        <f>(AA2783/(N_1*AA$27))*SQRT('Valve Sizing'!$G$6/AA2787)</f>
        <v>#NUM!</v>
      </c>
      <c r="AB2789" s="41"/>
      <c r="AC2789" s="73"/>
      <c r="AD2789" s="64" t="e">
        <f>(AD2783/(N_1*AD$27))*SQRT('Valve Sizing'!$G$6/AD2787)</f>
        <v>#NUM!</v>
      </c>
      <c r="AE2789" s="41"/>
      <c r="AF2789" s="73"/>
      <c r="AG2789" s="64" t="e">
        <f>(AG2783/(N_1*AG$27))*SQRT('Valve Sizing'!$G$6/AG2787)</f>
        <v>#NUM!</v>
      </c>
      <c r="AH2789" s="41"/>
      <c r="AI2789" s="73"/>
      <c r="AJ2789" s="64" t="e">
        <f>(AJ2783/(N_1*AJ$27))*SQRT('Valve Sizing'!$G$6/AJ2787)</f>
        <v>#NUM!</v>
      </c>
      <c r="AK2789" s="41"/>
      <c r="AL2789" s="73"/>
      <c r="AM2789" s="64" t="e">
        <f>(AM2783/(N_1*AM$27))*SQRT('Valve Sizing'!$G$6/AM2787)</f>
        <v>#NUM!</v>
      </c>
      <c r="AN2789" s="41"/>
      <c r="AO2789" s="73"/>
      <c r="AP2789" s="64" t="e">
        <f>(AP2783/(N_1*AP$27))*SQRT('Valve Sizing'!$G$6/AP2787)</f>
        <v>#NUM!</v>
      </c>
      <c r="AQ2789" s="41"/>
      <c r="AR2789" s="73"/>
      <c r="AS2789" s="64" t="e">
        <f>(AS2783/(N_1*AS$27))*SQRT('Valve Sizing'!$G$6/AS2787)</f>
        <v>#NUM!</v>
      </c>
      <c r="AT2789" s="41"/>
      <c r="AU2789" s="73"/>
    </row>
    <row r="2790" spans="15:47" ht="13" x14ac:dyDescent="0.3">
      <c r="O2790" s="1" t="s">
        <v>72</v>
      </c>
      <c r="P2790" s="17">
        <v>7</v>
      </c>
      <c r="Q2790" s="65"/>
      <c r="R2790" s="53">
        <f>(R2783/(N_1*F_P_h))*SQRT('Valve Sizing'!$G$6/R2788)</f>
        <v>16.592052044289058</v>
      </c>
      <c r="S2790" s="56"/>
      <c r="T2790" s="72"/>
      <c r="U2790" s="85">
        <f>(U2783/(N_1*U$27))*SQRT('Valve Sizing'!$G$6/U2788)</f>
        <v>51.580072998823994</v>
      </c>
      <c r="V2790" s="44"/>
      <c r="W2790" s="72"/>
      <c r="X2790" s="85">
        <f>(X2783/(N_1*X$27))*SQRT('Valve Sizing'!$G$6/X2788)</f>
        <v>156.11341851815664</v>
      </c>
      <c r="Y2790" s="44"/>
      <c r="Z2790" s="72"/>
      <c r="AA2790" s="85" t="e">
        <f>(AA2783/(N_1*AA$27))*SQRT('Valve Sizing'!$G$6/AA2788)</f>
        <v>#NUM!</v>
      </c>
      <c r="AB2790" s="44"/>
      <c r="AC2790" s="72"/>
      <c r="AD2790" s="85" t="e">
        <f>(AD2783/(N_1*AD$27))*SQRT('Valve Sizing'!$G$6/AD2788)</f>
        <v>#NUM!</v>
      </c>
      <c r="AE2790" s="44"/>
      <c r="AF2790" s="72"/>
      <c r="AG2790" s="85" t="e">
        <f>(AG2783/(N_1*AG$27))*SQRT('Valve Sizing'!$G$6/AG2788)</f>
        <v>#NUM!</v>
      </c>
      <c r="AH2790" s="44"/>
      <c r="AI2790" s="72"/>
      <c r="AJ2790" s="85" t="e">
        <f>(AJ2783/(N_1*AJ$27))*SQRT('Valve Sizing'!$G$6/AJ2788)</f>
        <v>#NUM!</v>
      </c>
      <c r="AK2790" s="44"/>
      <c r="AL2790" s="72"/>
      <c r="AM2790" s="85" t="e">
        <f>(AM2783/(N_1*AM$27))*SQRT('Valve Sizing'!$G$6/AM2788)</f>
        <v>#NUM!</v>
      </c>
      <c r="AN2790" s="44"/>
      <c r="AO2790" s="72"/>
      <c r="AP2790" s="85" t="e">
        <f>(AP2783/(N_1*AP$27))*SQRT('Valve Sizing'!$G$6/AP2788)</f>
        <v>#NUM!</v>
      </c>
      <c r="AQ2790" s="44"/>
      <c r="AR2790" s="72"/>
      <c r="AS2790" s="85" t="e">
        <f>(AS2783/(N_1*AS$27))*SQRT('Valve Sizing'!$G$6/AS2788)</f>
        <v>#NUM!</v>
      </c>
      <c r="AT2790" s="44"/>
      <c r="AU2790" s="72"/>
    </row>
    <row r="2791" spans="15:47" x14ac:dyDescent="0.25">
      <c r="O2791" s="1" t="s">
        <v>246</v>
      </c>
      <c r="P2791" s="18"/>
      <c r="Q2791" s="65"/>
      <c r="R2791" s="53">
        <f>IF(R2787&lt;R2788,R2789,R2790)</f>
        <v>20.062312503061612</v>
      </c>
      <c r="S2791" s="49"/>
      <c r="T2791" s="72"/>
      <c r="U2791" s="64">
        <f>IF(U2787&lt;U2788,U2789,U2790)</f>
        <v>64.799845970637335</v>
      </c>
      <c r="V2791" s="44"/>
      <c r="W2791" s="72"/>
      <c r="X2791" s="64">
        <f>IF(X2787&lt;X2788,X2789,X2790)</f>
        <v>356.68439592708097</v>
      </c>
      <c r="Y2791" s="44"/>
      <c r="Z2791" s="72"/>
      <c r="AA2791" s="64" t="e">
        <f>IF(AA2787&lt;AA2788,AA2789,AA2790)</f>
        <v>#NUM!</v>
      </c>
      <c r="AB2791" s="44"/>
      <c r="AC2791" s="72"/>
      <c r="AD2791" s="64" t="e">
        <f>IF(AD2787&lt;AD2788,AD2789,AD2790)</f>
        <v>#NUM!</v>
      </c>
      <c r="AE2791" s="44"/>
      <c r="AF2791" s="72"/>
      <c r="AG2791" s="64" t="e">
        <f>IF(AG2787&lt;AG2788,AG2789,AG2790)</f>
        <v>#NUM!</v>
      </c>
      <c r="AH2791" s="44"/>
      <c r="AI2791" s="72"/>
      <c r="AJ2791" s="64" t="e">
        <f>IF(AJ2787&lt;AJ2788,AJ2789,AJ2790)</f>
        <v>#NUM!</v>
      </c>
      <c r="AK2791" s="44"/>
      <c r="AL2791" s="72"/>
      <c r="AM2791" s="64" t="e">
        <f>IF(AM2787&lt;AM2788,AM2789,AM2790)</f>
        <v>#NUM!</v>
      </c>
      <c r="AN2791" s="44"/>
      <c r="AO2791" s="72"/>
      <c r="AP2791" s="64" t="e">
        <f>IF(AP2787&lt;AP2788,AP2789,AP2790)</f>
        <v>#NUM!</v>
      </c>
      <c r="AQ2791" s="44"/>
      <c r="AR2791" s="72"/>
      <c r="AS2791" s="64" t="e">
        <f>IF(AS2787&lt;AS2788,AS2789,AS2790)</f>
        <v>#NUM!</v>
      </c>
      <c r="AT2791" s="44"/>
      <c r="AU2791" s="72"/>
    </row>
    <row r="2792" spans="15:47" ht="13" x14ac:dyDescent="0.3">
      <c r="O2792" s="7" t="s">
        <v>264</v>
      </c>
      <c r="Q2792" s="61"/>
      <c r="R2792" s="53"/>
      <c r="S2792" s="69">
        <f>IFERROR(ABS(C_h-R2791),Q_max*10)</f>
        <v>15.062312503061612</v>
      </c>
      <c r="T2792" s="76">
        <f>R2783</f>
        <v>113.01417719335164</v>
      </c>
      <c r="U2792" s="61"/>
      <c r="V2792" s="69">
        <f>IFERROR(ABS(U$23-U2791),Q_max*10)</f>
        <v>52.799845970637335</v>
      </c>
      <c r="W2792" s="75">
        <f>U2783</f>
        <v>339.98859580244891</v>
      </c>
      <c r="X2792" s="61"/>
      <c r="Y2792" s="69">
        <f>IFERROR(ABS(X$23-X2791),Q_max*10)</f>
        <v>333.68439592708097</v>
      </c>
      <c r="Z2792" s="75">
        <f>X2783</f>
        <v>816.10350425422212</v>
      </c>
      <c r="AA2792" s="61"/>
      <c r="AB2792" s="69">
        <f>IFERROR(ABS(AA$23-AA2791),Q_max*10)</f>
        <v>5500</v>
      </c>
      <c r="AC2792" s="75">
        <f>AA2783</f>
        <v>1558.2406819046648</v>
      </c>
      <c r="AD2792" s="61"/>
      <c r="AE2792" s="69">
        <f>IFERROR(ABS(AD$23-AD2791),Q_max*10)</f>
        <v>5500</v>
      </c>
      <c r="AF2792" s="75">
        <f>AD2783</f>
        <v>2562.732211552122</v>
      </c>
      <c r="AG2792" s="61"/>
      <c r="AH2792" s="69">
        <f>IFERROR(ABS(AG$23-AG2791),Q_max*10)</f>
        <v>5500</v>
      </c>
      <c r="AI2792" s="75">
        <f>AG2783</f>
        <v>3815.5590486782917</v>
      </c>
      <c r="AJ2792" s="61"/>
      <c r="AK2792" s="69">
        <f>IFERROR(ABS(AJ$23-AJ2791),Q_max*10)</f>
        <v>5500</v>
      </c>
      <c r="AL2792" s="75">
        <f>AJ2783</f>
        <v>5091.8783417323666</v>
      </c>
      <c r="AM2792" s="61"/>
      <c r="AN2792" s="69">
        <f>IFERROR(ABS(AM$23-AM2791),Q_max*10)</f>
        <v>5500</v>
      </c>
      <c r="AO2792" s="75">
        <f>AM2783</f>
        <v>6213.0592372086021</v>
      </c>
      <c r="AP2792" s="61"/>
      <c r="AQ2792" s="69">
        <f>IFERROR(ABS(AP$23-AP2791),Q_max*10)</f>
        <v>5500</v>
      </c>
      <c r="AR2792" s="75">
        <f>AP2783</f>
        <v>7213.1688922739932</v>
      </c>
      <c r="AS2792" s="61"/>
      <c r="AT2792" s="69">
        <f>IFERROR(ABS(AS$23-AS2791),Q_max*10)</f>
        <v>5500</v>
      </c>
      <c r="AU2792" s="75">
        <f>AS2783</f>
        <v>8209.2590469274674</v>
      </c>
    </row>
    <row r="2793" spans="15:47" ht="14.5" x14ac:dyDescent="0.35">
      <c r="O2793" s="6"/>
      <c r="P2793" s="6"/>
      <c r="Q2793" s="60"/>
      <c r="R2793" s="67"/>
      <c r="S2793" s="58"/>
      <c r="T2793" s="73"/>
      <c r="V2793" s="11"/>
      <c r="W2793" s="38"/>
      <c r="Y2793" s="11"/>
      <c r="Z2793" s="38"/>
      <c r="AB2793" s="11"/>
      <c r="AC2793" s="38"/>
      <c r="AE2793" s="11"/>
      <c r="AF2793" s="38"/>
      <c r="AH2793" s="11"/>
      <c r="AI2793" s="38"/>
      <c r="AK2793" s="11"/>
      <c r="AL2793" s="38"/>
      <c r="AN2793" s="11"/>
      <c r="AO2793" s="38"/>
      <c r="AQ2793" s="11"/>
      <c r="AR2793" s="38"/>
      <c r="AT2793" s="11"/>
      <c r="AU2793" s="38"/>
    </row>
    <row r="2794" spans="15:47" ht="14" x14ac:dyDescent="0.3">
      <c r="O2794" s="8" t="s">
        <v>235</v>
      </c>
      <c r="P2794" s="6"/>
      <c r="Q2794" s="60"/>
      <c r="R2794" s="53">
        <f>R2783*1.02</f>
        <v>115.27446073721867</v>
      </c>
      <c r="S2794" s="58" t="s">
        <v>238</v>
      </c>
      <c r="T2794" s="73" t="s">
        <v>241</v>
      </c>
      <c r="U2794" s="84">
        <f>U2783*1.01</f>
        <v>343.38848176047338</v>
      </c>
      <c r="V2794" s="58" t="s">
        <v>238</v>
      </c>
      <c r="W2794" s="73" t="s">
        <v>241</v>
      </c>
      <c r="X2794" s="84">
        <f>X2783*1.01</f>
        <v>824.26453929676438</v>
      </c>
      <c r="Y2794" s="58" t="s">
        <v>238</v>
      </c>
      <c r="Z2794" s="73" t="s">
        <v>241</v>
      </c>
      <c r="AA2794" s="84">
        <f>AA2783*1.01</f>
        <v>1573.8230887237114</v>
      </c>
      <c r="AB2794" s="58" t="s">
        <v>238</v>
      </c>
      <c r="AC2794" s="73" t="s">
        <v>241</v>
      </c>
      <c r="AD2794" s="84">
        <f>AD2783*1.01</f>
        <v>2588.3595336676431</v>
      </c>
      <c r="AE2794" s="58" t="s">
        <v>238</v>
      </c>
      <c r="AF2794" s="73" t="s">
        <v>241</v>
      </c>
      <c r="AG2794" s="84">
        <f>AG2783*1.01</f>
        <v>3853.7146391650745</v>
      </c>
      <c r="AH2794" s="58" t="s">
        <v>238</v>
      </c>
      <c r="AI2794" s="73" t="s">
        <v>241</v>
      </c>
      <c r="AJ2794" s="84">
        <f>AJ2783*1.01</f>
        <v>5142.7971251496901</v>
      </c>
      <c r="AK2794" s="58" t="s">
        <v>238</v>
      </c>
      <c r="AL2794" s="73" t="s">
        <v>241</v>
      </c>
      <c r="AM2794" s="84">
        <f>AM2783*1.01</f>
        <v>6275.1898295806877</v>
      </c>
      <c r="AN2794" s="58" t="s">
        <v>238</v>
      </c>
      <c r="AO2794" s="73" t="s">
        <v>241</v>
      </c>
      <c r="AP2794" s="84">
        <f>AP2783*1.01</f>
        <v>7285.3005811967332</v>
      </c>
      <c r="AQ2794" s="58" t="s">
        <v>238</v>
      </c>
      <c r="AR2794" s="73" t="s">
        <v>241</v>
      </c>
      <c r="AS2794" s="84">
        <f>AS2783*1.01</f>
        <v>8291.3516373967414</v>
      </c>
      <c r="AT2794" s="58" t="s">
        <v>238</v>
      </c>
      <c r="AU2794" s="73" t="s">
        <v>241</v>
      </c>
    </row>
    <row r="2795" spans="15:47" ht="13" x14ac:dyDescent="0.25">
      <c r="O2795" s="6"/>
      <c r="P2795" s="6"/>
      <c r="Q2795" s="60"/>
      <c r="R2795" s="70"/>
      <c r="S2795" s="63" t="s">
        <v>250</v>
      </c>
      <c r="T2795" s="71" t="s">
        <v>242</v>
      </c>
      <c r="U2795" s="61"/>
      <c r="V2795" s="63" t="s">
        <v>250</v>
      </c>
      <c r="W2795" s="71" t="s">
        <v>242</v>
      </c>
      <c r="X2795" s="61"/>
      <c r="Y2795" s="63" t="s">
        <v>250</v>
      </c>
      <c r="Z2795" s="71" t="s">
        <v>242</v>
      </c>
      <c r="AA2795" s="61"/>
      <c r="AB2795" s="63" t="s">
        <v>250</v>
      </c>
      <c r="AC2795" s="71" t="s">
        <v>242</v>
      </c>
      <c r="AD2795" s="61"/>
      <c r="AE2795" s="63" t="s">
        <v>250</v>
      </c>
      <c r="AF2795" s="71" t="s">
        <v>242</v>
      </c>
      <c r="AG2795" s="61"/>
      <c r="AH2795" s="63" t="s">
        <v>250</v>
      </c>
      <c r="AI2795" s="71" t="s">
        <v>242</v>
      </c>
      <c r="AJ2795" s="61"/>
      <c r="AK2795" s="63" t="s">
        <v>250</v>
      </c>
      <c r="AL2795" s="71" t="s">
        <v>242</v>
      </c>
      <c r="AM2795" s="61"/>
      <c r="AN2795" s="63" t="s">
        <v>250</v>
      </c>
      <c r="AO2795" s="71" t="s">
        <v>242</v>
      </c>
      <c r="AP2795" s="61"/>
      <c r="AQ2795" s="63" t="s">
        <v>250</v>
      </c>
      <c r="AR2795" s="71" t="s">
        <v>242</v>
      </c>
      <c r="AS2795" s="61"/>
      <c r="AT2795" s="63" t="s">
        <v>250</v>
      </c>
      <c r="AU2795" s="71" t="s">
        <v>242</v>
      </c>
    </row>
    <row r="2796" spans="15:47" ht="13" x14ac:dyDescent="0.3">
      <c r="O2796" s="6" t="s">
        <v>231</v>
      </c>
      <c r="P2796" s="6"/>
      <c r="Q2796" s="60"/>
      <c r="R2796" s="85">
        <f>P_1_minQ-(R2794^2*R_up)+dpup_minQ</f>
        <v>56.467369088204777</v>
      </c>
      <c r="S2796" s="56"/>
      <c r="T2796" s="72"/>
      <c r="U2796" s="53">
        <f>P_1_minQ-(U2794^2*R_up)+dpup_minQ</f>
        <v>52.933851759346069</v>
      </c>
      <c r="V2796" s="44"/>
      <c r="W2796" s="72"/>
      <c r="X2796" s="53">
        <f>P_1_minQ-(X2794^2*R_up)+dpup_minQ</f>
        <v>33.970785858084859</v>
      </c>
      <c r="Y2796" s="44"/>
      <c r="Z2796" s="72"/>
      <c r="AA2796" s="53">
        <f>P_1_minQ-(AA2794^2*R_up)+dpup_minQ</f>
        <v>-26.735296001345592</v>
      </c>
      <c r="AB2796" s="44"/>
      <c r="AC2796" s="72"/>
      <c r="AD2796" s="53">
        <f>P_1_minQ-(AD2794^2*R_up)+dpup_minQ</f>
        <v>-169.34542639406212</v>
      </c>
      <c r="AE2796" s="44"/>
      <c r="AF2796" s="72"/>
      <c r="AG2796" s="53">
        <f>P_1_minQ-(AG2794^2*R_up)+dpup_minQ</f>
        <v>-444.64132117916927</v>
      </c>
      <c r="AH2796" s="44"/>
      <c r="AI2796" s="72"/>
      <c r="AJ2796" s="53">
        <f>P_1_minQ-(AJ2794^2*R_up)+dpup_minQ</f>
        <v>-836.30784432448218</v>
      </c>
      <c r="AK2796" s="44"/>
      <c r="AL2796" s="72"/>
      <c r="AM2796" s="53">
        <f>P_1_minQ-(AM2794^2*R_up)+dpup_minQ</f>
        <v>-1272.9726577937488</v>
      </c>
      <c r="AN2796" s="44"/>
      <c r="AO2796" s="72"/>
      <c r="AP2796" s="53">
        <f>P_1_minQ-(AP2794^2*R_up)+dpup_minQ</f>
        <v>-1735.5730347310187</v>
      </c>
      <c r="AQ2796" s="44"/>
      <c r="AR2796" s="72"/>
      <c r="AS2796" s="53">
        <f>P_1_minQ-(AS2794^2*R_up)+dpup_minQ</f>
        <v>-2264.8167840243714</v>
      </c>
      <c r="AT2796" s="44"/>
      <c r="AU2796" s="72"/>
    </row>
    <row r="2797" spans="15:47" ht="13" x14ac:dyDescent="0.3">
      <c r="O2797" s="6" t="s">
        <v>233</v>
      </c>
      <c r="P2797" s="6"/>
      <c r="Q2797" s="60"/>
      <c r="R2797" s="85">
        <f>P_2_minQ+(R2794^2*R_dn)-dpdn_minQ</f>
        <v>24.746526182359045</v>
      </c>
      <c r="S2797" s="66"/>
      <c r="T2797" s="74"/>
      <c r="U2797" s="53">
        <f>P_2_minQ+(U2794^2*R_dn)-dpdn_minQ</f>
        <v>25.453229648130787</v>
      </c>
      <c r="V2797" s="45"/>
      <c r="W2797" s="74"/>
      <c r="X2797" s="53">
        <f>P_2_minQ+(X2794^2*R_dn)-dpdn_minQ</f>
        <v>29.245842828383029</v>
      </c>
      <c r="Y2797" s="45"/>
      <c r="Z2797" s="74"/>
      <c r="AA2797" s="53">
        <f>P_2_minQ+(AA2794^2*R_dn)-dpdn_minQ</f>
        <v>41.387059200269121</v>
      </c>
      <c r="AB2797" s="45"/>
      <c r="AC2797" s="74"/>
      <c r="AD2797" s="53">
        <f>P_2_minQ+(AD2794^2*R_dn)-dpdn_minQ</f>
        <v>69.909085278812427</v>
      </c>
      <c r="AE2797" s="45"/>
      <c r="AF2797" s="74"/>
      <c r="AG2797" s="53">
        <f>P_2_minQ+(AG2794^2*R_dn)-dpdn_minQ</f>
        <v>124.96826423583384</v>
      </c>
      <c r="AH2797" s="45"/>
      <c r="AI2797" s="74"/>
      <c r="AJ2797" s="53">
        <f>P_2_minQ+(AJ2794^2*R_dn)-dpdn_minQ</f>
        <v>203.30156886489644</v>
      </c>
      <c r="AK2797" s="45"/>
      <c r="AL2797" s="74"/>
      <c r="AM2797" s="53">
        <f>P_2_minQ+(AM2794^2*R_dn)-dpdn_minQ</f>
        <v>290.6345315587497</v>
      </c>
      <c r="AN2797" s="45"/>
      <c r="AO2797" s="74"/>
      <c r="AP2797" s="53">
        <f>P_2_minQ+(AP2794^2*R_dn)-dpdn_minQ</f>
        <v>383.15460694620367</v>
      </c>
      <c r="AQ2797" s="45"/>
      <c r="AR2797" s="74"/>
      <c r="AS2797" s="53">
        <f>P_2_minQ+(AS2794^2*R_dn)-dpdn_minQ</f>
        <v>489.00335680487416</v>
      </c>
      <c r="AT2797" s="45"/>
      <c r="AU2797" s="74"/>
    </row>
    <row r="2798" spans="15:47" x14ac:dyDescent="0.25">
      <c r="O2798" s="6" t="s">
        <v>243</v>
      </c>
      <c r="Q2798" s="60"/>
      <c r="R2798" s="53">
        <f>R2796-R2797</f>
        <v>31.720842905845732</v>
      </c>
      <c r="S2798" s="56"/>
      <c r="T2798" s="72"/>
      <c r="U2798" s="64">
        <f>U2796-U2797</f>
        <v>27.480622111215283</v>
      </c>
      <c r="V2798" s="44"/>
      <c r="W2798" s="72"/>
      <c r="X2798" s="64">
        <f>X2796-X2797</f>
        <v>4.72494302970183</v>
      </c>
      <c r="Y2798" s="44"/>
      <c r="Z2798" s="72"/>
      <c r="AA2798" s="64">
        <f>AA2796-AA2797</f>
        <v>-68.12235520161471</v>
      </c>
      <c r="AB2798" s="44"/>
      <c r="AC2798" s="72"/>
      <c r="AD2798" s="64">
        <f>AD2796-AD2797</f>
        <v>-239.25451167287454</v>
      </c>
      <c r="AE2798" s="44"/>
      <c r="AF2798" s="72"/>
      <c r="AG2798" s="64">
        <f>AG2796-AG2797</f>
        <v>-569.60958541500315</v>
      </c>
      <c r="AH2798" s="44"/>
      <c r="AI2798" s="72"/>
      <c r="AJ2798" s="64">
        <f>AJ2796-AJ2797</f>
        <v>-1039.6094131893785</v>
      </c>
      <c r="AK2798" s="44"/>
      <c r="AL2798" s="72"/>
      <c r="AM2798" s="64">
        <f>AM2796-AM2797</f>
        <v>-1563.6071893524986</v>
      </c>
      <c r="AN2798" s="44"/>
      <c r="AO2798" s="72"/>
      <c r="AP2798" s="64">
        <f>AP2796-AP2797</f>
        <v>-2118.7276416772224</v>
      </c>
      <c r="AQ2798" s="44"/>
      <c r="AR2798" s="72"/>
      <c r="AS2798" s="64">
        <f>AS2796-AS2797</f>
        <v>-2753.8201408292457</v>
      </c>
      <c r="AT2798" s="44"/>
      <c r="AU2798" s="72"/>
    </row>
    <row r="2799" spans="15:47" ht="13" x14ac:dyDescent="0.3">
      <c r="O2799" s="6" t="s">
        <v>75</v>
      </c>
      <c r="P2799" s="6">
        <v>3</v>
      </c>
      <c r="Q2799" s="65"/>
      <c r="R2799" s="85">
        <f>(F_LP_h/F_P_h)^2*(R2796-('Valve Sizing'!$V$4*'Valve Sizing'!$G$7))</f>
        <v>46.393554725275919</v>
      </c>
      <c r="S2799" s="58"/>
      <c r="T2799" s="73"/>
      <c r="U2799" s="53">
        <f>(U$29/U$27)^2*(U2796-('Valve Sizing'!$V$4*'Valve Sizing'!$G$7))</f>
        <v>43.455769426206189</v>
      </c>
      <c r="V2799" s="41"/>
      <c r="W2799" s="73"/>
      <c r="X2799" s="53">
        <f>(X$29/X$27)^2*(X2796-('Valve Sizing'!$V$4*'Valve Sizing'!$G$7))</f>
        <v>27.131508247541763</v>
      </c>
      <c r="Y2799" s="41"/>
      <c r="Z2799" s="73"/>
      <c r="AA2799" s="53">
        <f>(AA$29/AA$27)^2*(AA2796-('Valve Sizing'!$V$4*'Valve Sizing'!$G$7))</f>
        <v>-21.001037805706346</v>
      </c>
      <c r="AB2799" s="41"/>
      <c r="AC2799" s="73"/>
      <c r="AD2799" s="53">
        <f>(AD$29/AD$27)^2*(AD2796-('Valve Sizing'!$V$4*'Valve Sizing'!$G$7))</f>
        <v>-122.44715302748028</v>
      </c>
      <c r="AE2799" s="41"/>
      <c r="AF2799" s="73"/>
      <c r="AG2799" s="53">
        <f>(AG$29/AG$27)^2*(AG2796-('Valve Sizing'!$V$4*'Valve Sizing'!$G$7))</f>
        <v>-286.6519698313715</v>
      </c>
      <c r="AH2799" s="41"/>
      <c r="AI2799" s="73"/>
      <c r="AJ2799" s="53">
        <f>(AJ$29/AJ$27)^2*(AJ2796-('Valve Sizing'!$V$4*'Valve Sizing'!$G$7))</f>
        <v>-483.94514417204556</v>
      </c>
      <c r="AK2799" s="41"/>
      <c r="AL2799" s="73"/>
      <c r="AM2799" s="53">
        <f>(AM$29/AM$27)^2*(AM2796-('Valve Sizing'!$V$4*'Valve Sizing'!$G$7))</f>
        <v>-609.292518919146</v>
      </c>
      <c r="AN2799" s="41"/>
      <c r="AO2799" s="73"/>
      <c r="AP2799" s="53">
        <f>(AP$29/AP$27)^2*(AP2796-('Valve Sizing'!$V$4*'Valve Sizing'!$G$7))</f>
        <v>-685.07733890644761</v>
      </c>
      <c r="AQ2799" s="41"/>
      <c r="AR2799" s="73"/>
      <c r="AS2799" s="53">
        <f>(AS$29/AS$27)^2*(AS2796-('Valve Sizing'!$V$4*'Valve Sizing'!$G$7))</f>
        <v>-852.05550728363971</v>
      </c>
      <c r="AT2799" s="41"/>
      <c r="AU2799" s="73"/>
    </row>
    <row r="2800" spans="15:47" ht="13" x14ac:dyDescent="0.25">
      <c r="O2800" s="1" t="s">
        <v>69</v>
      </c>
      <c r="P2800" s="17">
        <v>7</v>
      </c>
      <c r="Q2800" s="65"/>
      <c r="R2800" s="53">
        <f>(R2794/(N_1*F_P_h))*SQRT('Valve Sizing'!$G$6/R2798)</f>
        <v>20.470302867823616</v>
      </c>
      <c r="S2800" s="58"/>
      <c r="T2800" s="73"/>
      <c r="U2800" s="64">
        <f>(U2794/(N_1*U$27))*SQRT('Valve Sizing'!$G$6/U2798)</f>
        <v>65.559874561681085</v>
      </c>
      <c r="V2800" s="41"/>
      <c r="W2800" s="73"/>
      <c r="X2800" s="64">
        <f>(X2794/(N_1*X$27))*SQRT('Valve Sizing'!$G$6/X2798)</f>
        <v>380.37209266902181</v>
      </c>
      <c r="Y2800" s="41"/>
      <c r="Z2800" s="73"/>
      <c r="AA2800" s="64" t="e">
        <f>(AA2794/(N_1*AA$27))*SQRT('Valve Sizing'!$G$6/AA2798)</f>
        <v>#NUM!</v>
      </c>
      <c r="AB2800" s="41"/>
      <c r="AC2800" s="73"/>
      <c r="AD2800" s="64" t="e">
        <f>(AD2794/(N_1*AD$27))*SQRT('Valve Sizing'!$G$6/AD2798)</f>
        <v>#NUM!</v>
      </c>
      <c r="AE2800" s="41"/>
      <c r="AF2800" s="73"/>
      <c r="AG2800" s="64" t="e">
        <f>(AG2794/(N_1*AG$27))*SQRT('Valve Sizing'!$G$6/AG2798)</f>
        <v>#NUM!</v>
      </c>
      <c r="AH2800" s="41"/>
      <c r="AI2800" s="73"/>
      <c r="AJ2800" s="64" t="e">
        <f>(AJ2794/(N_1*AJ$27))*SQRT('Valve Sizing'!$G$6/AJ2798)</f>
        <v>#NUM!</v>
      </c>
      <c r="AK2800" s="41"/>
      <c r="AL2800" s="73"/>
      <c r="AM2800" s="64" t="e">
        <f>(AM2794/(N_1*AM$27))*SQRT('Valve Sizing'!$G$6/AM2798)</f>
        <v>#NUM!</v>
      </c>
      <c r="AN2800" s="41"/>
      <c r="AO2800" s="73"/>
      <c r="AP2800" s="64" t="e">
        <f>(AP2794/(N_1*AP$27))*SQRT('Valve Sizing'!$G$6/AP2798)</f>
        <v>#NUM!</v>
      </c>
      <c r="AQ2800" s="41"/>
      <c r="AR2800" s="73"/>
      <c r="AS2800" s="64" t="e">
        <f>(AS2794/(N_1*AS$27))*SQRT('Valve Sizing'!$G$6/AS2798)</f>
        <v>#NUM!</v>
      </c>
      <c r="AT2800" s="41"/>
      <c r="AU2800" s="73"/>
    </row>
    <row r="2801" spans="15:47" ht="13" x14ac:dyDescent="0.3">
      <c r="O2801" s="1" t="s">
        <v>72</v>
      </c>
      <c r="P2801" s="17">
        <v>7</v>
      </c>
      <c r="Q2801" s="65"/>
      <c r="R2801" s="53">
        <f>(R2794/(N_1*F_P_h))*SQRT('Valve Sizing'!$G$6/R2799)</f>
        <v>16.926524840687598</v>
      </c>
      <c r="S2801" s="56"/>
      <c r="T2801" s="72"/>
      <c r="U2801" s="85">
        <f>(U2794/(N_1*U$27))*SQRT('Valve Sizing'!$G$6/U2799)</f>
        <v>52.134795223827012</v>
      </c>
      <c r="V2801" s="44"/>
      <c r="W2801" s="72"/>
      <c r="X2801" s="85">
        <f>(X2794/(N_1*X$27))*SQRT('Valve Sizing'!$G$6/X2799)</f>
        <v>158.73400193090276</v>
      </c>
      <c r="Y2801" s="44"/>
      <c r="Z2801" s="72"/>
      <c r="AA2801" s="85" t="e">
        <f>(AA2794/(N_1*AA$27))*SQRT('Valve Sizing'!$G$6/AA2799)</f>
        <v>#NUM!</v>
      </c>
      <c r="AB2801" s="44"/>
      <c r="AC2801" s="72"/>
      <c r="AD2801" s="85" t="e">
        <f>(AD2794/(N_1*AD$27))*SQRT('Valve Sizing'!$G$6/AD2799)</f>
        <v>#NUM!</v>
      </c>
      <c r="AE2801" s="44"/>
      <c r="AF2801" s="72"/>
      <c r="AG2801" s="85" t="e">
        <f>(AG2794/(N_1*AG$27))*SQRT('Valve Sizing'!$G$6/AG2799)</f>
        <v>#NUM!</v>
      </c>
      <c r="AH2801" s="44"/>
      <c r="AI2801" s="72"/>
      <c r="AJ2801" s="85" t="e">
        <f>(AJ2794/(N_1*AJ$27))*SQRT('Valve Sizing'!$G$6/AJ2799)</f>
        <v>#NUM!</v>
      </c>
      <c r="AK2801" s="44"/>
      <c r="AL2801" s="72"/>
      <c r="AM2801" s="85" t="e">
        <f>(AM2794/(N_1*AM$27))*SQRT('Valve Sizing'!$G$6/AM2799)</f>
        <v>#NUM!</v>
      </c>
      <c r="AN2801" s="44"/>
      <c r="AO2801" s="72"/>
      <c r="AP2801" s="85" t="e">
        <f>(AP2794/(N_1*AP$27))*SQRT('Valve Sizing'!$G$6/AP2799)</f>
        <v>#NUM!</v>
      </c>
      <c r="AQ2801" s="44"/>
      <c r="AR2801" s="72"/>
      <c r="AS2801" s="85" t="e">
        <f>(AS2794/(N_1*AS$27))*SQRT('Valve Sizing'!$G$6/AS2799)</f>
        <v>#NUM!</v>
      </c>
      <c r="AT2801" s="44"/>
      <c r="AU2801" s="72"/>
    </row>
    <row r="2802" spans="15:47" x14ac:dyDescent="0.25">
      <c r="O2802" s="1" t="s">
        <v>246</v>
      </c>
      <c r="P2802" s="18"/>
      <c r="Q2802" s="65"/>
      <c r="R2802" s="53">
        <f>IF(R2798&lt;R2799,R2800,R2801)</f>
        <v>20.470302867823616</v>
      </c>
      <c r="S2802" s="49"/>
      <c r="T2802" s="72"/>
      <c r="U2802" s="64">
        <f>IF(U2798&lt;U2799,U2800,U2801)</f>
        <v>65.559874561681085</v>
      </c>
      <c r="V2802" s="44"/>
      <c r="W2802" s="72"/>
      <c r="X2802" s="64">
        <f>IF(X2798&lt;X2799,X2800,X2801)</f>
        <v>380.37209266902181</v>
      </c>
      <c r="Y2802" s="44"/>
      <c r="Z2802" s="72"/>
      <c r="AA2802" s="64" t="e">
        <f>IF(AA2798&lt;AA2799,AA2800,AA2801)</f>
        <v>#NUM!</v>
      </c>
      <c r="AB2802" s="44"/>
      <c r="AC2802" s="72"/>
      <c r="AD2802" s="64" t="e">
        <f>IF(AD2798&lt;AD2799,AD2800,AD2801)</f>
        <v>#NUM!</v>
      </c>
      <c r="AE2802" s="44"/>
      <c r="AF2802" s="72"/>
      <c r="AG2802" s="64" t="e">
        <f>IF(AG2798&lt;AG2799,AG2800,AG2801)</f>
        <v>#NUM!</v>
      </c>
      <c r="AH2802" s="44"/>
      <c r="AI2802" s="72"/>
      <c r="AJ2802" s="64" t="e">
        <f>IF(AJ2798&lt;AJ2799,AJ2800,AJ2801)</f>
        <v>#NUM!</v>
      </c>
      <c r="AK2802" s="44"/>
      <c r="AL2802" s="72"/>
      <c r="AM2802" s="64" t="e">
        <f>IF(AM2798&lt;AM2799,AM2800,AM2801)</f>
        <v>#NUM!</v>
      </c>
      <c r="AN2802" s="44"/>
      <c r="AO2802" s="72"/>
      <c r="AP2802" s="64" t="e">
        <f>IF(AP2798&lt;AP2799,AP2800,AP2801)</f>
        <v>#NUM!</v>
      </c>
      <c r="AQ2802" s="44"/>
      <c r="AR2802" s="72"/>
      <c r="AS2802" s="64" t="e">
        <f>IF(AS2798&lt;AS2799,AS2800,AS2801)</f>
        <v>#NUM!</v>
      </c>
      <c r="AT2802" s="44"/>
      <c r="AU2802" s="72"/>
    </row>
    <row r="2803" spans="15:47" ht="13" x14ac:dyDescent="0.3">
      <c r="O2803" s="7" t="s">
        <v>264</v>
      </c>
      <c r="Q2803" s="61"/>
      <c r="R2803" s="53"/>
      <c r="S2803" s="69">
        <f>IFERROR(ABS(C_h-R2802),Q_max*10)</f>
        <v>15.470302867823616</v>
      </c>
      <c r="T2803" s="76">
        <f>R2794</f>
        <v>115.27446073721867</v>
      </c>
      <c r="U2803" s="61"/>
      <c r="V2803" s="69">
        <f>IFERROR(ABS(U$23-U2802),Q_max*10)</f>
        <v>53.559874561681085</v>
      </c>
      <c r="W2803" s="75">
        <f>U2794</f>
        <v>343.38848176047338</v>
      </c>
      <c r="X2803" s="61"/>
      <c r="Y2803" s="69">
        <f>IFERROR(ABS(X$23-X2802),Q_max*10)</f>
        <v>357.37209266902181</v>
      </c>
      <c r="Z2803" s="75">
        <f>X2794</f>
        <v>824.26453929676438</v>
      </c>
      <c r="AA2803" s="61"/>
      <c r="AB2803" s="69">
        <f>IFERROR(ABS(AA$23-AA2802),Q_max*10)</f>
        <v>5500</v>
      </c>
      <c r="AC2803" s="75">
        <f>AA2794</f>
        <v>1573.8230887237114</v>
      </c>
      <c r="AD2803" s="61"/>
      <c r="AE2803" s="69">
        <f>IFERROR(ABS(AD$23-AD2802),Q_max*10)</f>
        <v>5500</v>
      </c>
      <c r="AF2803" s="75">
        <f>AD2794</f>
        <v>2588.3595336676431</v>
      </c>
      <c r="AG2803" s="61"/>
      <c r="AH2803" s="69">
        <f>IFERROR(ABS(AG$23-AG2802),Q_max*10)</f>
        <v>5500</v>
      </c>
      <c r="AI2803" s="75">
        <f>AG2794</f>
        <v>3853.7146391650745</v>
      </c>
      <c r="AJ2803" s="61"/>
      <c r="AK2803" s="69">
        <f>IFERROR(ABS(AJ$23-AJ2802),Q_max*10)</f>
        <v>5500</v>
      </c>
      <c r="AL2803" s="75">
        <f>AJ2794</f>
        <v>5142.7971251496901</v>
      </c>
      <c r="AM2803" s="61"/>
      <c r="AN2803" s="69">
        <f>IFERROR(ABS(AM$23-AM2802),Q_max*10)</f>
        <v>5500</v>
      </c>
      <c r="AO2803" s="75">
        <f>AM2794</f>
        <v>6275.1898295806877</v>
      </c>
      <c r="AP2803" s="61"/>
      <c r="AQ2803" s="69">
        <f>IFERROR(ABS(AP$23-AP2802),Q_max*10)</f>
        <v>5500</v>
      </c>
      <c r="AR2803" s="75">
        <f>AP2794</f>
        <v>7285.3005811967332</v>
      </c>
      <c r="AS2803" s="61"/>
      <c r="AT2803" s="69">
        <f>IFERROR(ABS(AS$23-AS2802),Q_max*10)</f>
        <v>5500</v>
      </c>
      <c r="AU2803" s="75">
        <f>AS2794</f>
        <v>8291.3516373967414</v>
      </c>
    </row>
    <row r="2804" spans="15:47" ht="14.5" x14ac:dyDescent="0.35">
      <c r="O2804" s="8"/>
      <c r="P2804" s="6"/>
      <c r="Q2804" s="60"/>
      <c r="R2804" s="67"/>
      <c r="S2804" s="56"/>
      <c r="T2804" s="72"/>
      <c r="V2804" s="11"/>
      <c r="W2804" s="38"/>
      <c r="Y2804" s="11"/>
      <c r="Z2804" s="38"/>
      <c r="AB2804" s="11"/>
      <c r="AC2804" s="38"/>
      <c r="AE2804" s="11"/>
      <c r="AF2804" s="38"/>
      <c r="AH2804" s="11"/>
      <c r="AI2804" s="38"/>
      <c r="AK2804" s="11"/>
      <c r="AL2804" s="38"/>
      <c r="AN2804" s="11"/>
      <c r="AO2804" s="38"/>
      <c r="AQ2804" s="11"/>
      <c r="AR2804" s="38"/>
      <c r="AT2804" s="11"/>
      <c r="AU2804" s="38"/>
    </row>
    <row r="2805" spans="15:47" ht="14" x14ac:dyDescent="0.3">
      <c r="O2805" s="8" t="s">
        <v>235</v>
      </c>
      <c r="P2805" s="6"/>
      <c r="Q2805" s="60"/>
      <c r="R2805" s="53">
        <f>R2794*1.02</f>
        <v>117.57994995196304</v>
      </c>
      <c r="S2805" s="58" t="s">
        <v>238</v>
      </c>
      <c r="T2805" s="73" t="s">
        <v>241</v>
      </c>
      <c r="U2805" s="84">
        <f>U2794*1.01</f>
        <v>346.82236657807812</v>
      </c>
      <c r="V2805" s="58" t="s">
        <v>238</v>
      </c>
      <c r="W2805" s="73" t="s">
        <v>241</v>
      </c>
      <c r="X2805" s="84">
        <f>X2794*1.01</f>
        <v>832.50718468973207</v>
      </c>
      <c r="Y2805" s="58" t="s">
        <v>238</v>
      </c>
      <c r="Z2805" s="73" t="s">
        <v>241</v>
      </c>
      <c r="AA2805" s="84">
        <f>AA2794*1.01</f>
        <v>1589.5613196109484</v>
      </c>
      <c r="AB2805" s="58" t="s">
        <v>238</v>
      </c>
      <c r="AC2805" s="73" t="s">
        <v>241</v>
      </c>
      <c r="AD2805" s="84">
        <f>AD2794*1.01</f>
        <v>2614.2431290043196</v>
      </c>
      <c r="AE2805" s="58" t="s">
        <v>238</v>
      </c>
      <c r="AF2805" s="73" t="s">
        <v>241</v>
      </c>
      <c r="AG2805" s="84">
        <f>AG2794*1.01</f>
        <v>3892.2517855567253</v>
      </c>
      <c r="AH2805" s="58" t="s">
        <v>238</v>
      </c>
      <c r="AI2805" s="73" t="s">
        <v>241</v>
      </c>
      <c r="AJ2805" s="84">
        <f>AJ2794*1.01</f>
        <v>5194.2250964011873</v>
      </c>
      <c r="AK2805" s="58" t="s">
        <v>238</v>
      </c>
      <c r="AL2805" s="73" t="s">
        <v>241</v>
      </c>
      <c r="AM2805" s="84">
        <f>AM2794*1.01</f>
        <v>6337.941727876495</v>
      </c>
      <c r="AN2805" s="58" t="s">
        <v>238</v>
      </c>
      <c r="AO2805" s="73" t="s">
        <v>241</v>
      </c>
      <c r="AP2805" s="84">
        <f>AP2794*1.01</f>
        <v>7358.1535870087009</v>
      </c>
      <c r="AQ2805" s="58" t="s">
        <v>238</v>
      </c>
      <c r="AR2805" s="73" t="s">
        <v>241</v>
      </c>
      <c r="AS2805" s="84">
        <f>AS2794*1.01</f>
        <v>8374.2651537707097</v>
      </c>
      <c r="AT2805" s="58" t="s">
        <v>238</v>
      </c>
      <c r="AU2805" s="73" t="s">
        <v>241</v>
      </c>
    </row>
    <row r="2806" spans="15:47" ht="13" x14ac:dyDescent="0.25">
      <c r="O2806" s="6"/>
      <c r="P2806" s="6"/>
      <c r="Q2806" s="60"/>
      <c r="R2806" s="70"/>
      <c r="S2806" s="63" t="s">
        <v>250</v>
      </c>
      <c r="T2806" s="71" t="s">
        <v>242</v>
      </c>
      <c r="U2806" s="61"/>
      <c r="V2806" s="63" t="s">
        <v>250</v>
      </c>
      <c r="W2806" s="71" t="s">
        <v>242</v>
      </c>
      <c r="X2806" s="61"/>
      <c r="Y2806" s="63" t="s">
        <v>250</v>
      </c>
      <c r="Z2806" s="71" t="s">
        <v>242</v>
      </c>
      <c r="AA2806" s="61"/>
      <c r="AB2806" s="63" t="s">
        <v>250</v>
      </c>
      <c r="AC2806" s="71" t="s">
        <v>242</v>
      </c>
      <c r="AD2806" s="61"/>
      <c r="AE2806" s="63" t="s">
        <v>250</v>
      </c>
      <c r="AF2806" s="71" t="s">
        <v>242</v>
      </c>
      <c r="AG2806" s="61"/>
      <c r="AH2806" s="63" t="s">
        <v>250</v>
      </c>
      <c r="AI2806" s="71" t="s">
        <v>242</v>
      </c>
      <c r="AJ2806" s="61"/>
      <c r="AK2806" s="63" t="s">
        <v>250</v>
      </c>
      <c r="AL2806" s="71" t="s">
        <v>242</v>
      </c>
      <c r="AM2806" s="61"/>
      <c r="AN2806" s="63" t="s">
        <v>250</v>
      </c>
      <c r="AO2806" s="71" t="s">
        <v>242</v>
      </c>
      <c r="AP2806" s="61"/>
      <c r="AQ2806" s="63" t="s">
        <v>250</v>
      </c>
      <c r="AR2806" s="71" t="s">
        <v>242</v>
      </c>
      <c r="AS2806" s="61"/>
      <c r="AT2806" s="63" t="s">
        <v>250</v>
      </c>
      <c r="AU2806" s="71" t="s">
        <v>242</v>
      </c>
    </row>
    <row r="2807" spans="15:47" ht="13" x14ac:dyDescent="0.3">
      <c r="O2807" s="6" t="s">
        <v>231</v>
      </c>
      <c r="P2807" s="6"/>
      <c r="Q2807" s="60"/>
      <c r="R2807" s="85">
        <f>P_1_minQ-(R2805^2*R_up)+dpup_minQ</f>
        <v>56.449238614295638</v>
      </c>
      <c r="S2807" s="56"/>
      <c r="T2807" s="72"/>
      <c r="U2807" s="53">
        <f>P_1_minQ-(U2805^2*R_up)+dpup_minQ</f>
        <v>52.853807701492102</v>
      </c>
      <c r="V2807" s="44"/>
      <c r="W2807" s="72"/>
      <c r="X2807" s="53">
        <f>P_1_minQ-(X2805^2*R_up)+dpup_minQ</f>
        <v>33.509584175615551</v>
      </c>
      <c r="Y2807" s="44"/>
      <c r="Z2807" s="72"/>
      <c r="AA2807" s="53">
        <f>P_1_minQ-(AA2805^2*R_up)+dpup_minQ</f>
        <v>-28.416689929189463</v>
      </c>
      <c r="AB2807" s="44"/>
      <c r="AC2807" s="72"/>
      <c r="AD2807" s="53">
        <f>P_1_minQ-(AD2805^2*R_up)+dpup_minQ</f>
        <v>-173.89328394279957</v>
      </c>
      <c r="AE2807" s="44"/>
      <c r="AF2807" s="72"/>
      <c r="AG2807" s="53">
        <f>P_1_minQ-(AG2805^2*R_up)+dpup_minQ</f>
        <v>-454.72262621308738</v>
      </c>
      <c r="AH2807" s="44"/>
      <c r="AI2807" s="72"/>
      <c r="AJ2807" s="53">
        <f>P_1_minQ-(AJ2805^2*R_up)+dpup_minQ</f>
        <v>-854.26164647362123</v>
      </c>
      <c r="AK2807" s="44"/>
      <c r="AL2807" s="72"/>
      <c r="AM2807" s="53">
        <f>P_1_minQ-(AM2805^2*R_up)+dpup_minQ</f>
        <v>-1299.70342269362</v>
      </c>
      <c r="AN2807" s="44"/>
      <c r="AO2807" s="72"/>
      <c r="AP2807" s="53">
        <f>P_1_minQ-(AP2805^2*R_up)+dpup_minQ</f>
        <v>-1771.6020672073289</v>
      </c>
      <c r="AQ2807" s="44"/>
      <c r="AR2807" s="72"/>
      <c r="AS2807" s="53">
        <f>P_1_minQ-(AS2805^2*R_up)+dpup_minQ</f>
        <v>-2311.4836158614785</v>
      </c>
      <c r="AT2807" s="44"/>
      <c r="AU2807" s="72"/>
    </row>
    <row r="2808" spans="15:47" ht="13" x14ac:dyDescent="0.3">
      <c r="O2808" s="6" t="s">
        <v>233</v>
      </c>
      <c r="P2808" s="6"/>
      <c r="Q2808" s="60"/>
      <c r="R2808" s="85">
        <f>P_2_minQ+(R2805^2*R_dn)-dpdn_minQ</f>
        <v>24.750152277140874</v>
      </c>
      <c r="S2808" s="66"/>
      <c r="T2808" s="74"/>
      <c r="U2808" s="53">
        <f>P_2_minQ+(U2805^2*R_dn)-dpdn_minQ</f>
        <v>25.469238459701579</v>
      </c>
      <c r="V2808" s="45"/>
      <c r="W2808" s="74"/>
      <c r="X2808" s="53">
        <f>P_2_minQ+(X2805^2*R_dn)-dpdn_minQ</f>
        <v>29.338083164876892</v>
      </c>
      <c r="Y2808" s="45"/>
      <c r="Z2808" s="74"/>
      <c r="AA2808" s="53">
        <f>P_2_minQ+(AA2805^2*R_dn)-dpdn_minQ</f>
        <v>41.723337985837894</v>
      </c>
      <c r="AB2808" s="45"/>
      <c r="AC2808" s="74"/>
      <c r="AD2808" s="53">
        <f>P_2_minQ+(AD2805^2*R_dn)-dpdn_minQ</f>
        <v>70.81865678855992</v>
      </c>
      <c r="AE2808" s="45"/>
      <c r="AF2808" s="74"/>
      <c r="AG2808" s="53">
        <f>P_2_minQ+(AG2805^2*R_dn)-dpdn_minQ</f>
        <v>126.98452524261748</v>
      </c>
      <c r="AH2808" s="45"/>
      <c r="AI2808" s="74"/>
      <c r="AJ2808" s="53">
        <f>P_2_minQ+(AJ2805^2*R_dn)-dpdn_minQ</f>
        <v>206.89232929472425</v>
      </c>
      <c r="AK2808" s="45"/>
      <c r="AL2808" s="74"/>
      <c r="AM2808" s="53">
        <f>P_2_minQ+(AM2805^2*R_dn)-dpdn_minQ</f>
        <v>295.98068453872395</v>
      </c>
      <c r="AN2808" s="45"/>
      <c r="AO2808" s="74"/>
      <c r="AP2808" s="53">
        <f>P_2_minQ+(AP2805^2*R_dn)-dpdn_minQ</f>
        <v>390.36041344146571</v>
      </c>
      <c r="AQ2808" s="45"/>
      <c r="AR2808" s="74"/>
      <c r="AS2808" s="53">
        <f>P_2_minQ+(AS2805^2*R_dn)-dpdn_minQ</f>
        <v>498.33672317229559</v>
      </c>
      <c r="AT2808" s="45"/>
      <c r="AU2808" s="74"/>
    </row>
    <row r="2809" spans="15:47" x14ac:dyDescent="0.25">
      <c r="O2809" s="6" t="s">
        <v>243</v>
      </c>
      <c r="Q2809" s="60"/>
      <c r="R2809" s="53">
        <f>R2807-R2808</f>
        <v>31.699086337154764</v>
      </c>
      <c r="S2809" s="56"/>
      <c r="T2809" s="72"/>
      <c r="U2809" s="64">
        <f>U2807-U2808</f>
        <v>27.384569241790523</v>
      </c>
      <c r="V2809" s="44"/>
      <c r="W2809" s="72"/>
      <c r="X2809" s="64">
        <f>X2807-X2808</f>
        <v>4.171501010738659</v>
      </c>
      <c r="Y2809" s="44"/>
      <c r="Z2809" s="72"/>
      <c r="AA2809" s="64">
        <f>AA2807-AA2808</f>
        <v>-70.14002791502736</v>
      </c>
      <c r="AB2809" s="44"/>
      <c r="AC2809" s="72"/>
      <c r="AD2809" s="64">
        <f>AD2807-AD2808</f>
        <v>-244.7119407313595</v>
      </c>
      <c r="AE2809" s="44"/>
      <c r="AF2809" s="72"/>
      <c r="AG2809" s="64">
        <f>AG2807-AG2808</f>
        <v>-581.70715145570489</v>
      </c>
      <c r="AH2809" s="44"/>
      <c r="AI2809" s="72"/>
      <c r="AJ2809" s="64">
        <f>AJ2807-AJ2808</f>
        <v>-1061.1539757683454</v>
      </c>
      <c r="AK2809" s="44"/>
      <c r="AL2809" s="72"/>
      <c r="AM2809" s="64">
        <f>AM2807-AM2808</f>
        <v>-1595.6841072323441</v>
      </c>
      <c r="AN2809" s="44"/>
      <c r="AO2809" s="72"/>
      <c r="AP2809" s="64">
        <f>AP2807-AP2808</f>
        <v>-2161.9624806487946</v>
      </c>
      <c r="AQ2809" s="44"/>
      <c r="AR2809" s="72"/>
      <c r="AS2809" s="64">
        <f>AS2807-AS2808</f>
        <v>-2809.820339033774</v>
      </c>
      <c r="AT2809" s="44"/>
      <c r="AU2809" s="72"/>
    </row>
    <row r="2810" spans="15:47" ht="13" x14ac:dyDescent="0.3">
      <c r="O2810" s="6" t="s">
        <v>75</v>
      </c>
      <c r="P2810" s="6">
        <v>3</v>
      </c>
      <c r="Q2810" s="65"/>
      <c r="R2810" s="85">
        <f>(F_LP_h/F_P_h)^2*(R2807-('Valve Sizing'!$V$4*'Valve Sizing'!$G$7))</f>
        <v>46.378541741211691</v>
      </c>
      <c r="S2810" s="58"/>
      <c r="T2810" s="73"/>
      <c r="U2810" s="53">
        <f>(U$29/U$27)^2*(U2807-('Valve Sizing'!$V$4*'Valve Sizing'!$G$7))</f>
        <v>43.389506810171028</v>
      </c>
      <c r="V2810" s="41"/>
      <c r="W2810" s="73"/>
      <c r="X2810" s="53">
        <f>(X$29/X$27)^2*(X2807-('Valve Sizing'!$V$4*'Valve Sizing'!$G$7))</f>
        <v>26.758325262039094</v>
      </c>
      <c r="Y2810" s="41"/>
      <c r="Z2810" s="73"/>
      <c r="AA2810" s="53">
        <f>(AA$29/AA$27)^2*(AA2807-('Valve Sizing'!$V$4*'Valve Sizing'!$G$7))</f>
        <v>-22.300414361144465</v>
      </c>
      <c r="AB2810" s="41"/>
      <c r="AC2810" s="73"/>
      <c r="AD2810" s="53">
        <f>(AD$29/AD$27)^2*(AD2807-('Valve Sizing'!$V$4*'Valve Sizing'!$G$7))</f>
        <v>-125.72701062125864</v>
      </c>
      <c r="AE2810" s="41"/>
      <c r="AF2810" s="73"/>
      <c r="AG2810" s="53">
        <f>(AG$29/AG$27)^2*(AG2807-('Valve Sizing'!$V$4*'Valve Sizing'!$G$7))</f>
        <v>-293.14477335849818</v>
      </c>
      <c r="AH2810" s="41"/>
      <c r="AI2810" s="73"/>
      <c r="AJ2810" s="53">
        <f>(AJ$29/AJ$27)^2*(AJ2807-('Valve Sizing'!$V$4*'Valve Sizing'!$G$7))</f>
        <v>-494.32898301861081</v>
      </c>
      <c r="AK2810" s="41"/>
      <c r="AL2810" s="73"/>
      <c r="AM2810" s="53">
        <f>(AM$29/AM$27)^2*(AM2807-('Valve Sizing'!$V$4*'Valve Sizing'!$G$7))</f>
        <v>-622.08244545334117</v>
      </c>
      <c r="AN2810" s="41"/>
      <c r="AO2810" s="73"/>
      <c r="AP2810" s="53">
        <f>(AP$29/AP$27)^2*(AP2807-('Valve Sizing'!$V$4*'Valve Sizing'!$G$7))</f>
        <v>-699.29536168536663</v>
      </c>
      <c r="AQ2810" s="41"/>
      <c r="AR2810" s="73"/>
      <c r="AS2810" s="53">
        <f>(AS$29/AS$27)^2*(AS2807-('Valve Sizing'!$V$4*'Valve Sizing'!$G$7))</f>
        <v>-869.60880646915859</v>
      </c>
      <c r="AT2810" s="41"/>
      <c r="AU2810" s="73"/>
    </row>
    <row r="2811" spans="15:47" ht="13" x14ac:dyDescent="0.25">
      <c r="O2811" s="1" t="s">
        <v>69</v>
      </c>
      <c r="P2811" s="17">
        <v>7</v>
      </c>
      <c r="Q2811" s="65"/>
      <c r="R2811" s="53">
        <f>(R2805/(N_1*F_P_h))*SQRT('Valve Sizing'!$G$6/R2809)</f>
        <v>20.886873057555167</v>
      </c>
      <c r="S2811" s="58"/>
      <c r="T2811" s="73"/>
      <c r="U2811" s="64">
        <f>(U2805/(N_1*U$27))*SQRT('Valve Sizing'!$G$6/U2809)</f>
        <v>66.331498845989913</v>
      </c>
      <c r="V2811" s="41"/>
      <c r="W2811" s="73"/>
      <c r="X2811" s="64">
        <f>(X2805/(N_1*X$27))*SQRT('Valve Sizing'!$G$6/X2809)</f>
        <v>408.86706743572961</v>
      </c>
      <c r="Y2811" s="41"/>
      <c r="Z2811" s="73"/>
      <c r="AA2811" s="64" t="e">
        <f>(AA2805/(N_1*AA$27))*SQRT('Valve Sizing'!$G$6/AA2809)</f>
        <v>#NUM!</v>
      </c>
      <c r="AB2811" s="41"/>
      <c r="AC2811" s="73"/>
      <c r="AD2811" s="64" t="e">
        <f>(AD2805/(N_1*AD$27))*SQRT('Valve Sizing'!$G$6/AD2809)</f>
        <v>#NUM!</v>
      </c>
      <c r="AE2811" s="41"/>
      <c r="AF2811" s="73"/>
      <c r="AG2811" s="64" t="e">
        <f>(AG2805/(N_1*AG$27))*SQRT('Valve Sizing'!$G$6/AG2809)</f>
        <v>#NUM!</v>
      </c>
      <c r="AH2811" s="41"/>
      <c r="AI2811" s="73"/>
      <c r="AJ2811" s="64" t="e">
        <f>(AJ2805/(N_1*AJ$27))*SQRT('Valve Sizing'!$G$6/AJ2809)</f>
        <v>#NUM!</v>
      </c>
      <c r="AK2811" s="41"/>
      <c r="AL2811" s="73"/>
      <c r="AM2811" s="64" t="e">
        <f>(AM2805/(N_1*AM$27))*SQRT('Valve Sizing'!$G$6/AM2809)</f>
        <v>#NUM!</v>
      </c>
      <c r="AN2811" s="41"/>
      <c r="AO2811" s="73"/>
      <c r="AP2811" s="64" t="e">
        <f>(AP2805/(N_1*AP$27))*SQRT('Valve Sizing'!$G$6/AP2809)</f>
        <v>#NUM!</v>
      </c>
      <c r="AQ2811" s="41"/>
      <c r="AR2811" s="73"/>
      <c r="AS2811" s="64" t="e">
        <f>(AS2805/(N_1*AS$27))*SQRT('Valve Sizing'!$G$6/AS2809)</f>
        <v>#NUM!</v>
      </c>
      <c r="AT2811" s="41"/>
      <c r="AU2811" s="73"/>
    </row>
    <row r="2812" spans="15:47" ht="13" x14ac:dyDescent="0.3">
      <c r="O2812" s="1" t="s">
        <v>72</v>
      </c>
      <c r="P2812" s="17">
        <v>7</v>
      </c>
      <c r="Q2812" s="65"/>
      <c r="R2812" s="53">
        <f>(R2805/(N_1*F_P_h))*SQRT('Valve Sizing'!$G$6/R2810)</f>
        <v>17.267849507156154</v>
      </c>
      <c r="S2812" s="56"/>
      <c r="T2812" s="72"/>
      <c r="U2812" s="85">
        <f>(U2805/(N_1*U$27))*SQRT('Valve Sizing'!$G$6/U2810)</f>
        <v>52.696334952320242</v>
      </c>
      <c r="V2812" s="44"/>
      <c r="W2812" s="72"/>
      <c r="X2812" s="85">
        <f>(X2805/(N_1*X$27))*SQRT('Valve Sizing'!$G$6/X2810)</f>
        <v>161.43542584090679</v>
      </c>
      <c r="Y2812" s="44"/>
      <c r="Z2812" s="72"/>
      <c r="AA2812" s="85" t="e">
        <f>(AA2805/(N_1*AA$27))*SQRT('Valve Sizing'!$G$6/AA2810)</f>
        <v>#NUM!</v>
      </c>
      <c r="AB2812" s="44"/>
      <c r="AC2812" s="72"/>
      <c r="AD2812" s="85" t="e">
        <f>(AD2805/(N_1*AD$27))*SQRT('Valve Sizing'!$G$6/AD2810)</f>
        <v>#NUM!</v>
      </c>
      <c r="AE2812" s="44"/>
      <c r="AF2812" s="72"/>
      <c r="AG2812" s="85" t="e">
        <f>(AG2805/(N_1*AG$27))*SQRT('Valve Sizing'!$G$6/AG2810)</f>
        <v>#NUM!</v>
      </c>
      <c r="AH2812" s="44"/>
      <c r="AI2812" s="72"/>
      <c r="AJ2812" s="85" t="e">
        <f>(AJ2805/(N_1*AJ$27))*SQRT('Valve Sizing'!$G$6/AJ2810)</f>
        <v>#NUM!</v>
      </c>
      <c r="AK2812" s="44"/>
      <c r="AL2812" s="72"/>
      <c r="AM2812" s="85" t="e">
        <f>(AM2805/(N_1*AM$27))*SQRT('Valve Sizing'!$G$6/AM2810)</f>
        <v>#NUM!</v>
      </c>
      <c r="AN2812" s="44"/>
      <c r="AO2812" s="72"/>
      <c r="AP2812" s="85" t="e">
        <f>(AP2805/(N_1*AP$27))*SQRT('Valve Sizing'!$G$6/AP2810)</f>
        <v>#NUM!</v>
      </c>
      <c r="AQ2812" s="44"/>
      <c r="AR2812" s="72"/>
      <c r="AS2812" s="85" t="e">
        <f>(AS2805/(N_1*AS$27))*SQRT('Valve Sizing'!$G$6/AS2810)</f>
        <v>#NUM!</v>
      </c>
      <c r="AT2812" s="44"/>
      <c r="AU2812" s="72"/>
    </row>
    <row r="2813" spans="15:47" x14ac:dyDescent="0.25">
      <c r="O2813" s="1" t="s">
        <v>246</v>
      </c>
      <c r="P2813" s="18"/>
      <c r="Q2813" s="65"/>
      <c r="R2813" s="53">
        <f>IF(R2809&lt;R2810,R2811,R2812)</f>
        <v>20.886873057555167</v>
      </c>
      <c r="S2813" s="49"/>
      <c r="T2813" s="72"/>
      <c r="U2813" s="64">
        <f>IF(U2809&lt;U2810,U2811,U2812)</f>
        <v>66.331498845989913</v>
      </c>
      <c r="V2813" s="44"/>
      <c r="W2813" s="72"/>
      <c r="X2813" s="64">
        <f>IF(X2809&lt;X2810,X2811,X2812)</f>
        <v>408.86706743572961</v>
      </c>
      <c r="Y2813" s="44"/>
      <c r="Z2813" s="72"/>
      <c r="AA2813" s="64" t="e">
        <f>IF(AA2809&lt;AA2810,AA2811,AA2812)</f>
        <v>#NUM!</v>
      </c>
      <c r="AB2813" s="44"/>
      <c r="AC2813" s="72"/>
      <c r="AD2813" s="64" t="e">
        <f>IF(AD2809&lt;AD2810,AD2811,AD2812)</f>
        <v>#NUM!</v>
      </c>
      <c r="AE2813" s="44"/>
      <c r="AF2813" s="72"/>
      <c r="AG2813" s="64" t="e">
        <f>IF(AG2809&lt;AG2810,AG2811,AG2812)</f>
        <v>#NUM!</v>
      </c>
      <c r="AH2813" s="44"/>
      <c r="AI2813" s="72"/>
      <c r="AJ2813" s="64" t="e">
        <f>IF(AJ2809&lt;AJ2810,AJ2811,AJ2812)</f>
        <v>#NUM!</v>
      </c>
      <c r="AK2813" s="44"/>
      <c r="AL2813" s="72"/>
      <c r="AM2813" s="64" t="e">
        <f>IF(AM2809&lt;AM2810,AM2811,AM2812)</f>
        <v>#NUM!</v>
      </c>
      <c r="AN2813" s="44"/>
      <c r="AO2813" s="72"/>
      <c r="AP2813" s="64" t="e">
        <f>IF(AP2809&lt;AP2810,AP2811,AP2812)</f>
        <v>#NUM!</v>
      </c>
      <c r="AQ2813" s="44"/>
      <c r="AR2813" s="72"/>
      <c r="AS2813" s="64" t="e">
        <f>IF(AS2809&lt;AS2810,AS2811,AS2812)</f>
        <v>#NUM!</v>
      </c>
      <c r="AT2813" s="44"/>
      <c r="AU2813" s="72"/>
    </row>
    <row r="2814" spans="15:47" ht="13" x14ac:dyDescent="0.3">
      <c r="O2814" s="7" t="s">
        <v>264</v>
      </c>
      <c r="Q2814" s="61"/>
      <c r="R2814" s="53"/>
      <c r="S2814" s="69">
        <f>IFERROR(ABS(C_h-R2813),Q_max*10)</f>
        <v>15.886873057555167</v>
      </c>
      <c r="T2814" s="76">
        <f>R2805</f>
        <v>117.57994995196304</v>
      </c>
      <c r="U2814" s="61"/>
      <c r="V2814" s="69">
        <f>IFERROR(ABS(U$23-U2813),Q_max*10)</f>
        <v>54.331498845989913</v>
      </c>
      <c r="W2814" s="75">
        <f>U2805</f>
        <v>346.82236657807812</v>
      </c>
      <c r="X2814" s="61"/>
      <c r="Y2814" s="69">
        <f>IFERROR(ABS(X$23-X2813),Q_max*10)</f>
        <v>385.86706743572961</v>
      </c>
      <c r="Z2814" s="75">
        <f>X2805</f>
        <v>832.50718468973207</v>
      </c>
      <c r="AA2814" s="61"/>
      <c r="AB2814" s="69">
        <f>IFERROR(ABS(AA$23-AA2813),Q_max*10)</f>
        <v>5500</v>
      </c>
      <c r="AC2814" s="75">
        <f>AA2805</f>
        <v>1589.5613196109484</v>
      </c>
      <c r="AD2814" s="61"/>
      <c r="AE2814" s="69">
        <f>IFERROR(ABS(AD$23-AD2813),Q_max*10)</f>
        <v>5500</v>
      </c>
      <c r="AF2814" s="75">
        <f>AD2805</f>
        <v>2614.2431290043196</v>
      </c>
      <c r="AG2814" s="61"/>
      <c r="AH2814" s="69">
        <f>IFERROR(ABS(AG$23-AG2813),Q_max*10)</f>
        <v>5500</v>
      </c>
      <c r="AI2814" s="75">
        <f>AG2805</f>
        <v>3892.2517855567253</v>
      </c>
      <c r="AJ2814" s="61"/>
      <c r="AK2814" s="69">
        <f>IFERROR(ABS(AJ$23-AJ2813),Q_max*10)</f>
        <v>5500</v>
      </c>
      <c r="AL2814" s="75">
        <f>AJ2805</f>
        <v>5194.2250964011873</v>
      </c>
      <c r="AM2814" s="61"/>
      <c r="AN2814" s="69">
        <f>IFERROR(ABS(AM$23-AM2813),Q_max*10)</f>
        <v>5500</v>
      </c>
      <c r="AO2814" s="75">
        <f>AM2805</f>
        <v>6337.941727876495</v>
      </c>
      <c r="AP2814" s="61"/>
      <c r="AQ2814" s="69">
        <f>IFERROR(ABS(AP$23-AP2813),Q_max*10)</f>
        <v>5500</v>
      </c>
      <c r="AR2814" s="75">
        <f>AP2805</f>
        <v>7358.1535870087009</v>
      </c>
      <c r="AS2814" s="61"/>
      <c r="AT2814" s="69">
        <f>IFERROR(ABS(AS$23-AS2813),Q_max*10)</f>
        <v>5500</v>
      </c>
      <c r="AU2814" s="75">
        <f>AS2805</f>
        <v>8374.2651537707097</v>
      </c>
    </row>
    <row r="2815" spans="15:47" ht="14.5" x14ac:dyDescent="0.35">
      <c r="O2815" s="6"/>
      <c r="P2815" s="6"/>
      <c r="Q2815" s="60"/>
      <c r="R2815" s="67"/>
      <c r="S2815" s="66"/>
      <c r="T2815" s="74"/>
      <c r="V2815" s="11"/>
      <c r="W2815" s="38"/>
      <c r="Y2815" s="11"/>
      <c r="Z2815" s="38"/>
      <c r="AB2815" s="11"/>
      <c r="AC2815" s="38"/>
      <c r="AE2815" s="11"/>
      <c r="AF2815" s="38"/>
      <c r="AH2815" s="11"/>
      <c r="AI2815" s="38"/>
      <c r="AK2815" s="11"/>
      <c r="AL2815" s="38"/>
      <c r="AN2815" s="11"/>
      <c r="AO2815" s="38"/>
      <c r="AQ2815" s="11"/>
      <c r="AR2815" s="38"/>
      <c r="AT2815" s="11"/>
      <c r="AU2815" s="38"/>
    </row>
    <row r="2816" spans="15:47" ht="14" x14ac:dyDescent="0.3">
      <c r="O2816" s="8" t="s">
        <v>235</v>
      </c>
      <c r="P2816" s="6"/>
      <c r="Q2816" s="60"/>
      <c r="R2816" s="53">
        <f>R2805*1.02</f>
        <v>119.93154895100231</v>
      </c>
      <c r="S2816" s="58" t="s">
        <v>238</v>
      </c>
      <c r="T2816" s="73" t="s">
        <v>241</v>
      </c>
      <c r="U2816" s="84">
        <f>U2805*1.01</f>
        <v>350.2905902438589</v>
      </c>
      <c r="V2816" s="58" t="s">
        <v>238</v>
      </c>
      <c r="W2816" s="73" t="s">
        <v>241</v>
      </c>
      <c r="X2816" s="84">
        <f>X2805*1.01</f>
        <v>840.83225653662942</v>
      </c>
      <c r="Y2816" s="58" t="s">
        <v>238</v>
      </c>
      <c r="Z2816" s="73" t="s">
        <v>241</v>
      </c>
      <c r="AA2816" s="84">
        <f>AA2805*1.01</f>
        <v>1605.4569328070579</v>
      </c>
      <c r="AB2816" s="58" t="s">
        <v>238</v>
      </c>
      <c r="AC2816" s="73" t="s">
        <v>241</v>
      </c>
      <c r="AD2816" s="84">
        <f>AD2805*1.01</f>
        <v>2640.3855602943627</v>
      </c>
      <c r="AE2816" s="58" t="s">
        <v>238</v>
      </c>
      <c r="AF2816" s="73" t="s">
        <v>241</v>
      </c>
      <c r="AG2816" s="84">
        <f>AG2805*1.01</f>
        <v>3931.1743034122924</v>
      </c>
      <c r="AH2816" s="58" t="s">
        <v>238</v>
      </c>
      <c r="AI2816" s="73" t="s">
        <v>241</v>
      </c>
      <c r="AJ2816" s="84">
        <f>AJ2805*1.01</f>
        <v>5246.167347365199</v>
      </c>
      <c r="AK2816" s="58" t="s">
        <v>238</v>
      </c>
      <c r="AL2816" s="73" t="s">
        <v>241</v>
      </c>
      <c r="AM2816" s="84">
        <f>AM2805*1.01</f>
        <v>6401.3211451552597</v>
      </c>
      <c r="AN2816" s="58" t="s">
        <v>238</v>
      </c>
      <c r="AO2816" s="73" t="s">
        <v>241</v>
      </c>
      <c r="AP2816" s="84">
        <f>AP2805*1.01</f>
        <v>7431.7351228787884</v>
      </c>
      <c r="AQ2816" s="58" t="s">
        <v>238</v>
      </c>
      <c r="AR2816" s="73" t="s">
        <v>241</v>
      </c>
      <c r="AS2816" s="84">
        <f>AS2805*1.01</f>
        <v>8458.0078053084162</v>
      </c>
      <c r="AT2816" s="58" t="s">
        <v>238</v>
      </c>
      <c r="AU2816" s="73" t="s">
        <v>241</v>
      </c>
    </row>
    <row r="2817" spans="15:47" ht="13" x14ac:dyDescent="0.25">
      <c r="O2817" s="6"/>
      <c r="P2817" s="6"/>
      <c r="Q2817" s="60"/>
      <c r="R2817" s="70"/>
      <c r="S2817" s="63" t="s">
        <v>250</v>
      </c>
      <c r="T2817" s="71" t="s">
        <v>242</v>
      </c>
      <c r="U2817" s="61"/>
      <c r="V2817" s="63" t="s">
        <v>250</v>
      </c>
      <c r="W2817" s="71" t="s">
        <v>242</v>
      </c>
      <c r="X2817" s="61"/>
      <c r="Y2817" s="63" t="s">
        <v>250</v>
      </c>
      <c r="Z2817" s="71" t="s">
        <v>242</v>
      </c>
      <c r="AA2817" s="61"/>
      <c r="AB2817" s="63" t="s">
        <v>250</v>
      </c>
      <c r="AC2817" s="71" t="s">
        <v>242</v>
      </c>
      <c r="AD2817" s="61"/>
      <c r="AE2817" s="63" t="s">
        <v>250</v>
      </c>
      <c r="AF2817" s="71" t="s">
        <v>242</v>
      </c>
      <c r="AG2817" s="61"/>
      <c r="AH2817" s="63" t="s">
        <v>250</v>
      </c>
      <c r="AI2817" s="71" t="s">
        <v>242</v>
      </c>
      <c r="AJ2817" s="61"/>
      <c r="AK2817" s="63" t="s">
        <v>250</v>
      </c>
      <c r="AL2817" s="71" t="s">
        <v>242</v>
      </c>
      <c r="AM2817" s="61"/>
      <c r="AN2817" s="63" t="s">
        <v>250</v>
      </c>
      <c r="AO2817" s="71" t="s">
        <v>242</v>
      </c>
      <c r="AP2817" s="61"/>
      <c r="AQ2817" s="63" t="s">
        <v>250</v>
      </c>
      <c r="AR2817" s="71" t="s">
        <v>242</v>
      </c>
      <c r="AS2817" s="61"/>
      <c r="AT2817" s="63" t="s">
        <v>250</v>
      </c>
      <c r="AU2817" s="71" t="s">
        <v>242</v>
      </c>
    </row>
    <row r="2818" spans="15:47" ht="13" x14ac:dyDescent="0.3">
      <c r="O2818" s="6" t="s">
        <v>231</v>
      </c>
      <c r="P2818" s="6"/>
      <c r="Q2818" s="60"/>
      <c r="R2818" s="85">
        <f>P_1_minQ-(R2816^2*R_up)+dpup_minQ</f>
        <v>56.430375669240568</v>
      </c>
      <c r="S2818" s="56"/>
      <c r="T2818" s="72"/>
      <c r="U2818" s="53">
        <f>P_1_minQ-(U2816^2*R_up)+dpup_minQ</f>
        <v>52.772154758075274</v>
      </c>
      <c r="V2818" s="44"/>
      <c r="W2818" s="72"/>
      <c r="X2818" s="53">
        <f>P_1_minQ-(X2816^2*R_up)+dpup_minQ</f>
        <v>33.039112339328597</v>
      </c>
      <c r="Y2818" s="44"/>
      <c r="Z2818" s="72"/>
      <c r="AA2818" s="53">
        <f>P_1_minQ-(AA2816^2*R_up)+dpup_minQ</f>
        <v>-30.131879874982989</v>
      </c>
      <c r="AB2818" s="44"/>
      <c r="AC2818" s="72"/>
      <c r="AD2818" s="53">
        <f>P_1_minQ-(AD2816^2*R_up)+dpup_minQ</f>
        <v>-178.53255342826665</v>
      </c>
      <c r="AE2818" s="44"/>
      <c r="AF2818" s="72"/>
      <c r="AG2818" s="53">
        <f>P_1_minQ-(AG2816^2*R_up)+dpup_minQ</f>
        <v>-465.00656547818727</v>
      </c>
      <c r="AH2818" s="44"/>
      <c r="AI2818" s="72"/>
      <c r="AJ2818" s="53">
        <f>P_1_minQ-(AJ2816^2*R_up)+dpup_minQ</f>
        <v>-872.57632004595769</v>
      </c>
      <c r="AK2818" s="44"/>
      <c r="AL2818" s="72"/>
      <c r="AM2818" s="53">
        <f>P_1_minQ-(AM2816^2*R_up)+dpup_minQ</f>
        <v>-1326.9714759679784</v>
      </c>
      <c r="AN2818" s="44"/>
      <c r="AO2818" s="72"/>
      <c r="AP2818" s="53">
        <f>P_1_minQ-(AP2816^2*R_up)+dpup_minQ</f>
        <v>-1808.3552832364132</v>
      </c>
      <c r="AQ2818" s="44"/>
      <c r="AR2818" s="72"/>
      <c r="AS2818" s="53">
        <f>P_1_minQ-(AS2816^2*R_up)+dpup_minQ</f>
        <v>-2359.0884510185106</v>
      </c>
      <c r="AT2818" s="44"/>
      <c r="AU2818" s="72"/>
    </row>
    <row r="2819" spans="15:47" ht="13" x14ac:dyDescent="0.3">
      <c r="O2819" s="6" t="s">
        <v>233</v>
      </c>
      <c r="P2819" s="6"/>
      <c r="Q2819" s="60"/>
      <c r="R2819" s="85">
        <f>P_2_minQ+(R2816^2*R_dn)-dpdn_minQ</f>
        <v>24.753924866151888</v>
      </c>
      <c r="S2819" s="66"/>
      <c r="T2819" s="74"/>
      <c r="U2819" s="53">
        <f>P_2_minQ+(U2816^2*R_dn)-dpdn_minQ</f>
        <v>25.485569048384946</v>
      </c>
      <c r="V2819" s="45"/>
      <c r="W2819" s="74"/>
      <c r="X2819" s="53">
        <f>P_2_minQ+(X2816^2*R_dn)-dpdn_minQ</f>
        <v>29.432177532134279</v>
      </c>
      <c r="Y2819" s="45"/>
      <c r="Z2819" s="74"/>
      <c r="AA2819" s="53">
        <f>P_2_minQ+(AA2816^2*R_dn)-dpdn_minQ</f>
        <v>42.066375974996603</v>
      </c>
      <c r="AB2819" s="45"/>
      <c r="AC2819" s="74"/>
      <c r="AD2819" s="53">
        <f>P_2_minQ+(AD2816^2*R_dn)-dpdn_minQ</f>
        <v>71.746510685653334</v>
      </c>
      <c r="AE2819" s="45"/>
      <c r="AF2819" s="74"/>
      <c r="AG2819" s="53">
        <f>P_2_minQ+(AG2816^2*R_dn)-dpdn_minQ</f>
        <v>129.04131309563743</v>
      </c>
      <c r="AH2819" s="45"/>
      <c r="AI2819" s="74"/>
      <c r="AJ2819" s="53">
        <f>P_2_minQ+(AJ2816^2*R_dn)-dpdn_minQ</f>
        <v>210.55526400919152</v>
      </c>
      <c r="AK2819" s="45"/>
      <c r="AL2819" s="74"/>
      <c r="AM2819" s="53">
        <f>P_2_minQ+(AM2816^2*R_dn)-dpdn_minQ</f>
        <v>301.43429519359563</v>
      </c>
      <c r="AN2819" s="45"/>
      <c r="AO2819" s="74"/>
      <c r="AP2819" s="53">
        <f>P_2_minQ+(AP2816^2*R_dn)-dpdn_minQ</f>
        <v>397.71105664728259</v>
      </c>
      <c r="AQ2819" s="45"/>
      <c r="AR2819" s="74"/>
      <c r="AS2819" s="53">
        <f>P_2_minQ+(AS2816^2*R_dn)-dpdn_minQ</f>
        <v>507.85769020370202</v>
      </c>
      <c r="AT2819" s="45"/>
      <c r="AU2819" s="74"/>
    </row>
    <row r="2820" spans="15:47" x14ac:dyDescent="0.25">
      <c r="O2820" s="6" t="s">
        <v>243</v>
      </c>
      <c r="Q2820" s="60"/>
      <c r="R2820" s="53">
        <f>R2818-R2819</f>
        <v>31.676450803088681</v>
      </c>
      <c r="S2820" s="56"/>
      <c r="T2820" s="72"/>
      <c r="U2820" s="64">
        <f>U2818-U2819</f>
        <v>27.286585709690328</v>
      </c>
      <c r="V2820" s="44"/>
      <c r="W2820" s="72"/>
      <c r="X2820" s="64">
        <f>X2818-X2819</f>
        <v>3.6069348071943175</v>
      </c>
      <c r="Y2820" s="44"/>
      <c r="Z2820" s="72"/>
      <c r="AA2820" s="64">
        <f>AA2818-AA2819</f>
        <v>-72.198255849979589</v>
      </c>
      <c r="AB2820" s="44"/>
      <c r="AC2820" s="72"/>
      <c r="AD2820" s="64">
        <f>AD2818-AD2819</f>
        <v>-250.27906411391999</v>
      </c>
      <c r="AE2820" s="44"/>
      <c r="AF2820" s="72"/>
      <c r="AG2820" s="64">
        <f>AG2818-AG2819</f>
        <v>-594.04787857382473</v>
      </c>
      <c r="AH2820" s="44"/>
      <c r="AI2820" s="72"/>
      <c r="AJ2820" s="64">
        <f>AJ2818-AJ2819</f>
        <v>-1083.1315840551492</v>
      </c>
      <c r="AK2820" s="44"/>
      <c r="AL2820" s="72"/>
      <c r="AM2820" s="64">
        <f>AM2818-AM2819</f>
        <v>-1628.4057711615742</v>
      </c>
      <c r="AN2820" s="44"/>
      <c r="AO2820" s="72"/>
      <c r="AP2820" s="64">
        <f>AP2818-AP2819</f>
        <v>-2206.0663398836959</v>
      </c>
      <c r="AQ2820" s="44"/>
      <c r="AR2820" s="72"/>
      <c r="AS2820" s="64">
        <f>AS2818-AS2819</f>
        <v>-2866.9461412222126</v>
      </c>
      <c r="AT2820" s="44"/>
      <c r="AU2820" s="72"/>
    </row>
    <row r="2821" spans="15:47" ht="13" x14ac:dyDescent="0.3">
      <c r="O2821" s="6" t="s">
        <v>75</v>
      </c>
      <c r="P2821" s="6">
        <v>3</v>
      </c>
      <c r="Q2821" s="65"/>
      <c r="R2821" s="85">
        <f>(F_LP_h/F_P_h)^2*(R2818-('Valve Sizing'!$V$4*'Valve Sizing'!$G$7))</f>
        <v>46.362922232591266</v>
      </c>
      <c r="S2821" s="58"/>
      <c r="T2821" s="73"/>
      <c r="U2821" s="53">
        <f>(U$29/U$27)^2*(U2818-('Valve Sizing'!$V$4*'Valve Sizing'!$G$7))</f>
        <v>43.321912315553568</v>
      </c>
      <c r="V2821" s="41"/>
      <c r="W2821" s="73"/>
      <c r="X2821" s="53">
        <f>(X$29/X$27)^2*(X2818-('Valve Sizing'!$V$4*'Valve Sizing'!$G$7))</f>
        <v>26.377641298527809</v>
      </c>
      <c r="Y2821" s="41"/>
      <c r="Z2821" s="73"/>
      <c r="AA2821" s="53">
        <f>(AA$29/AA$27)^2*(AA2818-('Valve Sizing'!$V$4*'Valve Sizing'!$G$7))</f>
        <v>-23.625908385346889</v>
      </c>
      <c r="AB2821" s="41"/>
      <c r="AC2821" s="73"/>
      <c r="AD2821" s="53">
        <f>(AD$29/AD$27)^2*(AD2818-('Valve Sizing'!$V$4*'Valve Sizing'!$G$7))</f>
        <v>-129.07279335267194</v>
      </c>
      <c r="AE2821" s="41"/>
      <c r="AF2821" s="73"/>
      <c r="AG2821" s="53">
        <f>(AG$29/AG$27)^2*(AG2818-('Valve Sizing'!$V$4*'Valve Sizing'!$G$7))</f>
        <v>-299.76808223652017</v>
      </c>
      <c r="AH2821" s="41"/>
      <c r="AI2821" s="73"/>
      <c r="AJ2821" s="53">
        <f>(AJ$29/AJ$27)^2*(AJ2818-('Valve Sizing'!$V$4*'Valve Sizing'!$G$7))</f>
        <v>-504.92153702599182</v>
      </c>
      <c r="AK2821" s="41"/>
      <c r="AL2821" s="73"/>
      <c r="AM2821" s="53">
        <f>(AM$29/AM$27)^2*(AM2818-('Valve Sizing'!$V$4*'Valve Sizing'!$G$7))</f>
        <v>-635.12944951087354</v>
      </c>
      <c r="AN2821" s="41"/>
      <c r="AO2821" s="73"/>
      <c r="AP2821" s="53">
        <f>(AP$29/AP$27)^2*(AP2818-('Valve Sizing'!$V$4*'Valve Sizing'!$G$7))</f>
        <v>-713.7991667221421</v>
      </c>
      <c r="AQ2821" s="41"/>
      <c r="AR2821" s="73"/>
      <c r="AS2821" s="53">
        <f>(AS$29/AS$27)^2*(AS2818-('Valve Sizing'!$V$4*'Valve Sizing'!$G$7))</f>
        <v>-887.51492696830599</v>
      </c>
      <c r="AT2821" s="41"/>
      <c r="AU2821" s="73"/>
    </row>
    <row r="2822" spans="15:47" ht="13" x14ac:dyDescent="0.25">
      <c r="O2822" s="1" t="s">
        <v>69</v>
      </c>
      <c r="P2822" s="17">
        <v>7</v>
      </c>
      <c r="Q2822" s="65"/>
      <c r="R2822" s="53">
        <f>(R2816/(N_1*F_P_h))*SQRT('Valve Sizing'!$G$6/R2820)</f>
        <v>21.312221142766873</v>
      </c>
      <c r="S2822" s="58"/>
      <c r="T2822" s="73"/>
      <c r="U2822" s="64">
        <f>(U2816/(N_1*U$27))*SQRT('Valve Sizing'!$G$6/U2820)</f>
        <v>67.11499204390158</v>
      </c>
      <c r="V2822" s="41"/>
      <c r="W2822" s="73"/>
      <c r="X2822" s="64">
        <f>(X2816/(N_1*X$27))*SQRT('Valve Sizing'!$G$6/X2820)</f>
        <v>444.09975672514764</v>
      </c>
      <c r="Y2822" s="41"/>
      <c r="Z2822" s="73"/>
      <c r="AA2822" s="64" t="e">
        <f>(AA2816/(N_1*AA$27))*SQRT('Valve Sizing'!$G$6/AA2820)</f>
        <v>#NUM!</v>
      </c>
      <c r="AB2822" s="41"/>
      <c r="AC2822" s="73"/>
      <c r="AD2822" s="64" t="e">
        <f>(AD2816/(N_1*AD$27))*SQRT('Valve Sizing'!$G$6/AD2820)</f>
        <v>#NUM!</v>
      </c>
      <c r="AE2822" s="41"/>
      <c r="AF2822" s="73"/>
      <c r="AG2822" s="64" t="e">
        <f>(AG2816/(N_1*AG$27))*SQRT('Valve Sizing'!$G$6/AG2820)</f>
        <v>#NUM!</v>
      </c>
      <c r="AH2822" s="41"/>
      <c r="AI2822" s="73"/>
      <c r="AJ2822" s="64" t="e">
        <f>(AJ2816/(N_1*AJ$27))*SQRT('Valve Sizing'!$G$6/AJ2820)</f>
        <v>#NUM!</v>
      </c>
      <c r="AK2822" s="41"/>
      <c r="AL2822" s="73"/>
      <c r="AM2822" s="64" t="e">
        <f>(AM2816/(N_1*AM$27))*SQRT('Valve Sizing'!$G$6/AM2820)</f>
        <v>#NUM!</v>
      </c>
      <c r="AN2822" s="41"/>
      <c r="AO2822" s="73"/>
      <c r="AP2822" s="64" t="e">
        <f>(AP2816/(N_1*AP$27))*SQRT('Valve Sizing'!$G$6/AP2820)</f>
        <v>#NUM!</v>
      </c>
      <c r="AQ2822" s="41"/>
      <c r="AR2822" s="73"/>
      <c r="AS2822" s="64" t="e">
        <f>(AS2816/(N_1*AS$27))*SQRT('Valve Sizing'!$G$6/AS2820)</f>
        <v>#NUM!</v>
      </c>
      <c r="AT2822" s="41"/>
      <c r="AU2822" s="73"/>
    </row>
    <row r="2823" spans="15:47" ht="13" x14ac:dyDescent="0.3">
      <c r="O2823" s="1" t="s">
        <v>72</v>
      </c>
      <c r="P2823" s="17">
        <v>7</v>
      </c>
      <c r="Q2823" s="65"/>
      <c r="R2823" s="53">
        <f>(R2816/(N_1*F_P_h))*SQRT('Valve Sizing'!$G$6/R2821)</f>
        <v>17.616173161721001</v>
      </c>
      <c r="S2823" s="56"/>
      <c r="T2823" s="72"/>
      <c r="U2823" s="85">
        <f>(U2816/(N_1*U$27))*SQRT('Valve Sizing'!$G$6/U2821)</f>
        <v>53.264803853326946</v>
      </c>
      <c r="V2823" s="44"/>
      <c r="W2823" s="72"/>
      <c r="X2823" s="85">
        <f>(X2816/(N_1*X$27))*SQRT('Valve Sizing'!$G$6/X2821)</f>
        <v>164.22213827620243</v>
      </c>
      <c r="Y2823" s="44"/>
      <c r="Z2823" s="72"/>
      <c r="AA2823" s="85" t="e">
        <f>(AA2816/(N_1*AA$27))*SQRT('Valve Sizing'!$G$6/AA2821)</f>
        <v>#NUM!</v>
      </c>
      <c r="AB2823" s="44"/>
      <c r="AC2823" s="72"/>
      <c r="AD2823" s="85" t="e">
        <f>(AD2816/(N_1*AD$27))*SQRT('Valve Sizing'!$G$6/AD2821)</f>
        <v>#NUM!</v>
      </c>
      <c r="AE2823" s="44"/>
      <c r="AF2823" s="72"/>
      <c r="AG2823" s="85" t="e">
        <f>(AG2816/(N_1*AG$27))*SQRT('Valve Sizing'!$G$6/AG2821)</f>
        <v>#NUM!</v>
      </c>
      <c r="AH2823" s="44"/>
      <c r="AI2823" s="72"/>
      <c r="AJ2823" s="85" t="e">
        <f>(AJ2816/(N_1*AJ$27))*SQRT('Valve Sizing'!$G$6/AJ2821)</f>
        <v>#NUM!</v>
      </c>
      <c r="AK2823" s="44"/>
      <c r="AL2823" s="72"/>
      <c r="AM2823" s="85" t="e">
        <f>(AM2816/(N_1*AM$27))*SQRT('Valve Sizing'!$G$6/AM2821)</f>
        <v>#NUM!</v>
      </c>
      <c r="AN2823" s="44"/>
      <c r="AO2823" s="72"/>
      <c r="AP2823" s="85" t="e">
        <f>(AP2816/(N_1*AP$27))*SQRT('Valve Sizing'!$G$6/AP2821)</f>
        <v>#NUM!</v>
      </c>
      <c r="AQ2823" s="44"/>
      <c r="AR2823" s="72"/>
      <c r="AS2823" s="85" t="e">
        <f>(AS2816/(N_1*AS$27))*SQRT('Valve Sizing'!$G$6/AS2821)</f>
        <v>#NUM!</v>
      </c>
      <c r="AT2823" s="44"/>
      <c r="AU2823" s="72"/>
    </row>
    <row r="2824" spans="15:47" x14ac:dyDescent="0.25">
      <c r="O2824" s="1" t="s">
        <v>246</v>
      </c>
      <c r="P2824" s="18"/>
      <c r="Q2824" s="65"/>
      <c r="R2824" s="53">
        <f>IF(R2820&lt;R2821,R2822,R2823)</f>
        <v>21.312221142766873</v>
      </c>
      <c r="S2824" s="49"/>
      <c r="T2824" s="72"/>
      <c r="U2824" s="64">
        <f>IF(U2820&lt;U2821,U2822,U2823)</f>
        <v>67.11499204390158</v>
      </c>
      <c r="V2824" s="44"/>
      <c r="W2824" s="72"/>
      <c r="X2824" s="64">
        <f>IF(X2820&lt;X2821,X2822,X2823)</f>
        <v>444.09975672514764</v>
      </c>
      <c r="Y2824" s="44"/>
      <c r="Z2824" s="72"/>
      <c r="AA2824" s="64" t="e">
        <f>IF(AA2820&lt;AA2821,AA2822,AA2823)</f>
        <v>#NUM!</v>
      </c>
      <c r="AB2824" s="44"/>
      <c r="AC2824" s="72"/>
      <c r="AD2824" s="64" t="e">
        <f>IF(AD2820&lt;AD2821,AD2822,AD2823)</f>
        <v>#NUM!</v>
      </c>
      <c r="AE2824" s="44"/>
      <c r="AF2824" s="72"/>
      <c r="AG2824" s="64" t="e">
        <f>IF(AG2820&lt;AG2821,AG2822,AG2823)</f>
        <v>#NUM!</v>
      </c>
      <c r="AH2824" s="44"/>
      <c r="AI2824" s="72"/>
      <c r="AJ2824" s="64" t="e">
        <f>IF(AJ2820&lt;AJ2821,AJ2822,AJ2823)</f>
        <v>#NUM!</v>
      </c>
      <c r="AK2824" s="44"/>
      <c r="AL2824" s="72"/>
      <c r="AM2824" s="64" t="e">
        <f>IF(AM2820&lt;AM2821,AM2822,AM2823)</f>
        <v>#NUM!</v>
      </c>
      <c r="AN2824" s="44"/>
      <c r="AO2824" s="72"/>
      <c r="AP2824" s="64" t="e">
        <f>IF(AP2820&lt;AP2821,AP2822,AP2823)</f>
        <v>#NUM!</v>
      </c>
      <c r="AQ2824" s="44"/>
      <c r="AR2824" s="72"/>
      <c r="AS2824" s="64" t="e">
        <f>IF(AS2820&lt;AS2821,AS2822,AS2823)</f>
        <v>#NUM!</v>
      </c>
      <c r="AT2824" s="44"/>
      <c r="AU2824" s="72"/>
    </row>
    <row r="2825" spans="15:47" ht="13" x14ac:dyDescent="0.3">
      <c r="O2825" s="7" t="s">
        <v>264</v>
      </c>
      <c r="Q2825" s="61"/>
      <c r="R2825" s="53"/>
      <c r="S2825" s="69">
        <f>IFERROR(ABS(C_h-R2824),Q_max*10)</f>
        <v>16.312221142766873</v>
      </c>
      <c r="T2825" s="76">
        <f>R2816</f>
        <v>119.93154895100231</v>
      </c>
      <c r="U2825" s="61"/>
      <c r="V2825" s="69">
        <f>IFERROR(ABS(U$23-U2824),Q_max*10)</f>
        <v>55.11499204390158</v>
      </c>
      <c r="W2825" s="75">
        <f>U2816</f>
        <v>350.2905902438589</v>
      </c>
      <c r="X2825" s="61"/>
      <c r="Y2825" s="69">
        <f>IFERROR(ABS(X$23-X2824),Q_max*10)</f>
        <v>421.09975672514764</v>
      </c>
      <c r="Z2825" s="75">
        <f>X2816</f>
        <v>840.83225653662942</v>
      </c>
      <c r="AA2825" s="61"/>
      <c r="AB2825" s="69">
        <f>IFERROR(ABS(AA$23-AA2824),Q_max*10)</f>
        <v>5500</v>
      </c>
      <c r="AC2825" s="75">
        <f>AA2816</f>
        <v>1605.4569328070579</v>
      </c>
      <c r="AD2825" s="61"/>
      <c r="AE2825" s="69">
        <f>IFERROR(ABS(AD$23-AD2824),Q_max*10)</f>
        <v>5500</v>
      </c>
      <c r="AF2825" s="75">
        <f>AD2816</f>
        <v>2640.3855602943627</v>
      </c>
      <c r="AG2825" s="61"/>
      <c r="AH2825" s="69">
        <f>IFERROR(ABS(AG$23-AG2824),Q_max*10)</f>
        <v>5500</v>
      </c>
      <c r="AI2825" s="75">
        <f>AG2816</f>
        <v>3931.1743034122924</v>
      </c>
      <c r="AJ2825" s="61"/>
      <c r="AK2825" s="69">
        <f>IFERROR(ABS(AJ$23-AJ2824),Q_max*10)</f>
        <v>5500</v>
      </c>
      <c r="AL2825" s="75">
        <f>AJ2816</f>
        <v>5246.167347365199</v>
      </c>
      <c r="AM2825" s="61"/>
      <c r="AN2825" s="69">
        <f>IFERROR(ABS(AM$23-AM2824),Q_max*10)</f>
        <v>5500</v>
      </c>
      <c r="AO2825" s="75">
        <f>AM2816</f>
        <v>6401.3211451552597</v>
      </c>
      <c r="AP2825" s="61"/>
      <c r="AQ2825" s="69">
        <f>IFERROR(ABS(AP$23-AP2824),Q_max*10)</f>
        <v>5500</v>
      </c>
      <c r="AR2825" s="75">
        <f>AP2816</f>
        <v>7431.7351228787884</v>
      </c>
      <c r="AS2825" s="61"/>
      <c r="AT2825" s="69">
        <f>IFERROR(ABS(AS$23-AS2824),Q_max*10)</f>
        <v>5500</v>
      </c>
      <c r="AU2825" s="75">
        <f>AS2816</f>
        <v>8458.0078053084162</v>
      </c>
    </row>
    <row r="2826" spans="15:47" ht="14.5" x14ac:dyDescent="0.35">
      <c r="O2826" s="6"/>
      <c r="P2826" s="6"/>
      <c r="Q2826" s="60"/>
      <c r="R2826" s="67"/>
      <c r="S2826" s="56"/>
      <c r="T2826" s="72"/>
      <c r="V2826" s="11"/>
      <c r="W2826" s="38"/>
      <c r="Y2826" s="11"/>
      <c r="Z2826" s="38"/>
      <c r="AB2826" s="11"/>
      <c r="AC2826" s="38"/>
      <c r="AE2826" s="11"/>
      <c r="AF2826" s="38"/>
      <c r="AH2826" s="11"/>
      <c r="AI2826" s="38"/>
      <c r="AK2826" s="11"/>
      <c r="AL2826" s="38"/>
      <c r="AN2826" s="11"/>
      <c r="AO2826" s="38"/>
      <c r="AQ2826" s="11"/>
      <c r="AR2826" s="38"/>
      <c r="AT2826" s="11"/>
      <c r="AU2826" s="38"/>
    </row>
    <row r="2827" spans="15:47" ht="14" x14ac:dyDescent="0.3">
      <c r="O2827" s="8" t="s">
        <v>235</v>
      </c>
      <c r="P2827" s="6"/>
      <c r="Q2827" s="60"/>
      <c r="R2827" s="53">
        <f>R2816*1.02</f>
        <v>122.33017993002237</v>
      </c>
      <c r="S2827" s="58" t="s">
        <v>238</v>
      </c>
      <c r="T2827" s="73" t="s">
        <v>241</v>
      </c>
      <c r="U2827" s="84">
        <f>U2816*1.01</f>
        <v>353.79349614629751</v>
      </c>
      <c r="V2827" s="58" t="s">
        <v>238</v>
      </c>
      <c r="W2827" s="73" t="s">
        <v>241</v>
      </c>
      <c r="X2827" s="84">
        <f>X2816*1.01</f>
        <v>849.24057910199576</v>
      </c>
      <c r="Y2827" s="58" t="s">
        <v>238</v>
      </c>
      <c r="Z2827" s="73" t="s">
        <v>241</v>
      </c>
      <c r="AA2827" s="84">
        <f>AA2816*1.01</f>
        <v>1621.5115021351285</v>
      </c>
      <c r="AB2827" s="58" t="s">
        <v>238</v>
      </c>
      <c r="AC2827" s="73" t="s">
        <v>241</v>
      </c>
      <c r="AD2827" s="84">
        <f>AD2816*1.01</f>
        <v>2666.7894158973063</v>
      </c>
      <c r="AE2827" s="58" t="s">
        <v>238</v>
      </c>
      <c r="AF2827" s="73" t="s">
        <v>241</v>
      </c>
      <c r="AG2827" s="84">
        <f>AG2816*1.01</f>
        <v>3970.4860464464155</v>
      </c>
      <c r="AH2827" s="58" t="s">
        <v>238</v>
      </c>
      <c r="AI2827" s="73" t="s">
        <v>241</v>
      </c>
      <c r="AJ2827" s="84">
        <f>AJ2816*1.01</f>
        <v>5298.6290208388509</v>
      </c>
      <c r="AK2827" s="58" t="s">
        <v>238</v>
      </c>
      <c r="AL2827" s="73" t="s">
        <v>241</v>
      </c>
      <c r="AM2827" s="84">
        <f>AM2816*1.01</f>
        <v>6465.3343566068124</v>
      </c>
      <c r="AN2827" s="58" t="s">
        <v>238</v>
      </c>
      <c r="AO2827" s="73" t="s">
        <v>241</v>
      </c>
      <c r="AP2827" s="84">
        <f>AP2816*1.01</f>
        <v>7506.052474107576</v>
      </c>
      <c r="AQ2827" s="58" t="s">
        <v>238</v>
      </c>
      <c r="AR2827" s="73" t="s">
        <v>241</v>
      </c>
      <c r="AS2827" s="84">
        <f>AS2816*1.01</f>
        <v>8542.5878833615006</v>
      </c>
      <c r="AT2827" s="58" t="s">
        <v>238</v>
      </c>
      <c r="AU2827" s="73" t="s">
        <v>241</v>
      </c>
    </row>
    <row r="2828" spans="15:47" ht="13" x14ac:dyDescent="0.25">
      <c r="O2828" s="6"/>
      <c r="P2828" s="6"/>
      <c r="Q2828" s="60"/>
      <c r="R2828" s="70"/>
      <c r="S2828" s="63" t="s">
        <v>250</v>
      </c>
      <c r="T2828" s="71" t="s">
        <v>242</v>
      </c>
      <c r="U2828" s="61"/>
      <c r="V2828" s="63" t="s">
        <v>250</v>
      </c>
      <c r="W2828" s="71" t="s">
        <v>242</v>
      </c>
      <c r="X2828" s="61"/>
      <c r="Y2828" s="63" t="s">
        <v>250</v>
      </c>
      <c r="Z2828" s="71" t="s">
        <v>242</v>
      </c>
      <c r="AA2828" s="61"/>
      <c r="AB2828" s="63" t="s">
        <v>250</v>
      </c>
      <c r="AC2828" s="71" t="s">
        <v>242</v>
      </c>
      <c r="AD2828" s="61"/>
      <c r="AE2828" s="63" t="s">
        <v>250</v>
      </c>
      <c r="AF2828" s="71" t="s">
        <v>242</v>
      </c>
      <c r="AG2828" s="61"/>
      <c r="AH2828" s="63" t="s">
        <v>250</v>
      </c>
      <c r="AI2828" s="71" t="s">
        <v>242</v>
      </c>
      <c r="AJ2828" s="61"/>
      <c r="AK2828" s="63" t="s">
        <v>250</v>
      </c>
      <c r="AL2828" s="71" t="s">
        <v>242</v>
      </c>
      <c r="AM2828" s="61"/>
      <c r="AN2828" s="63" t="s">
        <v>250</v>
      </c>
      <c r="AO2828" s="71" t="s">
        <v>242</v>
      </c>
      <c r="AP2828" s="61"/>
      <c r="AQ2828" s="63" t="s">
        <v>250</v>
      </c>
      <c r="AR2828" s="71" t="s">
        <v>242</v>
      </c>
      <c r="AS2828" s="61"/>
      <c r="AT2828" s="63" t="s">
        <v>250</v>
      </c>
      <c r="AU2828" s="71" t="s">
        <v>242</v>
      </c>
    </row>
    <row r="2829" spans="15:47" ht="13" x14ac:dyDescent="0.3">
      <c r="O2829" s="6" t="s">
        <v>231</v>
      </c>
      <c r="P2829" s="6"/>
      <c r="Q2829" s="60"/>
      <c r="R2829" s="85">
        <f>P_1_minQ-(R2827^2*R_up)+dpup_minQ</f>
        <v>56.410750661205277</v>
      </c>
      <c r="S2829" s="56"/>
      <c r="T2829" s="72"/>
      <c r="U2829" s="53">
        <f>P_1_minQ-(U2827^2*R_up)+dpup_minQ</f>
        <v>52.688860590495771</v>
      </c>
      <c r="V2829" s="44"/>
      <c r="W2829" s="72"/>
      <c r="X2829" s="53">
        <f>P_1_minQ-(X2827^2*R_up)+dpup_minQ</f>
        <v>32.559184019132282</v>
      </c>
      <c r="Y2829" s="44"/>
      <c r="Z2829" s="72"/>
      <c r="AA2829" s="53">
        <f>P_1_minQ-(AA2827^2*R_up)+dpup_minQ</f>
        <v>-31.881545138686949</v>
      </c>
      <c r="AB2829" s="44"/>
      <c r="AC2829" s="72"/>
      <c r="AD2829" s="53">
        <f>P_1_minQ-(AD2827^2*R_up)+dpup_minQ</f>
        <v>-183.26507223039167</v>
      </c>
      <c r="AE2829" s="44"/>
      <c r="AF2829" s="72"/>
      <c r="AG2829" s="53">
        <f>P_1_minQ-(AG2827^2*R_up)+dpup_minQ</f>
        <v>-475.49721192251565</v>
      </c>
      <c r="AH2829" s="44"/>
      <c r="AI2829" s="72"/>
      <c r="AJ2829" s="53">
        <f>P_1_minQ-(AJ2827^2*R_up)+dpup_minQ</f>
        <v>-891.25911855709819</v>
      </c>
      <c r="AK2829" s="44"/>
      <c r="AL2829" s="72"/>
      <c r="AM2829" s="53">
        <f>P_1_minQ-(AM2827^2*R_up)+dpup_minQ</f>
        <v>-1354.7876171131518</v>
      </c>
      <c r="AN2829" s="44"/>
      <c r="AO2829" s="72"/>
      <c r="AP2829" s="53">
        <f>P_1_minQ-(AP2827^2*R_up)+dpup_minQ</f>
        <v>-1845.8472389076821</v>
      </c>
      <c r="AQ2829" s="44"/>
      <c r="AR2829" s="72"/>
      <c r="AS2829" s="53">
        <f>P_1_minQ-(AS2827^2*R_up)+dpup_minQ</f>
        <v>-2407.6501433621997</v>
      </c>
      <c r="AT2829" s="44"/>
      <c r="AU2829" s="72"/>
    </row>
    <row r="2830" spans="15:47" ht="13" x14ac:dyDescent="0.3">
      <c r="O2830" s="6" t="s">
        <v>233</v>
      </c>
      <c r="P2830" s="6"/>
      <c r="Q2830" s="60"/>
      <c r="R2830" s="85">
        <f>P_2_minQ+(R2827^2*R_dn)-dpdn_minQ</f>
        <v>24.757849867758946</v>
      </c>
      <c r="S2830" s="66"/>
      <c r="T2830" s="74"/>
      <c r="U2830" s="53">
        <f>P_2_minQ+(U2827^2*R_dn)-dpdn_minQ</f>
        <v>25.502227881900847</v>
      </c>
      <c r="V2830" s="45"/>
      <c r="W2830" s="74"/>
      <c r="X2830" s="53">
        <f>P_2_minQ+(X2827^2*R_dn)-dpdn_minQ</f>
        <v>29.528163196173544</v>
      </c>
      <c r="Y2830" s="45"/>
      <c r="Z2830" s="74"/>
      <c r="AA2830" s="53">
        <f>P_2_minQ+(AA2827^2*R_dn)-dpdn_minQ</f>
        <v>42.416309027737398</v>
      </c>
      <c r="AB2830" s="45"/>
      <c r="AC2830" s="74"/>
      <c r="AD2830" s="53">
        <f>P_2_minQ+(AD2827^2*R_dn)-dpdn_minQ</f>
        <v>72.693014446078337</v>
      </c>
      <c r="AE2830" s="45"/>
      <c r="AF2830" s="74"/>
      <c r="AG2830" s="53">
        <f>P_2_minQ+(AG2827^2*R_dn)-dpdn_minQ</f>
        <v>131.1394423845031</v>
      </c>
      <c r="AH2830" s="45"/>
      <c r="AI2830" s="74"/>
      <c r="AJ2830" s="53">
        <f>P_2_minQ+(AJ2827^2*R_dn)-dpdn_minQ</f>
        <v>214.29182371141965</v>
      </c>
      <c r="AK2830" s="45"/>
      <c r="AL2830" s="74"/>
      <c r="AM2830" s="53">
        <f>P_2_minQ+(AM2827^2*R_dn)-dpdn_minQ</f>
        <v>306.99752342263031</v>
      </c>
      <c r="AN2830" s="45"/>
      <c r="AO2830" s="74"/>
      <c r="AP2830" s="53">
        <f>P_2_minQ+(AP2827^2*R_dn)-dpdn_minQ</f>
        <v>405.20944778153637</v>
      </c>
      <c r="AQ2830" s="45"/>
      <c r="AR2830" s="74"/>
      <c r="AS2830" s="53">
        <f>P_2_minQ+(AS2827^2*R_dn)-dpdn_minQ</f>
        <v>517.57002867243978</v>
      </c>
      <c r="AT2830" s="45"/>
      <c r="AU2830" s="74"/>
    </row>
    <row r="2831" spans="15:47" x14ac:dyDescent="0.25">
      <c r="O2831" s="6" t="s">
        <v>243</v>
      </c>
      <c r="Q2831" s="60"/>
      <c r="R2831" s="53">
        <f>R2829-R2830</f>
        <v>31.652900793446332</v>
      </c>
      <c r="S2831" s="56"/>
      <c r="T2831" s="72"/>
      <c r="U2831" s="64">
        <f>U2829-U2830</f>
        <v>27.186632708594924</v>
      </c>
      <c r="V2831" s="44"/>
      <c r="W2831" s="72"/>
      <c r="X2831" s="64">
        <f>X2829-X2830</f>
        <v>3.0310208229587374</v>
      </c>
      <c r="Y2831" s="44"/>
      <c r="Z2831" s="72"/>
      <c r="AA2831" s="64">
        <f>AA2829-AA2830</f>
        <v>-74.297854166424344</v>
      </c>
      <c r="AB2831" s="44"/>
      <c r="AC2831" s="72"/>
      <c r="AD2831" s="64">
        <f>AD2829-AD2830</f>
        <v>-255.95808667647</v>
      </c>
      <c r="AE2831" s="44"/>
      <c r="AF2831" s="72"/>
      <c r="AG2831" s="64">
        <f>AG2829-AG2830</f>
        <v>-606.63665430701872</v>
      </c>
      <c r="AH2831" s="44"/>
      <c r="AI2831" s="72"/>
      <c r="AJ2831" s="64">
        <f>AJ2829-AJ2830</f>
        <v>-1105.5509422685179</v>
      </c>
      <c r="AK2831" s="44"/>
      <c r="AL2831" s="72"/>
      <c r="AM2831" s="64">
        <f>AM2829-AM2830</f>
        <v>-1661.7851405357821</v>
      </c>
      <c r="AN2831" s="44"/>
      <c r="AO2831" s="72"/>
      <c r="AP2831" s="64">
        <f>AP2829-AP2830</f>
        <v>-2251.0566866892186</v>
      </c>
      <c r="AQ2831" s="44"/>
      <c r="AR2831" s="72"/>
      <c r="AS2831" s="64">
        <f>AS2829-AS2830</f>
        <v>-2925.2201720346393</v>
      </c>
      <c r="AT2831" s="44"/>
      <c r="AU2831" s="72"/>
    </row>
    <row r="2832" spans="15:47" ht="13" x14ac:dyDescent="0.3">
      <c r="O2832" s="6" t="s">
        <v>75</v>
      </c>
      <c r="P2832" s="6">
        <v>3</v>
      </c>
      <c r="Q2832" s="65"/>
      <c r="R2832" s="85">
        <f>(F_LP_h/F_P_h)^2*(R2829-('Valve Sizing'!$V$4*'Valve Sizing'!$G$7))</f>
        <v>46.346671695822572</v>
      </c>
      <c r="S2832" s="58"/>
      <c r="T2832" s="73"/>
      <c r="U2832" s="53">
        <f>(U$29/U$27)^2*(U2829-('Valve Sizing'!$V$4*'Valve Sizing'!$G$7))</f>
        <v>43.252959171594298</v>
      </c>
      <c r="V2832" s="41"/>
      <c r="W2832" s="73"/>
      <c r="X2832" s="53">
        <f>(X$29/X$27)^2*(X2829-('Valve Sizing'!$V$4*'Valve Sizing'!$G$7))</f>
        <v>25.989305587349957</v>
      </c>
      <c r="Y2832" s="41"/>
      <c r="Z2832" s="73"/>
      <c r="AA2832" s="53">
        <f>(AA$29/AA$27)^2*(AA2829-('Valve Sizing'!$V$4*'Valve Sizing'!$G$7))</f>
        <v>-24.978044839435768</v>
      </c>
      <c r="AB2832" s="41"/>
      <c r="AC2832" s="73"/>
      <c r="AD2832" s="53">
        <f>(AD$29/AD$27)^2*(AD2829-('Valve Sizing'!$V$4*'Valve Sizing'!$G$7))</f>
        <v>-132.4858263169867</v>
      </c>
      <c r="AE2832" s="41"/>
      <c r="AF2832" s="73"/>
      <c r="AG2832" s="53">
        <f>(AG$29/AG$27)^2*(AG2829-('Valve Sizing'!$V$4*'Valve Sizing'!$G$7))</f>
        <v>-306.52451962299034</v>
      </c>
      <c r="AH2832" s="41"/>
      <c r="AI2832" s="73"/>
      <c r="AJ2832" s="53">
        <f>(AJ$29/AJ$27)^2*(AJ2829-('Valve Sizing'!$V$4*'Valve Sizing'!$G$7))</f>
        <v>-515.72700136892126</v>
      </c>
      <c r="AK2832" s="41"/>
      <c r="AL2832" s="73"/>
      <c r="AM2832" s="53">
        <f>(AM$29/AM$27)^2*(AM2829-('Valve Sizing'!$V$4*'Valve Sizing'!$G$7))</f>
        <v>-648.43869834996246</v>
      </c>
      <c r="AN2832" s="41"/>
      <c r="AO2832" s="73"/>
      <c r="AP2832" s="53">
        <f>(AP$29/AP$27)^2*(AP2829-('Valve Sizing'!$V$4*'Valve Sizing'!$G$7))</f>
        <v>-728.59449824015667</v>
      </c>
      <c r="AQ2832" s="41"/>
      <c r="AR2832" s="73"/>
      <c r="AS2832" s="53">
        <f>(AS$29/AS$27)^2*(AS2829-('Valve Sizing'!$V$4*'Valve Sizing'!$G$7))</f>
        <v>-905.78096048948669</v>
      </c>
      <c r="AT2832" s="41"/>
      <c r="AU2832" s="73"/>
    </row>
    <row r="2833" spans="15:47" ht="13" x14ac:dyDescent="0.25">
      <c r="O2833" s="1" t="s">
        <v>69</v>
      </c>
      <c r="P2833" s="17">
        <v>7</v>
      </c>
      <c r="Q2833" s="65"/>
      <c r="R2833" s="53">
        <f>(R2827/(N_1*F_P_h))*SQRT('Valve Sizing'!$G$6/R2831)</f>
        <v>21.746550857557551</v>
      </c>
      <c r="S2833" s="58"/>
      <c r="T2833" s="73"/>
      <c r="U2833" s="64">
        <f>(U2827/(N_1*U$27))*SQRT('Valve Sizing'!$G$6/U2831)</f>
        <v>67.910637194530835</v>
      </c>
      <c r="V2833" s="41"/>
      <c r="W2833" s="73"/>
      <c r="X2833" s="64">
        <f>(X2827/(N_1*X$27))*SQRT('Valve Sizing'!$G$6/X2831)</f>
        <v>489.30155447601408</v>
      </c>
      <c r="Y2833" s="41"/>
      <c r="Z2833" s="73"/>
      <c r="AA2833" s="64" t="e">
        <f>(AA2827/(N_1*AA$27))*SQRT('Valve Sizing'!$G$6/AA2831)</f>
        <v>#NUM!</v>
      </c>
      <c r="AB2833" s="41"/>
      <c r="AC2833" s="73"/>
      <c r="AD2833" s="64" t="e">
        <f>(AD2827/(N_1*AD$27))*SQRT('Valve Sizing'!$G$6/AD2831)</f>
        <v>#NUM!</v>
      </c>
      <c r="AE2833" s="41"/>
      <c r="AF2833" s="73"/>
      <c r="AG2833" s="64" t="e">
        <f>(AG2827/(N_1*AG$27))*SQRT('Valve Sizing'!$G$6/AG2831)</f>
        <v>#NUM!</v>
      </c>
      <c r="AH2833" s="41"/>
      <c r="AI2833" s="73"/>
      <c r="AJ2833" s="64" t="e">
        <f>(AJ2827/(N_1*AJ$27))*SQRT('Valve Sizing'!$G$6/AJ2831)</f>
        <v>#NUM!</v>
      </c>
      <c r="AK2833" s="41"/>
      <c r="AL2833" s="73"/>
      <c r="AM2833" s="64" t="e">
        <f>(AM2827/(N_1*AM$27))*SQRT('Valve Sizing'!$G$6/AM2831)</f>
        <v>#NUM!</v>
      </c>
      <c r="AN2833" s="41"/>
      <c r="AO2833" s="73"/>
      <c r="AP2833" s="64" t="e">
        <f>(AP2827/(N_1*AP$27))*SQRT('Valve Sizing'!$G$6/AP2831)</f>
        <v>#NUM!</v>
      </c>
      <c r="AQ2833" s="41"/>
      <c r="AR2833" s="73"/>
      <c r="AS2833" s="64" t="e">
        <f>(AS2827/(N_1*AS$27))*SQRT('Valve Sizing'!$G$6/AS2831)</f>
        <v>#NUM!</v>
      </c>
      <c r="AT2833" s="41"/>
      <c r="AU2833" s="73"/>
    </row>
    <row r="2834" spans="15:47" ht="13" x14ac:dyDescent="0.3">
      <c r="O2834" s="1" t="s">
        <v>72</v>
      </c>
      <c r="P2834" s="17">
        <v>7</v>
      </c>
      <c r="Q2834" s="65"/>
      <c r="R2834" s="53">
        <f>(R2827/(N_1*F_P_h))*SQRT('Valve Sizing'!$G$6/R2832)</f>
        <v>17.971646496489775</v>
      </c>
      <c r="S2834" s="56"/>
      <c r="T2834" s="72"/>
      <c r="U2834" s="85">
        <f>(U2827/(N_1*U$27))*SQRT('Valve Sizing'!$G$6/U2832)</f>
        <v>53.840316314157874</v>
      </c>
      <c r="V2834" s="44"/>
      <c r="W2834" s="72"/>
      <c r="X2834" s="85">
        <f>(X2827/(N_1*X$27))*SQRT('Valve Sizing'!$G$6/X2832)</f>
        <v>167.09894873221236</v>
      </c>
      <c r="Y2834" s="44"/>
      <c r="Z2834" s="72"/>
      <c r="AA2834" s="85" t="e">
        <f>(AA2827/(N_1*AA$27))*SQRT('Valve Sizing'!$G$6/AA2832)</f>
        <v>#NUM!</v>
      </c>
      <c r="AB2834" s="44"/>
      <c r="AC2834" s="72"/>
      <c r="AD2834" s="85" t="e">
        <f>(AD2827/(N_1*AD$27))*SQRT('Valve Sizing'!$G$6/AD2832)</f>
        <v>#NUM!</v>
      </c>
      <c r="AE2834" s="44"/>
      <c r="AF2834" s="72"/>
      <c r="AG2834" s="85" t="e">
        <f>(AG2827/(N_1*AG$27))*SQRT('Valve Sizing'!$G$6/AG2832)</f>
        <v>#NUM!</v>
      </c>
      <c r="AH2834" s="44"/>
      <c r="AI2834" s="72"/>
      <c r="AJ2834" s="85" t="e">
        <f>(AJ2827/(N_1*AJ$27))*SQRT('Valve Sizing'!$G$6/AJ2832)</f>
        <v>#NUM!</v>
      </c>
      <c r="AK2834" s="44"/>
      <c r="AL2834" s="72"/>
      <c r="AM2834" s="85" t="e">
        <f>(AM2827/(N_1*AM$27))*SQRT('Valve Sizing'!$G$6/AM2832)</f>
        <v>#NUM!</v>
      </c>
      <c r="AN2834" s="44"/>
      <c r="AO2834" s="72"/>
      <c r="AP2834" s="85" t="e">
        <f>(AP2827/(N_1*AP$27))*SQRT('Valve Sizing'!$G$6/AP2832)</f>
        <v>#NUM!</v>
      </c>
      <c r="AQ2834" s="44"/>
      <c r="AR2834" s="72"/>
      <c r="AS2834" s="85" t="e">
        <f>(AS2827/(N_1*AS$27))*SQRT('Valve Sizing'!$G$6/AS2832)</f>
        <v>#NUM!</v>
      </c>
      <c r="AT2834" s="44"/>
      <c r="AU2834" s="72"/>
    </row>
    <row r="2835" spans="15:47" x14ac:dyDescent="0.25">
      <c r="O2835" s="1" t="s">
        <v>246</v>
      </c>
      <c r="P2835" s="18"/>
      <c r="Q2835" s="65"/>
      <c r="R2835" s="53">
        <f>IF(R2831&lt;R2832,R2833,R2834)</f>
        <v>21.746550857557551</v>
      </c>
      <c r="S2835" s="49"/>
      <c r="T2835" s="72"/>
      <c r="U2835" s="64">
        <f>IF(U2831&lt;U2832,U2833,U2834)</f>
        <v>67.910637194530835</v>
      </c>
      <c r="V2835" s="44"/>
      <c r="W2835" s="72"/>
      <c r="X2835" s="64">
        <f>IF(X2831&lt;X2832,X2833,X2834)</f>
        <v>489.30155447601408</v>
      </c>
      <c r="Y2835" s="44"/>
      <c r="Z2835" s="72"/>
      <c r="AA2835" s="64" t="e">
        <f>IF(AA2831&lt;AA2832,AA2833,AA2834)</f>
        <v>#NUM!</v>
      </c>
      <c r="AB2835" s="44"/>
      <c r="AC2835" s="72"/>
      <c r="AD2835" s="64" t="e">
        <f>IF(AD2831&lt;AD2832,AD2833,AD2834)</f>
        <v>#NUM!</v>
      </c>
      <c r="AE2835" s="44"/>
      <c r="AF2835" s="72"/>
      <c r="AG2835" s="64" t="e">
        <f>IF(AG2831&lt;AG2832,AG2833,AG2834)</f>
        <v>#NUM!</v>
      </c>
      <c r="AH2835" s="44"/>
      <c r="AI2835" s="72"/>
      <c r="AJ2835" s="64" t="e">
        <f>IF(AJ2831&lt;AJ2832,AJ2833,AJ2834)</f>
        <v>#NUM!</v>
      </c>
      <c r="AK2835" s="44"/>
      <c r="AL2835" s="72"/>
      <c r="AM2835" s="64" t="e">
        <f>IF(AM2831&lt;AM2832,AM2833,AM2834)</f>
        <v>#NUM!</v>
      </c>
      <c r="AN2835" s="44"/>
      <c r="AO2835" s="72"/>
      <c r="AP2835" s="64" t="e">
        <f>IF(AP2831&lt;AP2832,AP2833,AP2834)</f>
        <v>#NUM!</v>
      </c>
      <c r="AQ2835" s="44"/>
      <c r="AR2835" s="72"/>
      <c r="AS2835" s="64" t="e">
        <f>IF(AS2831&lt;AS2832,AS2833,AS2834)</f>
        <v>#NUM!</v>
      </c>
      <c r="AT2835" s="44"/>
      <c r="AU2835" s="72"/>
    </row>
    <row r="2836" spans="15:47" ht="13" x14ac:dyDescent="0.3">
      <c r="O2836" s="7" t="s">
        <v>264</v>
      </c>
      <c r="Q2836" s="61"/>
      <c r="R2836" s="53"/>
      <c r="S2836" s="69">
        <f>IFERROR(ABS(C_h-R2835),Q_max*10)</f>
        <v>16.746550857557551</v>
      </c>
      <c r="T2836" s="76">
        <f>R2827</f>
        <v>122.33017993002237</v>
      </c>
      <c r="U2836" s="61"/>
      <c r="V2836" s="69">
        <f>IFERROR(ABS(U$23-U2835),Q_max*10)</f>
        <v>55.910637194530835</v>
      </c>
      <c r="W2836" s="75">
        <f>U2827</f>
        <v>353.79349614629751</v>
      </c>
      <c r="X2836" s="61"/>
      <c r="Y2836" s="69">
        <f>IFERROR(ABS(X$23-X2835),Q_max*10)</f>
        <v>466.30155447601408</v>
      </c>
      <c r="Z2836" s="75">
        <f>X2827</f>
        <v>849.24057910199576</v>
      </c>
      <c r="AA2836" s="61"/>
      <c r="AB2836" s="69">
        <f>IFERROR(ABS(AA$23-AA2835),Q_max*10)</f>
        <v>5500</v>
      </c>
      <c r="AC2836" s="75">
        <f>AA2827</f>
        <v>1621.5115021351285</v>
      </c>
      <c r="AD2836" s="61"/>
      <c r="AE2836" s="69">
        <f>IFERROR(ABS(AD$23-AD2835),Q_max*10)</f>
        <v>5500</v>
      </c>
      <c r="AF2836" s="75">
        <f>AD2827</f>
        <v>2666.7894158973063</v>
      </c>
      <c r="AG2836" s="61"/>
      <c r="AH2836" s="69">
        <f>IFERROR(ABS(AG$23-AG2835),Q_max*10)</f>
        <v>5500</v>
      </c>
      <c r="AI2836" s="75">
        <f>AG2827</f>
        <v>3970.4860464464155</v>
      </c>
      <c r="AJ2836" s="61"/>
      <c r="AK2836" s="69">
        <f>IFERROR(ABS(AJ$23-AJ2835),Q_max*10)</f>
        <v>5500</v>
      </c>
      <c r="AL2836" s="75">
        <f>AJ2827</f>
        <v>5298.6290208388509</v>
      </c>
      <c r="AM2836" s="61"/>
      <c r="AN2836" s="69">
        <f>IFERROR(ABS(AM$23-AM2835),Q_max*10)</f>
        <v>5500</v>
      </c>
      <c r="AO2836" s="75">
        <f>AM2827</f>
        <v>6465.3343566068124</v>
      </c>
      <c r="AP2836" s="61"/>
      <c r="AQ2836" s="69">
        <f>IFERROR(ABS(AP$23-AP2835),Q_max*10)</f>
        <v>5500</v>
      </c>
      <c r="AR2836" s="75">
        <f>AP2827</f>
        <v>7506.052474107576</v>
      </c>
      <c r="AS2836" s="61"/>
      <c r="AT2836" s="69">
        <f>IFERROR(ABS(AS$23-AS2835),Q_max*10)</f>
        <v>5500</v>
      </c>
      <c r="AU2836" s="75">
        <f>AS2827</f>
        <v>8542.5878833615006</v>
      </c>
    </row>
    <row r="2837" spans="15:47" ht="14.5" x14ac:dyDescent="0.35">
      <c r="O2837" s="6"/>
      <c r="P2837" s="6"/>
      <c r="Q2837" s="60"/>
      <c r="R2837" s="67"/>
      <c r="S2837" s="58"/>
      <c r="T2837" s="73"/>
      <c r="V2837" s="11"/>
      <c r="W2837" s="38"/>
      <c r="Y2837" s="11"/>
      <c r="Z2837" s="38"/>
      <c r="AB2837" s="11"/>
      <c r="AC2837" s="38"/>
      <c r="AE2837" s="11"/>
      <c r="AF2837" s="38"/>
      <c r="AH2837" s="11"/>
      <c r="AI2837" s="38"/>
      <c r="AK2837" s="11"/>
      <c r="AL2837" s="38"/>
      <c r="AN2837" s="11"/>
      <c r="AO2837" s="38"/>
      <c r="AQ2837" s="11"/>
      <c r="AR2837" s="38"/>
      <c r="AT2837" s="11"/>
      <c r="AU2837" s="38"/>
    </row>
    <row r="2838" spans="15:47" ht="14" x14ac:dyDescent="0.3">
      <c r="O2838" s="8" t="s">
        <v>235</v>
      </c>
      <c r="P2838" s="6"/>
      <c r="Q2838" s="60"/>
      <c r="R2838" s="53">
        <f>R2827*1.02</f>
        <v>124.77678352862281</v>
      </c>
      <c r="S2838" s="58" t="s">
        <v>238</v>
      </c>
      <c r="T2838" s="73" t="s">
        <v>241</v>
      </c>
      <c r="U2838" s="84">
        <f>U2827*1.01</f>
        <v>357.33143110776047</v>
      </c>
      <c r="V2838" s="58" t="s">
        <v>238</v>
      </c>
      <c r="W2838" s="73" t="s">
        <v>241</v>
      </c>
      <c r="X2838" s="84">
        <f>X2827*1.01</f>
        <v>857.73298489301578</v>
      </c>
      <c r="Y2838" s="58" t="s">
        <v>238</v>
      </c>
      <c r="Z2838" s="73" t="s">
        <v>241</v>
      </c>
      <c r="AA2838" s="84">
        <f>AA2827*1.01</f>
        <v>1637.7266171564797</v>
      </c>
      <c r="AB2838" s="58" t="s">
        <v>238</v>
      </c>
      <c r="AC2838" s="73" t="s">
        <v>241</v>
      </c>
      <c r="AD2838" s="84">
        <f>AD2827*1.01</f>
        <v>2693.4573100562793</v>
      </c>
      <c r="AE2838" s="58" t="s">
        <v>238</v>
      </c>
      <c r="AF2838" s="73" t="s">
        <v>241</v>
      </c>
      <c r="AG2838" s="84">
        <f>AG2827*1.01</f>
        <v>4010.1909069108797</v>
      </c>
      <c r="AH2838" s="58" t="s">
        <v>238</v>
      </c>
      <c r="AI2838" s="73" t="s">
        <v>241</v>
      </c>
      <c r="AJ2838" s="84">
        <f>AJ2827*1.01</f>
        <v>5351.6153110472396</v>
      </c>
      <c r="AK2838" s="58" t="s">
        <v>238</v>
      </c>
      <c r="AL2838" s="73" t="s">
        <v>241</v>
      </c>
      <c r="AM2838" s="84">
        <f>AM2827*1.01</f>
        <v>6529.987700172881</v>
      </c>
      <c r="AN2838" s="58" t="s">
        <v>238</v>
      </c>
      <c r="AO2838" s="73" t="s">
        <v>241</v>
      </c>
      <c r="AP2838" s="84">
        <f>AP2827*1.01</f>
        <v>7581.1129988486518</v>
      </c>
      <c r="AQ2838" s="58" t="s">
        <v>238</v>
      </c>
      <c r="AR2838" s="73" t="s">
        <v>241</v>
      </c>
      <c r="AS2838" s="84">
        <f>AS2827*1.01</f>
        <v>8628.0137621951162</v>
      </c>
      <c r="AT2838" s="58" t="s">
        <v>238</v>
      </c>
      <c r="AU2838" s="73" t="s">
        <v>241</v>
      </c>
    </row>
    <row r="2839" spans="15:47" ht="13" x14ac:dyDescent="0.25">
      <c r="O2839" s="6"/>
      <c r="P2839" s="6"/>
      <c r="Q2839" s="60"/>
      <c r="R2839" s="70"/>
      <c r="S2839" s="63" t="s">
        <v>250</v>
      </c>
      <c r="T2839" s="71" t="s">
        <v>242</v>
      </c>
      <c r="U2839" s="61"/>
      <c r="V2839" s="63" t="s">
        <v>250</v>
      </c>
      <c r="W2839" s="71" t="s">
        <v>242</v>
      </c>
      <c r="X2839" s="61"/>
      <c r="Y2839" s="63" t="s">
        <v>250</v>
      </c>
      <c r="Z2839" s="71" t="s">
        <v>242</v>
      </c>
      <c r="AA2839" s="61"/>
      <c r="AB2839" s="63" t="s">
        <v>250</v>
      </c>
      <c r="AC2839" s="71" t="s">
        <v>242</v>
      </c>
      <c r="AD2839" s="61"/>
      <c r="AE2839" s="63" t="s">
        <v>250</v>
      </c>
      <c r="AF2839" s="71" t="s">
        <v>242</v>
      </c>
      <c r="AG2839" s="61"/>
      <c r="AH2839" s="63" t="s">
        <v>250</v>
      </c>
      <c r="AI2839" s="71" t="s">
        <v>242</v>
      </c>
      <c r="AJ2839" s="61"/>
      <c r="AK2839" s="63" t="s">
        <v>250</v>
      </c>
      <c r="AL2839" s="71" t="s">
        <v>242</v>
      </c>
      <c r="AM2839" s="61"/>
      <c r="AN2839" s="63" t="s">
        <v>250</v>
      </c>
      <c r="AO2839" s="71" t="s">
        <v>242</v>
      </c>
      <c r="AP2839" s="61"/>
      <c r="AQ2839" s="63" t="s">
        <v>250</v>
      </c>
      <c r="AR2839" s="71" t="s">
        <v>242</v>
      </c>
      <c r="AS2839" s="61"/>
      <c r="AT2839" s="63" t="s">
        <v>250</v>
      </c>
      <c r="AU2839" s="71" t="s">
        <v>242</v>
      </c>
    </row>
    <row r="2840" spans="15:47" ht="13" x14ac:dyDescent="0.3">
      <c r="O2840" s="6" t="s">
        <v>231</v>
      </c>
      <c r="P2840" s="6"/>
      <c r="Q2840" s="60"/>
      <c r="R2840" s="85">
        <f>P_1_minQ-(R2838^2*R_up)+dpup_minQ</f>
        <v>56.390332802845364</v>
      </c>
      <c r="S2840" s="56"/>
      <c r="T2840" s="72"/>
      <c r="U2840" s="53">
        <f>P_1_minQ-(U2838^2*R_up)+dpup_minQ</f>
        <v>52.603892210147919</v>
      </c>
      <c r="V2840" s="44"/>
      <c r="W2840" s="72"/>
      <c r="X2840" s="53">
        <f>P_1_minQ-(X2838^2*R_up)+dpup_minQ</f>
        <v>32.06960913970002</v>
      </c>
      <c r="Y2840" s="44"/>
      <c r="Z2840" s="72"/>
      <c r="AA2840" s="53">
        <f>P_1_minQ-(AA2838^2*R_up)+dpup_minQ</f>
        <v>-33.666378674191371</v>
      </c>
      <c r="AB2840" s="44"/>
      <c r="AC2840" s="72"/>
      <c r="AD2840" s="53">
        <f>P_1_minQ-(AD2838^2*R_up)+dpup_minQ</f>
        <v>-188.09271466043933</v>
      </c>
      <c r="AE2840" s="44"/>
      <c r="AF2840" s="72"/>
      <c r="AG2840" s="53">
        <f>P_1_minQ-(AG2838^2*R_up)+dpup_minQ</f>
        <v>-486.19872036037503</v>
      </c>
      <c r="AH2840" s="44"/>
      <c r="AI2840" s="72"/>
      <c r="AJ2840" s="53">
        <f>P_1_minQ-(AJ2838^2*R_up)+dpup_minQ</f>
        <v>-910.31744131831283</v>
      </c>
      <c r="AK2840" s="44"/>
      <c r="AL2840" s="72"/>
      <c r="AM2840" s="53">
        <f>P_1_minQ-(AM2838^2*R_up)+dpup_minQ</f>
        <v>-1383.1628626953432</v>
      </c>
      <c r="AN2840" s="44"/>
      <c r="AO2840" s="72"/>
      <c r="AP2840" s="53">
        <f>P_1_minQ-(AP2838^2*R_up)+dpup_minQ</f>
        <v>-1884.0927828879433</v>
      </c>
      <c r="AQ2840" s="44"/>
      <c r="AR2840" s="72"/>
      <c r="AS2840" s="53">
        <f>P_1_minQ-(AS2838^2*R_up)+dpup_minQ</f>
        <v>-2457.1879257219971</v>
      </c>
      <c r="AT2840" s="44"/>
      <c r="AU2840" s="72"/>
    </row>
    <row r="2841" spans="15:47" ht="13" x14ac:dyDescent="0.3">
      <c r="O2841" s="6" t="s">
        <v>233</v>
      </c>
      <c r="P2841" s="6"/>
      <c r="Q2841" s="60"/>
      <c r="R2841" s="85">
        <f>P_2_minQ+(R2838^2*R_dn)-dpdn_minQ</f>
        <v>24.76193343943093</v>
      </c>
      <c r="S2841" s="66"/>
      <c r="T2841" s="74"/>
      <c r="U2841" s="53">
        <f>P_2_minQ+(U2838^2*R_dn)-dpdn_minQ</f>
        <v>25.519221557970418</v>
      </c>
      <c r="V2841" s="45"/>
      <c r="W2841" s="74"/>
      <c r="X2841" s="53">
        <f>P_2_minQ+(X2838^2*R_dn)-dpdn_minQ</f>
        <v>29.626078172059998</v>
      </c>
      <c r="Y2841" s="45"/>
      <c r="Z2841" s="74"/>
      <c r="AA2841" s="53">
        <f>P_2_minQ+(AA2838^2*R_dn)-dpdn_minQ</f>
        <v>42.773275734838279</v>
      </c>
      <c r="AB2841" s="45"/>
      <c r="AC2841" s="74"/>
      <c r="AD2841" s="53">
        <f>P_2_minQ+(AD2838^2*R_dn)-dpdn_minQ</f>
        <v>73.658542932087869</v>
      </c>
      <c r="AE2841" s="45"/>
      <c r="AF2841" s="74"/>
      <c r="AG2841" s="53">
        <f>P_2_minQ+(AG2838^2*R_dn)-dpdn_minQ</f>
        <v>133.279744072075</v>
      </c>
      <c r="AH2841" s="45"/>
      <c r="AI2841" s="74"/>
      <c r="AJ2841" s="53">
        <f>P_2_minQ+(AJ2838^2*R_dn)-dpdn_minQ</f>
        <v>218.10348826366257</v>
      </c>
      <c r="AK2841" s="45"/>
      <c r="AL2841" s="74"/>
      <c r="AM2841" s="53">
        <f>P_2_minQ+(AM2838^2*R_dn)-dpdn_minQ</f>
        <v>312.6725725390686</v>
      </c>
      <c r="AN2841" s="45"/>
      <c r="AO2841" s="74"/>
      <c r="AP2841" s="53">
        <f>P_2_minQ+(AP2838^2*R_dn)-dpdn_minQ</f>
        <v>412.85855657758862</v>
      </c>
      <c r="AQ2841" s="45"/>
      <c r="AR2841" s="74"/>
      <c r="AS2841" s="53">
        <f>P_2_minQ+(AS2838^2*R_dn)-dpdn_minQ</f>
        <v>527.47758514439931</v>
      </c>
      <c r="AT2841" s="45"/>
      <c r="AU2841" s="74"/>
    </row>
    <row r="2842" spans="15:47" x14ac:dyDescent="0.25">
      <c r="O2842" s="6" t="s">
        <v>243</v>
      </c>
      <c r="Q2842" s="60"/>
      <c r="R2842" s="53">
        <f>R2840-R2841</f>
        <v>31.628399363414434</v>
      </c>
      <c r="S2842" s="56"/>
      <c r="T2842" s="72"/>
      <c r="U2842" s="64">
        <f>U2840-U2841</f>
        <v>27.0846706521775</v>
      </c>
      <c r="V2842" s="44"/>
      <c r="W2842" s="72"/>
      <c r="X2842" s="64">
        <f>X2840-X2841</f>
        <v>2.4435309676400223</v>
      </c>
      <c r="Y2842" s="44"/>
      <c r="Z2842" s="72"/>
      <c r="AA2842" s="64">
        <f>AA2840-AA2841</f>
        <v>-76.439654409029657</v>
      </c>
      <c r="AB2842" s="44"/>
      <c r="AC2842" s="72"/>
      <c r="AD2842" s="64">
        <f>AD2840-AD2841</f>
        <v>-261.75125759252717</v>
      </c>
      <c r="AE2842" s="44"/>
      <c r="AF2842" s="72"/>
      <c r="AG2842" s="64">
        <f>AG2840-AG2841</f>
        <v>-619.47846443244998</v>
      </c>
      <c r="AH2842" s="44"/>
      <c r="AI2842" s="72"/>
      <c r="AJ2842" s="64">
        <f>AJ2840-AJ2841</f>
        <v>-1128.4209295819753</v>
      </c>
      <c r="AK2842" s="44"/>
      <c r="AL2842" s="72"/>
      <c r="AM2842" s="64">
        <f>AM2840-AM2841</f>
        <v>-1695.8354352344118</v>
      </c>
      <c r="AN2842" s="44"/>
      <c r="AO2842" s="72"/>
      <c r="AP2842" s="64">
        <f>AP2840-AP2841</f>
        <v>-2296.9513394655319</v>
      </c>
      <c r="AQ2842" s="44"/>
      <c r="AR2842" s="72"/>
      <c r="AS2842" s="64">
        <f>AS2840-AS2841</f>
        <v>-2984.6655108663963</v>
      </c>
      <c r="AT2842" s="44"/>
      <c r="AU2842" s="72"/>
    </row>
    <row r="2843" spans="15:47" ht="13" x14ac:dyDescent="0.3">
      <c r="O2843" s="6" t="s">
        <v>75</v>
      </c>
      <c r="P2843" s="6">
        <v>3</v>
      </c>
      <c r="Q2843" s="65"/>
      <c r="R2843" s="85">
        <f>(F_LP_h/F_P_h)^2*(R2840-('Valve Sizing'!$V$4*'Valve Sizing'!$G$7))</f>
        <v>46.329764637368434</v>
      </c>
      <c r="S2843" s="58"/>
      <c r="T2843" s="73"/>
      <c r="U2843" s="53">
        <f>(U$29/U$27)^2*(U2840-('Valve Sizing'!$V$4*'Valve Sizing'!$G$7))</f>
        <v>43.182620069441448</v>
      </c>
      <c r="V2843" s="41"/>
      <c r="W2843" s="73"/>
      <c r="X2843" s="53">
        <f>(X$29/X$27)^2*(X2840-('Valve Sizing'!$V$4*'Valve Sizing'!$G$7))</f>
        <v>25.593164328377426</v>
      </c>
      <c r="Y2843" s="41"/>
      <c r="Z2843" s="73"/>
      <c r="AA2843" s="53">
        <f>(AA$29/AA$27)^2*(AA2840-('Valve Sizing'!$V$4*'Valve Sizing'!$G$7))</f>
        <v>-26.357359236251845</v>
      </c>
      <c r="AB2843" s="41"/>
      <c r="AC2843" s="73"/>
      <c r="AD2843" s="53">
        <f>(AD$29/AD$27)^2*(AD2840-('Valve Sizing'!$V$4*'Valve Sizing'!$G$7))</f>
        <v>-135.96746124388412</v>
      </c>
      <c r="AE2843" s="41"/>
      <c r="AF2843" s="73"/>
      <c r="AG2843" s="53">
        <f>(AG$29/AG$27)^2*(AG2840-('Valve Sizing'!$V$4*'Valve Sizing'!$G$7))</f>
        <v>-313.41676140092864</v>
      </c>
      <c r="AH2843" s="41"/>
      <c r="AI2843" s="73"/>
      <c r="AJ2843" s="53">
        <f>(AJ$29/AJ$27)^2*(AJ2840-('Valve Sizing'!$V$4*'Valve Sizing'!$G$7))</f>
        <v>-526.7496555451437</v>
      </c>
      <c r="AK2843" s="41"/>
      <c r="AL2843" s="73"/>
      <c r="AM2843" s="53">
        <f>(AM$29/AM$27)^2*(AM2840-('Valve Sizing'!$V$4*'Valve Sizing'!$G$7))</f>
        <v>-662.01546309071716</v>
      </c>
      <c r="AN2843" s="41"/>
      <c r="AO2843" s="73"/>
      <c r="AP2843" s="53">
        <f>(AP$29/AP$27)^2*(AP2840-('Valve Sizing'!$V$4*'Valve Sizing'!$G$7))</f>
        <v>-743.68721592168322</v>
      </c>
      <c r="AQ2843" s="41"/>
      <c r="AR2843" s="73"/>
      <c r="AS2843" s="53">
        <f>(AS$29/AS$27)^2*(AS2840-('Valve Sizing'!$V$4*'Valve Sizing'!$G$7))</f>
        <v>-924.41414128444296</v>
      </c>
      <c r="AT2843" s="41"/>
      <c r="AU2843" s="73"/>
    </row>
    <row r="2844" spans="15:47" ht="13" x14ac:dyDescent="0.25">
      <c r="O2844" s="1" t="s">
        <v>69</v>
      </c>
      <c r="P2844" s="17">
        <v>7</v>
      </c>
      <c r="Q2844" s="65"/>
      <c r="R2844" s="53">
        <f>(R2838/(N_1*F_P_h))*SQRT('Valve Sizing'!$G$6/R2842)</f>
        <v>22.190071825898478</v>
      </c>
      <c r="S2844" s="58"/>
      <c r="T2844" s="73"/>
      <c r="U2844" s="64">
        <f>(U2838/(N_1*U$27))*SQRT('Valve Sizing'!$G$6/U2842)</f>
        <v>68.718727629635495</v>
      </c>
      <c r="V2844" s="41"/>
      <c r="W2844" s="73"/>
      <c r="X2844" s="64">
        <f>(X2838/(N_1*X$27))*SQRT('Valve Sizing'!$G$6/X2842)</f>
        <v>550.40643857534883</v>
      </c>
      <c r="Y2844" s="41"/>
      <c r="Z2844" s="73"/>
      <c r="AA2844" s="64" t="e">
        <f>(AA2838/(N_1*AA$27))*SQRT('Valve Sizing'!$G$6/AA2842)</f>
        <v>#NUM!</v>
      </c>
      <c r="AB2844" s="41"/>
      <c r="AC2844" s="73"/>
      <c r="AD2844" s="64" t="e">
        <f>(AD2838/(N_1*AD$27))*SQRT('Valve Sizing'!$G$6/AD2842)</f>
        <v>#NUM!</v>
      </c>
      <c r="AE2844" s="41"/>
      <c r="AF2844" s="73"/>
      <c r="AG2844" s="64" t="e">
        <f>(AG2838/(N_1*AG$27))*SQRT('Valve Sizing'!$G$6/AG2842)</f>
        <v>#NUM!</v>
      </c>
      <c r="AH2844" s="41"/>
      <c r="AI2844" s="73"/>
      <c r="AJ2844" s="64" t="e">
        <f>(AJ2838/(N_1*AJ$27))*SQRT('Valve Sizing'!$G$6/AJ2842)</f>
        <v>#NUM!</v>
      </c>
      <c r="AK2844" s="41"/>
      <c r="AL2844" s="73"/>
      <c r="AM2844" s="64" t="e">
        <f>(AM2838/(N_1*AM$27))*SQRT('Valve Sizing'!$G$6/AM2842)</f>
        <v>#NUM!</v>
      </c>
      <c r="AN2844" s="41"/>
      <c r="AO2844" s="73"/>
      <c r="AP2844" s="64" t="e">
        <f>(AP2838/(N_1*AP$27))*SQRT('Valve Sizing'!$G$6/AP2842)</f>
        <v>#NUM!</v>
      </c>
      <c r="AQ2844" s="41"/>
      <c r="AR2844" s="73"/>
      <c r="AS2844" s="64" t="e">
        <f>(AS2838/(N_1*AS$27))*SQRT('Valve Sizing'!$G$6/AS2842)</f>
        <v>#NUM!</v>
      </c>
      <c r="AT2844" s="41"/>
      <c r="AU2844" s="73"/>
    </row>
    <row r="2845" spans="15:47" ht="13" x14ac:dyDescent="0.3">
      <c r="O2845" s="1" t="s">
        <v>72</v>
      </c>
      <c r="P2845" s="17">
        <v>7</v>
      </c>
      <c r="Q2845" s="65"/>
      <c r="R2845" s="53">
        <f>(R2838/(N_1*F_P_h))*SQRT('Valve Sizing'!$G$6/R2843)</f>
        <v>18.334423889356941</v>
      </c>
      <c r="S2845" s="56"/>
      <c r="T2845" s="72"/>
      <c r="U2845" s="85">
        <f>(U2838/(N_1*U$27))*SQRT('Valve Sizing'!$G$6/U2843)</f>
        <v>54.422989532863859</v>
      </c>
      <c r="V2845" s="44"/>
      <c r="W2845" s="72"/>
      <c r="X2845" s="85">
        <f>(X2838/(N_1*X$27))*SQRT('Valve Sizing'!$G$6/X2843)</f>
        <v>170.07106709022727</v>
      </c>
      <c r="Y2845" s="44"/>
      <c r="Z2845" s="72"/>
      <c r="AA2845" s="85" t="e">
        <f>(AA2838/(N_1*AA$27))*SQRT('Valve Sizing'!$G$6/AA2843)</f>
        <v>#NUM!</v>
      </c>
      <c r="AB2845" s="44"/>
      <c r="AC2845" s="72"/>
      <c r="AD2845" s="85" t="e">
        <f>(AD2838/(N_1*AD$27))*SQRT('Valve Sizing'!$G$6/AD2843)</f>
        <v>#NUM!</v>
      </c>
      <c r="AE2845" s="44"/>
      <c r="AF2845" s="72"/>
      <c r="AG2845" s="85" t="e">
        <f>(AG2838/(N_1*AG$27))*SQRT('Valve Sizing'!$G$6/AG2843)</f>
        <v>#NUM!</v>
      </c>
      <c r="AH2845" s="44"/>
      <c r="AI2845" s="72"/>
      <c r="AJ2845" s="85" t="e">
        <f>(AJ2838/(N_1*AJ$27))*SQRT('Valve Sizing'!$G$6/AJ2843)</f>
        <v>#NUM!</v>
      </c>
      <c r="AK2845" s="44"/>
      <c r="AL2845" s="72"/>
      <c r="AM2845" s="85" t="e">
        <f>(AM2838/(N_1*AM$27))*SQRT('Valve Sizing'!$G$6/AM2843)</f>
        <v>#NUM!</v>
      </c>
      <c r="AN2845" s="44"/>
      <c r="AO2845" s="72"/>
      <c r="AP2845" s="85" t="e">
        <f>(AP2838/(N_1*AP$27))*SQRT('Valve Sizing'!$G$6/AP2843)</f>
        <v>#NUM!</v>
      </c>
      <c r="AQ2845" s="44"/>
      <c r="AR2845" s="72"/>
      <c r="AS2845" s="85" t="e">
        <f>(AS2838/(N_1*AS$27))*SQRT('Valve Sizing'!$G$6/AS2843)</f>
        <v>#NUM!</v>
      </c>
      <c r="AT2845" s="44"/>
      <c r="AU2845" s="72"/>
    </row>
    <row r="2846" spans="15:47" x14ac:dyDescent="0.25">
      <c r="O2846" s="1" t="s">
        <v>246</v>
      </c>
      <c r="P2846" s="18"/>
      <c r="Q2846" s="65"/>
      <c r="R2846" s="53">
        <f>IF(R2842&lt;R2843,R2844,R2845)</f>
        <v>22.190071825898478</v>
      </c>
      <c r="S2846" s="49"/>
      <c r="T2846" s="72"/>
      <c r="U2846" s="64">
        <f>IF(U2842&lt;U2843,U2844,U2845)</f>
        <v>68.718727629635495</v>
      </c>
      <c r="V2846" s="44"/>
      <c r="W2846" s="72"/>
      <c r="X2846" s="64">
        <f>IF(X2842&lt;X2843,X2844,X2845)</f>
        <v>550.40643857534883</v>
      </c>
      <c r="Y2846" s="44"/>
      <c r="Z2846" s="72"/>
      <c r="AA2846" s="64" t="e">
        <f>IF(AA2842&lt;AA2843,AA2844,AA2845)</f>
        <v>#NUM!</v>
      </c>
      <c r="AB2846" s="44"/>
      <c r="AC2846" s="72"/>
      <c r="AD2846" s="64" t="e">
        <f>IF(AD2842&lt;AD2843,AD2844,AD2845)</f>
        <v>#NUM!</v>
      </c>
      <c r="AE2846" s="44"/>
      <c r="AF2846" s="72"/>
      <c r="AG2846" s="64" t="e">
        <f>IF(AG2842&lt;AG2843,AG2844,AG2845)</f>
        <v>#NUM!</v>
      </c>
      <c r="AH2846" s="44"/>
      <c r="AI2846" s="72"/>
      <c r="AJ2846" s="64" t="e">
        <f>IF(AJ2842&lt;AJ2843,AJ2844,AJ2845)</f>
        <v>#NUM!</v>
      </c>
      <c r="AK2846" s="44"/>
      <c r="AL2846" s="72"/>
      <c r="AM2846" s="64" t="e">
        <f>IF(AM2842&lt;AM2843,AM2844,AM2845)</f>
        <v>#NUM!</v>
      </c>
      <c r="AN2846" s="44"/>
      <c r="AO2846" s="72"/>
      <c r="AP2846" s="64" t="e">
        <f>IF(AP2842&lt;AP2843,AP2844,AP2845)</f>
        <v>#NUM!</v>
      </c>
      <c r="AQ2846" s="44"/>
      <c r="AR2846" s="72"/>
      <c r="AS2846" s="64" t="e">
        <f>IF(AS2842&lt;AS2843,AS2844,AS2845)</f>
        <v>#NUM!</v>
      </c>
      <c r="AT2846" s="44"/>
      <c r="AU2846" s="72"/>
    </row>
    <row r="2847" spans="15:47" ht="13" x14ac:dyDescent="0.3">
      <c r="O2847" s="7" t="s">
        <v>264</v>
      </c>
      <c r="Q2847" s="61"/>
      <c r="R2847" s="53"/>
      <c r="S2847" s="69">
        <f>IFERROR(ABS(C_h-R2846),Q_max*10)</f>
        <v>17.190071825898478</v>
      </c>
      <c r="T2847" s="76">
        <f>R2838</f>
        <v>124.77678352862281</v>
      </c>
      <c r="U2847" s="61"/>
      <c r="V2847" s="69">
        <f>IFERROR(ABS(U$23-U2846),Q_max*10)</f>
        <v>56.718727629635495</v>
      </c>
      <c r="W2847" s="75">
        <f>U2838</f>
        <v>357.33143110776047</v>
      </c>
      <c r="X2847" s="61"/>
      <c r="Y2847" s="69">
        <f>IFERROR(ABS(X$23-X2846),Q_max*10)</f>
        <v>527.40643857534883</v>
      </c>
      <c r="Z2847" s="75">
        <f>X2838</f>
        <v>857.73298489301578</v>
      </c>
      <c r="AA2847" s="61"/>
      <c r="AB2847" s="69">
        <f>IFERROR(ABS(AA$23-AA2846),Q_max*10)</f>
        <v>5500</v>
      </c>
      <c r="AC2847" s="75">
        <f>AA2838</f>
        <v>1637.7266171564797</v>
      </c>
      <c r="AD2847" s="61"/>
      <c r="AE2847" s="69">
        <f>IFERROR(ABS(AD$23-AD2846),Q_max*10)</f>
        <v>5500</v>
      </c>
      <c r="AF2847" s="75">
        <f>AD2838</f>
        <v>2693.4573100562793</v>
      </c>
      <c r="AG2847" s="61"/>
      <c r="AH2847" s="69">
        <f>IFERROR(ABS(AG$23-AG2846),Q_max*10)</f>
        <v>5500</v>
      </c>
      <c r="AI2847" s="75">
        <f>AG2838</f>
        <v>4010.1909069108797</v>
      </c>
      <c r="AJ2847" s="61"/>
      <c r="AK2847" s="69">
        <f>IFERROR(ABS(AJ$23-AJ2846),Q_max*10)</f>
        <v>5500</v>
      </c>
      <c r="AL2847" s="75">
        <f>AJ2838</f>
        <v>5351.6153110472396</v>
      </c>
      <c r="AM2847" s="61"/>
      <c r="AN2847" s="69">
        <f>IFERROR(ABS(AM$23-AM2846),Q_max*10)</f>
        <v>5500</v>
      </c>
      <c r="AO2847" s="75">
        <f>AM2838</f>
        <v>6529.987700172881</v>
      </c>
      <c r="AP2847" s="61"/>
      <c r="AQ2847" s="69">
        <f>IFERROR(ABS(AP$23-AP2846),Q_max*10)</f>
        <v>5500</v>
      </c>
      <c r="AR2847" s="75">
        <f>AP2838</f>
        <v>7581.1129988486518</v>
      </c>
      <c r="AS2847" s="61"/>
      <c r="AT2847" s="69">
        <f>IFERROR(ABS(AS$23-AS2846),Q_max*10)</f>
        <v>5500</v>
      </c>
      <c r="AU2847" s="75">
        <f>AS2838</f>
        <v>8628.0137621951162</v>
      </c>
    </row>
    <row r="2848" spans="15:47" ht="14.5" x14ac:dyDescent="0.35">
      <c r="O2848" s="8"/>
      <c r="P2848" s="6"/>
      <c r="Q2848" s="60"/>
      <c r="R2848" s="67"/>
      <c r="S2848" s="56"/>
      <c r="T2848" s="72"/>
      <c r="V2848" s="11"/>
      <c r="W2848" s="38"/>
      <c r="Y2848" s="11"/>
      <c r="Z2848" s="38"/>
      <c r="AB2848" s="11"/>
      <c r="AC2848" s="38"/>
      <c r="AE2848" s="11"/>
      <c r="AF2848" s="38"/>
      <c r="AH2848" s="11"/>
      <c r="AI2848" s="38"/>
      <c r="AK2848" s="11"/>
      <c r="AL2848" s="38"/>
      <c r="AN2848" s="11"/>
      <c r="AO2848" s="38"/>
      <c r="AQ2848" s="11"/>
      <c r="AR2848" s="38"/>
      <c r="AT2848" s="11"/>
      <c r="AU2848" s="38"/>
    </row>
    <row r="2849" spans="15:47" ht="14" x14ac:dyDescent="0.3">
      <c r="O2849" s="8" t="s">
        <v>235</v>
      </c>
      <c r="P2849" s="6"/>
      <c r="Q2849" s="60"/>
      <c r="R2849" s="53">
        <f>R2838*1.02</f>
        <v>127.27231919919528</v>
      </c>
      <c r="S2849" s="58" t="s">
        <v>238</v>
      </c>
      <c r="T2849" s="73" t="s">
        <v>241</v>
      </c>
      <c r="U2849" s="84">
        <f>U2838*1.01</f>
        <v>360.90474541883805</v>
      </c>
      <c r="V2849" s="58" t="s">
        <v>238</v>
      </c>
      <c r="W2849" s="73" t="s">
        <v>241</v>
      </c>
      <c r="X2849" s="84">
        <f>X2838*1.01</f>
        <v>866.31031474194594</v>
      </c>
      <c r="Y2849" s="58" t="s">
        <v>238</v>
      </c>
      <c r="Z2849" s="73" t="s">
        <v>241</v>
      </c>
      <c r="AA2849" s="84">
        <f>AA2838*1.01</f>
        <v>1654.1038833280445</v>
      </c>
      <c r="AB2849" s="58" t="s">
        <v>238</v>
      </c>
      <c r="AC2849" s="73" t="s">
        <v>241</v>
      </c>
      <c r="AD2849" s="84">
        <f>AD2838*1.01</f>
        <v>2720.3918831568421</v>
      </c>
      <c r="AE2849" s="58" t="s">
        <v>238</v>
      </c>
      <c r="AF2849" s="73" t="s">
        <v>241</v>
      </c>
      <c r="AG2849" s="84">
        <f>AG2838*1.01</f>
        <v>4050.2928159799885</v>
      </c>
      <c r="AH2849" s="58" t="s">
        <v>238</v>
      </c>
      <c r="AI2849" s="73" t="s">
        <v>241</v>
      </c>
      <c r="AJ2849" s="84">
        <f>AJ2838*1.01</f>
        <v>5405.1314641577119</v>
      </c>
      <c r="AK2849" s="58" t="s">
        <v>238</v>
      </c>
      <c r="AL2849" s="73" t="s">
        <v>241</v>
      </c>
      <c r="AM2849" s="84">
        <f>AM2838*1.01</f>
        <v>6595.2875771746094</v>
      </c>
      <c r="AN2849" s="58" t="s">
        <v>238</v>
      </c>
      <c r="AO2849" s="73" t="s">
        <v>241</v>
      </c>
      <c r="AP2849" s="84">
        <f>AP2838*1.01</f>
        <v>7656.9241288371386</v>
      </c>
      <c r="AQ2849" s="58" t="s">
        <v>238</v>
      </c>
      <c r="AR2849" s="73" t="s">
        <v>241</v>
      </c>
      <c r="AS2849" s="84">
        <f>AS2838*1.01</f>
        <v>8714.2938998170666</v>
      </c>
      <c r="AT2849" s="58" t="s">
        <v>238</v>
      </c>
      <c r="AU2849" s="73" t="s">
        <v>241</v>
      </c>
    </row>
    <row r="2850" spans="15:47" ht="13" x14ac:dyDescent="0.25">
      <c r="O2850" s="6"/>
      <c r="P2850" s="6"/>
      <c r="Q2850" s="60"/>
      <c r="R2850" s="70"/>
      <c r="S2850" s="63" t="s">
        <v>250</v>
      </c>
      <c r="T2850" s="71" t="s">
        <v>242</v>
      </c>
      <c r="U2850" s="61"/>
      <c r="V2850" s="63" t="s">
        <v>250</v>
      </c>
      <c r="W2850" s="71" t="s">
        <v>242</v>
      </c>
      <c r="X2850" s="61"/>
      <c r="Y2850" s="63" t="s">
        <v>250</v>
      </c>
      <c r="Z2850" s="71" t="s">
        <v>242</v>
      </c>
      <c r="AA2850" s="61"/>
      <c r="AB2850" s="63" t="s">
        <v>250</v>
      </c>
      <c r="AC2850" s="71" t="s">
        <v>242</v>
      </c>
      <c r="AD2850" s="61"/>
      <c r="AE2850" s="63" t="s">
        <v>250</v>
      </c>
      <c r="AF2850" s="71" t="s">
        <v>242</v>
      </c>
      <c r="AG2850" s="61"/>
      <c r="AH2850" s="63" t="s">
        <v>250</v>
      </c>
      <c r="AI2850" s="71" t="s">
        <v>242</v>
      </c>
      <c r="AJ2850" s="61"/>
      <c r="AK2850" s="63" t="s">
        <v>250</v>
      </c>
      <c r="AL2850" s="71" t="s">
        <v>242</v>
      </c>
      <c r="AM2850" s="61"/>
      <c r="AN2850" s="63" t="s">
        <v>250</v>
      </c>
      <c r="AO2850" s="71" t="s">
        <v>242</v>
      </c>
      <c r="AP2850" s="61"/>
      <c r="AQ2850" s="63" t="s">
        <v>250</v>
      </c>
      <c r="AR2850" s="71" t="s">
        <v>242</v>
      </c>
      <c r="AS2850" s="61"/>
      <c r="AT2850" s="63" t="s">
        <v>250</v>
      </c>
      <c r="AU2850" s="71" t="s">
        <v>242</v>
      </c>
    </row>
    <row r="2851" spans="15:47" ht="13" x14ac:dyDescent="0.3">
      <c r="O2851" s="6" t="s">
        <v>231</v>
      </c>
      <c r="P2851" s="6"/>
      <c r="Q2851" s="60"/>
      <c r="R2851" s="85">
        <f>P_1_minQ-(R2849^2*R_up)+dpup_minQ</f>
        <v>56.369090063007704</v>
      </c>
      <c r="S2851" s="56"/>
      <c r="T2851" s="72"/>
      <c r="U2851" s="53">
        <f>P_1_minQ-(U2849^2*R_up)+dpup_minQ</f>
        <v>52.517215965355071</v>
      </c>
      <c r="V2851" s="44"/>
      <c r="W2851" s="72"/>
      <c r="X2851" s="53">
        <f>P_1_minQ-(X2849^2*R_up)+dpup_minQ</f>
        <v>31.570193805191174</v>
      </c>
      <c r="Y2851" s="44"/>
      <c r="Z2851" s="72"/>
      <c r="AA2851" s="53">
        <f>P_1_minQ-(AA2849^2*R_up)+dpup_minQ</f>
        <v>-35.48708736375945</v>
      </c>
      <c r="AB2851" s="44"/>
      <c r="AC2851" s="72"/>
      <c r="AD2851" s="53">
        <f>P_1_minQ-(AD2849^2*R_up)+dpup_minQ</f>
        <v>-193.01739270333101</v>
      </c>
      <c r="AE2851" s="44"/>
      <c r="AF2851" s="72"/>
      <c r="AG2851" s="53">
        <f>P_1_minQ-(AG2849^2*R_up)+dpup_minQ</f>
        <v>-497.11532911783542</v>
      </c>
      <c r="AH2851" s="44"/>
      <c r="AI2851" s="72"/>
      <c r="AJ2851" s="53">
        <f>P_1_minQ-(AJ2849^2*R_up)+dpup_minQ</f>
        <v>-929.7588363670277</v>
      </c>
      <c r="AK2851" s="44"/>
      <c r="AL2851" s="72"/>
      <c r="AM2851" s="53">
        <f>P_1_minQ-(AM2849^2*R_up)+dpup_minQ</f>
        <v>-1412.1084507137364</v>
      </c>
      <c r="AN2851" s="44"/>
      <c r="AO2851" s="72"/>
      <c r="AP2851" s="53">
        <f>P_1_minQ-(AP2849^2*R_up)+dpup_minQ</f>
        <v>-1923.1070623022079</v>
      </c>
      <c r="AQ2851" s="44"/>
      <c r="AR2851" s="72"/>
      <c r="AS2851" s="53">
        <f>P_1_minQ-(AS2849^2*R_up)+dpup_minQ</f>
        <v>-2507.7214175072259</v>
      </c>
      <c r="AT2851" s="44"/>
      <c r="AU2851" s="72"/>
    </row>
    <row r="2852" spans="15:47" ht="13" x14ac:dyDescent="0.3">
      <c r="O2852" s="6" t="s">
        <v>233</v>
      </c>
      <c r="P2852" s="6"/>
      <c r="Q2852" s="60"/>
      <c r="R2852" s="85">
        <f>P_2_minQ+(R2849^2*R_dn)-dpdn_minQ</f>
        <v>24.766181987398461</v>
      </c>
      <c r="S2852" s="66"/>
      <c r="T2852" s="74"/>
      <c r="U2852" s="53">
        <f>P_2_minQ+(U2849^2*R_dn)-dpdn_minQ</f>
        <v>25.536556806928989</v>
      </c>
      <c r="V2852" s="45"/>
      <c r="W2852" s="74"/>
      <c r="X2852" s="53">
        <f>P_2_minQ+(X2849^2*R_dn)-dpdn_minQ</f>
        <v>29.725961238961766</v>
      </c>
      <c r="Y2852" s="45"/>
      <c r="Z2852" s="74"/>
      <c r="AA2852" s="53">
        <f>P_2_minQ+(AA2849^2*R_dn)-dpdn_minQ</f>
        <v>43.137417472751892</v>
      </c>
      <c r="AB2852" s="45"/>
      <c r="AC2852" s="74"/>
      <c r="AD2852" s="53">
        <f>P_2_minQ+(AD2849^2*R_dn)-dpdn_minQ</f>
        <v>74.643478540666194</v>
      </c>
      <c r="AE2852" s="45"/>
      <c r="AF2852" s="74"/>
      <c r="AG2852" s="53">
        <f>P_2_minQ+(AG2849^2*R_dn)-dpdn_minQ</f>
        <v>135.46306582356706</v>
      </c>
      <c r="AH2852" s="45"/>
      <c r="AI2852" s="74"/>
      <c r="AJ2852" s="53">
        <f>P_2_minQ+(AJ2849^2*R_dn)-dpdn_minQ</f>
        <v>221.99176727340554</v>
      </c>
      <c r="AK2852" s="45"/>
      <c r="AL2852" s="74"/>
      <c r="AM2852" s="53">
        <f>P_2_minQ+(AM2849^2*R_dn)-dpdn_minQ</f>
        <v>318.46169014274722</v>
      </c>
      <c r="AN2852" s="45"/>
      <c r="AO2852" s="74"/>
      <c r="AP2852" s="53">
        <f>P_2_minQ+(AP2849^2*R_dn)-dpdn_minQ</f>
        <v>420.66141246044151</v>
      </c>
      <c r="AQ2852" s="45"/>
      <c r="AR2852" s="74"/>
      <c r="AS2852" s="53">
        <f>P_2_minQ+(AS2849^2*R_dn)-dpdn_minQ</f>
        <v>537.58428350144504</v>
      </c>
      <c r="AT2852" s="45"/>
      <c r="AU2852" s="74"/>
    </row>
    <row r="2853" spans="15:47" x14ac:dyDescent="0.25">
      <c r="O2853" s="6" t="s">
        <v>243</v>
      </c>
      <c r="Q2853" s="60"/>
      <c r="R2853" s="53">
        <f>R2851-R2852</f>
        <v>31.602908075609243</v>
      </c>
      <c r="S2853" s="56"/>
      <c r="T2853" s="72"/>
      <c r="U2853" s="64">
        <f>U2851-U2852</f>
        <v>26.980659158426082</v>
      </c>
      <c r="V2853" s="44"/>
      <c r="W2853" s="72"/>
      <c r="X2853" s="64">
        <f>X2851-X2852</f>
        <v>1.8442325662294081</v>
      </c>
      <c r="Y2853" s="44"/>
      <c r="Z2853" s="72"/>
      <c r="AA2853" s="64">
        <f>AA2851-AA2852</f>
        <v>-78.624504836511335</v>
      </c>
      <c r="AB2853" s="44"/>
      <c r="AC2853" s="72"/>
      <c r="AD2853" s="64">
        <f>AD2851-AD2852</f>
        <v>-267.66087124399724</v>
      </c>
      <c r="AE2853" s="44"/>
      <c r="AF2853" s="72"/>
      <c r="AG2853" s="64">
        <f>AG2851-AG2852</f>
        <v>-632.57839494140251</v>
      </c>
      <c r="AH2853" s="44"/>
      <c r="AI2853" s="72"/>
      <c r="AJ2853" s="64">
        <f>AJ2851-AJ2852</f>
        <v>-1151.7506036404332</v>
      </c>
      <c r="AK2853" s="44"/>
      <c r="AL2853" s="72"/>
      <c r="AM2853" s="64">
        <f>AM2851-AM2852</f>
        <v>-1730.5701408564837</v>
      </c>
      <c r="AN2853" s="44"/>
      <c r="AO2853" s="72"/>
      <c r="AP2853" s="64">
        <f>AP2851-AP2852</f>
        <v>-2343.7684747626495</v>
      </c>
      <c r="AQ2853" s="44"/>
      <c r="AR2853" s="72"/>
      <c r="AS2853" s="64">
        <f>AS2851-AS2852</f>
        <v>-3045.3057010086709</v>
      </c>
      <c r="AT2853" s="44"/>
      <c r="AU2853" s="72"/>
    </row>
    <row r="2854" spans="15:47" ht="13" x14ac:dyDescent="0.3">
      <c r="O2854" s="6" t="s">
        <v>75</v>
      </c>
      <c r="P2854" s="6">
        <v>3</v>
      </c>
      <c r="Q2854" s="65"/>
      <c r="R2854" s="85">
        <f>(F_LP_h/F_P_h)^2*(R2851-('Valve Sizing'!$V$4*'Valve Sizing'!$G$7))</f>
        <v>46.312174533752739</v>
      </c>
      <c r="S2854" s="58"/>
      <c r="T2854" s="73"/>
      <c r="U2854" s="53">
        <f>(U$29/U$27)^2*(U2851-('Valve Sizing'!$V$4*'Valve Sizing'!$G$7))</f>
        <v>43.11086715133532</v>
      </c>
      <c r="V2854" s="41"/>
      <c r="W2854" s="73"/>
      <c r="X2854" s="53">
        <f>(X$29/X$27)^2*(X2851-('Valve Sizing'!$V$4*'Valve Sizing'!$G$7))</f>
        <v>25.189060630099551</v>
      </c>
      <c r="Y2854" s="41"/>
      <c r="Z2854" s="73"/>
      <c r="AA2854" s="53">
        <f>(AA$29/AA$27)^2*(AA2851-('Valve Sizing'!$V$4*'Valve Sizing'!$G$7))</f>
        <v>-27.764397852443938</v>
      </c>
      <c r="AB2854" s="41"/>
      <c r="AC2854" s="73"/>
      <c r="AD2854" s="53">
        <f>(AD$29/AD$27)^2*(AD2851-('Valve Sizing'!$V$4*'Valve Sizing'!$G$7))</f>
        <v>-139.51907703281222</v>
      </c>
      <c r="AE2854" s="41"/>
      <c r="AF2854" s="73"/>
      <c r="AG2854" s="53">
        <f>(AG$29/AG$27)^2*(AG2851-('Valve Sizing'!$V$4*'Valve Sizing'!$G$7))</f>
        <v>-320.44753723860345</v>
      </c>
      <c r="AH2854" s="41"/>
      <c r="AI2854" s="73"/>
      <c r="AJ2854" s="53">
        <f>(AJ$29/AJ$27)^2*(AJ2851-('Valve Sizing'!$V$4*'Valve Sizing'!$G$7))</f>
        <v>-537.99386507030817</v>
      </c>
      <c r="AK2854" s="41"/>
      <c r="AL2854" s="73"/>
      <c r="AM2854" s="53">
        <f>(AM$29/AM$27)^2*(AM2851-('Valve Sizing'!$V$4*'Valve Sizing'!$G$7))</f>
        <v>-675.86512080276088</v>
      </c>
      <c r="AN2854" s="41"/>
      <c r="AO2854" s="73"/>
      <c r="AP2854" s="53">
        <f>(AP$29/AP$27)^2*(AP2851-('Valve Sizing'!$V$4*'Valve Sizing'!$G$7))</f>
        <v>-759.08329722860867</v>
      </c>
      <c r="AQ2854" s="41"/>
      <c r="AR2854" s="73"/>
      <c r="AS2854" s="53">
        <f>(AS$29/AS$27)^2*(AS2851-('Valve Sizing'!$V$4*'Valve Sizing'!$G$7))</f>
        <v>-943.42184901337782</v>
      </c>
      <c r="AT2854" s="41"/>
      <c r="AU2854" s="73"/>
    </row>
    <row r="2855" spans="15:47" ht="13" x14ac:dyDescent="0.25">
      <c r="O2855" s="1" t="s">
        <v>69</v>
      </c>
      <c r="P2855" s="17">
        <v>7</v>
      </c>
      <c r="Q2855" s="65"/>
      <c r="R2855" s="53">
        <f>(R2849/(N_1*F_P_h))*SQRT('Valve Sizing'!$G$6/R2853)</f>
        <v>22.642999800327832</v>
      </c>
      <c r="S2855" s="58"/>
      <c r="T2855" s="73"/>
      <c r="U2855" s="64">
        <f>(U2849/(N_1*U$27))*SQRT('Valve Sizing'!$G$6/U2853)</f>
        <v>69.539567475841409</v>
      </c>
      <c r="V2855" s="41"/>
      <c r="W2855" s="73"/>
      <c r="X2855" s="64">
        <f>(X2849/(N_1*X$27))*SQRT('Valve Sizing'!$G$6/X2853)</f>
        <v>639.89093777814639</v>
      </c>
      <c r="Y2855" s="41"/>
      <c r="Z2855" s="73"/>
      <c r="AA2855" s="64" t="e">
        <f>(AA2849/(N_1*AA$27))*SQRT('Valve Sizing'!$G$6/AA2853)</f>
        <v>#NUM!</v>
      </c>
      <c r="AB2855" s="41"/>
      <c r="AC2855" s="73"/>
      <c r="AD2855" s="64" t="e">
        <f>(AD2849/(N_1*AD$27))*SQRT('Valve Sizing'!$G$6/AD2853)</f>
        <v>#NUM!</v>
      </c>
      <c r="AE2855" s="41"/>
      <c r="AF2855" s="73"/>
      <c r="AG2855" s="64" t="e">
        <f>(AG2849/(N_1*AG$27))*SQRT('Valve Sizing'!$G$6/AG2853)</f>
        <v>#NUM!</v>
      </c>
      <c r="AH2855" s="41"/>
      <c r="AI2855" s="73"/>
      <c r="AJ2855" s="64" t="e">
        <f>(AJ2849/(N_1*AJ$27))*SQRT('Valve Sizing'!$G$6/AJ2853)</f>
        <v>#NUM!</v>
      </c>
      <c r="AK2855" s="41"/>
      <c r="AL2855" s="73"/>
      <c r="AM2855" s="64" t="e">
        <f>(AM2849/(N_1*AM$27))*SQRT('Valve Sizing'!$G$6/AM2853)</f>
        <v>#NUM!</v>
      </c>
      <c r="AN2855" s="41"/>
      <c r="AO2855" s="73"/>
      <c r="AP2855" s="64" t="e">
        <f>(AP2849/(N_1*AP$27))*SQRT('Valve Sizing'!$G$6/AP2853)</f>
        <v>#NUM!</v>
      </c>
      <c r="AQ2855" s="41"/>
      <c r="AR2855" s="73"/>
      <c r="AS2855" s="64" t="e">
        <f>(AS2849/(N_1*AS$27))*SQRT('Valve Sizing'!$G$6/AS2853)</f>
        <v>#NUM!</v>
      </c>
      <c r="AT2855" s="41"/>
      <c r="AU2855" s="73"/>
    </row>
    <row r="2856" spans="15:47" ht="13" x14ac:dyDescent="0.3">
      <c r="O2856" s="1" t="s">
        <v>72</v>
      </c>
      <c r="P2856" s="17">
        <v>7</v>
      </c>
      <c r="Q2856" s="65"/>
      <c r="R2856" s="53">
        <f>(R2849/(N_1*F_P_h))*SQRT('Valve Sizing'!$G$6/R2854)</f>
        <v>18.704663520571501</v>
      </c>
      <c r="S2856" s="56"/>
      <c r="T2856" s="72"/>
      <c r="U2856" s="85">
        <f>(U2849/(N_1*U$27))*SQRT('Valve Sizing'!$G$6/U2854)</f>
        <v>55.012943614630402</v>
      </c>
      <c r="V2856" s="44"/>
      <c r="W2856" s="72"/>
      <c r="X2856" s="85">
        <f>(X2849/(N_1*X$27))*SQRT('Valve Sizing'!$G$6/X2854)</f>
        <v>173.14414779630056</v>
      </c>
      <c r="Y2856" s="44"/>
      <c r="Z2856" s="72"/>
      <c r="AA2856" s="85" t="e">
        <f>(AA2849/(N_1*AA$27))*SQRT('Valve Sizing'!$G$6/AA2854)</f>
        <v>#NUM!</v>
      </c>
      <c r="AB2856" s="44"/>
      <c r="AC2856" s="72"/>
      <c r="AD2856" s="85" t="e">
        <f>(AD2849/(N_1*AD$27))*SQRT('Valve Sizing'!$G$6/AD2854)</f>
        <v>#NUM!</v>
      </c>
      <c r="AE2856" s="44"/>
      <c r="AF2856" s="72"/>
      <c r="AG2856" s="85" t="e">
        <f>(AG2849/(N_1*AG$27))*SQRT('Valve Sizing'!$G$6/AG2854)</f>
        <v>#NUM!</v>
      </c>
      <c r="AH2856" s="44"/>
      <c r="AI2856" s="72"/>
      <c r="AJ2856" s="85" t="e">
        <f>(AJ2849/(N_1*AJ$27))*SQRT('Valve Sizing'!$G$6/AJ2854)</f>
        <v>#NUM!</v>
      </c>
      <c r="AK2856" s="44"/>
      <c r="AL2856" s="72"/>
      <c r="AM2856" s="85" t="e">
        <f>(AM2849/(N_1*AM$27))*SQRT('Valve Sizing'!$G$6/AM2854)</f>
        <v>#NUM!</v>
      </c>
      <c r="AN2856" s="44"/>
      <c r="AO2856" s="72"/>
      <c r="AP2856" s="85" t="e">
        <f>(AP2849/(N_1*AP$27))*SQRT('Valve Sizing'!$G$6/AP2854)</f>
        <v>#NUM!</v>
      </c>
      <c r="AQ2856" s="44"/>
      <c r="AR2856" s="72"/>
      <c r="AS2856" s="85" t="e">
        <f>(AS2849/(N_1*AS$27))*SQRT('Valve Sizing'!$G$6/AS2854)</f>
        <v>#NUM!</v>
      </c>
      <c r="AT2856" s="44"/>
      <c r="AU2856" s="72"/>
    </row>
    <row r="2857" spans="15:47" x14ac:dyDescent="0.25">
      <c r="O2857" s="1" t="s">
        <v>246</v>
      </c>
      <c r="P2857" s="18"/>
      <c r="Q2857" s="65"/>
      <c r="R2857" s="53">
        <f>IF(R2853&lt;R2854,R2855,R2856)</f>
        <v>22.642999800327832</v>
      </c>
      <c r="S2857" s="49"/>
      <c r="T2857" s="72"/>
      <c r="U2857" s="64">
        <f>IF(U2853&lt;U2854,U2855,U2856)</f>
        <v>69.539567475841409</v>
      </c>
      <c r="V2857" s="44"/>
      <c r="W2857" s="72"/>
      <c r="X2857" s="64">
        <f>IF(X2853&lt;X2854,X2855,X2856)</f>
        <v>639.89093777814639</v>
      </c>
      <c r="Y2857" s="44"/>
      <c r="Z2857" s="72"/>
      <c r="AA2857" s="64" t="e">
        <f>IF(AA2853&lt;AA2854,AA2855,AA2856)</f>
        <v>#NUM!</v>
      </c>
      <c r="AB2857" s="44"/>
      <c r="AC2857" s="72"/>
      <c r="AD2857" s="64" t="e">
        <f>IF(AD2853&lt;AD2854,AD2855,AD2856)</f>
        <v>#NUM!</v>
      </c>
      <c r="AE2857" s="44"/>
      <c r="AF2857" s="72"/>
      <c r="AG2857" s="64" t="e">
        <f>IF(AG2853&lt;AG2854,AG2855,AG2856)</f>
        <v>#NUM!</v>
      </c>
      <c r="AH2857" s="44"/>
      <c r="AI2857" s="72"/>
      <c r="AJ2857" s="64" t="e">
        <f>IF(AJ2853&lt;AJ2854,AJ2855,AJ2856)</f>
        <v>#NUM!</v>
      </c>
      <c r="AK2857" s="44"/>
      <c r="AL2857" s="72"/>
      <c r="AM2857" s="64" t="e">
        <f>IF(AM2853&lt;AM2854,AM2855,AM2856)</f>
        <v>#NUM!</v>
      </c>
      <c r="AN2857" s="44"/>
      <c r="AO2857" s="72"/>
      <c r="AP2857" s="64" t="e">
        <f>IF(AP2853&lt;AP2854,AP2855,AP2856)</f>
        <v>#NUM!</v>
      </c>
      <c r="AQ2857" s="44"/>
      <c r="AR2857" s="72"/>
      <c r="AS2857" s="64" t="e">
        <f>IF(AS2853&lt;AS2854,AS2855,AS2856)</f>
        <v>#NUM!</v>
      </c>
      <c r="AT2857" s="44"/>
      <c r="AU2857" s="72"/>
    </row>
    <row r="2858" spans="15:47" ht="13" x14ac:dyDescent="0.3">
      <c r="O2858" s="7" t="s">
        <v>264</v>
      </c>
      <c r="Q2858" s="61"/>
      <c r="R2858" s="53"/>
      <c r="S2858" s="69">
        <f>IFERROR(ABS(C_h-R2857),Q_max*10)</f>
        <v>17.642999800327832</v>
      </c>
      <c r="T2858" s="76">
        <f>R2849</f>
        <v>127.27231919919528</v>
      </c>
      <c r="U2858" s="61"/>
      <c r="V2858" s="69">
        <f>IFERROR(ABS(U$23-U2857),Q_max*10)</f>
        <v>57.539567475841409</v>
      </c>
      <c r="W2858" s="75">
        <f>U2849</f>
        <v>360.90474541883805</v>
      </c>
      <c r="X2858" s="61"/>
      <c r="Y2858" s="69">
        <f>IFERROR(ABS(X$23-X2857),Q_max*10)</f>
        <v>616.89093777814639</v>
      </c>
      <c r="Z2858" s="75">
        <f>X2849</f>
        <v>866.31031474194594</v>
      </c>
      <c r="AA2858" s="61"/>
      <c r="AB2858" s="69">
        <f>IFERROR(ABS(AA$23-AA2857),Q_max*10)</f>
        <v>5500</v>
      </c>
      <c r="AC2858" s="75">
        <f>AA2849</f>
        <v>1654.1038833280445</v>
      </c>
      <c r="AD2858" s="61"/>
      <c r="AE2858" s="69">
        <f>IFERROR(ABS(AD$23-AD2857),Q_max*10)</f>
        <v>5500</v>
      </c>
      <c r="AF2858" s="75">
        <f>AD2849</f>
        <v>2720.3918831568421</v>
      </c>
      <c r="AG2858" s="61"/>
      <c r="AH2858" s="69">
        <f>IFERROR(ABS(AG$23-AG2857),Q_max*10)</f>
        <v>5500</v>
      </c>
      <c r="AI2858" s="75">
        <f>AG2849</f>
        <v>4050.2928159799885</v>
      </c>
      <c r="AJ2858" s="61"/>
      <c r="AK2858" s="69">
        <f>IFERROR(ABS(AJ$23-AJ2857),Q_max*10)</f>
        <v>5500</v>
      </c>
      <c r="AL2858" s="75">
        <f>AJ2849</f>
        <v>5405.1314641577119</v>
      </c>
      <c r="AM2858" s="61"/>
      <c r="AN2858" s="69">
        <f>IFERROR(ABS(AM$23-AM2857),Q_max*10)</f>
        <v>5500</v>
      </c>
      <c r="AO2858" s="75">
        <f>AM2849</f>
        <v>6595.2875771746094</v>
      </c>
      <c r="AP2858" s="61"/>
      <c r="AQ2858" s="69">
        <f>IFERROR(ABS(AP$23-AP2857),Q_max*10)</f>
        <v>5500</v>
      </c>
      <c r="AR2858" s="75">
        <f>AP2849</f>
        <v>7656.9241288371386</v>
      </c>
      <c r="AS2858" s="61"/>
      <c r="AT2858" s="69">
        <f>IFERROR(ABS(AS$23-AS2857),Q_max*10)</f>
        <v>5500</v>
      </c>
      <c r="AU2858" s="75">
        <f>AS2849</f>
        <v>8714.2938998170666</v>
      </c>
    </row>
    <row r="2859" spans="15:47" ht="14.5" x14ac:dyDescent="0.35">
      <c r="O2859" s="6"/>
      <c r="P2859" s="6"/>
      <c r="Q2859" s="60"/>
      <c r="R2859" s="67"/>
      <c r="S2859" s="56"/>
      <c r="T2859" s="72"/>
      <c r="V2859" s="11"/>
      <c r="W2859" s="38"/>
      <c r="Y2859" s="11"/>
      <c r="Z2859" s="38"/>
      <c r="AB2859" s="11"/>
      <c r="AC2859" s="38"/>
      <c r="AE2859" s="11"/>
      <c r="AF2859" s="38"/>
      <c r="AH2859" s="11"/>
      <c r="AI2859" s="38"/>
      <c r="AK2859" s="11"/>
      <c r="AL2859" s="38"/>
      <c r="AN2859" s="11"/>
      <c r="AO2859" s="38"/>
      <c r="AQ2859" s="11"/>
      <c r="AR2859" s="38"/>
      <c r="AT2859" s="11"/>
      <c r="AU2859" s="38"/>
    </row>
    <row r="2860" spans="15:47" ht="14" x14ac:dyDescent="0.3">
      <c r="O2860" s="8" t="s">
        <v>235</v>
      </c>
      <c r="P2860" s="6"/>
      <c r="Q2860" s="60"/>
      <c r="R2860" s="53">
        <f>R2849*1.02</f>
        <v>129.81776558317918</v>
      </c>
      <c r="S2860" s="58" t="s">
        <v>238</v>
      </c>
      <c r="T2860" s="73" t="s">
        <v>241</v>
      </c>
      <c r="U2860" s="84">
        <f>U2849*1.01</f>
        <v>364.51379287302643</v>
      </c>
      <c r="V2860" s="58" t="s">
        <v>238</v>
      </c>
      <c r="W2860" s="73" t="s">
        <v>241</v>
      </c>
      <c r="X2860" s="84">
        <f>X2849*1.01</f>
        <v>874.97341788936546</v>
      </c>
      <c r="Y2860" s="58" t="s">
        <v>238</v>
      </c>
      <c r="Z2860" s="73" t="s">
        <v>241</v>
      </c>
      <c r="AA2860" s="84">
        <f>AA2849*1.01</f>
        <v>1670.644922161325</v>
      </c>
      <c r="AB2860" s="58" t="s">
        <v>238</v>
      </c>
      <c r="AC2860" s="73" t="s">
        <v>241</v>
      </c>
      <c r="AD2860" s="84">
        <f>AD2849*1.01</f>
        <v>2747.5958019884106</v>
      </c>
      <c r="AE2860" s="58" t="s">
        <v>238</v>
      </c>
      <c r="AF2860" s="73" t="s">
        <v>241</v>
      </c>
      <c r="AG2860" s="84">
        <f>AG2849*1.01</f>
        <v>4090.7957441397884</v>
      </c>
      <c r="AH2860" s="58" t="s">
        <v>238</v>
      </c>
      <c r="AI2860" s="73" t="s">
        <v>241</v>
      </c>
      <c r="AJ2860" s="84">
        <f>AJ2849*1.01</f>
        <v>5459.1827787992888</v>
      </c>
      <c r="AK2860" s="58" t="s">
        <v>238</v>
      </c>
      <c r="AL2860" s="73" t="s">
        <v>241</v>
      </c>
      <c r="AM2860" s="84">
        <f>AM2849*1.01</f>
        <v>6661.2404529463556</v>
      </c>
      <c r="AN2860" s="58" t="s">
        <v>238</v>
      </c>
      <c r="AO2860" s="73" t="s">
        <v>241</v>
      </c>
      <c r="AP2860" s="84">
        <f>AP2849*1.01</f>
        <v>7733.4933701255104</v>
      </c>
      <c r="AQ2860" s="58" t="s">
        <v>238</v>
      </c>
      <c r="AR2860" s="73" t="s">
        <v>241</v>
      </c>
      <c r="AS2860" s="84">
        <f>AS2849*1.01</f>
        <v>8801.4368388152379</v>
      </c>
      <c r="AT2860" s="58" t="s">
        <v>238</v>
      </c>
      <c r="AU2860" s="73" t="s">
        <v>241</v>
      </c>
    </row>
    <row r="2861" spans="15:47" ht="13" x14ac:dyDescent="0.25">
      <c r="O2861" s="6"/>
      <c r="P2861" s="6"/>
      <c r="Q2861" s="60"/>
      <c r="R2861" s="70"/>
      <c r="S2861" s="63" t="s">
        <v>250</v>
      </c>
      <c r="T2861" s="71" t="s">
        <v>242</v>
      </c>
      <c r="U2861" s="61"/>
      <c r="V2861" s="63" t="s">
        <v>250</v>
      </c>
      <c r="W2861" s="71" t="s">
        <v>242</v>
      </c>
      <c r="X2861" s="61"/>
      <c r="Y2861" s="63" t="s">
        <v>250</v>
      </c>
      <c r="Z2861" s="71" t="s">
        <v>242</v>
      </c>
      <c r="AA2861" s="61"/>
      <c r="AB2861" s="63" t="s">
        <v>250</v>
      </c>
      <c r="AC2861" s="71" t="s">
        <v>242</v>
      </c>
      <c r="AD2861" s="61"/>
      <c r="AE2861" s="63" t="s">
        <v>250</v>
      </c>
      <c r="AF2861" s="71" t="s">
        <v>242</v>
      </c>
      <c r="AG2861" s="61"/>
      <c r="AH2861" s="63" t="s">
        <v>250</v>
      </c>
      <c r="AI2861" s="71" t="s">
        <v>242</v>
      </c>
      <c r="AJ2861" s="61"/>
      <c r="AK2861" s="63" t="s">
        <v>250</v>
      </c>
      <c r="AL2861" s="71" t="s">
        <v>242</v>
      </c>
      <c r="AM2861" s="61"/>
      <c r="AN2861" s="63" t="s">
        <v>250</v>
      </c>
      <c r="AO2861" s="71" t="s">
        <v>242</v>
      </c>
      <c r="AP2861" s="61"/>
      <c r="AQ2861" s="63" t="s">
        <v>250</v>
      </c>
      <c r="AR2861" s="71" t="s">
        <v>242</v>
      </c>
      <c r="AS2861" s="61"/>
      <c r="AT2861" s="63" t="s">
        <v>250</v>
      </c>
      <c r="AU2861" s="71" t="s">
        <v>242</v>
      </c>
    </row>
    <row r="2862" spans="15:47" ht="13" x14ac:dyDescent="0.3">
      <c r="O2862" s="6" t="s">
        <v>231</v>
      </c>
      <c r="P2862" s="6"/>
      <c r="Q2862" s="60"/>
      <c r="R2862" s="85">
        <f>P_1_minQ-(R2860^2*R_up)+dpup_minQ</f>
        <v>56.346989116480607</v>
      </c>
      <c r="S2862" s="56"/>
      <c r="T2862" s="72"/>
      <c r="U2862" s="53">
        <f>P_1_minQ-(U2860^2*R_up)+dpup_minQ</f>
        <v>52.428797528041891</v>
      </c>
      <c r="V2862" s="44"/>
      <c r="W2862" s="72"/>
      <c r="X2862" s="53">
        <f>P_1_minQ-(X2860^2*R_up)+dpup_minQ</f>
        <v>31.060740222458691</v>
      </c>
      <c r="Y2862" s="44"/>
      <c r="Z2862" s="72"/>
      <c r="AA2862" s="53">
        <f>P_1_minQ-(AA2860^2*R_up)+dpup_minQ</f>
        <v>-37.344392297987831</v>
      </c>
      <c r="AB2862" s="44"/>
      <c r="AC2862" s="72"/>
      <c r="AD2862" s="53">
        <f>P_1_minQ-(AD2860^2*R_up)+dpup_minQ</f>
        <v>-198.04105677488477</v>
      </c>
      <c r="AE2862" s="44"/>
      <c r="AF2862" s="72"/>
      <c r="AG2862" s="53">
        <f>P_1_minQ-(AG2860^2*R_up)+dpup_minQ</f>
        <v>-508.25136171132073</v>
      </c>
      <c r="AH2862" s="44"/>
      <c r="AI2862" s="72"/>
      <c r="AJ2862" s="53">
        <f>P_1_minQ-(AJ2860^2*R_up)+dpup_minQ</f>
        <v>-949.59100345622176</v>
      </c>
      <c r="AK2862" s="44"/>
      <c r="AL2862" s="72"/>
      <c r="AM2862" s="53">
        <f>P_1_minQ-(AM2860^2*R_up)+dpup_minQ</f>
        <v>-1441.6358450512992</v>
      </c>
      <c r="AN2862" s="44"/>
      <c r="AO2862" s="72"/>
      <c r="AP2862" s="53">
        <f>P_1_minQ-(AP2860^2*R_up)+dpup_minQ</f>
        <v>-1962.9055287326994</v>
      </c>
      <c r="AQ2862" s="44"/>
      <c r="AR2862" s="72"/>
      <c r="AS2862" s="53">
        <f>P_1_minQ-(AS2860^2*R_up)+dpup_minQ</f>
        <v>-2559.270632477338</v>
      </c>
      <c r="AT2862" s="44"/>
      <c r="AU2862" s="72"/>
    </row>
    <row r="2863" spans="15:47" ht="13" x14ac:dyDescent="0.3">
      <c r="O2863" s="6" t="s">
        <v>233</v>
      </c>
      <c r="P2863" s="6"/>
      <c r="Q2863" s="60"/>
      <c r="R2863" s="85">
        <f>P_2_minQ+(R2860^2*R_dn)-dpdn_minQ</f>
        <v>24.770602176703878</v>
      </c>
      <c r="S2863" s="66"/>
      <c r="T2863" s="74"/>
      <c r="U2863" s="53">
        <f>P_2_minQ+(U2860^2*R_dn)-dpdn_minQ</f>
        <v>25.554240494391625</v>
      </c>
      <c r="V2863" s="45"/>
      <c r="W2863" s="74"/>
      <c r="X2863" s="53">
        <f>P_2_minQ+(X2860^2*R_dn)-dpdn_minQ</f>
        <v>29.827851955508262</v>
      </c>
      <c r="Y2863" s="45"/>
      <c r="Z2863" s="74"/>
      <c r="AA2863" s="53">
        <f>P_2_minQ+(AA2860^2*R_dn)-dpdn_minQ</f>
        <v>43.508878459597568</v>
      </c>
      <c r="AB2863" s="45"/>
      <c r="AC2863" s="74"/>
      <c r="AD2863" s="53">
        <f>P_2_minQ+(AD2860^2*R_dn)-dpdn_minQ</f>
        <v>75.648211354976951</v>
      </c>
      <c r="AE2863" s="45"/>
      <c r="AF2863" s="74"/>
      <c r="AG2863" s="53">
        <f>P_2_minQ+(AG2860^2*R_dn)-dpdn_minQ</f>
        <v>137.69027234226414</v>
      </c>
      <c r="AH2863" s="45"/>
      <c r="AI2863" s="74"/>
      <c r="AJ2863" s="53">
        <f>P_2_minQ+(AJ2860^2*R_dn)-dpdn_minQ</f>
        <v>225.95820069124434</v>
      </c>
      <c r="AK2863" s="45"/>
      <c r="AL2863" s="74"/>
      <c r="AM2863" s="53">
        <f>P_2_minQ+(AM2860^2*R_dn)-dpdn_minQ</f>
        <v>324.36716901025977</v>
      </c>
      <c r="AN2863" s="45"/>
      <c r="AO2863" s="74"/>
      <c r="AP2863" s="53">
        <f>P_2_minQ+(AP2860^2*R_dn)-dpdn_minQ</f>
        <v>428.6211057465398</v>
      </c>
      <c r="AQ2863" s="45"/>
      <c r="AR2863" s="74"/>
      <c r="AS2863" s="53">
        <f>P_2_minQ+(AS2860^2*R_dn)-dpdn_minQ</f>
        <v>547.8941264954675</v>
      </c>
      <c r="AT2863" s="45"/>
      <c r="AU2863" s="74"/>
    </row>
    <row r="2864" spans="15:47" x14ac:dyDescent="0.25">
      <c r="O2864" s="6" t="s">
        <v>243</v>
      </c>
      <c r="Q2864" s="60"/>
      <c r="R2864" s="53">
        <f>R2862-R2863</f>
        <v>31.576386939776729</v>
      </c>
      <c r="S2864" s="56"/>
      <c r="T2864" s="72"/>
      <c r="U2864" s="64">
        <f>U2862-U2863</f>
        <v>26.874557033650266</v>
      </c>
      <c r="V2864" s="44"/>
      <c r="W2864" s="72"/>
      <c r="X2864" s="64">
        <f>X2862-X2863</f>
        <v>1.2328882669504289</v>
      </c>
      <c r="Y2864" s="44"/>
      <c r="Z2864" s="72"/>
      <c r="AA2864" s="64">
        <f>AA2862-AA2863</f>
        <v>-80.853270757585392</v>
      </c>
      <c r="AB2864" s="44"/>
      <c r="AC2864" s="72"/>
      <c r="AD2864" s="64">
        <f>AD2862-AD2863</f>
        <v>-273.68926812986172</v>
      </c>
      <c r="AE2864" s="44"/>
      <c r="AF2864" s="72"/>
      <c r="AG2864" s="64">
        <f>AG2862-AG2863</f>
        <v>-645.94163405358483</v>
      </c>
      <c r="AH2864" s="44"/>
      <c r="AI2864" s="72"/>
      <c r="AJ2864" s="64">
        <f>AJ2862-AJ2863</f>
        <v>-1175.5492041474661</v>
      </c>
      <c r="AK2864" s="44"/>
      <c r="AL2864" s="72"/>
      <c r="AM2864" s="64">
        <f>AM2862-AM2863</f>
        <v>-1766.003014061559</v>
      </c>
      <c r="AN2864" s="44"/>
      <c r="AO2864" s="72"/>
      <c r="AP2864" s="64">
        <f>AP2862-AP2863</f>
        <v>-2391.526634479239</v>
      </c>
      <c r="AQ2864" s="44"/>
      <c r="AR2864" s="72"/>
      <c r="AS2864" s="64">
        <f>AS2862-AS2863</f>
        <v>-3107.1647589728054</v>
      </c>
      <c r="AT2864" s="44"/>
      <c r="AU2864" s="72"/>
    </row>
    <row r="2865" spans="15:47" ht="13" x14ac:dyDescent="0.3">
      <c r="O2865" s="6" t="s">
        <v>75</v>
      </c>
      <c r="P2865" s="6">
        <v>3</v>
      </c>
      <c r="Q2865" s="65"/>
      <c r="R2865" s="85">
        <f>(F_LP_h/F_P_h)^2*(R2862-('Valve Sizing'!$V$4*'Valve Sizing'!$G$7))</f>
        <v>46.293873789950972</v>
      </c>
      <c r="S2865" s="58"/>
      <c r="T2865" s="73"/>
      <c r="U2865" s="53">
        <f>(U$29/U$27)^2*(U2862-('Valve Sizing'!$V$4*'Valve Sizing'!$G$7))</f>
        <v>43.037671999575259</v>
      </c>
      <c r="V2865" s="41"/>
      <c r="W2865" s="73"/>
      <c r="X2865" s="53">
        <f>(X$29/X$27)^2*(X2862-('Valve Sizing'!$V$4*'Valve Sizing'!$G$7))</f>
        <v>24.776834447486284</v>
      </c>
      <c r="Y2865" s="41"/>
      <c r="Z2865" s="73"/>
      <c r="AA2865" s="53">
        <f>(AA$29/AA$27)^2*(AA2862-('Valve Sizing'!$V$4*'Valve Sizing'!$G$7))</f>
        <v>-29.199717944821479</v>
      </c>
      <c r="AB2865" s="41"/>
      <c r="AC2865" s="73"/>
      <c r="AD2865" s="53">
        <f>(AD$29/AD$27)^2*(AD2862-('Valve Sizing'!$V$4*'Valve Sizing'!$G$7))</f>
        <v>-143.14208029909776</v>
      </c>
      <c r="AE2865" s="41"/>
      <c r="AF2865" s="73"/>
      <c r="AG2865" s="53">
        <f>(AG$29/AG$27)^2*(AG2862-('Valve Sizing'!$V$4*'Valve Sizing'!$G$7))</f>
        <v>-327.61963167061549</v>
      </c>
      <c r="AH2865" s="41"/>
      <c r="AI2865" s="73"/>
      <c r="AJ2865" s="53">
        <f>(AJ$29/AJ$27)^2*(AJ2862-('Valve Sizing'!$V$4*'Valve Sizing'!$G$7))</f>
        <v>-549.46408320692842</v>
      </c>
      <c r="AK2865" s="41"/>
      <c r="AL2865" s="73"/>
      <c r="AM2865" s="53">
        <f>(AM$29/AM$27)^2*(AM2862-('Valve Sizing'!$V$4*'Valve Sizing'!$G$7))</f>
        <v>-689.99315663481661</v>
      </c>
      <c r="AN2865" s="41"/>
      <c r="AO2865" s="73"/>
      <c r="AP2865" s="53">
        <f>(AP$29/AP$27)^2*(AP2862-('Valve Sizing'!$V$4*'Valve Sizing'!$G$7))</f>
        <v>-774.7888397698033</v>
      </c>
      <c r="AQ2865" s="41"/>
      <c r="AR2865" s="73"/>
      <c r="AS2865" s="53">
        <f>(AS$29/AS$27)^2*(AS2862-('Valve Sizing'!$V$4*'Valve Sizing'!$G$7))</f>
        <v>-962.81161166766424</v>
      </c>
      <c r="AT2865" s="41"/>
      <c r="AU2865" s="73"/>
    </row>
    <row r="2866" spans="15:47" ht="13" x14ac:dyDescent="0.25">
      <c r="O2866" s="1" t="s">
        <v>69</v>
      </c>
      <c r="P2866" s="17">
        <v>7</v>
      </c>
      <c r="Q2866" s="65"/>
      <c r="R2866" s="53">
        <f>(R2860/(N_1*F_P_h))*SQRT('Valve Sizing'!$G$6/R2864)</f>
        <v>23.105556913894073</v>
      </c>
      <c r="S2866" s="58"/>
      <c r="T2866" s="73"/>
      <c r="U2866" s="64">
        <f>(U2860/(N_1*U$27))*SQRT('Valve Sizing'!$G$6/U2864)</f>
        <v>70.373472187256723</v>
      </c>
      <c r="V2866" s="41"/>
      <c r="W2866" s="73"/>
      <c r="X2866" s="64">
        <f>(X2860/(N_1*X$27))*SQRT('Valve Sizing'!$G$6/X2864)</f>
        <v>790.44802202785502</v>
      </c>
      <c r="Y2866" s="41"/>
      <c r="Z2866" s="73"/>
      <c r="AA2866" s="64" t="e">
        <f>(AA2860/(N_1*AA$27))*SQRT('Valve Sizing'!$G$6/AA2864)</f>
        <v>#NUM!</v>
      </c>
      <c r="AB2866" s="41"/>
      <c r="AC2866" s="73"/>
      <c r="AD2866" s="64" t="e">
        <f>(AD2860/(N_1*AD$27))*SQRT('Valve Sizing'!$G$6/AD2864)</f>
        <v>#NUM!</v>
      </c>
      <c r="AE2866" s="41"/>
      <c r="AF2866" s="73"/>
      <c r="AG2866" s="64" t="e">
        <f>(AG2860/(N_1*AG$27))*SQRT('Valve Sizing'!$G$6/AG2864)</f>
        <v>#NUM!</v>
      </c>
      <c r="AH2866" s="41"/>
      <c r="AI2866" s="73"/>
      <c r="AJ2866" s="64" t="e">
        <f>(AJ2860/(N_1*AJ$27))*SQRT('Valve Sizing'!$G$6/AJ2864)</f>
        <v>#NUM!</v>
      </c>
      <c r="AK2866" s="41"/>
      <c r="AL2866" s="73"/>
      <c r="AM2866" s="64" t="e">
        <f>(AM2860/(N_1*AM$27))*SQRT('Valve Sizing'!$G$6/AM2864)</f>
        <v>#NUM!</v>
      </c>
      <c r="AN2866" s="41"/>
      <c r="AO2866" s="73"/>
      <c r="AP2866" s="64" t="e">
        <f>(AP2860/(N_1*AP$27))*SQRT('Valve Sizing'!$G$6/AP2864)</f>
        <v>#NUM!</v>
      </c>
      <c r="AQ2866" s="41"/>
      <c r="AR2866" s="73"/>
      <c r="AS2866" s="64" t="e">
        <f>(AS2860/(N_1*AS$27))*SQRT('Valve Sizing'!$G$6/AS2864)</f>
        <v>#NUM!</v>
      </c>
      <c r="AT2866" s="41"/>
      <c r="AU2866" s="73"/>
    </row>
    <row r="2867" spans="15:47" ht="13" x14ac:dyDescent="0.3">
      <c r="O2867" s="1" t="s">
        <v>72</v>
      </c>
      <c r="P2867" s="17">
        <v>7</v>
      </c>
      <c r="Q2867" s="65"/>
      <c r="R2867" s="53">
        <f>(R2860/(N_1*F_P_h))*SQRT('Valve Sizing'!$G$6/R2865)</f>
        <v>19.082527494442985</v>
      </c>
      <c r="S2867" s="56"/>
      <c r="T2867" s="72"/>
      <c r="U2867" s="85">
        <f>(U2860/(N_1*U$27))*SQRT('Valve Sizing'!$G$6/U2865)</f>
        <v>55.610301672313994</v>
      </c>
      <c r="V2867" s="44"/>
      <c r="W2867" s="72"/>
      <c r="X2867" s="85">
        <f>(X2860/(N_1*X$27))*SQRT('Valve Sizing'!$G$6/X2865)</f>
        <v>176.3243401633668</v>
      </c>
      <c r="Y2867" s="44"/>
      <c r="Z2867" s="72"/>
      <c r="AA2867" s="85" t="e">
        <f>(AA2860/(N_1*AA$27))*SQRT('Valve Sizing'!$G$6/AA2865)</f>
        <v>#NUM!</v>
      </c>
      <c r="AB2867" s="44"/>
      <c r="AC2867" s="72"/>
      <c r="AD2867" s="85" t="e">
        <f>(AD2860/(N_1*AD$27))*SQRT('Valve Sizing'!$G$6/AD2865)</f>
        <v>#NUM!</v>
      </c>
      <c r="AE2867" s="44"/>
      <c r="AF2867" s="72"/>
      <c r="AG2867" s="85" t="e">
        <f>(AG2860/(N_1*AG$27))*SQRT('Valve Sizing'!$G$6/AG2865)</f>
        <v>#NUM!</v>
      </c>
      <c r="AH2867" s="44"/>
      <c r="AI2867" s="72"/>
      <c r="AJ2867" s="85" t="e">
        <f>(AJ2860/(N_1*AJ$27))*SQRT('Valve Sizing'!$G$6/AJ2865)</f>
        <v>#NUM!</v>
      </c>
      <c r="AK2867" s="44"/>
      <c r="AL2867" s="72"/>
      <c r="AM2867" s="85" t="e">
        <f>(AM2860/(N_1*AM$27))*SQRT('Valve Sizing'!$G$6/AM2865)</f>
        <v>#NUM!</v>
      </c>
      <c r="AN2867" s="44"/>
      <c r="AO2867" s="72"/>
      <c r="AP2867" s="85" t="e">
        <f>(AP2860/(N_1*AP$27))*SQRT('Valve Sizing'!$G$6/AP2865)</f>
        <v>#NUM!</v>
      </c>
      <c r="AQ2867" s="44"/>
      <c r="AR2867" s="72"/>
      <c r="AS2867" s="85" t="e">
        <f>(AS2860/(N_1*AS$27))*SQRT('Valve Sizing'!$G$6/AS2865)</f>
        <v>#NUM!</v>
      </c>
      <c r="AT2867" s="44"/>
      <c r="AU2867" s="72"/>
    </row>
    <row r="2868" spans="15:47" x14ac:dyDescent="0.25">
      <c r="O2868" s="1" t="s">
        <v>246</v>
      </c>
      <c r="P2868" s="18"/>
      <c r="Q2868" s="65"/>
      <c r="R2868" s="53">
        <f>IF(R2864&lt;R2865,R2866,R2867)</f>
        <v>23.105556913894073</v>
      </c>
      <c r="S2868" s="49"/>
      <c r="T2868" s="72"/>
      <c r="U2868" s="64">
        <f>IF(U2864&lt;U2865,U2866,U2867)</f>
        <v>70.373472187256723</v>
      </c>
      <c r="V2868" s="44"/>
      <c r="W2868" s="72"/>
      <c r="X2868" s="64">
        <f>IF(X2864&lt;X2865,X2866,X2867)</f>
        <v>790.44802202785502</v>
      </c>
      <c r="Y2868" s="44"/>
      <c r="Z2868" s="72"/>
      <c r="AA2868" s="64" t="e">
        <f>IF(AA2864&lt;AA2865,AA2866,AA2867)</f>
        <v>#NUM!</v>
      </c>
      <c r="AB2868" s="44"/>
      <c r="AC2868" s="72"/>
      <c r="AD2868" s="64" t="e">
        <f>IF(AD2864&lt;AD2865,AD2866,AD2867)</f>
        <v>#NUM!</v>
      </c>
      <c r="AE2868" s="44"/>
      <c r="AF2868" s="72"/>
      <c r="AG2868" s="64" t="e">
        <f>IF(AG2864&lt;AG2865,AG2866,AG2867)</f>
        <v>#NUM!</v>
      </c>
      <c r="AH2868" s="44"/>
      <c r="AI2868" s="72"/>
      <c r="AJ2868" s="64" t="e">
        <f>IF(AJ2864&lt;AJ2865,AJ2866,AJ2867)</f>
        <v>#NUM!</v>
      </c>
      <c r="AK2868" s="44"/>
      <c r="AL2868" s="72"/>
      <c r="AM2868" s="64" t="e">
        <f>IF(AM2864&lt;AM2865,AM2866,AM2867)</f>
        <v>#NUM!</v>
      </c>
      <c r="AN2868" s="44"/>
      <c r="AO2868" s="72"/>
      <c r="AP2868" s="64" t="e">
        <f>IF(AP2864&lt;AP2865,AP2866,AP2867)</f>
        <v>#NUM!</v>
      </c>
      <c r="AQ2868" s="44"/>
      <c r="AR2868" s="72"/>
      <c r="AS2868" s="64" t="e">
        <f>IF(AS2864&lt;AS2865,AS2866,AS2867)</f>
        <v>#NUM!</v>
      </c>
      <c r="AT2868" s="44"/>
      <c r="AU2868" s="72"/>
    </row>
    <row r="2869" spans="15:47" ht="13" x14ac:dyDescent="0.3">
      <c r="O2869" s="7" t="s">
        <v>264</v>
      </c>
      <c r="Q2869" s="61"/>
      <c r="R2869" s="53"/>
      <c r="S2869" s="69">
        <f>IFERROR(ABS(C_h-R2868),Q_max*10)</f>
        <v>18.105556913894073</v>
      </c>
      <c r="T2869" s="76">
        <f>R2860</f>
        <v>129.81776558317918</v>
      </c>
      <c r="U2869" s="61"/>
      <c r="V2869" s="69">
        <f>IFERROR(ABS(U$23-U2868),Q_max*10)</f>
        <v>58.373472187256723</v>
      </c>
      <c r="W2869" s="75">
        <f>U2860</f>
        <v>364.51379287302643</v>
      </c>
      <c r="X2869" s="61"/>
      <c r="Y2869" s="69">
        <f>IFERROR(ABS(X$23-X2868),Q_max*10)</f>
        <v>767.44802202785502</v>
      </c>
      <c r="Z2869" s="75">
        <f>X2860</f>
        <v>874.97341788936546</v>
      </c>
      <c r="AA2869" s="61"/>
      <c r="AB2869" s="69">
        <f>IFERROR(ABS(AA$23-AA2868),Q_max*10)</f>
        <v>5500</v>
      </c>
      <c r="AC2869" s="75">
        <f>AA2860</f>
        <v>1670.644922161325</v>
      </c>
      <c r="AD2869" s="61"/>
      <c r="AE2869" s="69">
        <f>IFERROR(ABS(AD$23-AD2868),Q_max*10)</f>
        <v>5500</v>
      </c>
      <c r="AF2869" s="75">
        <f>AD2860</f>
        <v>2747.5958019884106</v>
      </c>
      <c r="AG2869" s="61"/>
      <c r="AH2869" s="69">
        <f>IFERROR(ABS(AG$23-AG2868),Q_max*10)</f>
        <v>5500</v>
      </c>
      <c r="AI2869" s="75">
        <f>AG2860</f>
        <v>4090.7957441397884</v>
      </c>
      <c r="AJ2869" s="61"/>
      <c r="AK2869" s="69">
        <f>IFERROR(ABS(AJ$23-AJ2868),Q_max*10)</f>
        <v>5500</v>
      </c>
      <c r="AL2869" s="75">
        <f>AJ2860</f>
        <v>5459.1827787992888</v>
      </c>
      <c r="AM2869" s="61"/>
      <c r="AN2869" s="69">
        <f>IFERROR(ABS(AM$23-AM2868),Q_max*10)</f>
        <v>5500</v>
      </c>
      <c r="AO2869" s="75">
        <f>AM2860</f>
        <v>6661.2404529463556</v>
      </c>
      <c r="AP2869" s="61"/>
      <c r="AQ2869" s="69">
        <f>IFERROR(ABS(AP$23-AP2868),Q_max*10)</f>
        <v>5500</v>
      </c>
      <c r="AR2869" s="75">
        <f>AP2860</f>
        <v>7733.4933701255104</v>
      </c>
      <c r="AS2869" s="61"/>
      <c r="AT2869" s="69">
        <f>IFERROR(ABS(AS$23-AS2868),Q_max*10)</f>
        <v>5500</v>
      </c>
      <c r="AU2869" s="75">
        <f>AS2860</f>
        <v>8801.4368388152379</v>
      </c>
    </row>
    <row r="2870" spans="15:47" ht="14.5" x14ac:dyDescent="0.35">
      <c r="O2870" s="8"/>
      <c r="P2870" s="6"/>
      <c r="Q2870" s="60"/>
      <c r="R2870" s="67"/>
      <c r="S2870" s="56"/>
      <c r="T2870" s="72"/>
      <c r="V2870" s="11"/>
      <c r="W2870" s="38"/>
      <c r="Y2870" s="11"/>
      <c r="Z2870" s="38"/>
      <c r="AB2870" s="11"/>
      <c r="AC2870" s="38"/>
      <c r="AE2870" s="11"/>
      <c r="AF2870" s="38"/>
      <c r="AH2870" s="11"/>
      <c r="AI2870" s="38"/>
      <c r="AK2870" s="11"/>
      <c r="AL2870" s="38"/>
      <c r="AN2870" s="11"/>
      <c r="AO2870" s="38"/>
      <c r="AQ2870" s="11"/>
      <c r="AR2870" s="38"/>
      <c r="AT2870" s="11"/>
      <c r="AU2870" s="38"/>
    </row>
    <row r="2871" spans="15:47" ht="14" x14ac:dyDescent="0.3">
      <c r="O2871" s="8" t="s">
        <v>235</v>
      </c>
      <c r="P2871" s="6"/>
      <c r="Q2871" s="60"/>
      <c r="R2871" s="53">
        <f>R2860*1.02</f>
        <v>132.41412089484277</v>
      </c>
      <c r="S2871" s="58" t="s">
        <v>238</v>
      </c>
      <c r="T2871" s="73" t="s">
        <v>241</v>
      </c>
      <c r="U2871" s="84">
        <f>U2860*1.01</f>
        <v>368.1589308017567</v>
      </c>
      <c r="V2871" s="58" t="s">
        <v>238</v>
      </c>
      <c r="W2871" s="73" t="s">
        <v>241</v>
      </c>
      <c r="X2871" s="84">
        <f>X2860*1.01</f>
        <v>883.72315206825908</v>
      </c>
      <c r="Y2871" s="58" t="s">
        <v>238</v>
      </c>
      <c r="Z2871" s="73" t="s">
        <v>241</v>
      </c>
      <c r="AA2871" s="84">
        <f>AA2860*1.01</f>
        <v>1687.3513713829382</v>
      </c>
      <c r="AB2871" s="58" t="s">
        <v>238</v>
      </c>
      <c r="AC2871" s="73" t="s">
        <v>241</v>
      </c>
      <c r="AD2871" s="84">
        <f>AD2860*1.01</f>
        <v>2775.0717600082949</v>
      </c>
      <c r="AE2871" s="58" t="s">
        <v>238</v>
      </c>
      <c r="AF2871" s="73" t="s">
        <v>241</v>
      </c>
      <c r="AG2871" s="84">
        <f>AG2860*1.01</f>
        <v>4131.7037015811866</v>
      </c>
      <c r="AH2871" s="58" t="s">
        <v>238</v>
      </c>
      <c r="AI2871" s="73" t="s">
        <v>241</v>
      </c>
      <c r="AJ2871" s="84">
        <f>AJ2860*1.01</f>
        <v>5513.7746065872816</v>
      </c>
      <c r="AK2871" s="58" t="s">
        <v>238</v>
      </c>
      <c r="AL2871" s="73" t="s">
        <v>241</v>
      </c>
      <c r="AM2871" s="84">
        <f>AM2860*1.01</f>
        <v>6727.8528574758193</v>
      </c>
      <c r="AN2871" s="58" t="s">
        <v>238</v>
      </c>
      <c r="AO2871" s="73" t="s">
        <v>241</v>
      </c>
      <c r="AP2871" s="84">
        <f>AP2860*1.01</f>
        <v>7810.8283038267655</v>
      </c>
      <c r="AQ2871" s="58" t="s">
        <v>238</v>
      </c>
      <c r="AR2871" s="73" t="s">
        <v>241</v>
      </c>
      <c r="AS2871" s="84">
        <f>AS2860*1.01</f>
        <v>8889.4512072033904</v>
      </c>
      <c r="AT2871" s="58" t="s">
        <v>238</v>
      </c>
      <c r="AU2871" s="73" t="s">
        <v>241</v>
      </c>
    </row>
    <row r="2872" spans="15:47" ht="13" x14ac:dyDescent="0.25">
      <c r="O2872" s="6"/>
      <c r="P2872" s="6"/>
      <c r="Q2872" s="60"/>
      <c r="R2872" s="70"/>
      <c r="S2872" s="63" t="s">
        <v>250</v>
      </c>
      <c r="T2872" s="71" t="s">
        <v>242</v>
      </c>
      <c r="U2872" s="61"/>
      <c r="V2872" s="63" t="s">
        <v>250</v>
      </c>
      <c r="W2872" s="71" t="s">
        <v>242</v>
      </c>
      <c r="X2872" s="61"/>
      <c r="Y2872" s="63" t="s">
        <v>250</v>
      </c>
      <c r="Z2872" s="71" t="s">
        <v>242</v>
      </c>
      <c r="AA2872" s="61"/>
      <c r="AB2872" s="63" t="s">
        <v>250</v>
      </c>
      <c r="AC2872" s="71" t="s">
        <v>242</v>
      </c>
      <c r="AD2872" s="61"/>
      <c r="AE2872" s="63" t="s">
        <v>250</v>
      </c>
      <c r="AF2872" s="71" t="s">
        <v>242</v>
      </c>
      <c r="AG2872" s="61"/>
      <c r="AH2872" s="63" t="s">
        <v>250</v>
      </c>
      <c r="AI2872" s="71" t="s">
        <v>242</v>
      </c>
      <c r="AJ2872" s="61"/>
      <c r="AK2872" s="63" t="s">
        <v>250</v>
      </c>
      <c r="AL2872" s="71" t="s">
        <v>242</v>
      </c>
      <c r="AM2872" s="61"/>
      <c r="AN2872" s="63" t="s">
        <v>250</v>
      </c>
      <c r="AO2872" s="71" t="s">
        <v>242</v>
      </c>
      <c r="AP2872" s="61"/>
      <c r="AQ2872" s="63" t="s">
        <v>250</v>
      </c>
      <c r="AR2872" s="71" t="s">
        <v>242</v>
      </c>
      <c r="AS2872" s="61"/>
      <c r="AT2872" s="63" t="s">
        <v>250</v>
      </c>
      <c r="AU2872" s="71" t="s">
        <v>242</v>
      </c>
    </row>
    <row r="2873" spans="15:47" ht="13" x14ac:dyDescent="0.3">
      <c r="O2873" s="6" t="s">
        <v>231</v>
      </c>
      <c r="P2873" s="6"/>
      <c r="Q2873" s="60"/>
      <c r="R2873" s="85">
        <f>P_1_minQ-(R2871^2*R_up)+dpup_minQ</f>
        <v>56.323995291713814</v>
      </c>
      <c r="S2873" s="56"/>
      <c r="T2873" s="72"/>
      <c r="U2873" s="53">
        <f>P_1_minQ-(U2871^2*R_up)+dpup_minQ</f>
        <v>52.338601880138718</v>
      </c>
      <c r="V2873" s="44"/>
      <c r="W2873" s="72"/>
      <c r="X2873" s="53">
        <f>P_1_minQ-(X2871^2*R_up)+dpup_minQ</f>
        <v>30.541046622713296</v>
      </c>
      <c r="Y2873" s="44"/>
      <c r="Z2873" s="72"/>
      <c r="AA2873" s="53">
        <f>P_1_minQ-(AA2871^2*R_up)+dpup_minQ</f>
        <v>-39.239029061394199</v>
      </c>
      <c r="AB2873" s="44"/>
      <c r="AC2873" s="72"/>
      <c r="AD2873" s="53">
        <f>P_1_minQ-(AD2871^2*R_up)+dpup_minQ</f>
        <v>-203.16569649427683</v>
      </c>
      <c r="AE2873" s="44"/>
      <c r="AF2873" s="72"/>
      <c r="AG2873" s="53">
        <f>P_1_minQ-(AG2871^2*R_up)+dpup_minQ</f>
        <v>-519.61122855993517</v>
      </c>
      <c r="AH2873" s="44"/>
      <c r="AI2873" s="72"/>
      <c r="AJ2873" s="53">
        <f>P_1_minQ-(AJ2871^2*R_up)+dpup_minQ</f>
        <v>-969.82179710390847</v>
      </c>
      <c r="AK2873" s="44"/>
      <c r="AL2873" s="72"/>
      <c r="AM2873" s="53">
        <f>P_1_minQ-(AM2871^2*R_up)+dpup_minQ</f>
        <v>-1471.7567400150472</v>
      </c>
      <c r="AN2873" s="44"/>
      <c r="AO2873" s="72"/>
      <c r="AP2873" s="53">
        <f>P_1_minQ-(AP2871^2*R_up)+dpup_minQ</f>
        <v>-2003.5039443384433</v>
      </c>
      <c r="AQ2873" s="44"/>
      <c r="AR2873" s="72"/>
      <c r="AS2873" s="53">
        <f>P_1_minQ-(AS2871^2*R_up)+dpup_minQ</f>
        <v>-2611.8559866683495</v>
      </c>
      <c r="AT2873" s="44"/>
      <c r="AU2873" s="72"/>
    </row>
    <row r="2874" spans="15:47" ht="13" x14ac:dyDescent="0.3">
      <c r="O2874" s="6" t="s">
        <v>233</v>
      </c>
      <c r="P2874" s="6"/>
      <c r="Q2874" s="60"/>
      <c r="R2874" s="85">
        <f>P_2_minQ+(R2871^2*R_dn)-dpdn_minQ</f>
        <v>24.775200941657239</v>
      </c>
      <c r="S2874" s="66"/>
      <c r="T2874" s="74"/>
      <c r="U2874" s="53">
        <f>P_2_minQ+(U2871^2*R_dn)-dpdn_minQ</f>
        <v>25.572279623972257</v>
      </c>
      <c r="V2874" s="45"/>
      <c r="W2874" s="74"/>
      <c r="X2874" s="53">
        <f>P_2_minQ+(X2871^2*R_dn)-dpdn_minQ</f>
        <v>29.931790675457343</v>
      </c>
      <c r="Y2874" s="45"/>
      <c r="Z2874" s="74"/>
      <c r="AA2874" s="53">
        <f>P_2_minQ+(AA2871^2*R_dn)-dpdn_minQ</f>
        <v>43.887805812278842</v>
      </c>
      <c r="AB2874" s="45"/>
      <c r="AC2874" s="74"/>
      <c r="AD2874" s="53">
        <f>P_2_minQ+(AD2871^2*R_dn)-dpdn_minQ</f>
        <v>76.673139298855347</v>
      </c>
      <c r="AE2874" s="45"/>
      <c r="AF2874" s="74"/>
      <c r="AG2874" s="53">
        <f>P_2_minQ+(AG2871^2*R_dn)-dpdn_minQ</f>
        <v>139.96224571198704</v>
      </c>
      <c r="AH2874" s="45"/>
      <c r="AI2874" s="74"/>
      <c r="AJ2874" s="53">
        <f>P_2_minQ+(AJ2871^2*R_dn)-dpdn_minQ</f>
        <v>230.0043594207817</v>
      </c>
      <c r="AK2874" s="45"/>
      <c r="AL2874" s="74"/>
      <c r="AM2874" s="53">
        <f>P_2_minQ+(AM2871^2*R_dn)-dpdn_minQ</f>
        <v>330.3913480030094</v>
      </c>
      <c r="AN2874" s="45"/>
      <c r="AO2874" s="74"/>
      <c r="AP2874" s="53">
        <f>P_2_minQ+(AP2871^2*R_dn)-dpdn_minQ</f>
        <v>436.74078886768859</v>
      </c>
      <c r="AQ2874" s="45"/>
      <c r="AR2874" s="74"/>
      <c r="AS2874" s="53">
        <f>P_2_minQ+(AS2871^2*R_dn)-dpdn_minQ</f>
        <v>558.41119733366986</v>
      </c>
      <c r="AT2874" s="45"/>
      <c r="AU2874" s="74"/>
    </row>
    <row r="2875" spans="15:47" x14ac:dyDescent="0.25">
      <c r="O2875" s="6" t="s">
        <v>243</v>
      </c>
      <c r="Q2875" s="60"/>
      <c r="R2875" s="53">
        <f>R2873-R2874</f>
        <v>31.548794350056575</v>
      </c>
      <c r="S2875" s="56"/>
      <c r="T2875" s="72"/>
      <c r="U2875" s="64">
        <f>U2873-U2874</f>
        <v>26.766322256166461</v>
      </c>
      <c r="V2875" s="44"/>
      <c r="W2875" s="72"/>
      <c r="X2875" s="64">
        <f>X2873-X2874</f>
        <v>0.60925594725595289</v>
      </c>
      <c r="Y2875" s="44"/>
      <c r="Z2875" s="72"/>
      <c r="AA2875" s="64">
        <f>AA2873-AA2874</f>
        <v>-83.126834873673033</v>
      </c>
      <c r="AB2875" s="44"/>
      <c r="AC2875" s="72"/>
      <c r="AD2875" s="64">
        <f>AD2873-AD2874</f>
        <v>-279.83883579313215</v>
      </c>
      <c r="AE2875" s="44"/>
      <c r="AF2875" s="72"/>
      <c r="AG2875" s="64">
        <f>AG2873-AG2874</f>
        <v>-659.57347427192224</v>
      </c>
      <c r="AH2875" s="44"/>
      <c r="AI2875" s="72"/>
      <c r="AJ2875" s="64">
        <f>AJ2873-AJ2874</f>
        <v>-1199.8261565246901</v>
      </c>
      <c r="AK2875" s="44"/>
      <c r="AL2875" s="72"/>
      <c r="AM2875" s="64">
        <f>AM2873-AM2874</f>
        <v>-1802.1480880180566</v>
      </c>
      <c r="AN2875" s="44"/>
      <c r="AO2875" s="72"/>
      <c r="AP2875" s="64">
        <f>AP2873-AP2874</f>
        <v>-2440.244733206132</v>
      </c>
      <c r="AQ2875" s="44"/>
      <c r="AR2875" s="72"/>
      <c r="AS2875" s="64">
        <f>AS2873-AS2874</f>
        <v>-3170.2671840020193</v>
      </c>
      <c r="AT2875" s="44"/>
      <c r="AU2875" s="72"/>
    </row>
    <row r="2876" spans="15:47" ht="13" x14ac:dyDescent="0.3">
      <c r="O2876" s="6" t="s">
        <v>75</v>
      </c>
      <c r="P2876" s="6">
        <v>3</v>
      </c>
      <c r="Q2876" s="65"/>
      <c r="R2876" s="85">
        <f>(F_LP_h/F_P_h)^2*(R2873-('Valve Sizing'!$V$4*'Valve Sizing'!$G$7))</f>
        <v>46.27483369609962</v>
      </c>
      <c r="S2876" s="58"/>
      <c r="T2876" s="73"/>
      <c r="U2876" s="53">
        <f>(U$29/U$27)^2*(U2873-('Valve Sizing'!$V$4*'Valve Sizing'!$G$7))</f>
        <v>42.963005625264827</v>
      </c>
      <c r="V2876" s="41"/>
      <c r="W2876" s="73"/>
      <c r="X2876" s="53">
        <f>(X$29/X$27)^2*(X2873-('Valve Sizing'!$V$4*'Valve Sizing'!$G$7))</f>
        <v>24.3563225186025</v>
      </c>
      <c r="Y2876" s="41"/>
      <c r="Z2876" s="73"/>
      <c r="AA2876" s="53">
        <f>(AA$29/AA$27)^2*(AA2873-('Valve Sizing'!$V$4*'Valve Sizing'!$G$7))</f>
        <v>-30.663887971055807</v>
      </c>
      <c r="AB2876" s="41"/>
      <c r="AC2876" s="73"/>
      <c r="AD2876" s="53">
        <f>(AD$29/AD$27)^2*(AD2873-('Valve Sizing'!$V$4*'Valve Sizing'!$G$7))</f>
        <v>-146.83790593103566</v>
      </c>
      <c r="AE2876" s="41"/>
      <c r="AF2876" s="73"/>
      <c r="AG2876" s="53">
        <f>(AG$29/AG$27)^2*(AG2873-('Valve Sizing'!$V$4*'Valve Sizing'!$G$7))</f>
        <v>-334.93588520071108</v>
      </c>
      <c r="AH2876" s="41"/>
      <c r="AI2876" s="73"/>
      <c r="AJ2876" s="53">
        <f>(AJ$29/AJ$27)^2*(AJ2873-('Valve Sizing'!$V$4*'Valve Sizing'!$G$7))</f>
        <v>-561.16485272809462</v>
      </c>
      <c r="AK2876" s="41"/>
      <c r="AL2876" s="73"/>
      <c r="AM2876" s="53">
        <f>(AM$29/AM$27)^2*(AM2873-('Valve Sizing'!$V$4*'Valve Sizing'!$G$7))</f>
        <v>-704.40516598709678</v>
      </c>
      <c r="AN2876" s="41"/>
      <c r="AO2876" s="73"/>
      <c r="AP2876" s="53">
        <f>(AP$29/AP$27)^2*(AP2873-('Valve Sizing'!$V$4*'Valve Sizing'!$G$7))</f>
        <v>-790.81006371607566</v>
      </c>
      <c r="AQ2876" s="41"/>
      <c r="AR2876" s="73"/>
      <c r="AS2876" s="53">
        <f>(AS$29/AS$27)^2*(AS2873-('Valve Sizing'!$V$4*'Valve Sizing'!$G$7))</f>
        <v>-982.59110855130189</v>
      </c>
      <c r="AT2876" s="41"/>
      <c r="AU2876" s="73"/>
    </row>
    <row r="2877" spans="15:47" ht="13" x14ac:dyDescent="0.25">
      <c r="O2877" s="1" t="s">
        <v>69</v>
      </c>
      <c r="P2877" s="17">
        <v>7</v>
      </c>
      <c r="Q2877" s="65"/>
      <c r="R2877" s="53">
        <f>(R2871/(N_1*F_P_h))*SQRT('Valve Sizing'!$G$6/R2875)</f>
        <v>23.577971946252951</v>
      </c>
      <c r="S2877" s="58"/>
      <c r="T2877" s="73"/>
      <c r="U2877" s="64">
        <f>(U2871/(N_1*U$27))*SQRT('Valve Sizing'!$G$6/U2875)</f>
        <v>71.220769110674851</v>
      </c>
      <c r="V2877" s="41"/>
      <c r="W2877" s="73"/>
      <c r="X2877" s="64">
        <f>(X2871/(N_1*X$27))*SQRT('Valve Sizing'!$G$6/X2875)</f>
        <v>1135.6817894566652</v>
      </c>
      <c r="Y2877" s="41"/>
      <c r="Z2877" s="73"/>
      <c r="AA2877" s="64" t="e">
        <f>(AA2871/(N_1*AA$27))*SQRT('Valve Sizing'!$G$6/AA2875)</f>
        <v>#NUM!</v>
      </c>
      <c r="AB2877" s="41"/>
      <c r="AC2877" s="73"/>
      <c r="AD2877" s="64" t="e">
        <f>(AD2871/(N_1*AD$27))*SQRT('Valve Sizing'!$G$6/AD2875)</f>
        <v>#NUM!</v>
      </c>
      <c r="AE2877" s="41"/>
      <c r="AF2877" s="73"/>
      <c r="AG2877" s="64" t="e">
        <f>(AG2871/(N_1*AG$27))*SQRT('Valve Sizing'!$G$6/AG2875)</f>
        <v>#NUM!</v>
      </c>
      <c r="AH2877" s="41"/>
      <c r="AI2877" s="73"/>
      <c r="AJ2877" s="64" t="e">
        <f>(AJ2871/(N_1*AJ$27))*SQRT('Valve Sizing'!$G$6/AJ2875)</f>
        <v>#NUM!</v>
      </c>
      <c r="AK2877" s="41"/>
      <c r="AL2877" s="73"/>
      <c r="AM2877" s="64" t="e">
        <f>(AM2871/(N_1*AM$27))*SQRT('Valve Sizing'!$G$6/AM2875)</f>
        <v>#NUM!</v>
      </c>
      <c r="AN2877" s="41"/>
      <c r="AO2877" s="73"/>
      <c r="AP2877" s="64" t="e">
        <f>(AP2871/(N_1*AP$27))*SQRT('Valve Sizing'!$G$6/AP2875)</f>
        <v>#NUM!</v>
      </c>
      <c r="AQ2877" s="41"/>
      <c r="AR2877" s="73"/>
      <c r="AS2877" s="64" t="e">
        <f>(AS2871/(N_1*AS$27))*SQRT('Valve Sizing'!$G$6/AS2875)</f>
        <v>#NUM!</v>
      </c>
      <c r="AT2877" s="41"/>
      <c r="AU2877" s="73"/>
    </row>
    <row r="2878" spans="15:47" ht="13" x14ac:dyDescent="0.3">
      <c r="O2878" s="1" t="s">
        <v>72</v>
      </c>
      <c r="P2878" s="17">
        <v>7</v>
      </c>
      <c r="Q2878" s="65"/>
      <c r="R2878" s="53">
        <f>(R2871/(N_1*F_P_h))*SQRT('Valve Sizing'!$G$6/R2876)</f>
        <v>19.468181966480223</v>
      </c>
      <c r="S2878" s="56"/>
      <c r="T2878" s="72"/>
      <c r="U2878" s="85">
        <f>(U2871/(N_1*U$27))*SQRT('Valve Sizing'!$G$6/U2876)</f>
        <v>56.215189931331402</v>
      </c>
      <c r="V2878" s="44"/>
      <c r="W2878" s="72"/>
      <c r="X2878" s="85">
        <f>(X2871/(N_1*X$27))*SQRT('Valve Sizing'!$G$6/X2876)</f>
        <v>179.61834582706683</v>
      </c>
      <c r="Y2878" s="44"/>
      <c r="Z2878" s="72"/>
      <c r="AA2878" s="85" t="e">
        <f>(AA2871/(N_1*AA$27))*SQRT('Valve Sizing'!$G$6/AA2876)</f>
        <v>#NUM!</v>
      </c>
      <c r="AB2878" s="44"/>
      <c r="AC2878" s="72"/>
      <c r="AD2878" s="85" t="e">
        <f>(AD2871/(N_1*AD$27))*SQRT('Valve Sizing'!$G$6/AD2876)</f>
        <v>#NUM!</v>
      </c>
      <c r="AE2878" s="44"/>
      <c r="AF2878" s="72"/>
      <c r="AG2878" s="85" t="e">
        <f>(AG2871/(N_1*AG$27))*SQRT('Valve Sizing'!$G$6/AG2876)</f>
        <v>#NUM!</v>
      </c>
      <c r="AH2878" s="44"/>
      <c r="AI2878" s="72"/>
      <c r="AJ2878" s="85" t="e">
        <f>(AJ2871/(N_1*AJ$27))*SQRT('Valve Sizing'!$G$6/AJ2876)</f>
        <v>#NUM!</v>
      </c>
      <c r="AK2878" s="44"/>
      <c r="AL2878" s="72"/>
      <c r="AM2878" s="85" t="e">
        <f>(AM2871/(N_1*AM$27))*SQRT('Valve Sizing'!$G$6/AM2876)</f>
        <v>#NUM!</v>
      </c>
      <c r="AN2878" s="44"/>
      <c r="AO2878" s="72"/>
      <c r="AP2878" s="85" t="e">
        <f>(AP2871/(N_1*AP$27))*SQRT('Valve Sizing'!$G$6/AP2876)</f>
        <v>#NUM!</v>
      </c>
      <c r="AQ2878" s="44"/>
      <c r="AR2878" s="72"/>
      <c r="AS2878" s="85" t="e">
        <f>(AS2871/(N_1*AS$27))*SQRT('Valve Sizing'!$G$6/AS2876)</f>
        <v>#NUM!</v>
      </c>
      <c r="AT2878" s="44"/>
      <c r="AU2878" s="72"/>
    </row>
    <row r="2879" spans="15:47" x14ac:dyDescent="0.25">
      <c r="O2879" s="1" t="s">
        <v>246</v>
      </c>
      <c r="P2879" s="18"/>
      <c r="Q2879" s="65"/>
      <c r="R2879" s="53">
        <f>IF(R2875&lt;R2876,R2877,R2878)</f>
        <v>23.577971946252951</v>
      </c>
      <c r="S2879" s="49"/>
      <c r="T2879" s="72"/>
      <c r="U2879" s="64">
        <f>IF(U2875&lt;U2876,U2877,U2878)</f>
        <v>71.220769110674851</v>
      </c>
      <c r="V2879" s="44"/>
      <c r="W2879" s="72"/>
      <c r="X2879" s="64">
        <f>IF(X2875&lt;X2876,X2877,X2878)</f>
        <v>1135.6817894566652</v>
      </c>
      <c r="Y2879" s="44"/>
      <c r="Z2879" s="72"/>
      <c r="AA2879" s="64" t="e">
        <f>IF(AA2875&lt;AA2876,AA2877,AA2878)</f>
        <v>#NUM!</v>
      </c>
      <c r="AB2879" s="44"/>
      <c r="AC2879" s="72"/>
      <c r="AD2879" s="64" t="e">
        <f>IF(AD2875&lt;AD2876,AD2877,AD2878)</f>
        <v>#NUM!</v>
      </c>
      <c r="AE2879" s="44"/>
      <c r="AF2879" s="72"/>
      <c r="AG2879" s="64" t="e">
        <f>IF(AG2875&lt;AG2876,AG2877,AG2878)</f>
        <v>#NUM!</v>
      </c>
      <c r="AH2879" s="44"/>
      <c r="AI2879" s="72"/>
      <c r="AJ2879" s="64" t="e">
        <f>IF(AJ2875&lt;AJ2876,AJ2877,AJ2878)</f>
        <v>#NUM!</v>
      </c>
      <c r="AK2879" s="44"/>
      <c r="AL2879" s="72"/>
      <c r="AM2879" s="64" t="e">
        <f>IF(AM2875&lt;AM2876,AM2877,AM2878)</f>
        <v>#NUM!</v>
      </c>
      <c r="AN2879" s="44"/>
      <c r="AO2879" s="72"/>
      <c r="AP2879" s="64" t="e">
        <f>IF(AP2875&lt;AP2876,AP2877,AP2878)</f>
        <v>#NUM!</v>
      </c>
      <c r="AQ2879" s="44"/>
      <c r="AR2879" s="72"/>
      <c r="AS2879" s="64" t="e">
        <f>IF(AS2875&lt;AS2876,AS2877,AS2878)</f>
        <v>#NUM!</v>
      </c>
      <c r="AT2879" s="44"/>
      <c r="AU2879" s="72"/>
    </row>
    <row r="2880" spans="15:47" ht="13" x14ac:dyDescent="0.3">
      <c r="O2880" s="7" t="s">
        <v>264</v>
      </c>
      <c r="Q2880" s="61"/>
      <c r="R2880" s="53"/>
      <c r="S2880" s="69">
        <f>IFERROR(ABS(C_h-R2879),Q_max*10)</f>
        <v>18.577971946252951</v>
      </c>
      <c r="T2880" s="76">
        <f>R2871</f>
        <v>132.41412089484277</v>
      </c>
      <c r="U2880" s="61"/>
      <c r="V2880" s="69">
        <f>IFERROR(ABS(U$23-U2879),Q_max*10)</f>
        <v>59.220769110674851</v>
      </c>
      <c r="W2880" s="75">
        <f>U2871</f>
        <v>368.1589308017567</v>
      </c>
      <c r="X2880" s="61"/>
      <c r="Y2880" s="69">
        <f>IFERROR(ABS(X$23-X2879),Q_max*10)</f>
        <v>1112.6817894566652</v>
      </c>
      <c r="Z2880" s="75">
        <f>X2871</f>
        <v>883.72315206825908</v>
      </c>
      <c r="AA2880" s="61"/>
      <c r="AB2880" s="69">
        <f>IFERROR(ABS(AA$23-AA2879),Q_max*10)</f>
        <v>5500</v>
      </c>
      <c r="AC2880" s="75">
        <f>AA2871</f>
        <v>1687.3513713829382</v>
      </c>
      <c r="AD2880" s="61"/>
      <c r="AE2880" s="69">
        <f>IFERROR(ABS(AD$23-AD2879),Q_max*10)</f>
        <v>5500</v>
      </c>
      <c r="AF2880" s="75">
        <f>AD2871</f>
        <v>2775.0717600082949</v>
      </c>
      <c r="AG2880" s="61"/>
      <c r="AH2880" s="69">
        <f>IFERROR(ABS(AG$23-AG2879),Q_max*10)</f>
        <v>5500</v>
      </c>
      <c r="AI2880" s="75">
        <f>AG2871</f>
        <v>4131.7037015811866</v>
      </c>
      <c r="AJ2880" s="61"/>
      <c r="AK2880" s="69">
        <f>IFERROR(ABS(AJ$23-AJ2879),Q_max*10)</f>
        <v>5500</v>
      </c>
      <c r="AL2880" s="75">
        <f>AJ2871</f>
        <v>5513.7746065872816</v>
      </c>
      <c r="AM2880" s="61"/>
      <c r="AN2880" s="69">
        <f>IFERROR(ABS(AM$23-AM2879),Q_max*10)</f>
        <v>5500</v>
      </c>
      <c r="AO2880" s="75">
        <f>AM2871</f>
        <v>6727.8528574758193</v>
      </c>
      <c r="AP2880" s="61"/>
      <c r="AQ2880" s="69">
        <f>IFERROR(ABS(AP$23-AP2879),Q_max*10)</f>
        <v>5500</v>
      </c>
      <c r="AR2880" s="75">
        <f>AP2871</f>
        <v>7810.8283038267655</v>
      </c>
      <c r="AS2880" s="61"/>
      <c r="AT2880" s="69">
        <f>IFERROR(ABS(AS$23-AS2879),Q_max*10)</f>
        <v>5500</v>
      </c>
      <c r="AU2880" s="75">
        <f>AS2871</f>
        <v>8889.4512072033904</v>
      </c>
    </row>
    <row r="2881" spans="15:47" ht="14.5" x14ac:dyDescent="0.35">
      <c r="O2881" s="6"/>
      <c r="P2881" s="6"/>
      <c r="Q2881" s="60"/>
      <c r="R2881" s="67"/>
      <c r="S2881" s="58"/>
      <c r="T2881" s="73"/>
      <c r="V2881" s="11"/>
      <c r="W2881" s="38"/>
      <c r="Y2881" s="11"/>
      <c r="Z2881" s="38"/>
      <c r="AB2881" s="11"/>
      <c r="AC2881" s="38"/>
      <c r="AE2881" s="11"/>
      <c r="AF2881" s="38"/>
      <c r="AH2881" s="11"/>
      <c r="AI2881" s="38"/>
      <c r="AK2881" s="11"/>
      <c r="AL2881" s="38"/>
      <c r="AN2881" s="11"/>
      <c r="AO2881" s="38"/>
      <c r="AQ2881" s="11"/>
      <c r="AR2881" s="38"/>
      <c r="AT2881" s="11"/>
      <c r="AU2881" s="38"/>
    </row>
    <row r="2882" spans="15:47" ht="14" x14ac:dyDescent="0.3">
      <c r="O2882" s="8" t="s">
        <v>235</v>
      </c>
      <c r="P2882" s="6"/>
      <c r="Q2882" s="60"/>
      <c r="R2882" s="53">
        <f>R2871*1.02</f>
        <v>135.06240331273963</v>
      </c>
      <c r="S2882" s="58" t="s">
        <v>238</v>
      </c>
      <c r="T2882" s="73" t="s">
        <v>241</v>
      </c>
      <c r="U2882" s="84">
        <f>U2871*1.01</f>
        <v>371.84052010977427</v>
      </c>
      <c r="V2882" s="58" t="s">
        <v>238</v>
      </c>
      <c r="W2882" s="73" t="s">
        <v>241</v>
      </c>
      <c r="X2882" s="84">
        <f>X2871*1.01</f>
        <v>892.5603835889417</v>
      </c>
      <c r="Y2882" s="58" t="s">
        <v>238</v>
      </c>
      <c r="Z2882" s="73" t="s">
        <v>241</v>
      </c>
      <c r="AA2882" s="84">
        <f>AA2871*1.01</f>
        <v>1704.2248850967676</v>
      </c>
      <c r="AB2882" s="58" t="s">
        <v>238</v>
      </c>
      <c r="AC2882" s="73" t="s">
        <v>241</v>
      </c>
      <c r="AD2882" s="84">
        <f>AD2871*1.01</f>
        <v>2802.822477608378</v>
      </c>
      <c r="AE2882" s="58" t="s">
        <v>238</v>
      </c>
      <c r="AF2882" s="73" t="s">
        <v>241</v>
      </c>
      <c r="AG2882" s="84">
        <f>AG2871*1.01</f>
        <v>4173.0207385969989</v>
      </c>
      <c r="AH2882" s="58" t="s">
        <v>238</v>
      </c>
      <c r="AI2882" s="73" t="s">
        <v>241</v>
      </c>
      <c r="AJ2882" s="84">
        <f>AJ2871*1.01</f>
        <v>5568.9123526531548</v>
      </c>
      <c r="AK2882" s="58" t="s">
        <v>238</v>
      </c>
      <c r="AL2882" s="73" t="s">
        <v>241</v>
      </c>
      <c r="AM2882" s="84">
        <f>AM2871*1.01</f>
        <v>6795.1313860505779</v>
      </c>
      <c r="AN2882" s="58" t="s">
        <v>238</v>
      </c>
      <c r="AO2882" s="73" t="s">
        <v>241</v>
      </c>
      <c r="AP2882" s="84">
        <f>AP2871*1.01</f>
        <v>7888.936586865033</v>
      </c>
      <c r="AQ2882" s="58" t="s">
        <v>238</v>
      </c>
      <c r="AR2882" s="73" t="s">
        <v>241</v>
      </c>
      <c r="AS2882" s="84">
        <f>AS2871*1.01</f>
        <v>8978.3457192754249</v>
      </c>
      <c r="AT2882" s="58" t="s">
        <v>238</v>
      </c>
      <c r="AU2882" s="73" t="s">
        <v>241</v>
      </c>
    </row>
    <row r="2883" spans="15:47" ht="13" x14ac:dyDescent="0.25">
      <c r="O2883" s="6"/>
      <c r="P2883" s="6"/>
      <c r="Q2883" s="60"/>
      <c r="R2883" s="70"/>
      <c r="S2883" s="63" t="s">
        <v>250</v>
      </c>
      <c r="T2883" s="71" t="s">
        <v>242</v>
      </c>
      <c r="U2883" s="61"/>
      <c r="V2883" s="63" t="s">
        <v>250</v>
      </c>
      <c r="W2883" s="71" t="s">
        <v>242</v>
      </c>
      <c r="X2883" s="61"/>
      <c r="Y2883" s="63" t="s">
        <v>250</v>
      </c>
      <c r="Z2883" s="71" t="s">
        <v>242</v>
      </c>
      <c r="AA2883" s="61"/>
      <c r="AB2883" s="63" t="s">
        <v>250</v>
      </c>
      <c r="AC2883" s="71" t="s">
        <v>242</v>
      </c>
      <c r="AD2883" s="61"/>
      <c r="AE2883" s="63" t="s">
        <v>250</v>
      </c>
      <c r="AF2883" s="71" t="s">
        <v>242</v>
      </c>
      <c r="AG2883" s="61"/>
      <c r="AH2883" s="63" t="s">
        <v>250</v>
      </c>
      <c r="AI2883" s="71" t="s">
        <v>242</v>
      </c>
      <c r="AJ2883" s="61"/>
      <c r="AK2883" s="63" t="s">
        <v>250</v>
      </c>
      <c r="AL2883" s="71" t="s">
        <v>242</v>
      </c>
      <c r="AM2883" s="61"/>
      <c r="AN2883" s="63" t="s">
        <v>250</v>
      </c>
      <c r="AO2883" s="71" t="s">
        <v>242</v>
      </c>
      <c r="AP2883" s="61"/>
      <c r="AQ2883" s="63" t="s">
        <v>250</v>
      </c>
      <c r="AR2883" s="71" t="s">
        <v>242</v>
      </c>
      <c r="AS2883" s="61"/>
      <c r="AT2883" s="63" t="s">
        <v>250</v>
      </c>
      <c r="AU2883" s="71" t="s">
        <v>242</v>
      </c>
    </row>
    <row r="2884" spans="15:47" ht="13" x14ac:dyDescent="0.3">
      <c r="O2884" s="6" t="s">
        <v>231</v>
      </c>
      <c r="P2884" s="6"/>
      <c r="Q2884" s="60"/>
      <c r="R2884" s="85">
        <f>P_1_minQ-(R2882^2*R_up)+dpup_minQ</f>
        <v>56.30007251642644</v>
      </c>
      <c r="S2884" s="56"/>
      <c r="T2884" s="72"/>
      <c r="U2884" s="53">
        <f>P_1_minQ-(U2882^2*R_up)+dpup_minQ</f>
        <v>52.246593299712686</v>
      </c>
      <c r="V2884" s="44"/>
      <c r="W2884" s="72"/>
      <c r="X2884" s="53">
        <f>P_1_minQ-(X2882^2*R_up)+dpup_minQ</f>
        <v>30.010907181613014</v>
      </c>
      <c r="Y2884" s="44"/>
      <c r="Z2884" s="72"/>
      <c r="AA2884" s="53">
        <f>P_1_minQ-(AA2882^2*R_up)+dpup_minQ</f>
        <v>-41.171748023745046</v>
      </c>
      <c r="AB2884" s="44"/>
      <c r="AC2884" s="72"/>
      <c r="AD2884" s="53">
        <f>P_1_minQ-(AD2882^2*R_up)+dpup_minQ</f>
        <v>-208.39334147202865</v>
      </c>
      <c r="AE2884" s="44"/>
      <c r="AF2884" s="72"/>
      <c r="AG2884" s="53">
        <f>P_1_minQ-(AG2882^2*R_up)+dpup_minQ</f>
        <v>-531.1994287322068</v>
      </c>
      <c r="AH2884" s="44"/>
      <c r="AI2884" s="72"/>
      <c r="AJ2884" s="53">
        <f>P_1_minQ-(AJ2882^2*R_up)+dpup_minQ</f>
        <v>-990.45922970391416</v>
      </c>
      <c r="AK2884" s="44"/>
      <c r="AL2884" s="72"/>
      <c r="AM2884" s="53">
        <f>P_1_minQ-(AM2882^2*R_up)+dpup_minQ</f>
        <v>-1502.4830649675669</v>
      </c>
      <c r="AN2884" s="44"/>
      <c r="AO2884" s="72"/>
      <c r="AP2884" s="53">
        <f>P_1_minQ-(AP2882^2*R_up)+dpup_minQ</f>
        <v>-2044.9183880978628</v>
      </c>
      <c r="AQ2884" s="44"/>
      <c r="AR2884" s="72"/>
      <c r="AS2884" s="53">
        <f>P_1_minQ-(AS2882^2*R_up)+dpup_minQ</f>
        <v>-2665.4983064786006</v>
      </c>
      <c r="AT2884" s="44"/>
      <c r="AU2884" s="72"/>
    </row>
    <row r="2885" spans="15:47" ht="13" x14ac:dyDescent="0.3">
      <c r="O2885" s="6" t="s">
        <v>233</v>
      </c>
      <c r="P2885" s="6"/>
      <c r="Q2885" s="60"/>
      <c r="R2885" s="85">
        <f>P_2_minQ+(R2882^2*R_dn)-dpdn_minQ</f>
        <v>24.779985496714712</v>
      </c>
      <c r="S2885" s="66"/>
      <c r="T2885" s="74"/>
      <c r="U2885" s="53">
        <f>P_2_minQ+(U2882^2*R_dn)-dpdn_minQ</f>
        <v>25.590681340057465</v>
      </c>
      <c r="V2885" s="45"/>
      <c r="W2885" s="74"/>
      <c r="X2885" s="53">
        <f>P_2_minQ+(X2882^2*R_dn)-dpdn_minQ</f>
        <v>30.037818563677398</v>
      </c>
      <c r="Y2885" s="45"/>
      <c r="Z2885" s="74"/>
      <c r="AA2885" s="53">
        <f>P_2_minQ+(AA2882^2*R_dn)-dpdn_minQ</f>
        <v>44.274349604749013</v>
      </c>
      <c r="AB2885" s="45"/>
      <c r="AC2885" s="74"/>
      <c r="AD2885" s="53">
        <f>P_2_minQ+(AD2882^2*R_dn)-dpdn_minQ</f>
        <v>77.718668294405717</v>
      </c>
      <c r="AE2885" s="45"/>
      <c r="AF2885" s="74"/>
      <c r="AG2885" s="53">
        <f>P_2_minQ+(AG2882^2*R_dn)-dpdn_minQ</f>
        <v>142.27988574644135</v>
      </c>
      <c r="AH2885" s="45"/>
      <c r="AI2885" s="74"/>
      <c r="AJ2885" s="53">
        <f>P_2_minQ+(AJ2882^2*R_dn)-dpdn_minQ</f>
        <v>234.13184594078282</v>
      </c>
      <c r="AK2885" s="45"/>
      <c r="AL2885" s="74"/>
      <c r="AM2885" s="53">
        <f>P_2_minQ+(AM2882^2*R_dn)-dpdn_minQ</f>
        <v>336.5366129935133</v>
      </c>
      <c r="AN2885" s="45"/>
      <c r="AO2885" s="74"/>
      <c r="AP2885" s="53">
        <f>P_2_minQ+(AP2882^2*R_dn)-dpdn_minQ</f>
        <v>445.02367761957254</v>
      </c>
      <c r="AQ2885" s="45"/>
      <c r="AR2885" s="74"/>
      <c r="AS2885" s="53">
        <f>P_2_minQ+(AS2882^2*R_dn)-dpdn_minQ</f>
        <v>569.13966129572009</v>
      </c>
      <c r="AT2885" s="45"/>
      <c r="AU2885" s="74"/>
    </row>
    <row r="2886" spans="15:47" x14ac:dyDescent="0.25">
      <c r="O2886" s="6" t="s">
        <v>243</v>
      </c>
      <c r="Q2886" s="60"/>
      <c r="R2886" s="53">
        <f>R2884-R2885</f>
        <v>31.520087019711728</v>
      </c>
      <c r="S2886" s="56"/>
      <c r="T2886" s="72"/>
      <c r="U2886" s="64">
        <f>U2884-U2885</f>
        <v>26.655911959655221</v>
      </c>
      <c r="V2886" s="44"/>
      <c r="W2886" s="72"/>
      <c r="X2886" s="64">
        <f>X2884-X2885</f>
        <v>-2.6911382064383815E-2</v>
      </c>
      <c r="Y2886" s="44"/>
      <c r="Z2886" s="72"/>
      <c r="AA2886" s="64">
        <f>AA2884-AA2885</f>
        <v>-85.446097628494059</v>
      </c>
      <c r="AB2886" s="44"/>
      <c r="AC2886" s="72"/>
      <c r="AD2886" s="64">
        <f>AD2884-AD2885</f>
        <v>-286.11200976643437</v>
      </c>
      <c r="AE2886" s="44"/>
      <c r="AF2886" s="72"/>
      <c r="AG2886" s="64">
        <f>AG2884-AG2885</f>
        <v>-673.47931447864812</v>
      </c>
      <c r="AH2886" s="44"/>
      <c r="AI2886" s="72"/>
      <c r="AJ2886" s="64">
        <f>AJ2884-AJ2885</f>
        <v>-1224.591075644697</v>
      </c>
      <c r="AK2886" s="44"/>
      <c r="AL2886" s="72"/>
      <c r="AM2886" s="64">
        <f>AM2884-AM2885</f>
        <v>-1839.0196779610801</v>
      </c>
      <c r="AN2886" s="44"/>
      <c r="AO2886" s="72"/>
      <c r="AP2886" s="64">
        <f>AP2884-AP2885</f>
        <v>-2489.9420657174355</v>
      </c>
      <c r="AQ2886" s="44"/>
      <c r="AR2886" s="72"/>
      <c r="AS2886" s="64">
        <f>AS2884-AS2885</f>
        <v>-3234.6379677743207</v>
      </c>
      <c r="AT2886" s="44"/>
      <c r="AU2886" s="72"/>
    </row>
    <row r="2887" spans="15:47" ht="13" x14ac:dyDescent="0.3">
      <c r="O2887" s="6" t="s">
        <v>75</v>
      </c>
      <c r="P2887" s="6">
        <v>3</v>
      </c>
      <c r="Q2887" s="65"/>
      <c r="R2887" s="85">
        <f>(F_LP_h/F_P_h)^2*(R2884-('Valve Sizing'!$V$4*'Valve Sizing'!$G$7))</f>
        <v>46.255024382456661</v>
      </c>
      <c r="S2887" s="58"/>
      <c r="T2887" s="73"/>
      <c r="U2887" s="53">
        <f>(U$29/U$27)^2*(U2884-('Valve Sizing'!$V$4*'Valve Sizing'!$G$7))</f>
        <v>42.886838456830752</v>
      </c>
      <c r="V2887" s="41"/>
      <c r="W2887" s="73"/>
      <c r="X2887" s="53">
        <f>(X$29/X$27)^2*(X2884-('Valve Sizing'!$V$4*'Valve Sizing'!$G$7))</f>
        <v>23.92735829994815</v>
      </c>
      <c r="Y2887" s="41"/>
      <c r="Z2887" s="73"/>
      <c r="AA2887" s="53">
        <f>(AA$29/AA$27)^2*(AA2884-('Valve Sizing'!$V$4*'Valve Sizing'!$G$7))</f>
        <v>-32.157487814817451</v>
      </c>
      <c r="AB2887" s="41"/>
      <c r="AC2887" s="73"/>
      <c r="AD2887" s="53">
        <f>(AD$29/AD$27)^2*(AD2884-('Valve Sizing'!$V$4*'Valve Sizing'!$G$7))</f>
        <v>-150.60801765817553</v>
      </c>
      <c r="AE2887" s="41"/>
      <c r="AF2887" s="73"/>
      <c r="AG2887" s="53">
        <f>(AG$29/AG$27)^2*(AG2884-('Valve Sizing'!$V$4*'Valve Sizing'!$G$7))</f>
        <v>-342.39919542676159</v>
      </c>
      <c r="AH2887" s="41"/>
      <c r="AI2887" s="73"/>
      <c r="AJ2887" s="53">
        <f>(AJ$29/AJ$27)^2*(AJ2884-('Valve Sizing'!$V$4*'Valve Sizing'!$G$7))</f>
        <v>-573.10080771663661</v>
      </c>
      <c r="AK2887" s="41"/>
      <c r="AL2887" s="73"/>
      <c r="AM2887" s="53">
        <f>(AM$29/AM$27)^2*(AM2884-('Valve Sizing'!$V$4*'Valve Sizing'!$G$7))</f>
        <v>-719.10685672735792</v>
      </c>
      <c r="AN2887" s="41"/>
      <c r="AO2887" s="73"/>
      <c r="AP2887" s="53">
        <f>(AP$29/AP$27)^2*(AP2884-('Valve Sizing'!$V$4*'Valve Sizing'!$G$7))</f>
        <v>-807.15331426366834</v>
      </c>
      <c r="AQ2887" s="41"/>
      <c r="AR2887" s="73"/>
      <c r="AS2887" s="53">
        <f>(AS$29/AS$27)^2*(AS2884-('Valve Sizing'!$V$4*'Valve Sizing'!$G$7))</f>
        <v>-1002.7681733223009</v>
      </c>
      <c r="AT2887" s="41"/>
      <c r="AU2887" s="73"/>
    </row>
    <row r="2888" spans="15:47" ht="13" x14ac:dyDescent="0.25">
      <c r="O2888" s="1" t="s">
        <v>69</v>
      </c>
      <c r="P2888" s="17">
        <v>7</v>
      </c>
      <c r="Q2888" s="65"/>
      <c r="R2888" s="53">
        <f>(R2882/(N_1*F_P_h))*SQRT('Valve Sizing'!$G$6/R2886)</f>
        <v>24.060480604893296</v>
      </c>
      <c r="S2888" s="58"/>
      <c r="T2888" s="73"/>
      <c r="U2888" s="64">
        <f>(U2882/(N_1*U$27))*SQRT('Valve Sizing'!$G$6/U2886)</f>
        <v>72.081798085752013</v>
      </c>
      <c r="V2888" s="41"/>
      <c r="W2888" s="73"/>
      <c r="X2888" s="64" t="e">
        <f>(X2882/(N_1*X$27))*SQRT('Valve Sizing'!$G$6/X2886)</f>
        <v>#NUM!</v>
      </c>
      <c r="Y2888" s="41"/>
      <c r="Z2888" s="73"/>
      <c r="AA2888" s="64" t="e">
        <f>(AA2882/(N_1*AA$27))*SQRT('Valve Sizing'!$G$6/AA2886)</f>
        <v>#NUM!</v>
      </c>
      <c r="AB2888" s="41"/>
      <c r="AC2888" s="73"/>
      <c r="AD2888" s="64" t="e">
        <f>(AD2882/(N_1*AD$27))*SQRT('Valve Sizing'!$G$6/AD2886)</f>
        <v>#NUM!</v>
      </c>
      <c r="AE2888" s="41"/>
      <c r="AF2888" s="73"/>
      <c r="AG2888" s="64" t="e">
        <f>(AG2882/(N_1*AG$27))*SQRT('Valve Sizing'!$G$6/AG2886)</f>
        <v>#NUM!</v>
      </c>
      <c r="AH2888" s="41"/>
      <c r="AI2888" s="73"/>
      <c r="AJ2888" s="64" t="e">
        <f>(AJ2882/(N_1*AJ$27))*SQRT('Valve Sizing'!$G$6/AJ2886)</f>
        <v>#NUM!</v>
      </c>
      <c r="AK2888" s="41"/>
      <c r="AL2888" s="73"/>
      <c r="AM2888" s="64" t="e">
        <f>(AM2882/(N_1*AM$27))*SQRT('Valve Sizing'!$G$6/AM2886)</f>
        <v>#NUM!</v>
      </c>
      <c r="AN2888" s="41"/>
      <c r="AO2888" s="73"/>
      <c r="AP2888" s="64" t="e">
        <f>(AP2882/(N_1*AP$27))*SQRT('Valve Sizing'!$G$6/AP2886)</f>
        <v>#NUM!</v>
      </c>
      <c r="AQ2888" s="41"/>
      <c r="AR2888" s="73"/>
      <c r="AS2888" s="64" t="e">
        <f>(AS2882/(N_1*AS$27))*SQRT('Valve Sizing'!$G$6/AS2886)</f>
        <v>#NUM!</v>
      </c>
      <c r="AT2888" s="41"/>
      <c r="AU2888" s="73"/>
    </row>
    <row r="2889" spans="15:47" ht="13" x14ac:dyDescent="0.3">
      <c r="O2889" s="1" t="s">
        <v>72</v>
      </c>
      <c r="P2889" s="17">
        <v>7</v>
      </c>
      <c r="Q2889" s="65"/>
      <c r="R2889" s="53">
        <f>(R2882/(N_1*F_P_h))*SQRT('Valve Sizing'!$G$6/R2887)</f>
        <v>19.861797276277063</v>
      </c>
      <c r="S2889" s="56"/>
      <c r="T2889" s="72"/>
      <c r="U2889" s="85">
        <f>(U2882/(N_1*U$27))*SQRT('Valve Sizing'!$G$6/U2887)</f>
        <v>56.827737839126073</v>
      </c>
      <c r="V2889" s="44"/>
      <c r="W2889" s="72"/>
      <c r="X2889" s="85">
        <f>(X2882/(N_1*X$27))*SQRT('Valve Sizing'!$G$6/X2887)</f>
        <v>183.03348459138067</v>
      </c>
      <c r="Y2889" s="44"/>
      <c r="Z2889" s="72"/>
      <c r="AA2889" s="85" t="e">
        <f>(AA2882/(N_1*AA$27))*SQRT('Valve Sizing'!$G$6/AA2887)</f>
        <v>#NUM!</v>
      </c>
      <c r="AB2889" s="44"/>
      <c r="AC2889" s="72"/>
      <c r="AD2889" s="85" t="e">
        <f>(AD2882/(N_1*AD$27))*SQRT('Valve Sizing'!$G$6/AD2887)</f>
        <v>#NUM!</v>
      </c>
      <c r="AE2889" s="44"/>
      <c r="AF2889" s="72"/>
      <c r="AG2889" s="85" t="e">
        <f>(AG2882/(N_1*AG$27))*SQRT('Valve Sizing'!$G$6/AG2887)</f>
        <v>#NUM!</v>
      </c>
      <c r="AH2889" s="44"/>
      <c r="AI2889" s="72"/>
      <c r="AJ2889" s="85" t="e">
        <f>(AJ2882/(N_1*AJ$27))*SQRT('Valve Sizing'!$G$6/AJ2887)</f>
        <v>#NUM!</v>
      </c>
      <c r="AK2889" s="44"/>
      <c r="AL2889" s="72"/>
      <c r="AM2889" s="85" t="e">
        <f>(AM2882/(N_1*AM$27))*SQRT('Valve Sizing'!$G$6/AM2887)</f>
        <v>#NUM!</v>
      </c>
      <c r="AN2889" s="44"/>
      <c r="AO2889" s="72"/>
      <c r="AP2889" s="85" t="e">
        <f>(AP2882/(N_1*AP$27))*SQRT('Valve Sizing'!$G$6/AP2887)</f>
        <v>#NUM!</v>
      </c>
      <c r="AQ2889" s="44"/>
      <c r="AR2889" s="72"/>
      <c r="AS2889" s="85" t="e">
        <f>(AS2882/(N_1*AS$27))*SQRT('Valve Sizing'!$G$6/AS2887)</f>
        <v>#NUM!</v>
      </c>
      <c r="AT2889" s="44"/>
      <c r="AU2889" s="72"/>
    </row>
    <row r="2890" spans="15:47" x14ac:dyDescent="0.25">
      <c r="O2890" s="1" t="s">
        <v>246</v>
      </c>
      <c r="P2890" s="18"/>
      <c r="Q2890" s="65"/>
      <c r="R2890" s="53">
        <f>IF(R2886&lt;R2887,R2888,R2889)</f>
        <v>24.060480604893296</v>
      </c>
      <c r="S2890" s="49"/>
      <c r="T2890" s="72"/>
      <c r="U2890" s="64">
        <f>IF(U2886&lt;U2887,U2888,U2889)</f>
        <v>72.081798085752013</v>
      </c>
      <c r="V2890" s="44"/>
      <c r="W2890" s="72"/>
      <c r="X2890" s="64" t="e">
        <f>IF(X2886&lt;X2887,X2888,X2889)</f>
        <v>#NUM!</v>
      </c>
      <c r="Y2890" s="44"/>
      <c r="Z2890" s="72"/>
      <c r="AA2890" s="64" t="e">
        <f>IF(AA2886&lt;AA2887,AA2888,AA2889)</f>
        <v>#NUM!</v>
      </c>
      <c r="AB2890" s="44"/>
      <c r="AC2890" s="72"/>
      <c r="AD2890" s="64" t="e">
        <f>IF(AD2886&lt;AD2887,AD2888,AD2889)</f>
        <v>#NUM!</v>
      </c>
      <c r="AE2890" s="44"/>
      <c r="AF2890" s="72"/>
      <c r="AG2890" s="64" t="e">
        <f>IF(AG2886&lt;AG2887,AG2888,AG2889)</f>
        <v>#NUM!</v>
      </c>
      <c r="AH2890" s="44"/>
      <c r="AI2890" s="72"/>
      <c r="AJ2890" s="64" t="e">
        <f>IF(AJ2886&lt;AJ2887,AJ2888,AJ2889)</f>
        <v>#NUM!</v>
      </c>
      <c r="AK2890" s="44"/>
      <c r="AL2890" s="72"/>
      <c r="AM2890" s="64" t="e">
        <f>IF(AM2886&lt;AM2887,AM2888,AM2889)</f>
        <v>#NUM!</v>
      </c>
      <c r="AN2890" s="44"/>
      <c r="AO2890" s="72"/>
      <c r="AP2890" s="64" t="e">
        <f>IF(AP2886&lt;AP2887,AP2888,AP2889)</f>
        <v>#NUM!</v>
      </c>
      <c r="AQ2890" s="44"/>
      <c r="AR2890" s="72"/>
      <c r="AS2890" s="64" t="e">
        <f>IF(AS2886&lt;AS2887,AS2888,AS2889)</f>
        <v>#NUM!</v>
      </c>
      <c r="AT2890" s="44"/>
      <c r="AU2890" s="72"/>
    </row>
    <row r="2891" spans="15:47" ht="13" x14ac:dyDescent="0.3">
      <c r="O2891" s="7" t="s">
        <v>264</v>
      </c>
      <c r="Q2891" s="61"/>
      <c r="R2891" s="53"/>
      <c r="S2891" s="69">
        <f>IFERROR(ABS(C_h-R2890),Q_max*10)</f>
        <v>19.060480604893296</v>
      </c>
      <c r="T2891" s="76">
        <f>R2882</f>
        <v>135.06240331273963</v>
      </c>
      <c r="U2891" s="61"/>
      <c r="V2891" s="69">
        <f>IFERROR(ABS(U$23-U2890),Q_max*10)</f>
        <v>60.081798085752013</v>
      </c>
      <c r="W2891" s="75">
        <f>U2882</f>
        <v>371.84052010977427</v>
      </c>
      <c r="X2891" s="61"/>
      <c r="Y2891" s="69">
        <f>IFERROR(ABS(X$23-X2890),Q_max*10)</f>
        <v>5500</v>
      </c>
      <c r="Z2891" s="75">
        <f>X2882</f>
        <v>892.5603835889417</v>
      </c>
      <c r="AA2891" s="61"/>
      <c r="AB2891" s="69">
        <f>IFERROR(ABS(AA$23-AA2890),Q_max*10)</f>
        <v>5500</v>
      </c>
      <c r="AC2891" s="75">
        <f>AA2882</f>
        <v>1704.2248850967676</v>
      </c>
      <c r="AD2891" s="61"/>
      <c r="AE2891" s="69">
        <f>IFERROR(ABS(AD$23-AD2890),Q_max*10)</f>
        <v>5500</v>
      </c>
      <c r="AF2891" s="75">
        <f>AD2882</f>
        <v>2802.822477608378</v>
      </c>
      <c r="AG2891" s="61"/>
      <c r="AH2891" s="69">
        <f>IFERROR(ABS(AG$23-AG2890),Q_max*10)</f>
        <v>5500</v>
      </c>
      <c r="AI2891" s="75">
        <f>AG2882</f>
        <v>4173.0207385969989</v>
      </c>
      <c r="AJ2891" s="61"/>
      <c r="AK2891" s="69">
        <f>IFERROR(ABS(AJ$23-AJ2890),Q_max*10)</f>
        <v>5500</v>
      </c>
      <c r="AL2891" s="75">
        <f>AJ2882</f>
        <v>5568.9123526531548</v>
      </c>
      <c r="AM2891" s="61"/>
      <c r="AN2891" s="69">
        <f>IFERROR(ABS(AM$23-AM2890),Q_max*10)</f>
        <v>5500</v>
      </c>
      <c r="AO2891" s="75">
        <f>AM2882</f>
        <v>6795.1313860505779</v>
      </c>
      <c r="AP2891" s="61"/>
      <c r="AQ2891" s="69">
        <f>IFERROR(ABS(AP$23-AP2890),Q_max*10)</f>
        <v>5500</v>
      </c>
      <c r="AR2891" s="75">
        <f>AP2882</f>
        <v>7888.936586865033</v>
      </c>
      <c r="AS2891" s="61"/>
      <c r="AT2891" s="69">
        <f>IFERROR(ABS(AS$23-AS2890),Q_max*10)</f>
        <v>5500</v>
      </c>
      <c r="AU2891" s="75">
        <f>AS2882</f>
        <v>8978.3457192754249</v>
      </c>
    </row>
    <row r="2892" spans="15:47" ht="14.5" x14ac:dyDescent="0.35">
      <c r="O2892" s="8"/>
      <c r="P2892" s="6"/>
      <c r="Q2892" s="60"/>
      <c r="R2892" s="67"/>
      <c r="S2892" s="56"/>
      <c r="T2892" s="72"/>
      <c r="V2892" s="11"/>
      <c r="W2892" s="38"/>
      <c r="Y2892" s="11"/>
      <c r="Z2892" s="38"/>
      <c r="AB2892" s="11"/>
      <c r="AC2892" s="38"/>
      <c r="AE2892" s="11"/>
      <c r="AF2892" s="38"/>
      <c r="AH2892" s="11"/>
      <c r="AI2892" s="38"/>
      <c r="AK2892" s="11"/>
      <c r="AL2892" s="38"/>
      <c r="AN2892" s="11"/>
      <c r="AO2892" s="38"/>
      <c r="AQ2892" s="11"/>
      <c r="AR2892" s="38"/>
      <c r="AT2892" s="11"/>
      <c r="AU2892" s="38"/>
    </row>
    <row r="2893" spans="15:47" ht="14" x14ac:dyDescent="0.3">
      <c r="O2893" s="8" t="s">
        <v>235</v>
      </c>
      <c r="P2893" s="6"/>
      <c r="Q2893" s="60"/>
      <c r="R2893" s="53">
        <f>R2882*1.02</f>
        <v>137.76365137899444</v>
      </c>
      <c r="S2893" s="58" t="s">
        <v>238</v>
      </c>
      <c r="T2893" s="73" t="s">
        <v>241</v>
      </c>
      <c r="U2893" s="84">
        <f>U2882*1.01</f>
        <v>375.55892531087204</v>
      </c>
      <c r="V2893" s="58" t="s">
        <v>238</v>
      </c>
      <c r="W2893" s="73" t="s">
        <v>241</v>
      </c>
      <c r="X2893" s="84">
        <f>X2882*1.01</f>
        <v>901.48598742483114</v>
      </c>
      <c r="Y2893" s="58" t="s">
        <v>238</v>
      </c>
      <c r="Z2893" s="73" t="s">
        <v>241</v>
      </c>
      <c r="AA2893" s="84">
        <f>AA2882*1.01</f>
        <v>1721.2671339477354</v>
      </c>
      <c r="AB2893" s="58" t="s">
        <v>238</v>
      </c>
      <c r="AC2893" s="73" t="s">
        <v>241</v>
      </c>
      <c r="AD2893" s="84">
        <f>AD2882*1.01</f>
        <v>2830.8507023844618</v>
      </c>
      <c r="AE2893" s="58" t="s">
        <v>238</v>
      </c>
      <c r="AF2893" s="73" t="s">
        <v>241</v>
      </c>
      <c r="AG2893" s="84">
        <f>AG2882*1.01</f>
        <v>4214.7509459829689</v>
      </c>
      <c r="AH2893" s="58" t="s">
        <v>238</v>
      </c>
      <c r="AI2893" s="73" t="s">
        <v>241</v>
      </c>
      <c r="AJ2893" s="84">
        <f>AJ2882*1.01</f>
        <v>5624.601476179686</v>
      </c>
      <c r="AK2893" s="58" t="s">
        <v>238</v>
      </c>
      <c r="AL2893" s="73" t="s">
        <v>241</v>
      </c>
      <c r="AM2893" s="84">
        <f>AM2882*1.01</f>
        <v>6863.0826999110841</v>
      </c>
      <c r="AN2893" s="58" t="s">
        <v>238</v>
      </c>
      <c r="AO2893" s="73" t="s">
        <v>241</v>
      </c>
      <c r="AP2893" s="84">
        <f>AP2882*1.01</f>
        <v>7967.8259527336832</v>
      </c>
      <c r="AQ2893" s="58" t="s">
        <v>238</v>
      </c>
      <c r="AR2893" s="73" t="s">
        <v>241</v>
      </c>
      <c r="AS2893" s="84">
        <f>AS2882*1.01</f>
        <v>9068.1291764681791</v>
      </c>
      <c r="AT2893" s="58" t="s">
        <v>238</v>
      </c>
      <c r="AU2893" s="73" t="s">
        <v>241</v>
      </c>
    </row>
    <row r="2894" spans="15:47" ht="13" x14ac:dyDescent="0.25">
      <c r="O2894" s="6"/>
      <c r="P2894" s="6"/>
      <c r="Q2894" s="60"/>
      <c r="R2894" s="70"/>
      <c r="S2894" s="63" t="s">
        <v>250</v>
      </c>
      <c r="T2894" s="71" t="s">
        <v>242</v>
      </c>
      <c r="U2894" s="61"/>
      <c r="V2894" s="63" t="s">
        <v>250</v>
      </c>
      <c r="W2894" s="71" t="s">
        <v>242</v>
      </c>
      <c r="X2894" s="61"/>
      <c r="Y2894" s="63" t="s">
        <v>250</v>
      </c>
      <c r="Z2894" s="71" t="s">
        <v>242</v>
      </c>
      <c r="AA2894" s="61"/>
      <c r="AB2894" s="63" t="s">
        <v>250</v>
      </c>
      <c r="AC2894" s="71" t="s">
        <v>242</v>
      </c>
      <c r="AD2894" s="61"/>
      <c r="AE2894" s="63" t="s">
        <v>250</v>
      </c>
      <c r="AF2894" s="71" t="s">
        <v>242</v>
      </c>
      <c r="AG2894" s="61"/>
      <c r="AH2894" s="63" t="s">
        <v>250</v>
      </c>
      <c r="AI2894" s="71" t="s">
        <v>242</v>
      </c>
      <c r="AJ2894" s="61"/>
      <c r="AK2894" s="63" t="s">
        <v>250</v>
      </c>
      <c r="AL2894" s="71" t="s">
        <v>242</v>
      </c>
      <c r="AM2894" s="61"/>
      <c r="AN2894" s="63" t="s">
        <v>250</v>
      </c>
      <c r="AO2894" s="71" t="s">
        <v>242</v>
      </c>
      <c r="AP2894" s="61"/>
      <c r="AQ2894" s="63" t="s">
        <v>250</v>
      </c>
      <c r="AR2894" s="71" t="s">
        <v>242</v>
      </c>
      <c r="AS2894" s="61"/>
      <c r="AT2894" s="63" t="s">
        <v>250</v>
      </c>
      <c r="AU2894" s="71" t="s">
        <v>242</v>
      </c>
    </row>
    <row r="2895" spans="15:47" ht="13" x14ac:dyDescent="0.3">
      <c r="O2895" s="6" t="s">
        <v>231</v>
      </c>
      <c r="P2895" s="6"/>
      <c r="Q2895" s="60"/>
      <c r="R2895" s="85">
        <f>P_1_minQ-(R2893^2*R_up)+dpup_minQ</f>
        <v>56.275183261017453</v>
      </c>
      <c r="S2895" s="56"/>
      <c r="T2895" s="72"/>
      <c r="U2895" s="53">
        <f>P_1_minQ-(U2893^2*R_up)+dpup_minQ</f>
        <v>52.152735346820087</v>
      </c>
      <c r="V2895" s="44"/>
      <c r="W2895" s="72"/>
      <c r="X2895" s="53">
        <f>P_1_minQ-(X2893^2*R_up)+dpup_minQ</f>
        <v>29.470111937746612</v>
      </c>
      <c r="Y2895" s="44"/>
      <c r="Z2895" s="72"/>
      <c r="AA2895" s="53">
        <f>P_1_minQ-(AA2893^2*R_up)+dpup_minQ</f>
        <v>-43.143314637239165</v>
      </c>
      <c r="AB2895" s="44"/>
      <c r="AC2895" s="72"/>
      <c r="AD2895" s="53">
        <f>P_1_minQ-(AD2893^2*R_up)+dpup_minQ</f>
        <v>-213.72606211383325</v>
      </c>
      <c r="AE2895" s="44"/>
      <c r="AF2895" s="72"/>
      <c r="AG2895" s="53">
        <f>P_1_minQ-(AG2893^2*R_up)+dpup_minQ</f>
        <v>-543.02055172794098</v>
      </c>
      <c r="AH2895" s="44"/>
      <c r="AI2895" s="72"/>
      <c r="AJ2895" s="53">
        <f>P_1_minQ-(AJ2893^2*R_up)+dpup_minQ</f>
        <v>-1011.5114746991794</v>
      </c>
      <c r="AK2895" s="44"/>
      <c r="AL2895" s="72"/>
      <c r="AM2895" s="53">
        <f>P_1_minQ-(AM2893^2*R_up)+dpup_minQ</f>
        <v>-1533.8269890516317</v>
      </c>
      <c r="AN2895" s="44"/>
      <c r="AO2895" s="72"/>
      <c r="AP2895" s="53">
        <f>P_1_minQ-(AP2893^2*R_up)+dpup_minQ</f>
        <v>-2087.1652621768467</v>
      </c>
      <c r="AQ2895" s="44"/>
      <c r="AR2895" s="72"/>
      <c r="AS2895" s="53">
        <f>P_1_minQ-(AS2893^2*R_up)+dpup_minQ</f>
        <v>-2720.2188369170367</v>
      </c>
      <c r="AT2895" s="44"/>
      <c r="AU2895" s="72"/>
    </row>
    <row r="2896" spans="15:47" ht="13" x14ac:dyDescent="0.3">
      <c r="O2896" s="6" t="s">
        <v>233</v>
      </c>
      <c r="P2896" s="6"/>
      <c r="Q2896" s="60"/>
      <c r="R2896" s="85">
        <f>P_2_minQ+(R2893^2*R_dn)-dpdn_minQ</f>
        <v>24.784963347796509</v>
      </c>
      <c r="S2896" s="66"/>
      <c r="T2896" s="74"/>
      <c r="U2896" s="53">
        <f>P_2_minQ+(U2893^2*R_dn)-dpdn_minQ</f>
        <v>25.609452930635985</v>
      </c>
      <c r="V2896" s="45"/>
      <c r="W2896" s="74"/>
      <c r="X2896" s="53">
        <f>P_2_minQ+(X2893^2*R_dn)-dpdn_minQ</f>
        <v>30.145977612450679</v>
      </c>
      <c r="Y2896" s="45"/>
      <c r="Z2896" s="74"/>
      <c r="AA2896" s="53">
        <f>P_2_minQ+(AA2893^2*R_dn)-dpdn_minQ</f>
        <v>44.668662927447834</v>
      </c>
      <c r="AB2896" s="45"/>
      <c r="AC2896" s="74"/>
      <c r="AD2896" s="53">
        <f>P_2_minQ+(AD2893^2*R_dn)-dpdn_minQ</f>
        <v>78.785212422766648</v>
      </c>
      <c r="AE2896" s="45"/>
      <c r="AF2896" s="74"/>
      <c r="AG2896" s="53">
        <f>P_2_minQ+(AG2893^2*R_dn)-dpdn_minQ</f>
        <v>144.64411034558819</v>
      </c>
      <c r="AH2896" s="45"/>
      <c r="AI2896" s="74"/>
      <c r="AJ2896" s="53">
        <f>P_2_minQ+(AJ2893^2*R_dn)-dpdn_minQ</f>
        <v>238.34229493983585</v>
      </c>
      <c r="AK2896" s="45"/>
      <c r="AL2896" s="74"/>
      <c r="AM2896" s="53">
        <f>P_2_minQ+(AM2893^2*R_dn)-dpdn_minQ</f>
        <v>342.80539781032627</v>
      </c>
      <c r="AN2896" s="45"/>
      <c r="AO2896" s="74"/>
      <c r="AP2896" s="53">
        <f>P_2_minQ+(AP2893^2*R_dn)-dpdn_minQ</f>
        <v>453.47305243536925</v>
      </c>
      <c r="AQ2896" s="45"/>
      <c r="AR2896" s="74"/>
      <c r="AS2896" s="53">
        <f>P_2_minQ+(AS2893^2*R_dn)-dpdn_minQ</f>
        <v>580.08376738340735</v>
      </c>
      <c r="AT2896" s="45"/>
      <c r="AU2896" s="74"/>
    </row>
    <row r="2897" spans="15:47" x14ac:dyDescent="0.25">
      <c r="O2897" s="6" t="s">
        <v>243</v>
      </c>
      <c r="Q2897" s="60"/>
      <c r="R2897" s="53">
        <f>R2895-R2896</f>
        <v>31.490219913220944</v>
      </c>
      <c r="S2897" s="56"/>
      <c r="T2897" s="72"/>
      <c r="U2897" s="64">
        <f>U2895-U2896</f>
        <v>26.543282416184102</v>
      </c>
      <c r="V2897" s="44"/>
      <c r="W2897" s="72"/>
      <c r="X2897" s="64">
        <f>X2895-X2896</f>
        <v>-0.67586567470406678</v>
      </c>
      <c r="Y2897" s="44"/>
      <c r="Z2897" s="72"/>
      <c r="AA2897" s="64">
        <f>AA2895-AA2896</f>
        <v>-87.811977564686998</v>
      </c>
      <c r="AB2897" s="44"/>
      <c r="AC2897" s="72"/>
      <c r="AD2897" s="64">
        <f>AD2895-AD2896</f>
        <v>-292.5112745365999</v>
      </c>
      <c r="AE2897" s="44"/>
      <c r="AF2897" s="72"/>
      <c r="AG2897" s="64">
        <f>AG2895-AG2896</f>
        <v>-687.66466207352914</v>
      </c>
      <c r="AH2897" s="44"/>
      <c r="AI2897" s="72"/>
      <c r="AJ2897" s="64">
        <f>AJ2895-AJ2896</f>
        <v>-1249.8537696390154</v>
      </c>
      <c r="AK2897" s="44"/>
      <c r="AL2897" s="72"/>
      <c r="AM2897" s="64">
        <f>AM2895-AM2896</f>
        <v>-1876.6323868619579</v>
      </c>
      <c r="AN2897" s="44"/>
      <c r="AO2897" s="72"/>
      <c r="AP2897" s="64">
        <f>AP2895-AP2896</f>
        <v>-2540.6383146122162</v>
      </c>
      <c r="AQ2897" s="44"/>
      <c r="AR2897" s="72"/>
      <c r="AS2897" s="64">
        <f>AS2895-AS2896</f>
        <v>-3300.3026043004438</v>
      </c>
      <c r="AT2897" s="44"/>
      <c r="AU2897" s="72"/>
    </row>
    <row r="2898" spans="15:47" ht="13" x14ac:dyDescent="0.3">
      <c r="O2898" s="6" t="s">
        <v>75</v>
      </c>
      <c r="P2898" s="6">
        <v>3</v>
      </c>
      <c r="Q2898" s="65"/>
      <c r="R2898" s="85">
        <f>(F_LP_h/F_P_h)^2*(R2895-('Valve Sizing'!$V$4*'Valve Sizing'!$G$7))</f>
        <v>46.234414772542529</v>
      </c>
      <c r="S2898" s="58"/>
      <c r="T2898" s="73"/>
      <c r="U2898" s="53">
        <f>(U$29/U$27)^2*(U2895-('Valve Sizing'!$V$4*'Valve Sizing'!$G$7))</f>
        <v>42.809140328311152</v>
      </c>
      <c r="V2898" s="41"/>
      <c r="W2898" s="73"/>
      <c r="X2898" s="53">
        <f>(X$29/X$27)^2*(X2895-('Valve Sizing'!$V$4*'Valve Sizing'!$G$7))</f>
        <v>23.489771900498841</v>
      </c>
      <c r="Y2898" s="41"/>
      <c r="Z2898" s="73"/>
      <c r="AA2898" s="53">
        <f>(AA$29/AA$27)^2*(AA2895-('Valve Sizing'!$V$4*'Valve Sizing'!$G$7))</f>
        <v>-33.681109015438722</v>
      </c>
      <c r="AB2898" s="41"/>
      <c r="AC2898" s="73"/>
      <c r="AD2898" s="53">
        <f>(AD$29/AD$27)^2*(AD2895-('Valve Sizing'!$V$4*'Valve Sizing'!$G$7))</f>
        <v>-154.45390863103086</v>
      </c>
      <c r="AE2898" s="41"/>
      <c r="AF2898" s="73"/>
      <c r="AG2898" s="53">
        <f>(AG$29/AG$27)^2*(AG2895-('Valve Sizing'!$V$4*'Valve Sizing'!$G$7))</f>
        <v>-350.01251818835561</v>
      </c>
      <c r="AH2898" s="41"/>
      <c r="AI2898" s="73"/>
      <c r="AJ2898" s="53">
        <f>(AJ$29/AJ$27)^2*(AJ2895-('Valve Sizing'!$V$4*'Valve Sizing'!$G$7))</f>
        <v>-585.27667540044786</v>
      </c>
      <c r="AK2898" s="41"/>
      <c r="AL2898" s="73"/>
      <c r="AM2898" s="53">
        <f>(AM$29/AM$27)^2*(AM2895-('Valve Sizing'!$V$4*'Valve Sizing'!$G$7))</f>
        <v>-734.10405145149809</v>
      </c>
      <c r="AN2898" s="41"/>
      <c r="AO2898" s="73"/>
      <c r="AP2898" s="53">
        <f>(AP$29/AP$27)^2*(AP2895-('Valve Sizing'!$V$4*'Valve Sizing'!$G$7))</f>
        <v>-823.82506414726765</v>
      </c>
      <c r="AQ2898" s="41"/>
      <c r="AR2898" s="73"/>
      <c r="AS2898" s="53">
        <f>(AS$29/AS$27)^2*(AS2895-('Valve Sizing'!$V$4*'Valve Sizing'!$G$7))</f>
        <v>-1023.3507970951964</v>
      </c>
      <c r="AT2898" s="41"/>
      <c r="AU2898" s="73"/>
    </row>
    <row r="2899" spans="15:47" ht="13" x14ac:dyDescent="0.25">
      <c r="O2899" s="1" t="s">
        <v>69</v>
      </c>
      <c r="P2899" s="17">
        <v>7</v>
      </c>
      <c r="Q2899" s="65"/>
      <c r="R2899" s="53">
        <f>(R2893/(N_1*F_P_h))*SQRT('Valve Sizing'!$G$6/R2897)</f>
        <v>24.553325822544899</v>
      </c>
      <c r="S2899" s="58"/>
      <c r="T2899" s="73"/>
      <c r="U2899" s="64">
        <f>(U2893/(N_1*U$27))*SQRT('Valve Sizing'!$G$6/U2897)</f>
        <v>72.95691208274944</v>
      </c>
      <c r="V2899" s="41"/>
      <c r="W2899" s="73"/>
      <c r="X2899" s="64" t="e">
        <f>(X2893/(N_1*X$27))*SQRT('Valve Sizing'!$G$6/X2897)</f>
        <v>#NUM!</v>
      </c>
      <c r="Y2899" s="41"/>
      <c r="Z2899" s="73"/>
      <c r="AA2899" s="64" t="e">
        <f>(AA2893/(N_1*AA$27))*SQRT('Valve Sizing'!$G$6/AA2897)</f>
        <v>#NUM!</v>
      </c>
      <c r="AB2899" s="41"/>
      <c r="AC2899" s="73"/>
      <c r="AD2899" s="64" t="e">
        <f>(AD2893/(N_1*AD$27))*SQRT('Valve Sizing'!$G$6/AD2897)</f>
        <v>#NUM!</v>
      </c>
      <c r="AE2899" s="41"/>
      <c r="AF2899" s="73"/>
      <c r="AG2899" s="64" t="e">
        <f>(AG2893/(N_1*AG$27))*SQRT('Valve Sizing'!$G$6/AG2897)</f>
        <v>#NUM!</v>
      </c>
      <c r="AH2899" s="41"/>
      <c r="AI2899" s="73"/>
      <c r="AJ2899" s="64" t="e">
        <f>(AJ2893/(N_1*AJ$27))*SQRT('Valve Sizing'!$G$6/AJ2897)</f>
        <v>#NUM!</v>
      </c>
      <c r="AK2899" s="41"/>
      <c r="AL2899" s="73"/>
      <c r="AM2899" s="64" t="e">
        <f>(AM2893/(N_1*AM$27))*SQRT('Valve Sizing'!$G$6/AM2897)</f>
        <v>#NUM!</v>
      </c>
      <c r="AN2899" s="41"/>
      <c r="AO2899" s="73"/>
      <c r="AP2899" s="64" t="e">
        <f>(AP2893/(N_1*AP$27))*SQRT('Valve Sizing'!$G$6/AP2897)</f>
        <v>#NUM!</v>
      </c>
      <c r="AQ2899" s="41"/>
      <c r="AR2899" s="73"/>
      <c r="AS2899" s="64" t="e">
        <f>(AS2893/(N_1*AS$27))*SQRT('Valve Sizing'!$G$6/AS2897)</f>
        <v>#NUM!</v>
      </c>
      <c r="AT2899" s="41"/>
      <c r="AU2899" s="73"/>
    </row>
    <row r="2900" spans="15:47" ht="13" x14ac:dyDescent="0.3">
      <c r="O2900" s="1" t="s">
        <v>72</v>
      </c>
      <c r="P2900" s="17">
        <v>7</v>
      </c>
      <c r="Q2900" s="65"/>
      <c r="R2900" s="53">
        <f>(R2893/(N_1*F_P_h))*SQRT('Valve Sizing'!$G$6/R2898)</f>
        <v>20.263548086480533</v>
      </c>
      <c r="S2900" s="56"/>
      <c r="T2900" s="72"/>
      <c r="U2900" s="85">
        <f>(U2893/(N_1*U$27))*SQRT('Valve Sizing'!$G$6/U2898)</f>
        <v>57.448078179448601</v>
      </c>
      <c r="V2900" s="44"/>
      <c r="W2900" s="72"/>
      <c r="X2900" s="85">
        <f>(X2893/(N_1*X$27))*SQRT('Valve Sizing'!$G$6/X2898)</f>
        <v>186.57777015358036</v>
      </c>
      <c r="Y2900" s="44"/>
      <c r="Z2900" s="72"/>
      <c r="AA2900" s="85" t="e">
        <f>(AA2893/(N_1*AA$27))*SQRT('Valve Sizing'!$G$6/AA2898)</f>
        <v>#NUM!</v>
      </c>
      <c r="AB2900" s="44"/>
      <c r="AC2900" s="72"/>
      <c r="AD2900" s="85" t="e">
        <f>(AD2893/(N_1*AD$27))*SQRT('Valve Sizing'!$G$6/AD2898)</f>
        <v>#NUM!</v>
      </c>
      <c r="AE2900" s="44"/>
      <c r="AF2900" s="72"/>
      <c r="AG2900" s="85" t="e">
        <f>(AG2893/(N_1*AG$27))*SQRT('Valve Sizing'!$G$6/AG2898)</f>
        <v>#NUM!</v>
      </c>
      <c r="AH2900" s="44"/>
      <c r="AI2900" s="72"/>
      <c r="AJ2900" s="85" t="e">
        <f>(AJ2893/(N_1*AJ$27))*SQRT('Valve Sizing'!$G$6/AJ2898)</f>
        <v>#NUM!</v>
      </c>
      <c r="AK2900" s="44"/>
      <c r="AL2900" s="72"/>
      <c r="AM2900" s="85" t="e">
        <f>(AM2893/(N_1*AM$27))*SQRT('Valve Sizing'!$G$6/AM2898)</f>
        <v>#NUM!</v>
      </c>
      <c r="AN2900" s="44"/>
      <c r="AO2900" s="72"/>
      <c r="AP2900" s="85" t="e">
        <f>(AP2893/(N_1*AP$27))*SQRT('Valve Sizing'!$G$6/AP2898)</f>
        <v>#NUM!</v>
      </c>
      <c r="AQ2900" s="44"/>
      <c r="AR2900" s="72"/>
      <c r="AS2900" s="85" t="e">
        <f>(AS2893/(N_1*AS$27))*SQRT('Valve Sizing'!$G$6/AS2898)</f>
        <v>#NUM!</v>
      </c>
      <c r="AT2900" s="44"/>
      <c r="AU2900" s="72"/>
    </row>
    <row r="2901" spans="15:47" x14ac:dyDescent="0.25">
      <c r="O2901" s="1" t="s">
        <v>246</v>
      </c>
      <c r="P2901" s="18"/>
      <c r="Q2901" s="65"/>
      <c r="R2901" s="53">
        <f>IF(R2897&lt;R2898,R2899,R2900)</f>
        <v>24.553325822544899</v>
      </c>
      <c r="S2901" s="49"/>
      <c r="T2901" s="72"/>
      <c r="U2901" s="64">
        <f>IF(U2897&lt;U2898,U2899,U2900)</f>
        <v>72.95691208274944</v>
      </c>
      <c r="V2901" s="44"/>
      <c r="W2901" s="72"/>
      <c r="X2901" s="64" t="e">
        <f>IF(X2897&lt;X2898,X2899,X2900)</f>
        <v>#NUM!</v>
      </c>
      <c r="Y2901" s="44"/>
      <c r="Z2901" s="72"/>
      <c r="AA2901" s="64" t="e">
        <f>IF(AA2897&lt;AA2898,AA2899,AA2900)</f>
        <v>#NUM!</v>
      </c>
      <c r="AB2901" s="44"/>
      <c r="AC2901" s="72"/>
      <c r="AD2901" s="64" t="e">
        <f>IF(AD2897&lt;AD2898,AD2899,AD2900)</f>
        <v>#NUM!</v>
      </c>
      <c r="AE2901" s="44"/>
      <c r="AF2901" s="72"/>
      <c r="AG2901" s="64" t="e">
        <f>IF(AG2897&lt;AG2898,AG2899,AG2900)</f>
        <v>#NUM!</v>
      </c>
      <c r="AH2901" s="44"/>
      <c r="AI2901" s="72"/>
      <c r="AJ2901" s="64" t="e">
        <f>IF(AJ2897&lt;AJ2898,AJ2899,AJ2900)</f>
        <v>#NUM!</v>
      </c>
      <c r="AK2901" s="44"/>
      <c r="AL2901" s="72"/>
      <c r="AM2901" s="64" t="e">
        <f>IF(AM2897&lt;AM2898,AM2899,AM2900)</f>
        <v>#NUM!</v>
      </c>
      <c r="AN2901" s="44"/>
      <c r="AO2901" s="72"/>
      <c r="AP2901" s="64" t="e">
        <f>IF(AP2897&lt;AP2898,AP2899,AP2900)</f>
        <v>#NUM!</v>
      </c>
      <c r="AQ2901" s="44"/>
      <c r="AR2901" s="72"/>
      <c r="AS2901" s="64" t="e">
        <f>IF(AS2897&lt;AS2898,AS2899,AS2900)</f>
        <v>#NUM!</v>
      </c>
      <c r="AT2901" s="44"/>
      <c r="AU2901" s="72"/>
    </row>
    <row r="2902" spans="15:47" ht="13" x14ac:dyDescent="0.3">
      <c r="O2902" s="7" t="s">
        <v>264</v>
      </c>
      <c r="Q2902" s="61"/>
      <c r="R2902" s="53"/>
      <c r="S2902" s="69">
        <f>IFERROR(ABS(C_h-R2901),Q_max*10)</f>
        <v>19.553325822544899</v>
      </c>
      <c r="T2902" s="76">
        <f>R2893</f>
        <v>137.76365137899444</v>
      </c>
      <c r="U2902" s="61"/>
      <c r="V2902" s="69">
        <f>IFERROR(ABS(U$23-U2901),Q_max*10)</f>
        <v>60.95691208274944</v>
      </c>
      <c r="W2902" s="75">
        <f>U2893</f>
        <v>375.55892531087204</v>
      </c>
      <c r="X2902" s="61"/>
      <c r="Y2902" s="69">
        <f>IFERROR(ABS(X$23-X2901),Q_max*10)</f>
        <v>5500</v>
      </c>
      <c r="Z2902" s="75">
        <f>X2893</f>
        <v>901.48598742483114</v>
      </c>
      <c r="AA2902" s="61"/>
      <c r="AB2902" s="69">
        <f>IFERROR(ABS(AA$23-AA2901),Q_max*10)</f>
        <v>5500</v>
      </c>
      <c r="AC2902" s="75">
        <f>AA2893</f>
        <v>1721.2671339477354</v>
      </c>
      <c r="AD2902" s="61"/>
      <c r="AE2902" s="69">
        <f>IFERROR(ABS(AD$23-AD2901),Q_max*10)</f>
        <v>5500</v>
      </c>
      <c r="AF2902" s="75">
        <f>AD2893</f>
        <v>2830.8507023844618</v>
      </c>
      <c r="AG2902" s="61"/>
      <c r="AH2902" s="69">
        <f>IFERROR(ABS(AG$23-AG2901),Q_max*10)</f>
        <v>5500</v>
      </c>
      <c r="AI2902" s="75">
        <f>AG2893</f>
        <v>4214.7509459829689</v>
      </c>
      <c r="AJ2902" s="61"/>
      <c r="AK2902" s="69">
        <f>IFERROR(ABS(AJ$23-AJ2901),Q_max*10)</f>
        <v>5500</v>
      </c>
      <c r="AL2902" s="75">
        <f>AJ2893</f>
        <v>5624.601476179686</v>
      </c>
      <c r="AM2902" s="61"/>
      <c r="AN2902" s="69">
        <f>IFERROR(ABS(AM$23-AM2901),Q_max*10)</f>
        <v>5500</v>
      </c>
      <c r="AO2902" s="75">
        <f>AM2893</f>
        <v>6863.0826999110841</v>
      </c>
      <c r="AP2902" s="61"/>
      <c r="AQ2902" s="69">
        <f>IFERROR(ABS(AP$23-AP2901),Q_max*10)</f>
        <v>5500</v>
      </c>
      <c r="AR2902" s="75">
        <f>AP2893</f>
        <v>7967.8259527336832</v>
      </c>
      <c r="AS2902" s="61"/>
      <c r="AT2902" s="69">
        <f>IFERROR(ABS(AS$23-AS2901),Q_max*10)</f>
        <v>5500</v>
      </c>
      <c r="AU2902" s="75">
        <f>AS2893</f>
        <v>9068.1291764681791</v>
      </c>
    </row>
    <row r="2903" spans="15:47" ht="14.5" x14ac:dyDescent="0.35">
      <c r="O2903" s="6"/>
      <c r="P2903" s="6"/>
      <c r="Q2903" s="60"/>
      <c r="R2903" s="67"/>
      <c r="S2903" s="66"/>
      <c r="T2903" s="74"/>
      <c r="V2903" s="11"/>
      <c r="W2903" s="38"/>
      <c r="Y2903" s="11"/>
      <c r="Z2903" s="38"/>
      <c r="AB2903" s="11"/>
      <c r="AC2903" s="38"/>
      <c r="AE2903" s="11"/>
      <c r="AF2903" s="38"/>
      <c r="AH2903" s="11"/>
      <c r="AI2903" s="38"/>
      <c r="AK2903" s="11"/>
      <c r="AL2903" s="38"/>
      <c r="AN2903" s="11"/>
      <c r="AO2903" s="38"/>
      <c r="AQ2903" s="11"/>
      <c r="AR2903" s="38"/>
      <c r="AT2903" s="11"/>
      <c r="AU2903" s="38"/>
    </row>
    <row r="2904" spans="15:47" ht="14" x14ac:dyDescent="0.3">
      <c r="O2904" s="8" t="s">
        <v>235</v>
      </c>
      <c r="P2904" s="6"/>
      <c r="Q2904" s="60"/>
      <c r="R2904" s="53">
        <f>R2893*1.02</f>
        <v>140.51892440657434</v>
      </c>
      <c r="S2904" s="58" t="s">
        <v>238</v>
      </c>
      <c r="T2904" s="73" t="s">
        <v>241</v>
      </c>
      <c r="U2904" s="84">
        <f>U2893*1.01</f>
        <v>379.31451456398077</v>
      </c>
      <c r="V2904" s="58" t="s">
        <v>238</v>
      </c>
      <c r="W2904" s="73" t="s">
        <v>241</v>
      </c>
      <c r="X2904" s="84">
        <f>X2893*1.01</f>
        <v>910.50084729907951</v>
      </c>
      <c r="Y2904" s="58" t="s">
        <v>238</v>
      </c>
      <c r="Z2904" s="73" t="s">
        <v>241</v>
      </c>
      <c r="AA2904" s="84">
        <f>AA2893*1.01</f>
        <v>1738.4798052872127</v>
      </c>
      <c r="AB2904" s="58" t="s">
        <v>238</v>
      </c>
      <c r="AC2904" s="73" t="s">
        <v>241</v>
      </c>
      <c r="AD2904" s="84">
        <f>AD2893*1.01</f>
        <v>2859.1592094083067</v>
      </c>
      <c r="AE2904" s="58" t="s">
        <v>238</v>
      </c>
      <c r="AF2904" s="73" t="s">
        <v>241</v>
      </c>
      <c r="AG2904" s="84">
        <f>AG2893*1.01</f>
        <v>4256.8984554427989</v>
      </c>
      <c r="AH2904" s="58" t="s">
        <v>238</v>
      </c>
      <c r="AI2904" s="73" t="s">
        <v>241</v>
      </c>
      <c r="AJ2904" s="84">
        <f>AJ2893*1.01</f>
        <v>5680.8474909414826</v>
      </c>
      <c r="AK2904" s="58" t="s">
        <v>238</v>
      </c>
      <c r="AL2904" s="73" t="s">
        <v>241</v>
      </c>
      <c r="AM2904" s="84">
        <f>AM2893*1.01</f>
        <v>6931.7135269101946</v>
      </c>
      <c r="AN2904" s="58" t="s">
        <v>238</v>
      </c>
      <c r="AO2904" s="73" t="s">
        <v>241</v>
      </c>
      <c r="AP2904" s="84">
        <f>AP2893*1.01</f>
        <v>8047.5042122610203</v>
      </c>
      <c r="AQ2904" s="58" t="s">
        <v>238</v>
      </c>
      <c r="AR2904" s="73" t="s">
        <v>241</v>
      </c>
      <c r="AS2904" s="84">
        <f>AS2893*1.01</f>
        <v>9158.8104682328612</v>
      </c>
      <c r="AT2904" s="58" t="s">
        <v>238</v>
      </c>
      <c r="AU2904" s="73" t="s">
        <v>241</v>
      </c>
    </row>
    <row r="2905" spans="15:47" ht="13" x14ac:dyDescent="0.25">
      <c r="O2905" s="6"/>
      <c r="P2905" s="6"/>
      <c r="Q2905" s="60"/>
      <c r="R2905" s="70"/>
      <c r="S2905" s="63" t="s">
        <v>250</v>
      </c>
      <c r="T2905" s="71" t="s">
        <v>242</v>
      </c>
      <c r="U2905" s="61"/>
      <c r="V2905" s="63" t="s">
        <v>250</v>
      </c>
      <c r="W2905" s="71" t="s">
        <v>242</v>
      </c>
      <c r="X2905" s="61"/>
      <c r="Y2905" s="63" t="s">
        <v>250</v>
      </c>
      <c r="Z2905" s="71" t="s">
        <v>242</v>
      </c>
      <c r="AA2905" s="61"/>
      <c r="AB2905" s="63" t="s">
        <v>250</v>
      </c>
      <c r="AC2905" s="71" t="s">
        <v>242</v>
      </c>
      <c r="AD2905" s="61"/>
      <c r="AE2905" s="63" t="s">
        <v>250</v>
      </c>
      <c r="AF2905" s="71" t="s">
        <v>242</v>
      </c>
      <c r="AG2905" s="61"/>
      <c r="AH2905" s="63" t="s">
        <v>250</v>
      </c>
      <c r="AI2905" s="71" t="s">
        <v>242</v>
      </c>
      <c r="AJ2905" s="61"/>
      <c r="AK2905" s="63" t="s">
        <v>250</v>
      </c>
      <c r="AL2905" s="71" t="s">
        <v>242</v>
      </c>
      <c r="AM2905" s="61"/>
      <c r="AN2905" s="63" t="s">
        <v>250</v>
      </c>
      <c r="AO2905" s="71" t="s">
        <v>242</v>
      </c>
      <c r="AP2905" s="61"/>
      <c r="AQ2905" s="63" t="s">
        <v>250</v>
      </c>
      <c r="AR2905" s="71" t="s">
        <v>242</v>
      </c>
      <c r="AS2905" s="61"/>
      <c r="AT2905" s="63" t="s">
        <v>250</v>
      </c>
      <c r="AU2905" s="71" t="s">
        <v>242</v>
      </c>
    </row>
    <row r="2906" spans="15:47" ht="13" x14ac:dyDescent="0.3">
      <c r="O2906" s="6" t="s">
        <v>231</v>
      </c>
      <c r="P2906" s="6"/>
      <c r="Q2906" s="60"/>
      <c r="R2906" s="85">
        <f>P_1_minQ-(R2904^2*R_up)+dpup_minQ</f>
        <v>56.249288479689952</v>
      </c>
      <c r="S2906" s="56"/>
      <c r="T2906" s="72"/>
      <c r="U2906" s="53">
        <f>P_1_minQ-(U2904^2*R_up)+dpup_minQ</f>
        <v>52.056990849074353</v>
      </c>
      <c r="V2906" s="44"/>
      <c r="W2906" s="72"/>
      <c r="X2906" s="53">
        <f>P_1_minQ-(X2904^2*R_up)+dpup_minQ</f>
        <v>28.918446709478498</v>
      </c>
      <c r="Y2906" s="44"/>
      <c r="Z2906" s="72"/>
      <c r="AA2906" s="53">
        <f>P_1_minQ-(AA2904^2*R_up)+dpup_minQ</f>
        <v>-45.154509739664483</v>
      </c>
      <c r="AB2906" s="44"/>
      <c r="AC2906" s="72"/>
      <c r="AD2906" s="53">
        <f>P_1_minQ-(AD2904^2*R_up)+dpup_minQ</f>
        <v>-219.16597044053813</v>
      </c>
      <c r="AE2906" s="44"/>
      <c r="AF2906" s="72"/>
      <c r="AG2906" s="53">
        <f>P_1_minQ-(AG2904^2*R_up)+dpup_minQ</f>
        <v>-555.07927929588936</v>
      </c>
      <c r="AH2906" s="44"/>
      <c r="AI2906" s="72"/>
      <c r="AJ2906" s="53">
        <f>P_1_minQ-(AJ2904^2*R_up)+dpup_minQ</f>
        <v>-1032.9868698188498</v>
      </c>
      <c r="AK2906" s="44"/>
      <c r="AL2906" s="72"/>
      <c r="AM2906" s="53">
        <f>P_1_minQ-(AM2904^2*R_up)+dpup_minQ</f>
        <v>-1565.8009260097863</v>
      </c>
      <c r="AN2906" s="44"/>
      <c r="AO2906" s="72"/>
      <c r="AP2906" s="53">
        <f>P_1_minQ-(AP2904^2*R_up)+dpup_minQ</f>
        <v>-2130.2612984248185</v>
      </c>
      <c r="AQ2906" s="44"/>
      <c r="AR2906" s="72"/>
      <c r="AS2906" s="53">
        <f>P_1_minQ-(AS2904^2*R_up)+dpup_minQ</f>
        <v>-2776.0392500172866</v>
      </c>
      <c r="AT2906" s="44"/>
      <c r="AU2906" s="72"/>
    </row>
    <row r="2907" spans="15:47" ht="13" x14ac:dyDescent="0.3">
      <c r="O2907" s="6" t="s">
        <v>233</v>
      </c>
      <c r="P2907" s="6"/>
      <c r="Q2907" s="60"/>
      <c r="R2907" s="85">
        <f>P_2_minQ+(R2904^2*R_dn)-dpdn_minQ</f>
        <v>24.790142304062012</v>
      </c>
      <c r="S2907" s="66"/>
      <c r="T2907" s="74"/>
      <c r="U2907" s="53">
        <f>P_2_minQ+(U2904^2*R_dn)-dpdn_minQ</f>
        <v>25.628601830185129</v>
      </c>
      <c r="V2907" s="45"/>
      <c r="W2907" s="74"/>
      <c r="X2907" s="53">
        <f>P_2_minQ+(X2904^2*R_dn)-dpdn_minQ</f>
        <v>30.256310658104301</v>
      </c>
      <c r="Y2907" s="45"/>
      <c r="Z2907" s="74"/>
      <c r="AA2907" s="53">
        <f>P_2_minQ+(AA2904^2*R_dn)-dpdn_minQ</f>
        <v>45.070901947932896</v>
      </c>
      <c r="AB2907" s="45"/>
      <c r="AC2907" s="74"/>
      <c r="AD2907" s="53">
        <f>P_2_minQ+(AD2904^2*R_dn)-dpdn_minQ</f>
        <v>79.873194088107624</v>
      </c>
      <c r="AE2907" s="45"/>
      <c r="AF2907" s="74"/>
      <c r="AG2907" s="53">
        <f>P_2_minQ+(AG2904^2*R_dn)-dpdn_minQ</f>
        <v>147.05585585917788</v>
      </c>
      <c r="AH2907" s="45"/>
      <c r="AI2907" s="74"/>
      <c r="AJ2907" s="53">
        <f>P_2_minQ+(AJ2904^2*R_dn)-dpdn_minQ</f>
        <v>242.63737396376993</v>
      </c>
      <c r="AK2907" s="45"/>
      <c r="AL2907" s="74"/>
      <c r="AM2907" s="53">
        <f>P_2_minQ+(AM2904^2*R_dn)-dpdn_minQ</f>
        <v>349.2001852019572</v>
      </c>
      <c r="AN2907" s="45"/>
      <c r="AO2907" s="74"/>
      <c r="AP2907" s="53">
        <f>P_2_minQ+(AP2904^2*R_dn)-dpdn_minQ</f>
        <v>462.09225968496355</v>
      </c>
      <c r="AQ2907" s="45"/>
      <c r="AR2907" s="74"/>
      <c r="AS2907" s="53">
        <f>P_2_minQ+(AS2904^2*R_dn)-dpdn_minQ</f>
        <v>591.2478500034573</v>
      </c>
      <c r="AT2907" s="45"/>
      <c r="AU2907" s="74"/>
    </row>
    <row r="2908" spans="15:47" x14ac:dyDescent="0.25">
      <c r="O2908" s="6" t="s">
        <v>243</v>
      </c>
      <c r="Q2908" s="60"/>
      <c r="R2908" s="53">
        <f>R2906-R2907</f>
        <v>31.459146175627939</v>
      </c>
      <c r="S2908" s="56"/>
      <c r="T2908" s="72"/>
      <c r="U2908" s="64">
        <f>U2906-U2907</f>
        <v>26.428389018889224</v>
      </c>
      <c r="V2908" s="44"/>
      <c r="W2908" s="72"/>
      <c r="X2908" s="64">
        <f>X2906-X2907</f>
        <v>-1.3378639486258024</v>
      </c>
      <c r="Y2908" s="44"/>
      <c r="Z2908" s="72"/>
      <c r="AA2908" s="64">
        <f>AA2906-AA2907</f>
        <v>-90.225411687597386</v>
      </c>
      <c r="AB2908" s="44"/>
      <c r="AC2908" s="72"/>
      <c r="AD2908" s="64">
        <f>AD2906-AD2907</f>
        <v>-299.03916452864576</v>
      </c>
      <c r="AE2908" s="44"/>
      <c r="AF2908" s="72"/>
      <c r="AG2908" s="64">
        <f>AG2906-AG2907</f>
        <v>-702.13513515506725</v>
      </c>
      <c r="AH2908" s="44"/>
      <c r="AI2908" s="72"/>
      <c r="AJ2908" s="64">
        <f>AJ2906-AJ2907</f>
        <v>-1275.6242437826197</v>
      </c>
      <c r="AK2908" s="44"/>
      <c r="AL2908" s="72"/>
      <c r="AM2908" s="64">
        <f>AM2906-AM2907</f>
        <v>-1915.0011112117436</v>
      </c>
      <c r="AN2908" s="44"/>
      <c r="AO2908" s="72"/>
      <c r="AP2908" s="64">
        <f>AP2906-AP2907</f>
        <v>-2592.3535581097822</v>
      </c>
      <c r="AQ2908" s="44"/>
      <c r="AR2908" s="72"/>
      <c r="AS2908" s="64">
        <f>AS2906-AS2907</f>
        <v>-3367.2871000207438</v>
      </c>
      <c r="AT2908" s="44"/>
      <c r="AU2908" s="72"/>
    </row>
    <row r="2909" spans="15:47" ht="13" x14ac:dyDescent="0.3">
      <c r="O2909" s="6" t="s">
        <v>75</v>
      </c>
      <c r="P2909" s="6">
        <v>3</v>
      </c>
      <c r="Q2909" s="65"/>
      <c r="R2909" s="85">
        <f>(F_LP_h/F_P_h)^2*(R2906-('Valve Sizing'!$V$4*'Valve Sizing'!$G$7))</f>
        <v>46.212972534387873</v>
      </c>
      <c r="S2909" s="58"/>
      <c r="T2909" s="73"/>
      <c r="U2909" s="53">
        <f>(U$29/U$27)^2*(U2906-('Valve Sizing'!$V$4*'Valve Sizing'!$G$7))</f>
        <v>42.729880467408307</v>
      </c>
      <c r="V2909" s="41"/>
      <c r="W2909" s="73"/>
      <c r="X2909" s="53">
        <f>(X$29/X$27)^2*(X2906-('Valve Sizing'!$V$4*'Valve Sizing'!$G$7))</f>
        <v>23.043390014420602</v>
      </c>
      <c r="Y2909" s="41"/>
      <c r="Z2909" s="73"/>
      <c r="AA2909" s="53">
        <f>(AA$29/AA$27)^2*(AA2906-('Valve Sizing'!$V$4*'Valve Sizing'!$G$7))</f>
        <v>-35.235355002192456</v>
      </c>
      <c r="AB2909" s="41"/>
      <c r="AC2909" s="73"/>
      <c r="AD2909" s="53">
        <f>(AD$29/AD$27)^2*(AD2906-('Valve Sizing'!$V$4*'Valve Sizing'!$G$7))</f>
        <v>-158.37710201244059</v>
      </c>
      <c r="AE2909" s="41"/>
      <c r="AF2909" s="73"/>
      <c r="AG2909" s="53">
        <f>(AG$29/AG$27)^2*(AG2906-('Valve Sizing'!$V$4*'Valve Sizing'!$G$7))</f>
        <v>-357.77886873745769</v>
      </c>
      <c r="AH2909" s="41"/>
      <c r="AI2909" s="73"/>
      <c r="AJ2909" s="53">
        <f>(AJ$29/AJ$27)^2*(AJ2906-('Valve Sizing'!$V$4*'Valve Sizing'!$G$7))</f>
        <v>-597.69727802470391</v>
      </c>
      <c r="AK2909" s="41"/>
      <c r="AL2909" s="73"/>
      <c r="AM2909" s="53">
        <f>(AM$29/AM$27)^2*(AM2906-('Valve Sizing'!$V$4*'Valve Sizing'!$G$7))</f>
        <v>-749.40268978959352</v>
      </c>
      <c r="AN2909" s="41"/>
      <c r="AO2909" s="73"/>
      <c r="AP2909" s="53">
        <f>(AP$29/AP$27)^2*(AP2906-('Valve Sizing'!$V$4*'Valve Sizing'!$G$7))</f>
        <v>-840.83191620352727</v>
      </c>
      <c r="AQ2909" s="41"/>
      <c r="AR2909" s="73"/>
      <c r="AS2909" s="53">
        <f>(AS$29/AS$27)^2*(AS2906-('Valve Sizing'!$V$4*'Valve Sizing'!$G$7))</f>
        <v>-1044.3471316059276</v>
      </c>
      <c r="AT2909" s="41"/>
      <c r="AU2909" s="73"/>
    </row>
    <row r="2910" spans="15:47" ht="13" x14ac:dyDescent="0.25">
      <c r="O2910" s="1" t="s">
        <v>69</v>
      </c>
      <c r="P2910" s="17">
        <v>7</v>
      </c>
      <c r="Q2910" s="65"/>
      <c r="R2910" s="53">
        <f>(R2904/(N_1*F_P_h))*SQRT('Valve Sizing'!$G$6/R2908)</f>
        <v>25.056758071905779</v>
      </c>
      <c r="S2910" s="58"/>
      <c r="T2910" s="73"/>
      <c r="U2910" s="64">
        <f>(U2904/(N_1*U$27))*SQRT('Valve Sizing'!$G$6/U2908)</f>
        <v>73.846477880654277</v>
      </c>
      <c r="V2910" s="41"/>
      <c r="W2910" s="73"/>
      <c r="X2910" s="64" t="e">
        <f>(X2904/(N_1*X$27))*SQRT('Valve Sizing'!$G$6/X2908)</f>
        <v>#NUM!</v>
      </c>
      <c r="Y2910" s="41"/>
      <c r="Z2910" s="73"/>
      <c r="AA2910" s="64" t="e">
        <f>(AA2904/(N_1*AA$27))*SQRT('Valve Sizing'!$G$6/AA2908)</f>
        <v>#NUM!</v>
      </c>
      <c r="AB2910" s="41"/>
      <c r="AC2910" s="73"/>
      <c r="AD2910" s="64" t="e">
        <f>(AD2904/(N_1*AD$27))*SQRT('Valve Sizing'!$G$6/AD2908)</f>
        <v>#NUM!</v>
      </c>
      <c r="AE2910" s="41"/>
      <c r="AF2910" s="73"/>
      <c r="AG2910" s="64" t="e">
        <f>(AG2904/(N_1*AG$27))*SQRT('Valve Sizing'!$G$6/AG2908)</f>
        <v>#NUM!</v>
      </c>
      <c r="AH2910" s="41"/>
      <c r="AI2910" s="73"/>
      <c r="AJ2910" s="64" t="e">
        <f>(AJ2904/(N_1*AJ$27))*SQRT('Valve Sizing'!$G$6/AJ2908)</f>
        <v>#NUM!</v>
      </c>
      <c r="AK2910" s="41"/>
      <c r="AL2910" s="73"/>
      <c r="AM2910" s="64" t="e">
        <f>(AM2904/(N_1*AM$27))*SQRT('Valve Sizing'!$G$6/AM2908)</f>
        <v>#NUM!</v>
      </c>
      <c r="AN2910" s="41"/>
      <c r="AO2910" s="73"/>
      <c r="AP2910" s="64" t="e">
        <f>(AP2904/(N_1*AP$27))*SQRT('Valve Sizing'!$G$6/AP2908)</f>
        <v>#NUM!</v>
      </c>
      <c r="AQ2910" s="41"/>
      <c r="AR2910" s="73"/>
      <c r="AS2910" s="64" t="e">
        <f>(AS2904/(N_1*AS$27))*SQRT('Valve Sizing'!$G$6/AS2908)</f>
        <v>#NUM!</v>
      </c>
      <c r="AT2910" s="41"/>
      <c r="AU2910" s="73"/>
    </row>
    <row r="2911" spans="15:47" ht="13" x14ac:dyDescent="0.3">
      <c r="O2911" s="1" t="s">
        <v>72</v>
      </c>
      <c r="P2911" s="17">
        <v>7</v>
      </c>
      <c r="Q2911" s="65"/>
      <c r="R2911" s="53">
        <f>(R2904/(N_1*F_P_h))*SQRT('Valve Sizing'!$G$6/R2909)</f>
        <v>20.673613528200015</v>
      </c>
      <c r="S2911" s="56"/>
      <c r="T2911" s="72"/>
      <c r="U2911" s="85">
        <f>(U2904/(N_1*U$27))*SQRT('Valve Sizing'!$G$6/U2909)</f>
        <v>58.076347191703306</v>
      </c>
      <c r="V2911" s="44"/>
      <c r="W2911" s="72"/>
      <c r="X2911" s="85">
        <f>(X2904/(N_1*X$27))*SQRT('Valve Sizing'!$G$6/X2909)</f>
        <v>190.25999751200476</v>
      </c>
      <c r="Y2911" s="44"/>
      <c r="Z2911" s="72"/>
      <c r="AA2911" s="85" t="e">
        <f>(AA2904/(N_1*AA$27))*SQRT('Valve Sizing'!$G$6/AA2909)</f>
        <v>#NUM!</v>
      </c>
      <c r="AB2911" s="44"/>
      <c r="AC2911" s="72"/>
      <c r="AD2911" s="85" t="e">
        <f>(AD2904/(N_1*AD$27))*SQRT('Valve Sizing'!$G$6/AD2909)</f>
        <v>#NUM!</v>
      </c>
      <c r="AE2911" s="44"/>
      <c r="AF2911" s="72"/>
      <c r="AG2911" s="85" t="e">
        <f>(AG2904/(N_1*AG$27))*SQRT('Valve Sizing'!$G$6/AG2909)</f>
        <v>#NUM!</v>
      </c>
      <c r="AH2911" s="44"/>
      <c r="AI2911" s="72"/>
      <c r="AJ2911" s="85" t="e">
        <f>(AJ2904/(N_1*AJ$27))*SQRT('Valve Sizing'!$G$6/AJ2909)</f>
        <v>#NUM!</v>
      </c>
      <c r="AK2911" s="44"/>
      <c r="AL2911" s="72"/>
      <c r="AM2911" s="85" t="e">
        <f>(AM2904/(N_1*AM$27))*SQRT('Valve Sizing'!$G$6/AM2909)</f>
        <v>#NUM!</v>
      </c>
      <c r="AN2911" s="44"/>
      <c r="AO2911" s="72"/>
      <c r="AP2911" s="85" t="e">
        <f>(AP2904/(N_1*AP$27))*SQRT('Valve Sizing'!$G$6/AP2909)</f>
        <v>#NUM!</v>
      </c>
      <c r="AQ2911" s="44"/>
      <c r="AR2911" s="72"/>
      <c r="AS2911" s="85" t="e">
        <f>(AS2904/(N_1*AS$27))*SQRT('Valve Sizing'!$G$6/AS2909)</f>
        <v>#NUM!</v>
      </c>
      <c r="AT2911" s="44"/>
      <c r="AU2911" s="72"/>
    </row>
    <row r="2912" spans="15:47" x14ac:dyDescent="0.25">
      <c r="O2912" s="1" t="s">
        <v>246</v>
      </c>
      <c r="P2912" s="18"/>
      <c r="Q2912" s="65"/>
      <c r="R2912" s="53">
        <f>IF(R2908&lt;R2909,R2910,R2911)</f>
        <v>25.056758071905779</v>
      </c>
      <c r="S2912" s="49"/>
      <c r="T2912" s="72"/>
      <c r="U2912" s="64">
        <f>IF(U2908&lt;U2909,U2910,U2911)</f>
        <v>73.846477880654277</v>
      </c>
      <c r="V2912" s="44"/>
      <c r="W2912" s="72"/>
      <c r="X2912" s="64" t="e">
        <f>IF(X2908&lt;X2909,X2910,X2911)</f>
        <v>#NUM!</v>
      </c>
      <c r="Y2912" s="44"/>
      <c r="Z2912" s="72"/>
      <c r="AA2912" s="64" t="e">
        <f>IF(AA2908&lt;AA2909,AA2910,AA2911)</f>
        <v>#NUM!</v>
      </c>
      <c r="AB2912" s="44"/>
      <c r="AC2912" s="72"/>
      <c r="AD2912" s="64" t="e">
        <f>IF(AD2908&lt;AD2909,AD2910,AD2911)</f>
        <v>#NUM!</v>
      </c>
      <c r="AE2912" s="44"/>
      <c r="AF2912" s="72"/>
      <c r="AG2912" s="64" t="e">
        <f>IF(AG2908&lt;AG2909,AG2910,AG2911)</f>
        <v>#NUM!</v>
      </c>
      <c r="AH2912" s="44"/>
      <c r="AI2912" s="72"/>
      <c r="AJ2912" s="64" t="e">
        <f>IF(AJ2908&lt;AJ2909,AJ2910,AJ2911)</f>
        <v>#NUM!</v>
      </c>
      <c r="AK2912" s="44"/>
      <c r="AL2912" s="72"/>
      <c r="AM2912" s="64" t="e">
        <f>IF(AM2908&lt;AM2909,AM2910,AM2911)</f>
        <v>#NUM!</v>
      </c>
      <c r="AN2912" s="44"/>
      <c r="AO2912" s="72"/>
      <c r="AP2912" s="64" t="e">
        <f>IF(AP2908&lt;AP2909,AP2910,AP2911)</f>
        <v>#NUM!</v>
      </c>
      <c r="AQ2912" s="44"/>
      <c r="AR2912" s="72"/>
      <c r="AS2912" s="64" t="e">
        <f>IF(AS2908&lt;AS2909,AS2910,AS2911)</f>
        <v>#NUM!</v>
      </c>
      <c r="AT2912" s="44"/>
      <c r="AU2912" s="72"/>
    </row>
    <row r="2913" spans="15:47" ht="13" x14ac:dyDescent="0.3">
      <c r="O2913" s="7" t="s">
        <v>264</v>
      </c>
      <c r="Q2913" s="61"/>
      <c r="R2913" s="53"/>
      <c r="S2913" s="69">
        <f>IFERROR(ABS(C_h-R2912),Q_max*10)</f>
        <v>20.056758071905779</v>
      </c>
      <c r="T2913" s="76">
        <f>R2904</f>
        <v>140.51892440657434</v>
      </c>
      <c r="U2913" s="61"/>
      <c r="V2913" s="69">
        <f>IFERROR(ABS(U$23-U2912),Q_max*10)</f>
        <v>61.846477880654277</v>
      </c>
      <c r="W2913" s="75">
        <f>U2904</f>
        <v>379.31451456398077</v>
      </c>
      <c r="X2913" s="61"/>
      <c r="Y2913" s="69">
        <f>IFERROR(ABS(X$23-X2912),Q_max*10)</f>
        <v>5500</v>
      </c>
      <c r="Z2913" s="75">
        <f>X2904</f>
        <v>910.50084729907951</v>
      </c>
      <c r="AA2913" s="61"/>
      <c r="AB2913" s="69">
        <f>IFERROR(ABS(AA$23-AA2912),Q_max*10)</f>
        <v>5500</v>
      </c>
      <c r="AC2913" s="75">
        <f>AA2904</f>
        <v>1738.4798052872127</v>
      </c>
      <c r="AD2913" s="61"/>
      <c r="AE2913" s="69">
        <f>IFERROR(ABS(AD$23-AD2912),Q_max*10)</f>
        <v>5500</v>
      </c>
      <c r="AF2913" s="75">
        <f>AD2904</f>
        <v>2859.1592094083067</v>
      </c>
      <c r="AG2913" s="61"/>
      <c r="AH2913" s="69">
        <f>IFERROR(ABS(AG$23-AG2912),Q_max*10)</f>
        <v>5500</v>
      </c>
      <c r="AI2913" s="75">
        <f>AG2904</f>
        <v>4256.8984554427989</v>
      </c>
      <c r="AJ2913" s="61"/>
      <c r="AK2913" s="69">
        <f>IFERROR(ABS(AJ$23-AJ2912),Q_max*10)</f>
        <v>5500</v>
      </c>
      <c r="AL2913" s="75">
        <f>AJ2904</f>
        <v>5680.8474909414826</v>
      </c>
      <c r="AM2913" s="61"/>
      <c r="AN2913" s="69">
        <f>IFERROR(ABS(AM$23-AM2912),Q_max*10)</f>
        <v>5500</v>
      </c>
      <c r="AO2913" s="75">
        <f>AM2904</f>
        <v>6931.7135269101946</v>
      </c>
      <c r="AP2913" s="61"/>
      <c r="AQ2913" s="69">
        <f>IFERROR(ABS(AP$23-AP2912),Q_max*10)</f>
        <v>5500</v>
      </c>
      <c r="AR2913" s="75">
        <f>AP2904</f>
        <v>8047.5042122610203</v>
      </c>
      <c r="AS2913" s="61"/>
      <c r="AT2913" s="69">
        <f>IFERROR(ABS(AS$23-AS2912),Q_max*10)</f>
        <v>5500</v>
      </c>
      <c r="AU2913" s="75">
        <f>AS2904</f>
        <v>9158.8104682328612</v>
      </c>
    </row>
    <row r="2914" spans="15:47" ht="14.5" x14ac:dyDescent="0.35">
      <c r="O2914" s="6"/>
      <c r="P2914" s="6"/>
      <c r="Q2914" s="60"/>
      <c r="R2914" s="67"/>
      <c r="S2914" s="56"/>
      <c r="T2914" s="72"/>
      <c r="V2914" s="11"/>
      <c r="W2914" s="38"/>
      <c r="Y2914" s="11"/>
      <c r="Z2914" s="38"/>
      <c r="AB2914" s="11"/>
      <c r="AC2914" s="38"/>
      <c r="AE2914" s="11"/>
      <c r="AF2914" s="38"/>
      <c r="AH2914" s="11"/>
      <c r="AI2914" s="38"/>
      <c r="AK2914" s="11"/>
      <c r="AL2914" s="38"/>
      <c r="AN2914" s="11"/>
      <c r="AO2914" s="38"/>
      <c r="AQ2914" s="11"/>
      <c r="AR2914" s="38"/>
      <c r="AT2914" s="11"/>
      <c r="AU2914" s="38"/>
    </row>
    <row r="2915" spans="15:47" ht="14" x14ac:dyDescent="0.3">
      <c r="O2915" s="8" t="s">
        <v>235</v>
      </c>
      <c r="P2915" s="6"/>
      <c r="Q2915" s="60"/>
      <c r="R2915" s="53">
        <f>R2904*1.02</f>
        <v>143.32930289470582</v>
      </c>
      <c r="S2915" s="58" t="s">
        <v>238</v>
      </c>
      <c r="T2915" s="73" t="s">
        <v>241</v>
      </c>
      <c r="U2915" s="84">
        <f>U2904*1.01</f>
        <v>383.10765970962058</v>
      </c>
      <c r="V2915" s="58" t="s">
        <v>238</v>
      </c>
      <c r="W2915" s="73" t="s">
        <v>241</v>
      </c>
      <c r="X2915" s="84">
        <f>X2904*1.01</f>
        <v>919.6058557720703</v>
      </c>
      <c r="Y2915" s="58" t="s">
        <v>238</v>
      </c>
      <c r="Z2915" s="73" t="s">
        <v>241</v>
      </c>
      <c r="AA2915" s="84">
        <f>AA2904*1.01</f>
        <v>1755.8646033400848</v>
      </c>
      <c r="AB2915" s="58" t="s">
        <v>238</v>
      </c>
      <c r="AC2915" s="73" t="s">
        <v>241</v>
      </c>
      <c r="AD2915" s="84">
        <f>AD2904*1.01</f>
        <v>2887.7508015023895</v>
      </c>
      <c r="AE2915" s="58" t="s">
        <v>238</v>
      </c>
      <c r="AF2915" s="73" t="s">
        <v>241</v>
      </c>
      <c r="AG2915" s="84">
        <f>AG2904*1.01</f>
        <v>4299.4674399972273</v>
      </c>
      <c r="AH2915" s="58" t="s">
        <v>238</v>
      </c>
      <c r="AI2915" s="73" t="s">
        <v>241</v>
      </c>
      <c r="AJ2915" s="84">
        <f>AJ2904*1.01</f>
        <v>5737.6559658508977</v>
      </c>
      <c r="AK2915" s="58" t="s">
        <v>238</v>
      </c>
      <c r="AL2915" s="73" t="s">
        <v>241</v>
      </c>
      <c r="AM2915" s="84">
        <f>AM2904*1.01</f>
        <v>7001.030662179297</v>
      </c>
      <c r="AN2915" s="58" t="s">
        <v>238</v>
      </c>
      <c r="AO2915" s="73" t="s">
        <v>241</v>
      </c>
      <c r="AP2915" s="84">
        <f>AP2904*1.01</f>
        <v>8127.9792543836302</v>
      </c>
      <c r="AQ2915" s="58" t="s">
        <v>238</v>
      </c>
      <c r="AR2915" s="73" t="s">
        <v>241</v>
      </c>
      <c r="AS2915" s="84">
        <f>AS2904*1.01</f>
        <v>9250.39857291519</v>
      </c>
      <c r="AT2915" s="58" t="s">
        <v>238</v>
      </c>
      <c r="AU2915" s="73" t="s">
        <v>241</v>
      </c>
    </row>
    <row r="2916" spans="15:47" ht="13" x14ac:dyDescent="0.25">
      <c r="O2916" s="6"/>
      <c r="P2916" s="6"/>
      <c r="Q2916" s="60"/>
      <c r="R2916" s="70"/>
      <c r="S2916" s="63" t="s">
        <v>250</v>
      </c>
      <c r="T2916" s="71" t="s">
        <v>242</v>
      </c>
      <c r="U2916" s="61"/>
      <c r="V2916" s="63" t="s">
        <v>250</v>
      </c>
      <c r="W2916" s="71" t="s">
        <v>242</v>
      </c>
      <c r="X2916" s="61"/>
      <c r="Y2916" s="63" t="s">
        <v>250</v>
      </c>
      <c r="Z2916" s="71" t="s">
        <v>242</v>
      </c>
      <c r="AA2916" s="61"/>
      <c r="AB2916" s="63" t="s">
        <v>250</v>
      </c>
      <c r="AC2916" s="71" t="s">
        <v>242</v>
      </c>
      <c r="AD2916" s="61"/>
      <c r="AE2916" s="63" t="s">
        <v>250</v>
      </c>
      <c r="AF2916" s="71" t="s">
        <v>242</v>
      </c>
      <c r="AG2916" s="61"/>
      <c r="AH2916" s="63" t="s">
        <v>250</v>
      </c>
      <c r="AI2916" s="71" t="s">
        <v>242</v>
      </c>
      <c r="AJ2916" s="61"/>
      <c r="AK2916" s="63" t="s">
        <v>250</v>
      </c>
      <c r="AL2916" s="71" t="s">
        <v>242</v>
      </c>
      <c r="AM2916" s="61"/>
      <c r="AN2916" s="63" t="s">
        <v>250</v>
      </c>
      <c r="AO2916" s="71" t="s">
        <v>242</v>
      </c>
      <c r="AP2916" s="61"/>
      <c r="AQ2916" s="63" t="s">
        <v>250</v>
      </c>
      <c r="AR2916" s="71" t="s">
        <v>242</v>
      </c>
      <c r="AS2916" s="61"/>
      <c r="AT2916" s="63" t="s">
        <v>250</v>
      </c>
      <c r="AU2916" s="71" t="s">
        <v>242</v>
      </c>
    </row>
    <row r="2917" spans="15:47" ht="13" x14ac:dyDescent="0.3">
      <c r="O2917" s="6" t="s">
        <v>231</v>
      </c>
      <c r="P2917" s="6"/>
      <c r="Q2917" s="60"/>
      <c r="R2917" s="85">
        <f>P_1_minQ-(R2915^2*R_up)+dpup_minQ</f>
        <v>56.222347549196812</v>
      </c>
      <c r="S2917" s="56"/>
      <c r="T2917" s="72"/>
      <c r="U2917" s="53">
        <f>P_1_minQ-(U2915^2*R_up)+dpup_minQ</f>
        <v>51.959321886923931</v>
      </c>
      <c r="V2917" s="44"/>
      <c r="W2917" s="72"/>
      <c r="X2917" s="53">
        <f>P_1_minQ-(X2915^2*R_up)+dpup_minQ</f>
        <v>28.355693010122199</v>
      </c>
      <c r="Y2917" s="44"/>
      <c r="Z2917" s="72"/>
      <c r="AA2917" s="53">
        <f>P_1_minQ-(AA2915^2*R_up)+dpup_minQ</f>
        <v>-47.206129863648549</v>
      </c>
      <c r="AB2917" s="44"/>
      <c r="AC2917" s="72"/>
      <c r="AD2917" s="53">
        <f>P_1_minQ-(AD2915^2*R_up)+dpup_minQ</f>
        <v>-224.71522092460972</v>
      </c>
      <c r="AE2917" s="44"/>
      <c r="AF2917" s="72"/>
      <c r="AG2917" s="53">
        <f>P_1_minQ-(AG2915^2*R_up)+dpup_minQ</f>
        <v>-567.38038728795379</v>
      </c>
      <c r="AH2917" s="44"/>
      <c r="AI2917" s="72"/>
      <c r="AJ2917" s="53">
        <f>P_1_minQ-(AJ2915^2*R_up)+dpup_minQ</f>
        <v>-1054.8939203804255</v>
      </c>
      <c r="AK2917" s="44"/>
      <c r="AL2917" s="72"/>
      <c r="AM2917" s="53">
        <f>P_1_minQ-(AM2915^2*R_up)+dpup_minQ</f>
        <v>-1598.4175391008</v>
      </c>
      <c r="AN2917" s="44"/>
      <c r="AO2917" s="72"/>
      <c r="AP2917" s="53">
        <f>P_1_minQ-(AP2915^2*R_up)+dpup_minQ</f>
        <v>-2174.223565001374</v>
      </c>
      <c r="AQ2917" s="44"/>
      <c r="AR2917" s="72"/>
      <c r="AS2917" s="53">
        <f>P_1_minQ-(AS2915^2*R_up)+dpup_minQ</f>
        <v>-2832.9816534208508</v>
      </c>
      <c r="AT2917" s="44"/>
      <c r="AU2917" s="72"/>
    </row>
    <row r="2918" spans="15:47" ht="13" x14ac:dyDescent="0.3">
      <c r="O2918" s="6" t="s">
        <v>233</v>
      </c>
      <c r="P2918" s="6"/>
      <c r="Q2918" s="60"/>
      <c r="R2918" s="85">
        <f>P_2_minQ+(R2915^2*R_dn)-dpdn_minQ</f>
        <v>24.795530490160637</v>
      </c>
      <c r="S2918" s="66"/>
      <c r="T2918" s="74"/>
      <c r="U2918" s="53">
        <f>P_2_minQ+(U2915^2*R_dn)-dpdn_minQ</f>
        <v>25.648135622615214</v>
      </c>
      <c r="V2918" s="45"/>
      <c r="W2918" s="74"/>
      <c r="X2918" s="53">
        <f>P_2_minQ+(X2915^2*R_dn)-dpdn_minQ</f>
        <v>30.368861397975561</v>
      </c>
      <c r="Y2918" s="45"/>
      <c r="Z2918" s="74"/>
      <c r="AA2918" s="53">
        <f>P_2_minQ+(AA2915^2*R_dn)-dpdn_minQ</f>
        <v>45.481225972729717</v>
      </c>
      <c r="AB2918" s="45"/>
      <c r="AC2918" s="74"/>
      <c r="AD2918" s="53">
        <f>P_2_minQ+(AD2915^2*R_dn)-dpdn_minQ</f>
        <v>80.983044184921937</v>
      </c>
      <c r="AE2918" s="45"/>
      <c r="AF2918" s="74"/>
      <c r="AG2918" s="53">
        <f>P_2_minQ+(AG2915^2*R_dn)-dpdn_minQ</f>
        <v>149.51607745759074</v>
      </c>
      <c r="AH2918" s="45"/>
      <c r="AI2918" s="74"/>
      <c r="AJ2918" s="53">
        <f>P_2_minQ+(AJ2915^2*R_dn)-dpdn_minQ</f>
        <v>247.0187840760851</v>
      </c>
      <c r="AK2918" s="45"/>
      <c r="AL2918" s="74"/>
      <c r="AM2918" s="53">
        <f>P_2_minQ+(AM2915^2*R_dn)-dpdn_minQ</f>
        <v>355.72350782015991</v>
      </c>
      <c r="AN2918" s="45"/>
      <c r="AO2918" s="74"/>
      <c r="AP2918" s="53">
        <f>P_2_minQ+(AP2915^2*R_dn)-dpdn_minQ</f>
        <v>470.88471300027464</v>
      </c>
      <c r="AQ2918" s="45"/>
      <c r="AR2918" s="74"/>
      <c r="AS2918" s="53">
        <f>P_2_minQ+(AS2915^2*R_dn)-dpdn_minQ</f>
        <v>602.63633068417016</v>
      </c>
      <c r="AT2918" s="45"/>
      <c r="AU2918" s="74"/>
    </row>
    <row r="2919" spans="15:47" x14ac:dyDescent="0.25">
      <c r="O2919" s="6" t="s">
        <v>243</v>
      </c>
      <c r="Q2919" s="60"/>
      <c r="R2919" s="53">
        <f>R2917-R2918</f>
        <v>31.426817059036175</v>
      </c>
      <c r="S2919" s="56"/>
      <c r="T2919" s="72"/>
      <c r="U2919" s="64">
        <f>U2917-U2918</f>
        <v>26.311186264308716</v>
      </c>
      <c r="V2919" s="44"/>
      <c r="W2919" s="72"/>
      <c r="X2919" s="64">
        <f>X2917-X2918</f>
        <v>-2.0131683878533622</v>
      </c>
      <c r="Y2919" s="44"/>
      <c r="Z2919" s="72"/>
      <c r="AA2919" s="64">
        <f>AA2917-AA2918</f>
        <v>-92.687355836378259</v>
      </c>
      <c r="AB2919" s="44"/>
      <c r="AC2919" s="72"/>
      <c r="AD2919" s="64">
        <f>AD2917-AD2918</f>
        <v>-305.69826510953169</v>
      </c>
      <c r="AE2919" s="44"/>
      <c r="AF2919" s="72"/>
      <c r="AG2919" s="64">
        <f>AG2917-AG2918</f>
        <v>-716.89646474554456</v>
      </c>
      <c r="AH2919" s="44"/>
      <c r="AI2919" s="72"/>
      <c r="AJ2919" s="64">
        <f>AJ2917-AJ2918</f>
        <v>-1301.9127044565105</v>
      </c>
      <c r="AK2919" s="44"/>
      <c r="AL2919" s="72"/>
      <c r="AM2919" s="64">
        <f>AM2917-AM2918</f>
        <v>-1954.14104692096</v>
      </c>
      <c r="AN2919" s="44"/>
      <c r="AO2919" s="72"/>
      <c r="AP2919" s="64">
        <f>AP2917-AP2918</f>
        <v>-2645.1082780016486</v>
      </c>
      <c r="AQ2919" s="44"/>
      <c r="AR2919" s="72"/>
      <c r="AS2919" s="64">
        <f>AS2917-AS2918</f>
        <v>-3435.6179841050207</v>
      </c>
      <c r="AT2919" s="44"/>
      <c r="AU2919" s="72"/>
    </row>
    <row r="2920" spans="15:47" ht="13" x14ac:dyDescent="0.3">
      <c r="O2920" s="6" t="s">
        <v>75</v>
      </c>
      <c r="P2920" s="6">
        <v>3</v>
      </c>
      <c r="Q2920" s="65"/>
      <c r="R2920" s="85">
        <f>(F_LP_h/F_P_h)^2*(R2917-('Valve Sizing'!$V$4*'Valve Sizing'!$G$7))</f>
        <v>46.190664029811764</v>
      </c>
      <c r="S2920" s="58"/>
      <c r="T2920" s="73"/>
      <c r="U2920" s="53">
        <f>(U$29/U$27)^2*(U2917-('Valve Sizing'!$V$4*'Valve Sizing'!$G$7))</f>
        <v>42.649027483301317</v>
      </c>
      <c r="V2920" s="41"/>
      <c r="W2920" s="73"/>
      <c r="X2920" s="53">
        <f>(X$29/X$27)^2*(X2917-('Valve Sizing'!$V$4*'Valve Sizing'!$G$7))</f>
        <v>22.588035852432196</v>
      </c>
      <c r="Y2920" s="41"/>
      <c r="Z2920" s="73"/>
      <c r="AA2920" s="53">
        <f>(AA$29/AA$27)^2*(AA2917-('Valve Sizing'!$V$4*'Valve Sizing'!$G$7))</f>
        <v>-36.820841333279937</v>
      </c>
      <c r="AB2920" s="41"/>
      <c r="AC2920" s="73"/>
      <c r="AD2920" s="53">
        <f>(AD$29/AD$27)^2*(AD2917-('Valve Sizing'!$V$4*'Valve Sizing'!$G$7))</f>
        <v>-162.37915158081663</v>
      </c>
      <c r="AE2920" s="41"/>
      <c r="AF2920" s="73"/>
      <c r="AG2920" s="53">
        <f>(AG$29/AG$27)^2*(AG2917-('Valve Sizing'!$V$4*'Valve Sizing'!$G$7))</f>
        <v>-365.70132293259684</v>
      </c>
      <c r="AH2920" s="41"/>
      <c r="AI2920" s="73"/>
      <c r="AJ2920" s="53">
        <f>(AJ$29/AJ$27)^2*(AJ2917-('Valve Sizing'!$V$4*'Valve Sizing'!$G$7))</f>
        <v>-610.36753476170747</v>
      </c>
      <c r="AK2920" s="41"/>
      <c r="AL2920" s="73"/>
      <c r="AM2920" s="53">
        <f>(AM$29/AM$27)^2*(AM2917-('Valve Sizing'!$V$4*'Valve Sizing'!$G$7))</f>
        <v>-765.00883075828483</v>
      </c>
      <c r="AN2920" s="41"/>
      <c r="AO2920" s="73"/>
      <c r="AP2920" s="53">
        <f>(AP$29/AP$27)^2*(AP2917-('Valve Sizing'!$V$4*'Valve Sizing'!$G$7))</f>
        <v>-858.1806059861176</v>
      </c>
      <c r="AQ2920" s="41"/>
      <c r="AR2920" s="73"/>
      <c r="AS2920" s="53">
        <f>(AS$29/AS$27)^2*(AS2917-('Valve Sizing'!$V$4*'Valve Sizing'!$G$7))</f>
        <v>-1065.7654924403244</v>
      </c>
      <c r="AT2920" s="41"/>
      <c r="AU2920" s="73"/>
    </row>
    <row r="2921" spans="15:47" ht="13" x14ac:dyDescent="0.25">
      <c r="O2921" s="1" t="s">
        <v>69</v>
      </c>
      <c r="P2921" s="17">
        <v>7</v>
      </c>
      <c r="Q2921" s="65"/>
      <c r="R2921" s="53">
        <f>(R2915/(N_1*F_P_h))*SQRT('Valve Sizing'!$G$6/R2919)</f>
        <v>25.571035698918529</v>
      </c>
      <c r="S2921" s="58"/>
      <c r="T2921" s="73"/>
      <c r="U2921" s="64">
        <f>(U2915/(N_1*U$27))*SQRT('Valve Sizing'!$G$6/U2919)</f>
        <v>74.750876788740499</v>
      </c>
      <c r="V2921" s="41"/>
      <c r="W2921" s="73"/>
      <c r="X2921" s="64" t="e">
        <f>(X2915/(N_1*X$27))*SQRT('Valve Sizing'!$G$6/X2919)</f>
        <v>#NUM!</v>
      </c>
      <c r="Y2921" s="41"/>
      <c r="Z2921" s="73"/>
      <c r="AA2921" s="64" t="e">
        <f>(AA2915/(N_1*AA$27))*SQRT('Valve Sizing'!$G$6/AA2919)</f>
        <v>#NUM!</v>
      </c>
      <c r="AB2921" s="41"/>
      <c r="AC2921" s="73"/>
      <c r="AD2921" s="64" t="e">
        <f>(AD2915/(N_1*AD$27))*SQRT('Valve Sizing'!$G$6/AD2919)</f>
        <v>#NUM!</v>
      </c>
      <c r="AE2921" s="41"/>
      <c r="AF2921" s="73"/>
      <c r="AG2921" s="64" t="e">
        <f>(AG2915/(N_1*AG$27))*SQRT('Valve Sizing'!$G$6/AG2919)</f>
        <v>#NUM!</v>
      </c>
      <c r="AH2921" s="41"/>
      <c r="AI2921" s="73"/>
      <c r="AJ2921" s="64" t="e">
        <f>(AJ2915/(N_1*AJ$27))*SQRT('Valve Sizing'!$G$6/AJ2919)</f>
        <v>#NUM!</v>
      </c>
      <c r="AK2921" s="41"/>
      <c r="AL2921" s="73"/>
      <c r="AM2921" s="64" t="e">
        <f>(AM2915/(N_1*AM$27))*SQRT('Valve Sizing'!$G$6/AM2919)</f>
        <v>#NUM!</v>
      </c>
      <c r="AN2921" s="41"/>
      <c r="AO2921" s="73"/>
      <c r="AP2921" s="64" t="e">
        <f>(AP2915/(N_1*AP$27))*SQRT('Valve Sizing'!$G$6/AP2919)</f>
        <v>#NUM!</v>
      </c>
      <c r="AQ2921" s="41"/>
      <c r="AR2921" s="73"/>
      <c r="AS2921" s="64" t="e">
        <f>(AS2915/(N_1*AS$27))*SQRT('Valve Sizing'!$G$6/AS2919)</f>
        <v>#NUM!</v>
      </c>
      <c r="AT2921" s="41"/>
      <c r="AU2921" s="73"/>
    </row>
    <row r="2922" spans="15:47" ht="13" x14ac:dyDescent="0.3">
      <c r="O2922" s="1" t="s">
        <v>72</v>
      </c>
      <c r="P2922" s="17">
        <v>7</v>
      </c>
      <c r="Q2922" s="65"/>
      <c r="R2922" s="53">
        <f>(R2915/(N_1*F_P_h))*SQRT('Valve Sizing'!$G$6/R2920)</f>
        <v>21.092177353240341</v>
      </c>
      <c r="S2922" s="56"/>
      <c r="T2922" s="72"/>
      <c r="U2922" s="85">
        <f>(U2915/(N_1*U$27))*SQRT('Valve Sizing'!$G$6/U2920)</f>
        <v>58.712684695627573</v>
      </c>
      <c r="V2922" s="44"/>
      <c r="W2922" s="72"/>
      <c r="X2922" s="85">
        <f>(X2915/(N_1*X$27))*SQRT('Valve Sizing'!$G$6/X2920)</f>
        <v>194.08984425137194</v>
      </c>
      <c r="Y2922" s="44"/>
      <c r="Z2922" s="72"/>
      <c r="AA2922" s="85" t="e">
        <f>(AA2915/(N_1*AA$27))*SQRT('Valve Sizing'!$G$6/AA2920)</f>
        <v>#NUM!</v>
      </c>
      <c r="AB2922" s="44"/>
      <c r="AC2922" s="72"/>
      <c r="AD2922" s="85" t="e">
        <f>(AD2915/(N_1*AD$27))*SQRT('Valve Sizing'!$G$6/AD2920)</f>
        <v>#NUM!</v>
      </c>
      <c r="AE2922" s="44"/>
      <c r="AF2922" s="72"/>
      <c r="AG2922" s="85" t="e">
        <f>(AG2915/(N_1*AG$27))*SQRT('Valve Sizing'!$G$6/AG2920)</f>
        <v>#NUM!</v>
      </c>
      <c r="AH2922" s="44"/>
      <c r="AI2922" s="72"/>
      <c r="AJ2922" s="85" t="e">
        <f>(AJ2915/(N_1*AJ$27))*SQRT('Valve Sizing'!$G$6/AJ2920)</f>
        <v>#NUM!</v>
      </c>
      <c r="AK2922" s="44"/>
      <c r="AL2922" s="72"/>
      <c r="AM2922" s="85" t="e">
        <f>(AM2915/(N_1*AM$27))*SQRT('Valve Sizing'!$G$6/AM2920)</f>
        <v>#NUM!</v>
      </c>
      <c r="AN2922" s="44"/>
      <c r="AO2922" s="72"/>
      <c r="AP2922" s="85" t="e">
        <f>(AP2915/(N_1*AP$27))*SQRT('Valve Sizing'!$G$6/AP2920)</f>
        <v>#NUM!</v>
      </c>
      <c r="AQ2922" s="44"/>
      <c r="AR2922" s="72"/>
      <c r="AS2922" s="85" t="e">
        <f>(AS2915/(N_1*AS$27))*SQRT('Valve Sizing'!$G$6/AS2920)</f>
        <v>#NUM!</v>
      </c>
      <c r="AT2922" s="44"/>
      <c r="AU2922" s="72"/>
    </row>
    <row r="2923" spans="15:47" x14ac:dyDescent="0.25">
      <c r="O2923" s="1" t="s">
        <v>246</v>
      </c>
      <c r="P2923" s="18"/>
      <c r="Q2923" s="65"/>
      <c r="R2923" s="53">
        <f>IF(R2919&lt;R2920,R2921,R2922)</f>
        <v>25.571035698918529</v>
      </c>
      <c r="S2923" s="49"/>
      <c r="T2923" s="72"/>
      <c r="U2923" s="64">
        <f>IF(U2919&lt;U2920,U2921,U2922)</f>
        <v>74.750876788740499</v>
      </c>
      <c r="V2923" s="44"/>
      <c r="W2923" s="72"/>
      <c r="X2923" s="64" t="e">
        <f>IF(X2919&lt;X2920,X2921,X2922)</f>
        <v>#NUM!</v>
      </c>
      <c r="Y2923" s="44"/>
      <c r="Z2923" s="72"/>
      <c r="AA2923" s="64" t="e">
        <f>IF(AA2919&lt;AA2920,AA2921,AA2922)</f>
        <v>#NUM!</v>
      </c>
      <c r="AB2923" s="44"/>
      <c r="AC2923" s="72"/>
      <c r="AD2923" s="64" t="e">
        <f>IF(AD2919&lt;AD2920,AD2921,AD2922)</f>
        <v>#NUM!</v>
      </c>
      <c r="AE2923" s="44"/>
      <c r="AF2923" s="72"/>
      <c r="AG2923" s="64" t="e">
        <f>IF(AG2919&lt;AG2920,AG2921,AG2922)</f>
        <v>#NUM!</v>
      </c>
      <c r="AH2923" s="44"/>
      <c r="AI2923" s="72"/>
      <c r="AJ2923" s="64" t="e">
        <f>IF(AJ2919&lt;AJ2920,AJ2921,AJ2922)</f>
        <v>#NUM!</v>
      </c>
      <c r="AK2923" s="44"/>
      <c r="AL2923" s="72"/>
      <c r="AM2923" s="64" t="e">
        <f>IF(AM2919&lt;AM2920,AM2921,AM2922)</f>
        <v>#NUM!</v>
      </c>
      <c r="AN2923" s="44"/>
      <c r="AO2923" s="72"/>
      <c r="AP2923" s="64" t="e">
        <f>IF(AP2919&lt;AP2920,AP2921,AP2922)</f>
        <v>#NUM!</v>
      </c>
      <c r="AQ2923" s="44"/>
      <c r="AR2923" s="72"/>
      <c r="AS2923" s="64" t="e">
        <f>IF(AS2919&lt;AS2920,AS2921,AS2922)</f>
        <v>#NUM!</v>
      </c>
      <c r="AT2923" s="44"/>
      <c r="AU2923" s="72"/>
    </row>
    <row r="2924" spans="15:47" ht="13" x14ac:dyDescent="0.3">
      <c r="O2924" s="7" t="s">
        <v>264</v>
      </c>
      <c r="Q2924" s="61"/>
      <c r="R2924" s="53"/>
      <c r="S2924" s="69">
        <f>IFERROR(ABS(C_h-R2923),Q_max*10)</f>
        <v>20.571035698918529</v>
      </c>
      <c r="T2924" s="76">
        <f>R2915</f>
        <v>143.32930289470582</v>
      </c>
      <c r="U2924" s="61"/>
      <c r="V2924" s="69">
        <f>IFERROR(ABS(U$23-U2923),Q_max*10)</f>
        <v>62.750876788740499</v>
      </c>
      <c r="W2924" s="75">
        <f>U2915</f>
        <v>383.10765970962058</v>
      </c>
      <c r="X2924" s="61"/>
      <c r="Y2924" s="69">
        <f>IFERROR(ABS(X$23-X2923),Q_max*10)</f>
        <v>5500</v>
      </c>
      <c r="Z2924" s="75">
        <f>X2915</f>
        <v>919.6058557720703</v>
      </c>
      <c r="AA2924" s="61"/>
      <c r="AB2924" s="69">
        <f>IFERROR(ABS(AA$23-AA2923),Q_max*10)</f>
        <v>5500</v>
      </c>
      <c r="AC2924" s="75">
        <f>AA2915</f>
        <v>1755.8646033400848</v>
      </c>
      <c r="AD2924" s="61"/>
      <c r="AE2924" s="69">
        <f>IFERROR(ABS(AD$23-AD2923),Q_max*10)</f>
        <v>5500</v>
      </c>
      <c r="AF2924" s="75">
        <f>AD2915</f>
        <v>2887.7508015023895</v>
      </c>
      <c r="AG2924" s="61"/>
      <c r="AH2924" s="69">
        <f>IFERROR(ABS(AG$23-AG2923),Q_max*10)</f>
        <v>5500</v>
      </c>
      <c r="AI2924" s="75">
        <f>AG2915</f>
        <v>4299.4674399972273</v>
      </c>
      <c r="AJ2924" s="61"/>
      <c r="AK2924" s="69">
        <f>IFERROR(ABS(AJ$23-AJ2923),Q_max*10)</f>
        <v>5500</v>
      </c>
      <c r="AL2924" s="75">
        <f>AJ2915</f>
        <v>5737.6559658508977</v>
      </c>
      <c r="AM2924" s="61"/>
      <c r="AN2924" s="69">
        <f>IFERROR(ABS(AM$23-AM2923),Q_max*10)</f>
        <v>5500</v>
      </c>
      <c r="AO2924" s="75">
        <f>AM2915</f>
        <v>7001.030662179297</v>
      </c>
      <c r="AP2924" s="61"/>
      <c r="AQ2924" s="69">
        <f>IFERROR(ABS(AP$23-AP2923),Q_max*10)</f>
        <v>5500</v>
      </c>
      <c r="AR2924" s="75">
        <f>AP2915</f>
        <v>8127.9792543836302</v>
      </c>
      <c r="AS2924" s="61"/>
      <c r="AT2924" s="69">
        <f>IFERROR(ABS(AS$23-AS2923),Q_max*10)</f>
        <v>5500</v>
      </c>
      <c r="AU2924" s="75">
        <f>AS2915</f>
        <v>9250.39857291519</v>
      </c>
    </row>
    <row r="2925" spans="15:47" ht="14.5" x14ac:dyDescent="0.35">
      <c r="O2925" s="6"/>
      <c r="P2925" s="6"/>
      <c r="Q2925" s="60"/>
      <c r="R2925" s="67"/>
      <c r="S2925" s="58"/>
      <c r="T2925" s="73"/>
      <c r="V2925" s="11"/>
      <c r="W2925" s="38"/>
      <c r="Y2925" s="11"/>
      <c r="Z2925" s="38"/>
      <c r="AB2925" s="11"/>
      <c r="AC2925" s="38"/>
      <c r="AE2925" s="11"/>
      <c r="AF2925" s="38"/>
      <c r="AH2925" s="11"/>
      <c r="AI2925" s="38"/>
      <c r="AK2925" s="11"/>
      <c r="AL2925" s="38"/>
      <c r="AN2925" s="11"/>
      <c r="AO2925" s="38"/>
      <c r="AQ2925" s="11"/>
      <c r="AR2925" s="38"/>
      <c r="AT2925" s="11"/>
      <c r="AU2925" s="38"/>
    </row>
    <row r="2926" spans="15:47" ht="14" x14ac:dyDescent="0.3">
      <c r="O2926" s="8" t="s">
        <v>235</v>
      </c>
      <c r="P2926" s="6"/>
      <c r="Q2926" s="60"/>
      <c r="R2926" s="53">
        <f>R2915*1.02</f>
        <v>146.19588895259994</v>
      </c>
      <c r="S2926" s="58" t="s">
        <v>238</v>
      </c>
      <c r="T2926" s="73" t="s">
        <v>241</v>
      </c>
      <c r="U2926" s="84">
        <f>U2915*1.01</f>
        <v>386.93873630671681</v>
      </c>
      <c r="V2926" s="58" t="s">
        <v>238</v>
      </c>
      <c r="W2926" s="73" t="s">
        <v>241</v>
      </c>
      <c r="X2926" s="84">
        <f>X2915*1.01</f>
        <v>928.80191432979097</v>
      </c>
      <c r="Y2926" s="58" t="s">
        <v>238</v>
      </c>
      <c r="Z2926" s="73" t="s">
        <v>241</v>
      </c>
      <c r="AA2926" s="84">
        <f>AA2915*1.01</f>
        <v>1773.4232493734858</v>
      </c>
      <c r="AB2926" s="58" t="s">
        <v>238</v>
      </c>
      <c r="AC2926" s="73" t="s">
        <v>241</v>
      </c>
      <c r="AD2926" s="84">
        <f>AD2915*1.01</f>
        <v>2916.6283095174135</v>
      </c>
      <c r="AE2926" s="58" t="s">
        <v>238</v>
      </c>
      <c r="AF2926" s="73" t="s">
        <v>241</v>
      </c>
      <c r="AG2926" s="84">
        <f>AG2915*1.01</f>
        <v>4342.4621143971999</v>
      </c>
      <c r="AH2926" s="58" t="s">
        <v>238</v>
      </c>
      <c r="AI2926" s="73" t="s">
        <v>241</v>
      </c>
      <c r="AJ2926" s="84">
        <f>AJ2915*1.01</f>
        <v>5795.0325255094067</v>
      </c>
      <c r="AK2926" s="58" t="s">
        <v>238</v>
      </c>
      <c r="AL2926" s="73" t="s">
        <v>241</v>
      </c>
      <c r="AM2926" s="84">
        <f>AM2915*1.01</f>
        <v>7071.0409688010905</v>
      </c>
      <c r="AN2926" s="58" t="s">
        <v>238</v>
      </c>
      <c r="AO2926" s="73" t="s">
        <v>241</v>
      </c>
      <c r="AP2926" s="84">
        <f>AP2915*1.01</f>
        <v>8209.2590469274674</v>
      </c>
      <c r="AQ2926" s="58" t="s">
        <v>238</v>
      </c>
      <c r="AR2926" s="73" t="s">
        <v>241</v>
      </c>
      <c r="AS2926" s="84">
        <f>AS2915*1.01</f>
        <v>9342.9025586443422</v>
      </c>
      <c r="AT2926" s="58" t="s">
        <v>238</v>
      </c>
      <c r="AU2926" s="73" t="s">
        <v>241</v>
      </c>
    </row>
    <row r="2927" spans="15:47" ht="13" x14ac:dyDescent="0.25">
      <c r="O2927" s="6"/>
      <c r="P2927" s="6"/>
      <c r="Q2927" s="60"/>
      <c r="R2927" s="70"/>
      <c r="S2927" s="63" t="s">
        <v>250</v>
      </c>
      <c r="T2927" s="71" t="s">
        <v>242</v>
      </c>
      <c r="U2927" s="61"/>
      <c r="V2927" s="63" t="s">
        <v>250</v>
      </c>
      <c r="W2927" s="71" t="s">
        <v>242</v>
      </c>
      <c r="X2927" s="61"/>
      <c r="Y2927" s="63" t="s">
        <v>250</v>
      </c>
      <c r="Z2927" s="71" t="s">
        <v>242</v>
      </c>
      <c r="AA2927" s="61"/>
      <c r="AB2927" s="63" t="s">
        <v>250</v>
      </c>
      <c r="AC2927" s="71" t="s">
        <v>242</v>
      </c>
      <c r="AD2927" s="61"/>
      <c r="AE2927" s="63" t="s">
        <v>250</v>
      </c>
      <c r="AF2927" s="71" t="s">
        <v>242</v>
      </c>
      <c r="AG2927" s="61"/>
      <c r="AH2927" s="63" t="s">
        <v>250</v>
      </c>
      <c r="AI2927" s="71" t="s">
        <v>242</v>
      </c>
      <c r="AJ2927" s="61"/>
      <c r="AK2927" s="63" t="s">
        <v>250</v>
      </c>
      <c r="AL2927" s="71" t="s">
        <v>242</v>
      </c>
      <c r="AM2927" s="61"/>
      <c r="AN2927" s="63" t="s">
        <v>250</v>
      </c>
      <c r="AO2927" s="71" t="s">
        <v>242</v>
      </c>
      <c r="AP2927" s="61"/>
      <c r="AQ2927" s="63" t="s">
        <v>250</v>
      </c>
      <c r="AR2927" s="71" t="s">
        <v>242</v>
      </c>
      <c r="AS2927" s="61"/>
      <c r="AT2927" s="63" t="s">
        <v>250</v>
      </c>
      <c r="AU2927" s="71" t="s">
        <v>242</v>
      </c>
    </row>
    <row r="2928" spans="15:47" ht="13" x14ac:dyDescent="0.3">
      <c r="O2928" s="6" t="s">
        <v>231</v>
      </c>
      <c r="P2928" s="6"/>
      <c r="Q2928" s="60"/>
      <c r="R2928" s="85">
        <f>P_1_minQ-(R2926^2*R_up)+dpup_minQ</f>
        <v>56.194318205111756</v>
      </c>
      <c r="S2928" s="56"/>
      <c r="T2928" s="72"/>
      <c r="U2928" s="53">
        <f>P_1_minQ-(U2926^2*R_up)+dpup_minQ</f>
        <v>51.859689778634284</v>
      </c>
      <c r="V2928" s="44"/>
      <c r="W2928" s="72"/>
      <c r="X2928" s="53">
        <f>P_1_minQ-(X2926^2*R_up)+dpup_minQ</f>
        <v>27.781627961408837</v>
      </c>
      <c r="Y2928" s="44"/>
      <c r="Z2928" s="72"/>
      <c r="AA2928" s="53">
        <f>P_1_minQ-(AA2926^2*R_up)+dpup_minQ</f>
        <v>-49.298987552124721</v>
      </c>
      <c r="AB2928" s="44"/>
      <c r="AC2928" s="72"/>
      <c r="AD2928" s="53">
        <f>P_1_minQ-(AD2926^2*R_up)+dpup_minQ</f>
        <v>-230.37601134341125</v>
      </c>
      <c r="AE2928" s="44"/>
      <c r="AF2928" s="72"/>
      <c r="AG2928" s="53">
        <f>P_1_minQ-(AG2926^2*R_up)+dpup_minQ</f>
        <v>-579.9287475506585</v>
      </c>
      <c r="AH2928" s="44"/>
      <c r="AI2928" s="72"/>
      <c r="AJ2928" s="53">
        <f>P_1_minQ-(AJ2926^2*R_up)+dpup_minQ</f>
        <v>-1077.241302658289</v>
      </c>
      <c r="AK2928" s="44"/>
      <c r="AL2928" s="72"/>
      <c r="AM2928" s="53">
        <f>P_1_minQ-(AM2926^2*R_up)+dpup_minQ</f>
        <v>-1631.6897461149431</v>
      </c>
      <c r="AN2928" s="44"/>
      <c r="AO2928" s="72"/>
      <c r="AP2928" s="53">
        <f>P_1_minQ-(AP2926^2*R_up)+dpup_minQ</f>
        <v>-2219.0694731361186</v>
      </c>
      <c r="AQ2928" s="44"/>
      <c r="AR2928" s="72"/>
      <c r="AS2928" s="53">
        <f>P_1_minQ-(AS2926^2*R_up)+dpup_minQ</f>
        <v>-2891.0685991328269</v>
      </c>
      <c r="AT2928" s="44"/>
      <c r="AU2928" s="72"/>
    </row>
    <row r="2929" spans="15:47" ht="13" x14ac:dyDescent="0.3">
      <c r="O2929" s="6" t="s">
        <v>233</v>
      </c>
      <c r="P2929" s="6"/>
      <c r="Q2929" s="60"/>
      <c r="R2929" s="85">
        <f>P_2_minQ+(R2926^2*R_dn)-dpdn_minQ</f>
        <v>24.801136358977651</v>
      </c>
      <c r="S2929" s="66"/>
      <c r="T2929" s="74"/>
      <c r="U2929" s="53">
        <f>P_2_minQ+(U2926^2*R_dn)-dpdn_minQ</f>
        <v>25.668062044273146</v>
      </c>
      <c r="V2929" s="45"/>
      <c r="W2929" s="74"/>
      <c r="X2929" s="53">
        <f>P_2_minQ+(X2926^2*R_dn)-dpdn_minQ</f>
        <v>30.483674407718233</v>
      </c>
      <c r="Y2929" s="45"/>
      <c r="Z2929" s="74"/>
      <c r="AA2929" s="53">
        <f>P_2_minQ+(AA2926^2*R_dn)-dpdn_minQ</f>
        <v>45.899797510424946</v>
      </c>
      <c r="AB2929" s="45"/>
      <c r="AC2929" s="74"/>
      <c r="AD2929" s="53">
        <f>P_2_minQ+(AD2926^2*R_dn)-dpdn_minQ</f>
        <v>82.115202268682239</v>
      </c>
      <c r="AE2929" s="45"/>
      <c r="AF2929" s="74"/>
      <c r="AG2929" s="53">
        <f>P_2_minQ+(AG2926^2*R_dn)-dpdn_minQ</f>
        <v>152.0257495101317</v>
      </c>
      <c r="AH2929" s="45"/>
      <c r="AI2929" s="74"/>
      <c r="AJ2929" s="53">
        <f>P_2_minQ+(AJ2926^2*R_dn)-dpdn_minQ</f>
        <v>251.4882605316578</v>
      </c>
      <c r="AK2929" s="45"/>
      <c r="AL2929" s="74"/>
      <c r="AM2929" s="53">
        <f>P_2_minQ+(AM2926^2*R_dn)-dpdn_minQ</f>
        <v>362.37794922298855</v>
      </c>
      <c r="AN2929" s="45"/>
      <c r="AO2929" s="74"/>
      <c r="AP2929" s="53">
        <f>P_2_minQ+(AP2926^2*R_dn)-dpdn_minQ</f>
        <v>479.85389462722367</v>
      </c>
      <c r="AQ2929" s="45"/>
      <c r="AR2929" s="74"/>
      <c r="AS2929" s="53">
        <f>P_2_minQ+(AS2926^2*R_dn)-dpdn_minQ</f>
        <v>614.25371982656532</v>
      </c>
      <c r="AT2929" s="45"/>
      <c r="AU2929" s="74"/>
    </row>
    <row r="2930" spans="15:47" x14ac:dyDescent="0.25">
      <c r="O2930" s="6" t="s">
        <v>243</v>
      </c>
      <c r="Q2930" s="60"/>
      <c r="R2930" s="53">
        <f>R2928-R2929</f>
        <v>31.393181846134105</v>
      </c>
      <c r="S2930" s="56"/>
      <c r="T2930" s="72"/>
      <c r="U2930" s="64">
        <f>U2928-U2929</f>
        <v>26.191627734361138</v>
      </c>
      <c r="V2930" s="44"/>
      <c r="W2930" s="72"/>
      <c r="X2930" s="64">
        <f>X2928-X2929</f>
        <v>-2.7020464463093958</v>
      </c>
      <c r="Y2930" s="44"/>
      <c r="Z2930" s="72"/>
      <c r="AA2930" s="64">
        <f>AA2928-AA2929</f>
        <v>-95.198785062549661</v>
      </c>
      <c r="AB2930" s="44"/>
      <c r="AC2930" s="72"/>
      <c r="AD2930" s="64">
        <f>AD2928-AD2929</f>
        <v>-312.49121361209347</v>
      </c>
      <c r="AE2930" s="44"/>
      <c r="AF2930" s="72"/>
      <c r="AG2930" s="64">
        <f>AG2928-AG2929</f>
        <v>-731.95449706079023</v>
      </c>
      <c r="AH2930" s="44"/>
      <c r="AI2930" s="72"/>
      <c r="AJ2930" s="64">
        <f>AJ2928-AJ2929</f>
        <v>-1328.7295631899467</v>
      </c>
      <c r="AK2930" s="44"/>
      <c r="AL2930" s="72"/>
      <c r="AM2930" s="64">
        <f>AM2928-AM2929</f>
        <v>-1994.0676953379316</v>
      </c>
      <c r="AN2930" s="44"/>
      <c r="AO2930" s="72"/>
      <c r="AP2930" s="64">
        <f>AP2928-AP2929</f>
        <v>-2698.9233677633424</v>
      </c>
      <c r="AQ2930" s="44"/>
      <c r="AR2930" s="72"/>
      <c r="AS2930" s="64">
        <f>AS2928-AS2929</f>
        <v>-3505.3223189593923</v>
      </c>
      <c r="AT2930" s="44"/>
      <c r="AU2930" s="72"/>
    </row>
    <row r="2931" spans="15:47" ht="13" x14ac:dyDescent="0.3">
      <c r="O2931" s="6" t="s">
        <v>75</v>
      </c>
      <c r="P2931" s="6">
        <v>3</v>
      </c>
      <c r="Q2931" s="65"/>
      <c r="R2931" s="85">
        <f>(F_LP_h/F_P_h)^2*(R2928-('Valve Sizing'!$V$4*'Valve Sizing'!$G$7))</f>
        <v>46.167454261650789</v>
      </c>
      <c r="S2931" s="58"/>
      <c r="T2931" s="73"/>
      <c r="U2931" s="53">
        <f>(U$29/U$27)^2*(U2928-('Valve Sizing'!$V$4*'Valve Sizing'!$G$7))</f>
        <v>42.56654935421377</v>
      </c>
      <c r="V2931" s="41"/>
      <c r="W2931" s="73"/>
      <c r="X2931" s="53">
        <f>(X$29/X$27)^2*(X2928-('Valve Sizing'!$V$4*'Valve Sizing'!$G$7))</f>
        <v>22.123529071787821</v>
      </c>
      <c r="Y2931" s="41"/>
      <c r="Z2931" s="73"/>
      <c r="AA2931" s="53">
        <f>(AA$29/AA$27)^2*(AA2928-('Valve Sizing'!$V$4*'Valve Sizing'!$G$7))</f>
        <v>-38.438195939622297</v>
      </c>
      <c r="AB2931" s="41"/>
      <c r="AC2931" s="73"/>
      <c r="AD2931" s="53">
        <f>(AD$29/AD$27)^2*(AD2928-('Valve Sizing'!$V$4*'Valve Sizing'!$G$7))</f>
        <v>-166.46164234551711</v>
      </c>
      <c r="AE2931" s="41"/>
      <c r="AF2931" s="73"/>
      <c r="AG2931" s="53">
        <f>(AG$29/AG$27)^2*(AG2928-('Valve Sizing'!$V$4*'Valve Sizing'!$G$7))</f>
        <v>-373.78301845705823</v>
      </c>
      <c r="AH2931" s="41"/>
      <c r="AI2931" s="73"/>
      <c r="AJ2931" s="53">
        <f>(AJ$29/AJ$27)^2*(AJ2928-('Valve Sizing'!$V$4*'Valve Sizing'!$G$7))</f>
        <v>-623.29246365912502</v>
      </c>
      <c r="AK2931" s="41"/>
      <c r="AL2931" s="73"/>
      <c r="AM2931" s="53">
        <f>(AM$29/AM$27)^2*(AM2928-('Valve Sizing'!$V$4*'Valve Sizing'!$G$7))</f>
        <v>-780.92865516044674</v>
      </c>
      <c r="AN2931" s="41"/>
      <c r="AO2931" s="73"/>
      <c r="AP2931" s="53">
        <f>(AP$29/AP$27)^2*(AP2928-('Valve Sizing'!$V$4*'Valve Sizing'!$G$7))</f>
        <v>-875.87800443333811</v>
      </c>
      <c r="AQ2931" s="41"/>
      <c r="AR2931" s="73"/>
      <c r="AS2931" s="53">
        <f>(AS$29/AS$27)^2*(AS2928-('Valve Sizing'!$V$4*'Valve Sizing'!$G$7))</f>
        <v>-1087.6143623274925</v>
      </c>
      <c r="AT2931" s="41"/>
      <c r="AU2931" s="73"/>
    </row>
    <row r="2932" spans="15:47" ht="13" x14ac:dyDescent="0.25">
      <c r="O2932" s="1" t="s">
        <v>69</v>
      </c>
      <c r="P2932" s="17">
        <v>7</v>
      </c>
      <c r="Q2932" s="65"/>
      <c r="R2932" s="53">
        <f>(R2926/(N_1*F_P_h))*SQRT('Valve Sizing'!$G$6/R2930)</f>
        <v>26.096425275925906</v>
      </c>
      <c r="S2932" s="58"/>
      <c r="T2932" s="73"/>
      <c r="U2932" s="64">
        <f>(U2926/(N_1*U$27))*SQRT('Valve Sizing'!$G$6/U2930)</f>
        <v>75.670505414901044</v>
      </c>
      <c r="V2932" s="41"/>
      <c r="W2932" s="73"/>
      <c r="X2932" s="64" t="e">
        <f>(X2926/(N_1*X$27))*SQRT('Valve Sizing'!$G$6/X2930)</f>
        <v>#NUM!</v>
      </c>
      <c r="Y2932" s="41"/>
      <c r="Z2932" s="73"/>
      <c r="AA2932" s="64" t="e">
        <f>(AA2926/(N_1*AA$27))*SQRT('Valve Sizing'!$G$6/AA2930)</f>
        <v>#NUM!</v>
      </c>
      <c r="AB2932" s="41"/>
      <c r="AC2932" s="73"/>
      <c r="AD2932" s="64" t="e">
        <f>(AD2926/(N_1*AD$27))*SQRT('Valve Sizing'!$G$6/AD2930)</f>
        <v>#NUM!</v>
      </c>
      <c r="AE2932" s="41"/>
      <c r="AF2932" s="73"/>
      <c r="AG2932" s="64" t="e">
        <f>(AG2926/(N_1*AG$27))*SQRT('Valve Sizing'!$G$6/AG2930)</f>
        <v>#NUM!</v>
      </c>
      <c r="AH2932" s="41"/>
      <c r="AI2932" s="73"/>
      <c r="AJ2932" s="64" t="e">
        <f>(AJ2926/(N_1*AJ$27))*SQRT('Valve Sizing'!$G$6/AJ2930)</f>
        <v>#NUM!</v>
      </c>
      <c r="AK2932" s="41"/>
      <c r="AL2932" s="73"/>
      <c r="AM2932" s="64" t="e">
        <f>(AM2926/(N_1*AM$27))*SQRT('Valve Sizing'!$G$6/AM2930)</f>
        <v>#NUM!</v>
      </c>
      <c r="AN2932" s="41"/>
      <c r="AO2932" s="73"/>
      <c r="AP2932" s="64" t="e">
        <f>(AP2926/(N_1*AP$27))*SQRT('Valve Sizing'!$G$6/AP2930)</f>
        <v>#NUM!</v>
      </c>
      <c r="AQ2932" s="41"/>
      <c r="AR2932" s="73"/>
      <c r="AS2932" s="64" t="e">
        <f>(AS2926/(N_1*AS$27))*SQRT('Valve Sizing'!$G$6/AS2930)</f>
        <v>#NUM!</v>
      </c>
      <c r="AT2932" s="41"/>
      <c r="AU2932" s="73"/>
    </row>
    <row r="2933" spans="15:47" ht="13" x14ac:dyDescent="0.3">
      <c r="O2933" s="1" t="s">
        <v>72</v>
      </c>
      <c r="P2933" s="17">
        <v>7</v>
      </c>
      <c r="Q2933" s="65"/>
      <c r="R2933" s="53">
        <f>(R2926/(N_1*F_P_h))*SQRT('Valve Sizing'!$G$6/R2931)</f>
        <v>21.519428093568507</v>
      </c>
      <c r="S2933" s="56"/>
      <c r="T2933" s="72"/>
      <c r="U2933" s="85">
        <f>(U2926/(N_1*U$27))*SQRT('Valve Sizing'!$G$6/U2931)</f>
        <v>59.357234221587319</v>
      </c>
      <c r="V2933" s="44"/>
      <c r="W2933" s="72"/>
      <c r="X2933" s="85">
        <f>(X2926/(N_1*X$27))*SQRT('Valve Sizing'!$G$6/X2931)</f>
        <v>198.07798839066376</v>
      </c>
      <c r="Y2933" s="44"/>
      <c r="Z2933" s="72"/>
      <c r="AA2933" s="85" t="e">
        <f>(AA2926/(N_1*AA$27))*SQRT('Valve Sizing'!$G$6/AA2931)</f>
        <v>#NUM!</v>
      </c>
      <c r="AB2933" s="44"/>
      <c r="AC2933" s="72"/>
      <c r="AD2933" s="85" t="e">
        <f>(AD2926/(N_1*AD$27))*SQRT('Valve Sizing'!$G$6/AD2931)</f>
        <v>#NUM!</v>
      </c>
      <c r="AE2933" s="44"/>
      <c r="AF2933" s="72"/>
      <c r="AG2933" s="85" t="e">
        <f>(AG2926/(N_1*AG$27))*SQRT('Valve Sizing'!$G$6/AG2931)</f>
        <v>#NUM!</v>
      </c>
      <c r="AH2933" s="44"/>
      <c r="AI2933" s="72"/>
      <c r="AJ2933" s="85" t="e">
        <f>(AJ2926/(N_1*AJ$27))*SQRT('Valve Sizing'!$G$6/AJ2931)</f>
        <v>#NUM!</v>
      </c>
      <c r="AK2933" s="44"/>
      <c r="AL2933" s="72"/>
      <c r="AM2933" s="85" t="e">
        <f>(AM2926/(N_1*AM$27))*SQRT('Valve Sizing'!$G$6/AM2931)</f>
        <v>#NUM!</v>
      </c>
      <c r="AN2933" s="44"/>
      <c r="AO2933" s="72"/>
      <c r="AP2933" s="85" t="e">
        <f>(AP2926/(N_1*AP$27))*SQRT('Valve Sizing'!$G$6/AP2931)</f>
        <v>#NUM!</v>
      </c>
      <c r="AQ2933" s="44"/>
      <c r="AR2933" s="72"/>
      <c r="AS2933" s="85" t="e">
        <f>(AS2926/(N_1*AS$27))*SQRT('Valve Sizing'!$G$6/AS2931)</f>
        <v>#NUM!</v>
      </c>
      <c r="AT2933" s="44"/>
      <c r="AU2933" s="72"/>
    </row>
    <row r="2934" spans="15:47" x14ac:dyDescent="0.25">
      <c r="O2934" s="1" t="s">
        <v>246</v>
      </c>
      <c r="P2934" s="18"/>
      <c r="Q2934" s="65"/>
      <c r="R2934" s="53">
        <f>IF(R2930&lt;R2931,R2932,R2933)</f>
        <v>26.096425275925906</v>
      </c>
      <c r="S2934" s="49"/>
      <c r="T2934" s="72"/>
      <c r="U2934" s="64">
        <f>IF(U2930&lt;U2931,U2932,U2933)</f>
        <v>75.670505414901044</v>
      </c>
      <c r="V2934" s="44"/>
      <c r="W2934" s="72"/>
      <c r="X2934" s="64" t="e">
        <f>IF(X2930&lt;X2931,X2932,X2933)</f>
        <v>#NUM!</v>
      </c>
      <c r="Y2934" s="44"/>
      <c r="Z2934" s="72"/>
      <c r="AA2934" s="64" t="e">
        <f>IF(AA2930&lt;AA2931,AA2932,AA2933)</f>
        <v>#NUM!</v>
      </c>
      <c r="AB2934" s="44"/>
      <c r="AC2934" s="72"/>
      <c r="AD2934" s="64" t="e">
        <f>IF(AD2930&lt;AD2931,AD2932,AD2933)</f>
        <v>#NUM!</v>
      </c>
      <c r="AE2934" s="44"/>
      <c r="AF2934" s="72"/>
      <c r="AG2934" s="64" t="e">
        <f>IF(AG2930&lt;AG2931,AG2932,AG2933)</f>
        <v>#NUM!</v>
      </c>
      <c r="AH2934" s="44"/>
      <c r="AI2934" s="72"/>
      <c r="AJ2934" s="64" t="e">
        <f>IF(AJ2930&lt;AJ2931,AJ2932,AJ2933)</f>
        <v>#NUM!</v>
      </c>
      <c r="AK2934" s="44"/>
      <c r="AL2934" s="72"/>
      <c r="AM2934" s="64" t="e">
        <f>IF(AM2930&lt;AM2931,AM2932,AM2933)</f>
        <v>#NUM!</v>
      </c>
      <c r="AN2934" s="44"/>
      <c r="AO2934" s="72"/>
      <c r="AP2934" s="64" t="e">
        <f>IF(AP2930&lt;AP2931,AP2932,AP2933)</f>
        <v>#NUM!</v>
      </c>
      <c r="AQ2934" s="44"/>
      <c r="AR2934" s="72"/>
      <c r="AS2934" s="64" t="e">
        <f>IF(AS2930&lt;AS2931,AS2932,AS2933)</f>
        <v>#NUM!</v>
      </c>
      <c r="AT2934" s="44"/>
      <c r="AU2934" s="72"/>
    </row>
    <row r="2935" spans="15:47" ht="13" x14ac:dyDescent="0.3">
      <c r="O2935" s="7" t="s">
        <v>264</v>
      </c>
      <c r="Q2935" s="61"/>
      <c r="R2935" s="53"/>
      <c r="S2935" s="69">
        <f>IFERROR(ABS(C_h-R2934),Q_max*10)</f>
        <v>21.096425275925906</v>
      </c>
      <c r="T2935" s="76">
        <f>R2926</f>
        <v>146.19588895259994</v>
      </c>
      <c r="U2935" s="61"/>
      <c r="V2935" s="69">
        <f>IFERROR(ABS(U$23-U2934),Q_max*10)</f>
        <v>63.670505414901044</v>
      </c>
      <c r="W2935" s="75">
        <f>U2926</f>
        <v>386.93873630671681</v>
      </c>
      <c r="X2935" s="61"/>
      <c r="Y2935" s="69">
        <f>IFERROR(ABS(X$23-X2934),Q_max*10)</f>
        <v>5500</v>
      </c>
      <c r="Z2935" s="75">
        <f>X2926</f>
        <v>928.80191432979097</v>
      </c>
      <c r="AA2935" s="61"/>
      <c r="AB2935" s="69">
        <f>IFERROR(ABS(AA$23-AA2934),Q_max*10)</f>
        <v>5500</v>
      </c>
      <c r="AC2935" s="75">
        <f>AA2926</f>
        <v>1773.4232493734858</v>
      </c>
      <c r="AD2935" s="61"/>
      <c r="AE2935" s="69">
        <f>IFERROR(ABS(AD$23-AD2934),Q_max*10)</f>
        <v>5500</v>
      </c>
      <c r="AF2935" s="75">
        <f>AD2926</f>
        <v>2916.6283095174135</v>
      </c>
      <c r="AG2935" s="61"/>
      <c r="AH2935" s="69">
        <f>IFERROR(ABS(AG$23-AG2934),Q_max*10)</f>
        <v>5500</v>
      </c>
      <c r="AI2935" s="75">
        <f>AG2926</f>
        <v>4342.4621143971999</v>
      </c>
      <c r="AJ2935" s="61"/>
      <c r="AK2935" s="69">
        <f>IFERROR(ABS(AJ$23-AJ2934),Q_max*10)</f>
        <v>5500</v>
      </c>
      <c r="AL2935" s="75">
        <f>AJ2926</f>
        <v>5795.0325255094067</v>
      </c>
      <c r="AM2935" s="61"/>
      <c r="AN2935" s="69">
        <f>IFERROR(ABS(AM$23-AM2934),Q_max*10)</f>
        <v>5500</v>
      </c>
      <c r="AO2935" s="75">
        <f>AM2926</f>
        <v>7071.0409688010905</v>
      </c>
      <c r="AP2935" s="61"/>
      <c r="AQ2935" s="69">
        <f>IFERROR(ABS(AP$23-AP2934),Q_max*10)</f>
        <v>5500</v>
      </c>
      <c r="AR2935" s="75">
        <f>AP2926</f>
        <v>8209.2590469274674</v>
      </c>
      <c r="AS2935" s="61"/>
      <c r="AT2935" s="69">
        <f>IFERROR(ABS(AS$23-AS2934),Q_max*10)</f>
        <v>5500</v>
      </c>
      <c r="AU2935" s="75">
        <f>AS2926</f>
        <v>9342.9025586443422</v>
      </c>
    </row>
    <row r="2936" spans="15:47" ht="14.5" x14ac:dyDescent="0.35">
      <c r="O2936" s="8"/>
      <c r="P2936" s="6"/>
      <c r="Q2936" s="60"/>
      <c r="R2936" s="67"/>
      <c r="S2936" s="56"/>
      <c r="T2936" s="72"/>
      <c r="V2936" s="11"/>
      <c r="W2936" s="38"/>
      <c r="Y2936" s="11"/>
      <c r="Z2936" s="38"/>
      <c r="AB2936" s="11"/>
      <c r="AC2936" s="38"/>
      <c r="AE2936" s="11"/>
      <c r="AF2936" s="38"/>
      <c r="AH2936" s="11"/>
      <c r="AI2936" s="38"/>
      <c r="AK2936" s="11"/>
      <c r="AL2936" s="38"/>
      <c r="AN2936" s="11"/>
      <c r="AO2936" s="38"/>
      <c r="AQ2936" s="11"/>
      <c r="AR2936" s="38"/>
      <c r="AT2936" s="11"/>
      <c r="AU2936" s="38"/>
    </row>
    <row r="2937" spans="15:47" ht="14" x14ac:dyDescent="0.3">
      <c r="O2937" s="8" t="s">
        <v>235</v>
      </c>
      <c r="P2937" s="6"/>
      <c r="Q2937" s="60"/>
      <c r="R2937" s="53">
        <f>R2926*1.02</f>
        <v>149.11980673165195</v>
      </c>
      <c r="S2937" s="58" t="s">
        <v>238</v>
      </c>
      <c r="T2937" s="73" t="s">
        <v>241</v>
      </c>
      <c r="U2937" s="84">
        <f>U2926*1.01</f>
        <v>390.80812366978398</v>
      </c>
      <c r="V2937" s="58" t="s">
        <v>238</v>
      </c>
      <c r="W2937" s="73" t="s">
        <v>241</v>
      </c>
      <c r="X2937" s="84">
        <f>X2926*1.01</f>
        <v>938.08993347308888</v>
      </c>
      <c r="Y2937" s="58" t="s">
        <v>238</v>
      </c>
      <c r="Z2937" s="73" t="s">
        <v>241</v>
      </c>
      <c r="AA2937" s="84">
        <f>AA2926*1.01</f>
        <v>1791.1574818672207</v>
      </c>
      <c r="AB2937" s="58" t="s">
        <v>238</v>
      </c>
      <c r="AC2937" s="73" t="s">
        <v>241</v>
      </c>
      <c r="AD2937" s="84">
        <f>AD2926*1.01</f>
        <v>2945.7945926125876</v>
      </c>
      <c r="AE2937" s="58" t="s">
        <v>238</v>
      </c>
      <c r="AF2937" s="73" t="s">
        <v>241</v>
      </c>
      <c r="AG2937" s="84">
        <f>AG2926*1.01</f>
        <v>4385.8867355411721</v>
      </c>
      <c r="AH2937" s="58" t="s">
        <v>238</v>
      </c>
      <c r="AI2937" s="73" t="s">
        <v>241</v>
      </c>
      <c r="AJ2937" s="84">
        <f>AJ2926*1.01</f>
        <v>5852.9828507645007</v>
      </c>
      <c r="AK2937" s="58" t="s">
        <v>238</v>
      </c>
      <c r="AL2937" s="73" t="s">
        <v>241</v>
      </c>
      <c r="AM2937" s="84">
        <f>AM2926*1.01</f>
        <v>7141.7513784891016</v>
      </c>
      <c r="AN2937" s="58" t="s">
        <v>238</v>
      </c>
      <c r="AO2937" s="73" t="s">
        <v>241</v>
      </c>
      <c r="AP2937" s="84">
        <f>AP2926*1.01</f>
        <v>8291.3516373967414</v>
      </c>
      <c r="AQ2937" s="58" t="s">
        <v>238</v>
      </c>
      <c r="AR2937" s="73" t="s">
        <v>241</v>
      </c>
      <c r="AS2937" s="84">
        <f>AS2926*1.01</f>
        <v>9436.3315842307857</v>
      </c>
      <c r="AT2937" s="58" t="s">
        <v>238</v>
      </c>
      <c r="AU2937" s="73" t="s">
        <v>241</v>
      </c>
    </row>
    <row r="2938" spans="15:47" ht="13" x14ac:dyDescent="0.25">
      <c r="O2938" s="6"/>
      <c r="P2938" s="6"/>
      <c r="Q2938" s="60"/>
      <c r="R2938" s="70"/>
      <c r="S2938" s="63" t="s">
        <v>250</v>
      </c>
      <c r="T2938" s="71" t="s">
        <v>242</v>
      </c>
      <c r="U2938" s="61"/>
      <c r="V2938" s="63" t="s">
        <v>250</v>
      </c>
      <c r="W2938" s="71" t="s">
        <v>242</v>
      </c>
      <c r="X2938" s="61"/>
      <c r="Y2938" s="63" t="s">
        <v>250</v>
      </c>
      <c r="Z2938" s="71" t="s">
        <v>242</v>
      </c>
      <c r="AA2938" s="61"/>
      <c r="AB2938" s="63" t="s">
        <v>250</v>
      </c>
      <c r="AC2938" s="71" t="s">
        <v>242</v>
      </c>
      <c r="AD2938" s="61"/>
      <c r="AE2938" s="63" t="s">
        <v>250</v>
      </c>
      <c r="AF2938" s="71" t="s">
        <v>242</v>
      </c>
      <c r="AG2938" s="61"/>
      <c r="AH2938" s="63" t="s">
        <v>250</v>
      </c>
      <c r="AI2938" s="71" t="s">
        <v>242</v>
      </c>
      <c r="AJ2938" s="61"/>
      <c r="AK2938" s="63" t="s">
        <v>250</v>
      </c>
      <c r="AL2938" s="71" t="s">
        <v>242</v>
      </c>
      <c r="AM2938" s="61"/>
      <c r="AN2938" s="63" t="s">
        <v>250</v>
      </c>
      <c r="AO2938" s="71" t="s">
        <v>242</v>
      </c>
      <c r="AP2938" s="61"/>
      <c r="AQ2938" s="63" t="s">
        <v>250</v>
      </c>
      <c r="AR2938" s="71" t="s">
        <v>242</v>
      </c>
      <c r="AS2938" s="61"/>
      <c r="AT2938" s="63" t="s">
        <v>250</v>
      </c>
      <c r="AU2938" s="71" t="s">
        <v>242</v>
      </c>
    </row>
    <row r="2939" spans="15:47" ht="13" x14ac:dyDescent="0.3">
      <c r="O2939" s="6" t="s">
        <v>231</v>
      </c>
      <c r="P2939" s="6"/>
      <c r="Q2939" s="60"/>
      <c r="R2939" s="85">
        <f>P_1_minQ-(R2937^2*R_up)+dpup_minQ</f>
        <v>56.165156475525656</v>
      </c>
      <c r="S2939" s="56"/>
      <c r="T2939" s="72"/>
      <c r="U2939" s="53">
        <f>P_1_minQ-(U2937^2*R_up)+dpup_minQ</f>
        <v>51.758055064968012</v>
      </c>
      <c r="V2939" s="44"/>
      <c r="W2939" s="72"/>
      <c r="X2939" s="53">
        <f>P_1_minQ-(X2937^2*R_up)+dpup_minQ</f>
        <v>27.196024205216336</v>
      </c>
      <c r="Y2939" s="44"/>
      <c r="Z2939" s="72"/>
      <c r="AA2939" s="53">
        <f>P_1_minQ-(AA2937^2*R_up)+dpup_minQ</f>
        <v>-51.433911680139239</v>
      </c>
      <c r="AB2939" s="44"/>
      <c r="AC2939" s="72"/>
      <c r="AD2939" s="53">
        <f>P_1_minQ-(AD2937^2*R_up)+dpup_minQ</f>
        <v>-236.15058364963059</v>
      </c>
      <c r="AE2939" s="44"/>
      <c r="AF2939" s="72"/>
      <c r="AG2939" s="53">
        <f>P_1_minQ-(AG2937^2*R_up)+dpup_minQ</f>
        <v>-592.72932985464377</v>
      </c>
      <c r="AH2939" s="44"/>
      <c r="AI2939" s="72"/>
      <c r="AJ2939" s="53">
        <f>P_1_minQ-(AJ2937^2*R_up)+dpup_minQ</f>
        <v>-1100.0378673199373</v>
      </c>
      <c r="AK2939" s="44"/>
      <c r="AL2939" s="72"/>
      <c r="AM2939" s="53">
        <f>P_1_minQ-(AM2937^2*R_up)+dpup_minQ</f>
        <v>-1665.6307244900704</v>
      </c>
      <c r="AN2939" s="44"/>
      <c r="AO2939" s="72"/>
      <c r="AP2939" s="53">
        <f>P_1_minQ-(AP2937^2*R_up)+dpup_minQ</f>
        <v>-2264.8167840243714</v>
      </c>
      <c r="AQ2939" s="44"/>
      <c r="AR2939" s="72"/>
      <c r="AS2939" s="53">
        <f>P_1_minQ-(AS2937^2*R_up)+dpup_minQ</f>
        <v>-2950.3230924536138</v>
      </c>
      <c r="AT2939" s="44"/>
      <c r="AU2939" s="72"/>
    </row>
    <row r="2940" spans="15:47" ht="13" x14ac:dyDescent="0.3">
      <c r="O2940" s="6" t="s">
        <v>233</v>
      </c>
      <c r="P2940" s="6"/>
      <c r="Q2940" s="60"/>
      <c r="R2940" s="85">
        <f>P_2_minQ+(R2937^2*R_dn)-dpdn_minQ</f>
        <v>24.806968704894871</v>
      </c>
      <c r="S2940" s="66"/>
      <c r="T2940" s="74"/>
      <c r="U2940" s="53">
        <f>P_2_minQ+(U2937^2*R_dn)-dpdn_minQ</f>
        <v>25.688388987006398</v>
      </c>
      <c r="V2940" s="45"/>
      <c r="W2940" s="74"/>
      <c r="X2940" s="53">
        <f>P_2_minQ+(X2937^2*R_dn)-dpdn_minQ</f>
        <v>30.600795158956732</v>
      </c>
      <c r="Y2940" s="45"/>
      <c r="Z2940" s="74"/>
      <c r="AA2940" s="53">
        <f>P_2_minQ+(AA2937^2*R_dn)-dpdn_minQ</f>
        <v>46.326782336027847</v>
      </c>
      <c r="AB2940" s="45"/>
      <c r="AC2940" s="74"/>
      <c r="AD2940" s="53">
        <f>P_2_minQ+(AD2937^2*R_dn)-dpdn_minQ</f>
        <v>83.270116729926116</v>
      </c>
      <c r="AE2940" s="45"/>
      <c r="AF2940" s="74"/>
      <c r="AG2940" s="53">
        <f>P_2_minQ+(AG2937^2*R_dn)-dpdn_minQ</f>
        <v>154.58586597092872</v>
      </c>
      <c r="AH2940" s="45"/>
      <c r="AI2940" s="74"/>
      <c r="AJ2940" s="53">
        <f>P_2_minQ+(AJ2937^2*R_dn)-dpdn_minQ</f>
        <v>256.04757346398742</v>
      </c>
      <c r="AK2940" s="45"/>
      <c r="AL2940" s="74"/>
      <c r="AM2940" s="53">
        <f>P_2_minQ+(AM2937^2*R_dn)-dpdn_minQ</f>
        <v>369.16614489801401</v>
      </c>
      <c r="AN2940" s="45"/>
      <c r="AO2940" s="74"/>
      <c r="AP2940" s="53">
        <f>P_2_minQ+(AP2937^2*R_dn)-dpdn_minQ</f>
        <v>489.00335680487416</v>
      </c>
      <c r="AQ2940" s="45"/>
      <c r="AR2940" s="74"/>
      <c r="AS2940" s="53">
        <f>P_2_minQ+(AS2937^2*R_dn)-dpdn_minQ</f>
        <v>626.10461849072271</v>
      </c>
      <c r="AT2940" s="45"/>
      <c r="AU2940" s="74"/>
    </row>
    <row r="2941" spans="15:47" x14ac:dyDescent="0.25">
      <c r="O2941" s="6" t="s">
        <v>243</v>
      </c>
      <c r="Q2941" s="60"/>
      <c r="R2941" s="53">
        <f>R2939-R2940</f>
        <v>31.358187770630785</v>
      </c>
      <c r="S2941" s="56"/>
      <c r="T2941" s="72"/>
      <c r="U2941" s="64">
        <f>U2939-U2940</f>
        <v>26.069666077961614</v>
      </c>
      <c r="V2941" s="44"/>
      <c r="W2941" s="72"/>
      <c r="X2941" s="64">
        <f>X2939-X2940</f>
        <v>-3.4047709537403961</v>
      </c>
      <c r="Y2941" s="44"/>
      <c r="Z2941" s="72"/>
      <c r="AA2941" s="64">
        <f>AA2939-AA2940</f>
        <v>-97.760694016167093</v>
      </c>
      <c r="AB2941" s="44"/>
      <c r="AC2941" s="72"/>
      <c r="AD2941" s="64">
        <f>AD2939-AD2940</f>
        <v>-319.42070037955671</v>
      </c>
      <c r="AE2941" s="44"/>
      <c r="AF2941" s="72"/>
      <c r="AG2941" s="64">
        <f>AG2939-AG2940</f>
        <v>-747.31519582557246</v>
      </c>
      <c r="AH2941" s="44"/>
      <c r="AI2941" s="72"/>
      <c r="AJ2941" s="64">
        <f>AJ2939-AJ2940</f>
        <v>-1356.0854407839247</v>
      </c>
      <c r="AK2941" s="44"/>
      <c r="AL2941" s="72"/>
      <c r="AM2941" s="64">
        <f>AM2939-AM2940</f>
        <v>-2034.7968693880844</v>
      </c>
      <c r="AN2941" s="44"/>
      <c r="AO2941" s="72"/>
      <c r="AP2941" s="64">
        <f>AP2939-AP2940</f>
        <v>-2753.8201408292457</v>
      </c>
      <c r="AQ2941" s="44"/>
      <c r="AR2941" s="72"/>
      <c r="AS2941" s="64">
        <f>AS2939-AS2940</f>
        <v>-3576.4277109443365</v>
      </c>
      <c r="AT2941" s="44"/>
      <c r="AU2941" s="72"/>
    </row>
    <row r="2942" spans="15:47" ht="13" x14ac:dyDescent="0.3">
      <c r="O2942" s="6" t="s">
        <v>75</v>
      </c>
      <c r="P2942" s="6">
        <v>3</v>
      </c>
      <c r="Q2942" s="65"/>
      <c r="R2942" s="85">
        <f>(F_LP_h/F_P_h)^2*(R2939-('Valve Sizing'!$V$4*'Valve Sizing'!$G$7))</f>
        <v>46.143306818856097</v>
      </c>
      <c r="S2942" s="58"/>
      <c r="T2942" s="73"/>
      <c r="U2942" s="53">
        <f>(U$29/U$27)^2*(U2939-('Valve Sizing'!$V$4*'Valve Sizing'!$G$7))</f>
        <v>42.482413414731568</v>
      </c>
      <c r="V2942" s="41"/>
      <c r="W2942" s="73"/>
      <c r="X2942" s="53">
        <f>(X$29/X$27)^2*(X2939-('Valve Sizing'!$V$4*'Valve Sizing'!$G$7))</f>
        <v>21.649685704852494</v>
      </c>
      <c r="Y2942" s="41"/>
      <c r="Z2942" s="73"/>
      <c r="AA2942" s="53">
        <f>(AA$29/AA$27)^2*(AA2939-('Valve Sizing'!$V$4*'Valve Sizing'!$G$7))</f>
        <v>-40.08805937355212</v>
      </c>
      <c r="AB2942" s="41"/>
      <c r="AC2942" s="73"/>
      <c r="AD2942" s="53">
        <f>(AD$29/AD$27)^2*(AD2939-('Valve Sizing'!$V$4*'Valve Sizing'!$G$7))</f>
        <v>-170.62619117458797</v>
      </c>
      <c r="AE2942" s="41"/>
      <c r="AF2942" s="73"/>
      <c r="AG2942" s="53">
        <f>(AG$29/AG$27)^2*(AG2939-('Valve Sizing'!$V$4*'Valve Sizing'!$G$7))</f>
        <v>-382.02715606156136</v>
      </c>
      <c r="AH2942" s="41"/>
      <c r="AI2942" s="73"/>
      <c r="AJ2942" s="53">
        <f>(AJ$29/AJ$27)^2*(AJ2939-('Valve Sizing'!$V$4*'Valve Sizing'!$G$7))</f>
        <v>-636.47718362738033</v>
      </c>
      <c r="AK2942" s="41"/>
      <c r="AL2942" s="73"/>
      <c r="AM2942" s="53">
        <f>(AM$29/AM$27)^2*(AM2939-('Valve Sizing'!$V$4*'Valve Sizing'!$G$7))</f>
        <v>-797.16846803309215</v>
      </c>
      <c r="AN2942" s="41"/>
      <c r="AO2942" s="73"/>
      <c r="AP2942" s="53">
        <f>(AP$29/AP$27)^2*(AP2939-('Valve Sizing'!$V$4*'Valve Sizing'!$G$7))</f>
        <v>-893.93112058934764</v>
      </c>
      <c r="AQ2942" s="41"/>
      <c r="AR2942" s="73"/>
      <c r="AS2942" s="53">
        <f>(AS$29/AS$27)^2*(AS2939-('Valve Sizing'!$V$4*'Valve Sizing'!$G$7))</f>
        <v>-1109.9023944993928</v>
      </c>
      <c r="AT2942" s="41"/>
      <c r="AU2942" s="73"/>
    </row>
    <row r="2943" spans="15:47" ht="13" x14ac:dyDescent="0.25">
      <c r="O2943" s="1" t="s">
        <v>69</v>
      </c>
      <c r="P2943" s="17">
        <v>7</v>
      </c>
      <c r="Q2943" s="65"/>
      <c r="R2943" s="53">
        <f>(R2937/(N_1*F_P_h))*SQRT('Valve Sizing'!$G$6/R2941)</f>
        <v>26.633201976146086</v>
      </c>
      <c r="S2943" s="58"/>
      <c r="T2943" s="73"/>
      <c r="U2943" s="64">
        <f>(U2937/(N_1*U$27))*SQRT('Valve Sizing'!$G$6/U2941)</f>
        <v>76.605776484383114</v>
      </c>
      <c r="V2943" s="41"/>
      <c r="W2943" s="73"/>
      <c r="X2943" s="64" t="e">
        <f>(X2937/(N_1*X$27))*SQRT('Valve Sizing'!$G$6/X2941)</f>
        <v>#NUM!</v>
      </c>
      <c r="Y2943" s="41"/>
      <c r="Z2943" s="73"/>
      <c r="AA2943" s="64" t="e">
        <f>(AA2937/(N_1*AA$27))*SQRT('Valve Sizing'!$G$6/AA2941)</f>
        <v>#NUM!</v>
      </c>
      <c r="AB2943" s="41"/>
      <c r="AC2943" s="73"/>
      <c r="AD2943" s="64" t="e">
        <f>(AD2937/(N_1*AD$27))*SQRT('Valve Sizing'!$G$6/AD2941)</f>
        <v>#NUM!</v>
      </c>
      <c r="AE2943" s="41"/>
      <c r="AF2943" s="73"/>
      <c r="AG2943" s="64" t="e">
        <f>(AG2937/(N_1*AG$27))*SQRT('Valve Sizing'!$G$6/AG2941)</f>
        <v>#NUM!</v>
      </c>
      <c r="AH2943" s="41"/>
      <c r="AI2943" s="73"/>
      <c r="AJ2943" s="64" t="e">
        <f>(AJ2937/(N_1*AJ$27))*SQRT('Valve Sizing'!$G$6/AJ2941)</f>
        <v>#NUM!</v>
      </c>
      <c r="AK2943" s="41"/>
      <c r="AL2943" s="73"/>
      <c r="AM2943" s="64" t="e">
        <f>(AM2937/(N_1*AM$27))*SQRT('Valve Sizing'!$G$6/AM2941)</f>
        <v>#NUM!</v>
      </c>
      <c r="AN2943" s="41"/>
      <c r="AO2943" s="73"/>
      <c r="AP2943" s="64" t="e">
        <f>(AP2937/(N_1*AP$27))*SQRT('Valve Sizing'!$G$6/AP2941)</f>
        <v>#NUM!</v>
      </c>
      <c r="AQ2943" s="41"/>
      <c r="AR2943" s="73"/>
      <c r="AS2943" s="64" t="e">
        <f>(AS2937/(N_1*AS$27))*SQRT('Valve Sizing'!$G$6/AS2941)</f>
        <v>#NUM!</v>
      </c>
      <c r="AT2943" s="41"/>
      <c r="AU2943" s="73"/>
    </row>
    <row r="2944" spans="15:47" ht="13" x14ac:dyDescent="0.3">
      <c r="O2944" s="1" t="s">
        <v>72</v>
      </c>
      <c r="P2944" s="17">
        <v>7</v>
      </c>
      <c r="Q2944" s="65"/>
      <c r="R2944" s="53">
        <f>(R2937/(N_1*F_P_h))*SQRT('Valve Sizing'!$G$6/R2942)</f>
        <v>21.955559228452294</v>
      </c>
      <c r="S2944" s="56"/>
      <c r="T2944" s="72"/>
      <c r="U2944" s="85">
        <f>(U2937/(N_1*U$27))*SQRT('Valve Sizing'!$G$6/U2942)</f>
        <v>60.010143146789353</v>
      </c>
      <c r="V2944" s="44"/>
      <c r="W2944" s="72"/>
      <c r="X2944" s="85">
        <f>(X2937/(N_1*X$27))*SQRT('Valve Sizing'!$G$6/X2942)</f>
        <v>202.23624609697137</v>
      </c>
      <c r="Y2944" s="44"/>
      <c r="Z2944" s="72"/>
      <c r="AA2944" s="85" t="e">
        <f>(AA2937/(N_1*AA$27))*SQRT('Valve Sizing'!$G$6/AA2942)</f>
        <v>#NUM!</v>
      </c>
      <c r="AB2944" s="44"/>
      <c r="AC2944" s="72"/>
      <c r="AD2944" s="85" t="e">
        <f>(AD2937/(N_1*AD$27))*SQRT('Valve Sizing'!$G$6/AD2942)</f>
        <v>#NUM!</v>
      </c>
      <c r="AE2944" s="44"/>
      <c r="AF2944" s="72"/>
      <c r="AG2944" s="85" t="e">
        <f>(AG2937/(N_1*AG$27))*SQRT('Valve Sizing'!$G$6/AG2942)</f>
        <v>#NUM!</v>
      </c>
      <c r="AH2944" s="44"/>
      <c r="AI2944" s="72"/>
      <c r="AJ2944" s="85" t="e">
        <f>(AJ2937/(N_1*AJ$27))*SQRT('Valve Sizing'!$G$6/AJ2942)</f>
        <v>#NUM!</v>
      </c>
      <c r="AK2944" s="44"/>
      <c r="AL2944" s="72"/>
      <c r="AM2944" s="85" t="e">
        <f>(AM2937/(N_1*AM$27))*SQRT('Valve Sizing'!$G$6/AM2942)</f>
        <v>#NUM!</v>
      </c>
      <c r="AN2944" s="44"/>
      <c r="AO2944" s="72"/>
      <c r="AP2944" s="85" t="e">
        <f>(AP2937/(N_1*AP$27))*SQRT('Valve Sizing'!$G$6/AP2942)</f>
        <v>#NUM!</v>
      </c>
      <c r="AQ2944" s="44"/>
      <c r="AR2944" s="72"/>
      <c r="AS2944" s="85" t="e">
        <f>(AS2937/(N_1*AS$27))*SQRT('Valve Sizing'!$G$6/AS2942)</f>
        <v>#NUM!</v>
      </c>
      <c r="AT2944" s="44"/>
      <c r="AU2944" s="72"/>
    </row>
    <row r="2945" spans="15:47" x14ac:dyDescent="0.25">
      <c r="O2945" s="1" t="s">
        <v>246</v>
      </c>
      <c r="P2945" s="18"/>
      <c r="Q2945" s="65"/>
      <c r="R2945" s="53">
        <f>IF(R2941&lt;R2942,R2943,R2944)</f>
        <v>26.633201976146086</v>
      </c>
      <c r="S2945" s="49"/>
      <c r="T2945" s="72"/>
      <c r="U2945" s="64">
        <f>IF(U2941&lt;U2942,U2943,U2944)</f>
        <v>76.605776484383114</v>
      </c>
      <c r="V2945" s="44"/>
      <c r="W2945" s="72"/>
      <c r="X2945" s="64" t="e">
        <f>IF(X2941&lt;X2942,X2943,X2944)</f>
        <v>#NUM!</v>
      </c>
      <c r="Y2945" s="44"/>
      <c r="Z2945" s="72"/>
      <c r="AA2945" s="64" t="e">
        <f>IF(AA2941&lt;AA2942,AA2943,AA2944)</f>
        <v>#NUM!</v>
      </c>
      <c r="AB2945" s="44"/>
      <c r="AC2945" s="72"/>
      <c r="AD2945" s="64" t="e">
        <f>IF(AD2941&lt;AD2942,AD2943,AD2944)</f>
        <v>#NUM!</v>
      </c>
      <c r="AE2945" s="44"/>
      <c r="AF2945" s="72"/>
      <c r="AG2945" s="64" t="e">
        <f>IF(AG2941&lt;AG2942,AG2943,AG2944)</f>
        <v>#NUM!</v>
      </c>
      <c r="AH2945" s="44"/>
      <c r="AI2945" s="72"/>
      <c r="AJ2945" s="64" t="e">
        <f>IF(AJ2941&lt;AJ2942,AJ2943,AJ2944)</f>
        <v>#NUM!</v>
      </c>
      <c r="AK2945" s="44"/>
      <c r="AL2945" s="72"/>
      <c r="AM2945" s="64" t="e">
        <f>IF(AM2941&lt;AM2942,AM2943,AM2944)</f>
        <v>#NUM!</v>
      </c>
      <c r="AN2945" s="44"/>
      <c r="AO2945" s="72"/>
      <c r="AP2945" s="64" t="e">
        <f>IF(AP2941&lt;AP2942,AP2943,AP2944)</f>
        <v>#NUM!</v>
      </c>
      <c r="AQ2945" s="44"/>
      <c r="AR2945" s="72"/>
      <c r="AS2945" s="64" t="e">
        <f>IF(AS2941&lt;AS2942,AS2943,AS2944)</f>
        <v>#NUM!</v>
      </c>
      <c r="AT2945" s="44"/>
      <c r="AU2945" s="72"/>
    </row>
    <row r="2946" spans="15:47" ht="13" x14ac:dyDescent="0.3">
      <c r="O2946" s="7" t="s">
        <v>264</v>
      </c>
      <c r="Q2946" s="61"/>
      <c r="R2946" s="53"/>
      <c r="S2946" s="69">
        <f>IFERROR(ABS(C_h-R2945),Q_max*10)</f>
        <v>21.633201976146086</v>
      </c>
      <c r="T2946" s="76">
        <f>R2937</f>
        <v>149.11980673165195</v>
      </c>
      <c r="U2946" s="61"/>
      <c r="V2946" s="69">
        <f>IFERROR(ABS(U$23-U2945),Q_max*10)</f>
        <v>64.605776484383114</v>
      </c>
      <c r="W2946" s="75">
        <f>U2937</f>
        <v>390.80812366978398</v>
      </c>
      <c r="X2946" s="61"/>
      <c r="Y2946" s="69">
        <f>IFERROR(ABS(X$23-X2945),Q_max*10)</f>
        <v>5500</v>
      </c>
      <c r="Z2946" s="75">
        <f>X2937</f>
        <v>938.08993347308888</v>
      </c>
      <c r="AA2946" s="61"/>
      <c r="AB2946" s="69">
        <f>IFERROR(ABS(AA$23-AA2945),Q_max*10)</f>
        <v>5500</v>
      </c>
      <c r="AC2946" s="75">
        <f>AA2937</f>
        <v>1791.1574818672207</v>
      </c>
      <c r="AD2946" s="61"/>
      <c r="AE2946" s="69">
        <f>IFERROR(ABS(AD$23-AD2945),Q_max*10)</f>
        <v>5500</v>
      </c>
      <c r="AF2946" s="75">
        <f>AD2937</f>
        <v>2945.7945926125876</v>
      </c>
      <c r="AG2946" s="61"/>
      <c r="AH2946" s="69">
        <f>IFERROR(ABS(AG$23-AG2945),Q_max*10)</f>
        <v>5500</v>
      </c>
      <c r="AI2946" s="75">
        <f>AG2937</f>
        <v>4385.8867355411721</v>
      </c>
      <c r="AJ2946" s="61"/>
      <c r="AK2946" s="69">
        <f>IFERROR(ABS(AJ$23-AJ2945),Q_max*10)</f>
        <v>5500</v>
      </c>
      <c r="AL2946" s="75">
        <f>AJ2937</f>
        <v>5852.9828507645007</v>
      </c>
      <c r="AM2946" s="61"/>
      <c r="AN2946" s="69">
        <f>IFERROR(ABS(AM$23-AM2945),Q_max*10)</f>
        <v>5500</v>
      </c>
      <c r="AO2946" s="75">
        <f>AM2937</f>
        <v>7141.7513784891016</v>
      </c>
      <c r="AP2946" s="61"/>
      <c r="AQ2946" s="69">
        <f>IFERROR(ABS(AP$23-AP2945),Q_max*10)</f>
        <v>5500</v>
      </c>
      <c r="AR2946" s="75">
        <f>AP2937</f>
        <v>8291.3516373967414</v>
      </c>
      <c r="AS2946" s="61"/>
      <c r="AT2946" s="69">
        <f>IFERROR(ABS(AS$23-AS2945),Q_max*10)</f>
        <v>5500</v>
      </c>
      <c r="AU2946" s="75">
        <f>AS2937</f>
        <v>9436.3315842307857</v>
      </c>
    </row>
    <row r="2947" spans="15:47" ht="14.5" x14ac:dyDescent="0.35">
      <c r="O2947" s="6"/>
      <c r="P2947" s="6"/>
      <c r="Q2947" s="60"/>
      <c r="R2947" s="67"/>
      <c r="S2947" s="56"/>
      <c r="T2947" s="72"/>
      <c r="V2947" s="11"/>
      <c r="W2947" s="38"/>
      <c r="Y2947" s="11"/>
      <c r="Z2947" s="38"/>
      <c r="AB2947" s="11"/>
      <c r="AC2947" s="38"/>
      <c r="AE2947" s="11"/>
      <c r="AF2947" s="38"/>
      <c r="AH2947" s="11"/>
      <c r="AI2947" s="38"/>
      <c r="AK2947" s="11"/>
      <c r="AL2947" s="38"/>
      <c r="AN2947" s="11"/>
      <c r="AO2947" s="38"/>
      <c r="AQ2947" s="11"/>
      <c r="AR2947" s="38"/>
      <c r="AT2947" s="11"/>
      <c r="AU2947" s="38"/>
    </row>
    <row r="2948" spans="15:47" ht="14" x14ac:dyDescent="0.3">
      <c r="O2948" s="8" t="s">
        <v>235</v>
      </c>
      <c r="P2948" s="6"/>
      <c r="Q2948" s="60"/>
      <c r="R2948" s="53">
        <f>R2937*1.02</f>
        <v>152.10220286628498</v>
      </c>
      <c r="S2948" s="58" t="s">
        <v>238</v>
      </c>
      <c r="T2948" s="73" t="s">
        <v>241</v>
      </c>
      <c r="U2948" s="84">
        <f>U2937*1.01</f>
        <v>394.71620490648183</v>
      </c>
      <c r="V2948" s="58" t="s">
        <v>238</v>
      </c>
      <c r="W2948" s="73" t="s">
        <v>241</v>
      </c>
      <c r="X2948" s="84">
        <f>X2937*1.01</f>
        <v>947.47083280781976</v>
      </c>
      <c r="Y2948" s="58" t="s">
        <v>238</v>
      </c>
      <c r="Z2948" s="73" t="s">
        <v>241</v>
      </c>
      <c r="AA2948" s="84">
        <f>AA2937*1.01</f>
        <v>1809.069056685893</v>
      </c>
      <c r="AB2948" s="58" t="s">
        <v>238</v>
      </c>
      <c r="AC2948" s="73" t="s">
        <v>241</v>
      </c>
      <c r="AD2948" s="84">
        <f>AD2937*1.01</f>
        <v>2975.2525385387135</v>
      </c>
      <c r="AE2948" s="58" t="s">
        <v>238</v>
      </c>
      <c r="AF2948" s="73" t="s">
        <v>241</v>
      </c>
      <c r="AG2948" s="84">
        <f>AG2937*1.01</f>
        <v>4429.7456028965835</v>
      </c>
      <c r="AH2948" s="58" t="s">
        <v>238</v>
      </c>
      <c r="AI2948" s="73" t="s">
        <v>241</v>
      </c>
      <c r="AJ2948" s="84">
        <f>AJ2937*1.01</f>
        <v>5911.5126792721458</v>
      </c>
      <c r="AK2948" s="58" t="s">
        <v>238</v>
      </c>
      <c r="AL2948" s="73" t="s">
        <v>241</v>
      </c>
      <c r="AM2948" s="84">
        <f>AM2937*1.01</f>
        <v>7213.1688922739932</v>
      </c>
      <c r="AN2948" s="58" t="s">
        <v>238</v>
      </c>
      <c r="AO2948" s="73" t="s">
        <v>241</v>
      </c>
      <c r="AP2948" s="84">
        <f>AP2937*1.01</f>
        <v>8374.2651537707097</v>
      </c>
      <c r="AQ2948" s="58" t="s">
        <v>238</v>
      </c>
      <c r="AR2948" s="73" t="s">
        <v>241</v>
      </c>
      <c r="AS2948" s="84">
        <f>AS2937*1.01</f>
        <v>9530.6949000730929</v>
      </c>
      <c r="AT2948" s="58" t="s">
        <v>238</v>
      </c>
      <c r="AU2948" s="73" t="s">
        <v>241</v>
      </c>
    </row>
    <row r="2949" spans="15:47" ht="13" x14ac:dyDescent="0.25">
      <c r="O2949" s="6"/>
      <c r="P2949" s="6"/>
      <c r="Q2949" s="60"/>
      <c r="R2949" s="70"/>
      <c r="S2949" s="63" t="s">
        <v>250</v>
      </c>
      <c r="T2949" s="71" t="s">
        <v>242</v>
      </c>
      <c r="U2949" s="61"/>
      <c r="V2949" s="63" t="s">
        <v>250</v>
      </c>
      <c r="W2949" s="71" t="s">
        <v>242</v>
      </c>
      <c r="X2949" s="61"/>
      <c r="Y2949" s="63" t="s">
        <v>250</v>
      </c>
      <c r="Z2949" s="71" t="s">
        <v>242</v>
      </c>
      <c r="AA2949" s="61"/>
      <c r="AB2949" s="63" t="s">
        <v>250</v>
      </c>
      <c r="AC2949" s="71" t="s">
        <v>242</v>
      </c>
      <c r="AD2949" s="61"/>
      <c r="AE2949" s="63" t="s">
        <v>250</v>
      </c>
      <c r="AF2949" s="71" t="s">
        <v>242</v>
      </c>
      <c r="AG2949" s="61"/>
      <c r="AH2949" s="63" t="s">
        <v>250</v>
      </c>
      <c r="AI2949" s="71" t="s">
        <v>242</v>
      </c>
      <c r="AJ2949" s="61"/>
      <c r="AK2949" s="63" t="s">
        <v>250</v>
      </c>
      <c r="AL2949" s="71" t="s">
        <v>242</v>
      </c>
      <c r="AM2949" s="61"/>
      <c r="AN2949" s="63" t="s">
        <v>250</v>
      </c>
      <c r="AO2949" s="71" t="s">
        <v>242</v>
      </c>
      <c r="AP2949" s="61"/>
      <c r="AQ2949" s="63" t="s">
        <v>250</v>
      </c>
      <c r="AR2949" s="71" t="s">
        <v>242</v>
      </c>
      <c r="AS2949" s="61"/>
      <c r="AT2949" s="63" t="s">
        <v>250</v>
      </c>
      <c r="AU2949" s="71" t="s">
        <v>242</v>
      </c>
    </row>
    <row r="2950" spans="15:47" ht="13" x14ac:dyDescent="0.3">
      <c r="O2950" s="6" t="s">
        <v>231</v>
      </c>
      <c r="P2950" s="6"/>
      <c r="Q2950" s="60"/>
      <c r="R2950" s="85">
        <f>P_1_minQ-(R2948^2*R_up)+dpup_minQ</f>
        <v>56.134816612064284</v>
      </c>
      <c r="S2950" s="56"/>
      <c r="T2950" s="72"/>
      <c r="U2950" s="53">
        <f>P_1_minQ-(U2948^2*R_up)+dpup_minQ</f>
        <v>51.65437749355705</v>
      </c>
      <c r="V2950" s="44"/>
      <c r="W2950" s="72"/>
      <c r="X2950" s="53">
        <f>P_1_minQ-(X2948^2*R_up)+dpup_minQ</f>
        <v>26.598649813524368</v>
      </c>
      <c r="Y2950" s="44"/>
      <c r="Z2950" s="72"/>
      <c r="AA2950" s="53">
        <f>P_1_minQ-(AA2948^2*R_up)+dpup_minQ</f>
        <v>-53.61174778312688</v>
      </c>
      <c r="AB2950" s="44"/>
      <c r="AC2950" s="72"/>
      <c r="AD2950" s="53">
        <f>P_1_minQ-(AD2948^2*R_up)+dpup_minQ</f>
        <v>-242.04122485920496</v>
      </c>
      <c r="AE2950" s="44"/>
      <c r="AF2950" s="72"/>
      <c r="AG2950" s="53">
        <f>P_1_minQ-(AG2948^2*R_up)+dpup_minQ</f>
        <v>-605.78720386293878</v>
      </c>
      <c r="AH2950" s="44"/>
      <c r="AI2950" s="72"/>
      <c r="AJ2950" s="53">
        <f>P_1_minQ-(AJ2948^2*R_up)+dpup_minQ</f>
        <v>-1123.2926429312849</v>
      </c>
      <c r="AK2950" s="44"/>
      <c r="AL2950" s="72"/>
      <c r="AM2950" s="53">
        <f>P_1_minQ-(AM2948^2*R_up)+dpup_minQ</f>
        <v>-1700.2539165305379</v>
      </c>
      <c r="AN2950" s="44"/>
      <c r="AO2950" s="72"/>
      <c r="AP2950" s="53">
        <f>P_1_minQ-(AP2948^2*R_up)+dpup_minQ</f>
        <v>-2311.4836158614785</v>
      </c>
      <c r="AQ2950" s="44"/>
      <c r="AR2950" s="72"/>
      <c r="AS2950" s="53">
        <f>P_1_minQ-(AS2948^2*R_up)+dpup_minQ</f>
        <v>-3010.7686010901475</v>
      </c>
      <c r="AT2950" s="44"/>
      <c r="AU2950" s="72"/>
    </row>
    <row r="2951" spans="15:47" ht="13" x14ac:dyDescent="0.3">
      <c r="O2951" s="6" t="s">
        <v>233</v>
      </c>
      <c r="P2951" s="6"/>
      <c r="Q2951" s="60"/>
      <c r="R2951" s="85">
        <f>P_2_minQ+(R2948^2*R_dn)-dpdn_minQ</f>
        <v>24.813036677587146</v>
      </c>
      <c r="S2951" s="66"/>
      <c r="T2951" s="74"/>
      <c r="U2951" s="53">
        <f>P_2_minQ+(U2948^2*R_dn)-dpdn_minQ</f>
        <v>25.709124501288592</v>
      </c>
      <c r="V2951" s="45"/>
      <c r="W2951" s="74"/>
      <c r="X2951" s="53">
        <f>P_2_minQ+(X2948^2*R_dn)-dpdn_minQ</f>
        <v>30.720270037295126</v>
      </c>
      <c r="Y2951" s="45"/>
      <c r="Z2951" s="74"/>
      <c r="AA2951" s="53">
        <f>P_2_minQ+(AA2948^2*R_dn)-dpdn_minQ</f>
        <v>46.762349556625381</v>
      </c>
      <c r="AB2951" s="45"/>
      <c r="AC2951" s="74"/>
      <c r="AD2951" s="53">
        <f>P_2_minQ+(AD2948^2*R_dn)-dpdn_minQ</f>
        <v>84.448244971840992</v>
      </c>
      <c r="AE2951" s="45"/>
      <c r="AF2951" s="74"/>
      <c r="AG2951" s="53">
        <f>P_2_minQ+(AG2948^2*R_dn)-dpdn_minQ</f>
        <v>157.19744077258778</v>
      </c>
      <c r="AH2951" s="45"/>
      <c r="AI2951" s="74"/>
      <c r="AJ2951" s="53">
        <f>P_2_minQ+(AJ2948^2*R_dn)-dpdn_minQ</f>
        <v>260.69852858625694</v>
      </c>
      <c r="AK2951" s="45"/>
      <c r="AL2951" s="74"/>
      <c r="AM2951" s="53">
        <f>P_2_minQ+(AM2948^2*R_dn)-dpdn_minQ</f>
        <v>376.09078330610754</v>
      </c>
      <c r="AN2951" s="45"/>
      <c r="AO2951" s="74"/>
      <c r="AP2951" s="53">
        <f>P_2_minQ+(AP2948^2*R_dn)-dpdn_minQ</f>
        <v>498.33672317229559</v>
      </c>
      <c r="AQ2951" s="45"/>
      <c r="AR2951" s="74"/>
      <c r="AS2951" s="53">
        <f>P_2_minQ+(AS2948^2*R_dn)-dpdn_minQ</f>
        <v>638.1937202180294</v>
      </c>
      <c r="AT2951" s="45"/>
      <c r="AU2951" s="74"/>
    </row>
    <row r="2952" spans="15:47" x14ac:dyDescent="0.25">
      <c r="O2952" s="6" t="s">
        <v>243</v>
      </c>
      <c r="Q2952" s="60"/>
      <c r="R2952" s="53">
        <f>R2950-R2951</f>
        <v>31.321779934477139</v>
      </c>
      <c r="S2952" s="56"/>
      <c r="T2952" s="72"/>
      <c r="U2952" s="64">
        <f>U2950-U2951</f>
        <v>25.945252992268458</v>
      </c>
      <c r="V2952" s="44"/>
      <c r="W2952" s="72"/>
      <c r="X2952" s="64">
        <f>X2950-X2951</f>
        <v>-4.1216202237707584</v>
      </c>
      <c r="Y2952" s="44"/>
      <c r="Z2952" s="72"/>
      <c r="AA2952" s="64">
        <f>AA2950-AA2951</f>
        <v>-100.37409733975227</v>
      </c>
      <c r="AB2952" s="44"/>
      <c r="AC2952" s="72"/>
      <c r="AD2952" s="64">
        <f>AD2950-AD2951</f>
        <v>-326.48946983104594</v>
      </c>
      <c r="AE2952" s="44"/>
      <c r="AF2952" s="72"/>
      <c r="AG2952" s="64">
        <f>AG2950-AG2951</f>
        <v>-762.98464463552659</v>
      </c>
      <c r="AH2952" s="44"/>
      <c r="AI2952" s="72"/>
      <c r="AJ2952" s="64">
        <f>AJ2950-AJ2951</f>
        <v>-1383.9911715175419</v>
      </c>
      <c r="AK2952" s="44"/>
      <c r="AL2952" s="72"/>
      <c r="AM2952" s="64">
        <f>AM2950-AM2951</f>
        <v>-2076.3446998366453</v>
      </c>
      <c r="AN2952" s="44"/>
      <c r="AO2952" s="72"/>
      <c r="AP2952" s="64">
        <f>AP2950-AP2951</f>
        <v>-2809.820339033774</v>
      </c>
      <c r="AQ2952" s="44"/>
      <c r="AR2952" s="72"/>
      <c r="AS2952" s="64">
        <f>AS2950-AS2951</f>
        <v>-3648.9623213081768</v>
      </c>
      <c r="AT2952" s="44"/>
      <c r="AU2952" s="72"/>
    </row>
    <row r="2953" spans="15:47" ht="13" x14ac:dyDescent="0.3">
      <c r="O2953" s="6" t="s">
        <v>75</v>
      </c>
      <c r="P2953" s="6">
        <v>3</v>
      </c>
      <c r="Q2953" s="65"/>
      <c r="R2953" s="85">
        <f>(F_LP_h/F_P_h)^2*(R2950-('Valve Sizing'!$V$4*'Valve Sizing'!$G$7))</f>
        <v>46.118183819372511</v>
      </c>
      <c r="S2953" s="58"/>
      <c r="T2953" s="73"/>
      <c r="U2953" s="53">
        <f>(U$29/U$27)^2*(U2950-('Valve Sizing'!$V$4*'Valve Sizing'!$G$7))</f>
        <v>42.396586342865774</v>
      </c>
      <c r="V2953" s="41"/>
      <c r="W2953" s="73"/>
      <c r="X2953" s="53">
        <f>(X$29/X$27)^2*(X2950-('Valve Sizing'!$V$4*'Valve Sizing'!$G$7))</f>
        <v>21.16631808624177</v>
      </c>
      <c r="Y2953" s="41"/>
      <c r="Z2953" s="73"/>
      <c r="AA2953" s="53">
        <f>(AA$29/AA$27)^2*(AA2950-('Valve Sizing'!$V$4*'Valve Sizing'!$G$7))</f>
        <v>-41.771085062503957</v>
      </c>
      <c r="AB2953" s="41"/>
      <c r="AC2953" s="73"/>
      <c r="AD2953" s="53">
        <f>(AD$29/AD$27)^2*(AD2950-('Valve Sizing'!$V$4*'Valve Sizing'!$G$7))</f>
        <v>-174.87444743512319</v>
      </c>
      <c r="AE2953" s="41"/>
      <c r="AF2953" s="73"/>
      <c r="AG2953" s="53">
        <f>(AG$29/AG$27)^2*(AG2950-('Valve Sizing'!$V$4*'Valve Sizing'!$G$7))</f>
        <v>-390.43700083191482</v>
      </c>
      <c r="AH2953" s="41"/>
      <c r="AI2953" s="73"/>
      <c r="AJ2953" s="53">
        <f>(AJ$29/AJ$27)^2*(AJ2950-('Valve Sizing'!$V$4*'Valve Sizing'!$G$7))</f>
        <v>-649.9269164669978</v>
      </c>
      <c r="AK2953" s="41"/>
      <c r="AL2953" s="73"/>
      <c r="AM2953" s="53">
        <f>(AM$29/AM$27)^2*(AM2950-('Valve Sizing'!$V$4*'Valve Sizing'!$G$7))</f>
        <v>-813.73470114447775</v>
      </c>
      <c r="AN2953" s="41"/>
      <c r="AO2953" s="73"/>
      <c r="AP2953" s="53">
        <f>(AP$29/AP$27)^2*(AP2950-('Valve Sizing'!$V$4*'Valve Sizing'!$G$7))</f>
        <v>-912.34710438009324</v>
      </c>
      <c r="AQ2953" s="41"/>
      <c r="AR2953" s="73"/>
      <c r="AS2953" s="53">
        <f>(AS$29/AS$27)^2*(AS2950-('Valve Sizing'!$V$4*'Valve Sizing'!$G$7))</f>
        <v>-1132.6384161179478</v>
      </c>
      <c r="AT2953" s="41"/>
      <c r="AU2953" s="73"/>
    </row>
    <row r="2954" spans="15:47" ht="13" x14ac:dyDescent="0.25">
      <c r="O2954" s="1" t="s">
        <v>69</v>
      </c>
      <c r="P2954" s="17">
        <v>7</v>
      </c>
      <c r="Q2954" s="65"/>
      <c r="R2954" s="53">
        <f>(R2948/(N_1*F_P_h))*SQRT('Valve Sizing'!$G$6/R2952)</f>
        <v>27.181649971027817</v>
      </c>
      <c r="S2954" s="58"/>
      <c r="T2954" s="73"/>
      <c r="U2954" s="64">
        <f>(U2948/(N_1*U$27))*SQRT('Valve Sizing'!$G$6/U2952)</f>
        <v>77.557119712886973</v>
      </c>
      <c r="V2954" s="41"/>
      <c r="W2954" s="73"/>
      <c r="X2954" s="64" t="e">
        <f>(X2948/(N_1*X$27))*SQRT('Valve Sizing'!$G$6/X2952)</f>
        <v>#NUM!</v>
      </c>
      <c r="Y2954" s="41"/>
      <c r="Z2954" s="73"/>
      <c r="AA2954" s="64" t="e">
        <f>(AA2948/(N_1*AA$27))*SQRT('Valve Sizing'!$G$6/AA2952)</f>
        <v>#NUM!</v>
      </c>
      <c r="AB2954" s="41"/>
      <c r="AC2954" s="73"/>
      <c r="AD2954" s="64" t="e">
        <f>(AD2948/(N_1*AD$27))*SQRT('Valve Sizing'!$G$6/AD2952)</f>
        <v>#NUM!</v>
      </c>
      <c r="AE2954" s="41"/>
      <c r="AF2954" s="73"/>
      <c r="AG2954" s="64" t="e">
        <f>(AG2948/(N_1*AG$27))*SQRT('Valve Sizing'!$G$6/AG2952)</f>
        <v>#NUM!</v>
      </c>
      <c r="AH2954" s="41"/>
      <c r="AI2954" s="73"/>
      <c r="AJ2954" s="64" t="e">
        <f>(AJ2948/(N_1*AJ$27))*SQRT('Valve Sizing'!$G$6/AJ2952)</f>
        <v>#NUM!</v>
      </c>
      <c r="AK2954" s="41"/>
      <c r="AL2954" s="73"/>
      <c r="AM2954" s="64" t="e">
        <f>(AM2948/(N_1*AM$27))*SQRT('Valve Sizing'!$G$6/AM2952)</f>
        <v>#NUM!</v>
      </c>
      <c r="AN2954" s="41"/>
      <c r="AO2954" s="73"/>
      <c r="AP2954" s="64" t="e">
        <f>(AP2948/(N_1*AP$27))*SQRT('Valve Sizing'!$G$6/AP2952)</f>
        <v>#NUM!</v>
      </c>
      <c r="AQ2954" s="41"/>
      <c r="AR2954" s="73"/>
      <c r="AS2954" s="64" t="e">
        <f>(AS2948/(N_1*AS$27))*SQRT('Valve Sizing'!$G$6/AS2952)</f>
        <v>#NUM!</v>
      </c>
      <c r="AT2954" s="41"/>
      <c r="AU2954" s="73"/>
    </row>
    <row r="2955" spans="15:47" ht="13" x14ac:dyDescent="0.3">
      <c r="O2955" s="1" t="s">
        <v>72</v>
      </c>
      <c r="P2955" s="17">
        <v>7</v>
      </c>
      <c r="Q2955" s="65"/>
      <c r="R2955" s="53">
        <f>(R2948/(N_1*F_P_h))*SQRT('Valve Sizing'!$G$6/R2953)</f>
        <v>22.400769359739815</v>
      </c>
      <c r="S2955" s="56"/>
      <c r="T2955" s="72"/>
      <c r="U2955" s="85">
        <f>(U2948/(N_1*U$27))*SQRT('Valve Sizing'!$G$6/U2953)</f>
        <v>60.671562837730185</v>
      </c>
      <c r="V2955" s="44"/>
      <c r="W2955" s="72"/>
      <c r="X2955" s="85">
        <f>(X2948/(N_1*X$27))*SQRT('Valve Sizing'!$G$6/X2953)</f>
        <v>206.57773335364371</v>
      </c>
      <c r="Y2955" s="44"/>
      <c r="Z2955" s="72"/>
      <c r="AA2955" s="85" t="e">
        <f>(AA2948/(N_1*AA$27))*SQRT('Valve Sizing'!$G$6/AA2953)</f>
        <v>#NUM!</v>
      </c>
      <c r="AB2955" s="44"/>
      <c r="AC2955" s="72"/>
      <c r="AD2955" s="85" t="e">
        <f>(AD2948/(N_1*AD$27))*SQRT('Valve Sizing'!$G$6/AD2953)</f>
        <v>#NUM!</v>
      </c>
      <c r="AE2955" s="44"/>
      <c r="AF2955" s="72"/>
      <c r="AG2955" s="85" t="e">
        <f>(AG2948/(N_1*AG$27))*SQRT('Valve Sizing'!$G$6/AG2953)</f>
        <v>#NUM!</v>
      </c>
      <c r="AH2955" s="44"/>
      <c r="AI2955" s="72"/>
      <c r="AJ2955" s="85" t="e">
        <f>(AJ2948/(N_1*AJ$27))*SQRT('Valve Sizing'!$G$6/AJ2953)</f>
        <v>#NUM!</v>
      </c>
      <c r="AK2955" s="44"/>
      <c r="AL2955" s="72"/>
      <c r="AM2955" s="85" t="e">
        <f>(AM2948/(N_1*AM$27))*SQRT('Valve Sizing'!$G$6/AM2953)</f>
        <v>#NUM!</v>
      </c>
      <c r="AN2955" s="44"/>
      <c r="AO2955" s="72"/>
      <c r="AP2955" s="85" t="e">
        <f>(AP2948/(N_1*AP$27))*SQRT('Valve Sizing'!$G$6/AP2953)</f>
        <v>#NUM!</v>
      </c>
      <c r="AQ2955" s="44"/>
      <c r="AR2955" s="72"/>
      <c r="AS2955" s="85" t="e">
        <f>(AS2948/(N_1*AS$27))*SQRT('Valve Sizing'!$G$6/AS2953)</f>
        <v>#NUM!</v>
      </c>
      <c r="AT2955" s="44"/>
      <c r="AU2955" s="72"/>
    </row>
    <row r="2956" spans="15:47" x14ac:dyDescent="0.25">
      <c r="O2956" s="1" t="s">
        <v>246</v>
      </c>
      <c r="P2956" s="18"/>
      <c r="Q2956" s="65"/>
      <c r="R2956" s="53">
        <f>IF(R2952&lt;R2953,R2954,R2955)</f>
        <v>27.181649971027817</v>
      </c>
      <c r="S2956" s="49"/>
      <c r="T2956" s="72"/>
      <c r="U2956" s="64">
        <f>IF(U2952&lt;U2953,U2954,U2955)</f>
        <v>77.557119712886973</v>
      </c>
      <c r="V2956" s="44"/>
      <c r="W2956" s="72"/>
      <c r="X2956" s="64" t="e">
        <f>IF(X2952&lt;X2953,X2954,X2955)</f>
        <v>#NUM!</v>
      </c>
      <c r="Y2956" s="44"/>
      <c r="Z2956" s="72"/>
      <c r="AA2956" s="64" t="e">
        <f>IF(AA2952&lt;AA2953,AA2954,AA2955)</f>
        <v>#NUM!</v>
      </c>
      <c r="AB2956" s="44"/>
      <c r="AC2956" s="72"/>
      <c r="AD2956" s="64" t="e">
        <f>IF(AD2952&lt;AD2953,AD2954,AD2955)</f>
        <v>#NUM!</v>
      </c>
      <c r="AE2956" s="44"/>
      <c r="AF2956" s="72"/>
      <c r="AG2956" s="64" t="e">
        <f>IF(AG2952&lt;AG2953,AG2954,AG2955)</f>
        <v>#NUM!</v>
      </c>
      <c r="AH2956" s="44"/>
      <c r="AI2956" s="72"/>
      <c r="AJ2956" s="64" t="e">
        <f>IF(AJ2952&lt;AJ2953,AJ2954,AJ2955)</f>
        <v>#NUM!</v>
      </c>
      <c r="AK2956" s="44"/>
      <c r="AL2956" s="72"/>
      <c r="AM2956" s="64" t="e">
        <f>IF(AM2952&lt;AM2953,AM2954,AM2955)</f>
        <v>#NUM!</v>
      </c>
      <c r="AN2956" s="44"/>
      <c r="AO2956" s="72"/>
      <c r="AP2956" s="64" t="e">
        <f>IF(AP2952&lt;AP2953,AP2954,AP2955)</f>
        <v>#NUM!</v>
      </c>
      <c r="AQ2956" s="44"/>
      <c r="AR2956" s="72"/>
      <c r="AS2956" s="64" t="e">
        <f>IF(AS2952&lt;AS2953,AS2954,AS2955)</f>
        <v>#NUM!</v>
      </c>
      <c r="AT2956" s="44"/>
      <c r="AU2956" s="72"/>
    </row>
    <row r="2957" spans="15:47" ht="13" x14ac:dyDescent="0.3">
      <c r="O2957" s="7" t="s">
        <v>264</v>
      </c>
      <c r="Q2957" s="61"/>
      <c r="R2957" s="53"/>
      <c r="S2957" s="69">
        <f>IFERROR(ABS(C_h-R2956),Q_max*10)</f>
        <v>22.181649971027817</v>
      </c>
      <c r="T2957" s="76">
        <f>R2948</f>
        <v>152.10220286628498</v>
      </c>
      <c r="U2957" s="61"/>
      <c r="V2957" s="69">
        <f>IFERROR(ABS(U$23-U2956),Q_max*10)</f>
        <v>65.557119712886973</v>
      </c>
      <c r="W2957" s="75">
        <f>U2948</f>
        <v>394.71620490648183</v>
      </c>
      <c r="X2957" s="61"/>
      <c r="Y2957" s="69">
        <f>IFERROR(ABS(X$23-X2956),Q_max*10)</f>
        <v>5500</v>
      </c>
      <c r="Z2957" s="75">
        <f>X2948</f>
        <v>947.47083280781976</v>
      </c>
      <c r="AA2957" s="61"/>
      <c r="AB2957" s="69">
        <f>IFERROR(ABS(AA$23-AA2956),Q_max*10)</f>
        <v>5500</v>
      </c>
      <c r="AC2957" s="75">
        <f>AA2948</f>
        <v>1809.069056685893</v>
      </c>
      <c r="AD2957" s="61"/>
      <c r="AE2957" s="69">
        <f>IFERROR(ABS(AD$23-AD2956),Q_max*10)</f>
        <v>5500</v>
      </c>
      <c r="AF2957" s="75">
        <f>AD2948</f>
        <v>2975.2525385387135</v>
      </c>
      <c r="AG2957" s="61"/>
      <c r="AH2957" s="69">
        <f>IFERROR(ABS(AG$23-AG2956),Q_max*10)</f>
        <v>5500</v>
      </c>
      <c r="AI2957" s="75">
        <f>AG2948</f>
        <v>4429.7456028965835</v>
      </c>
      <c r="AJ2957" s="61"/>
      <c r="AK2957" s="69">
        <f>IFERROR(ABS(AJ$23-AJ2956),Q_max*10)</f>
        <v>5500</v>
      </c>
      <c r="AL2957" s="75">
        <f>AJ2948</f>
        <v>5911.5126792721458</v>
      </c>
      <c r="AM2957" s="61"/>
      <c r="AN2957" s="69">
        <f>IFERROR(ABS(AM$23-AM2956),Q_max*10)</f>
        <v>5500</v>
      </c>
      <c r="AO2957" s="75">
        <f>AM2948</f>
        <v>7213.1688922739932</v>
      </c>
      <c r="AP2957" s="61"/>
      <c r="AQ2957" s="69">
        <f>IFERROR(ABS(AP$23-AP2956),Q_max*10)</f>
        <v>5500</v>
      </c>
      <c r="AR2957" s="75">
        <f>AP2948</f>
        <v>8374.2651537707097</v>
      </c>
      <c r="AS2957" s="61"/>
      <c r="AT2957" s="69">
        <f>IFERROR(ABS(AS$23-AS2956),Q_max*10)</f>
        <v>5500</v>
      </c>
      <c r="AU2957" s="75">
        <f>AS2948</f>
        <v>9530.6949000730929</v>
      </c>
    </row>
    <row r="2958" spans="15:47" ht="14.5" x14ac:dyDescent="0.35">
      <c r="O2958" s="8"/>
      <c r="P2958" s="6"/>
      <c r="Q2958" s="60"/>
      <c r="R2958" s="67"/>
      <c r="S2958" s="56"/>
      <c r="T2958" s="72"/>
      <c r="V2958" s="11"/>
      <c r="W2958" s="38"/>
      <c r="Y2958" s="11"/>
      <c r="Z2958" s="38"/>
      <c r="AB2958" s="11"/>
      <c r="AC2958" s="38"/>
      <c r="AE2958" s="11"/>
      <c r="AF2958" s="38"/>
      <c r="AH2958" s="11"/>
      <c r="AI2958" s="38"/>
      <c r="AK2958" s="11"/>
      <c r="AL2958" s="38"/>
      <c r="AN2958" s="11"/>
      <c r="AO2958" s="38"/>
      <c r="AQ2958" s="11"/>
      <c r="AR2958" s="38"/>
      <c r="AT2958" s="11"/>
      <c r="AU2958" s="38"/>
    </row>
    <row r="2959" spans="15:47" ht="14" x14ac:dyDescent="0.3">
      <c r="O2959" s="8" t="s">
        <v>235</v>
      </c>
      <c r="P2959" s="6"/>
      <c r="Q2959" s="60"/>
      <c r="R2959" s="53">
        <f>R2948*1.02</f>
        <v>155.14424692361069</v>
      </c>
      <c r="S2959" s="58" t="s">
        <v>238</v>
      </c>
      <c r="T2959" s="73" t="s">
        <v>241</v>
      </c>
      <c r="U2959" s="84">
        <f>U2948*1.01</f>
        <v>398.66336695554668</v>
      </c>
      <c r="V2959" s="58" t="s">
        <v>238</v>
      </c>
      <c r="W2959" s="73" t="s">
        <v>241</v>
      </c>
      <c r="X2959" s="84">
        <f>X2948*1.01</f>
        <v>956.945541135898</v>
      </c>
      <c r="Y2959" s="58" t="s">
        <v>238</v>
      </c>
      <c r="Z2959" s="73" t="s">
        <v>241</v>
      </c>
      <c r="AA2959" s="84">
        <f>AA2948*1.01</f>
        <v>1827.1597472527519</v>
      </c>
      <c r="AB2959" s="58" t="s">
        <v>238</v>
      </c>
      <c r="AC2959" s="73" t="s">
        <v>241</v>
      </c>
      <c r="AD2959" s="84">
        <f>AD2948*1.01</f>
        <v>3005.0050639241008</v>
      </c>
      <c r="AE2959" s="58" t="s">
        <v>238</v>
      </c>
      <c r="AF2959" s="73" t="s">
        <v>241</v>
      </c>
      <c r="AG2959" s="84">
        <f>AG2948*1.01</f>
        <v>4474.0430589255493</v>
      </c>
      <c r="AH2959" s="58" t="s">
        <v>238</v>
      </c>
      <c r="AI2959" s="73" t="s">
        <v>241</v>
      </c>
      <c r="AJ2959" s="84">
        <f>AJ2948*1.01</f>
        <v>5970.6278060648674</v>
      </c>
      <c r="AK2959" s="58" t="s">
        <v>238</v>
      </c>
      <c r="AL2959" s="73" t="s">
        <v>241</v>
      </c>
      <c r="AM2959" s="84">
        <f>AM2948*1.01</f>
        <v>7285.3005811967332</v>
      </c>
      <c r="AN2959" s="58" t="s">
        <v>238</v>
      </c>
      <c r="AO2959" s="73" t="s">
        <v>241</v>
      </c>
      <c r="AP2959" s="84">
        <f>AP2948*1.01</f>
        <v>8458.0078053084162</v>
      </c>
      <c r="AQ2959" s="58" t="s">
        <v>238</v>
      </c>
      <c r="AR2959" s="73" t="s">
        <v>241</v>
      </c>
      <c r="AS2959" s="84">
        <f>AS2948*1.01</f>
        <v>9626.0018490738239</v>
      </c>
      <c r="AT2959" s="58" t="s">
        <v>238</v>
      </c>
      <c r="AU2959" s="73" t="s">
        <v>241</v>
      </c>
    </row>
    <row r="2960" spans="15:47" ht="13" x14ac:dyDescent="0.25">
      <c r="O2960" s="6"/>
      <c r="P2960" s="6"/>
      <c r="Q2960" s="60"/>
      <c r="R2960" s="70"/>
      <c r="S2960" s="63" t="s">
        <v>250</v>
      </c>
      <c r="T2960" s="71" t="s">
        <v>242</v>
      </c>
      <c r="U2960" s="61"/>
      <c r="V2960" s="63" t="s">
        <v>250</v>
      </c>
      <c r="W2960" s="71" t="s">
        <v>242</v>
      </c>
      <c r="X2960" s="61"/>
      <c r="Y2960" s="63" t="s">
        <v>250</v>
      </c>
      <c r="Z2960" s="71" t="s">
        <v>242</v>
      </c>
      <c r="AA2960" s="61"/>
      <c r="AB2960" s="63" t="s">
        <v>250</v>
      </c>
      <c r="AC2960" s="71" t="s">
        <v>242</v>
      </c>
      <c r="AD2960" s="61"/>
      <c r="AE2960" s="63" t="s">
        <v>250</v>
      </c>
      <c r="AF2960" s="71" t="s">
        <v>242</v>
      </c>
      <c r="AG2960" s="61"/>
      <c r="AH2960" s="63" t="s">
        <v>250</v>
      </c>
      <c r="AI2960" s="71" t="s">
        <v>242</v>
      </c>
      <c r="AJ2960" s="61"/>
      <c r="AK2960" s="63" t="s">
        <v>250</v>
      </c>
      <c r="AL2960" s="71" t="s">
        <v>242</v>
      </c>
      <c r="AM2960" s="61"/>
      <c r="AN2960" s="63" t="s">
        <v>250</v>
      </c>
      <c r="AO2960" s="71" t="s">
        <v>242</v>
      </c>
      <c r="AP2960" s="61"/>
      <c r="AQ2960" s="63" t="s">
        <v>250</v>
      </c>
      <c r="AR2960" s="71" t="s">
        <v>242</v>
      </c>
      <c r="AS2960" s="61"/>
      <c r="AT2960" s="63" t="s">
        <v>250</v>
      </c>
      <c r="AU2960" s="71" t="s">
        <v>242</v>
      </c>
    </row>
    <row r="2961" spans="15:47" ht="13" x14ac:dyDescent="0.3">
      <c r="O2961" s="6" t="s">
        <v>231</v>
      </c>
      <c r="P2961" s="6"/>
      <c r="Q2961" s="60"/>
      <c r="R2961" s="85">
        <f>P_1_minQ-(R2959^2*R_up)+dpup_minQ</f>
        <v>56.103251018119074</v>
      </c>
      <c r="S2961" s="56"/>
      <c r="T2961" s="72"/>
      <c r="U2961" s="53">
        <f>P_1_minQ-(U2959^2*R_up)+dpup_minQ</f>
        <v>51.548616002960728</v>
      </c>
      <c r="V2961" s="44"/>
      <c r="W2961" s="72"/>
      <c r="X2961" s="53">
        <f>P_1_minQ-(X2959^2*R_up)+dpup_minQ</f>
        <v>25.989268196559387</v>
      </c>
      <c r="Y2961" s="44"/>
      <c r="Z2961" s="72"/>
      <c r="AA2961" s="53">
        <f>P_1_minQ-(AA2959^2*R_up)+dpup_minQ</f>
        <v>-55.83335839178455</v>
      </c>
      <c r="AB2961" s="44"/>
      <c r="AC2961" s="72"/>
      <c r="AD2961" s="53">
        <f>P_1_minQ-(AD2959^2*R_up)+dpup_minQ</f>
        <v>-248.05026795709185</v>
      </c>
      <c r="AE2961" s="44"/>
      <c r="AF2961" s="72"/>
      <c r="AG2961" s="53">
        <f>P_1_minQ-(AG2959^2*R_up)+dpup_minQ</f>
        <v>-619.10754113880057</v>
      </c>
      <c r="AH2961" s="44"/>
      <c r="AI2961" s="72"/>
      <c r="AJ2961" s="53">
        <f>P_1_minQ-(AJ2959^2*R_up)+dpup_minQ</f>
        <v>-1147.0148395324206</v>
      </c>
      <c r="AK2961" s="44"/>
      <c r="AL2961" s="72"/>
      <c r="AM2961" s="53">
        <f>P_1_minQ-(AM2959^2*R_up)+dpup_minQ</f>
        <v>-1735.5730347310187</v>
      </c>
      <c r="AN2961" s="44"/>
      <c r="AO2961" s="72"/>
      <c r="AP2961" s="53">
        <f>P_1_minQ-(AP2959^2*R_up)+dpup_minQ</f>
        <v>-2359.0884510185106</v>
      </c>
      <c r="AQ2961" s="44"/>
      <c r="AR2961" s="72"/>
      <c r="AS2961" s="53">
        <f>P_1_minQ-(AS2959^2*R_up)+dpup_minQ</f>
        <v>-3072.4290644502767</v>
      </c>
      <c r="AT2961" s="44"/>
      <c r="AU2961" s="72"/>
    </row>
    <row r="2962" spans="15:47" ht="13" x14ac:dyDescent="0.3">
      <c r="O2962" s="6" t="s">
        <v>233</v>
      </c>
      <c r="P2962" s="6"/>
      <c r="Q2962" s="60"/>
      <c r="R2962" s="85">
        <f>P_2_minQ+(R2959^2*R_dn)-dpdn_minQ</f>
        <v>24.819349796376187</v>
      </c>
      <c r="S2962" s="66"/>
      <c r="T2962" s="74"/>
      <c r="U2962" s="53">
        <f>P_2_minQ+(U2959^2*R_dn)-dpdn_minQ</f>
        <v>25.730276799407857</v>
      </c>
      <c r="V2962" s="45"/>
      <c r="W2962" s="74"/>
      <c r="X2962" s="53">
        <f>P_2_minQ+(X2959^2*R_dn)-dpdn_minQ</f>
        <v>30.842146360688123</v>
      </c>
      <c r="Y2962" s="45"/>
      <c r="Z2962" s="74"/>
      <c r="AA2962" s="53">
        <f>P_2_minQ+(AA2959^2*R_dn)-dpdn_minQ</f>
        <v>47.206671678356912</v>
      </c>
      <c r="AB2962" s="45"/>
      <c r="AC2962" s="74"/>
      <c r="AD2962" s="53">
        <f>P_2_minQ+(AD2959^2*R_dn)-dpdn_minQ</f>
        <v>85.650053591418356</v>
      </c>
      <c r="AE2962" s="45"/>
      <c r="AF2962" s="74"/>
      <c r="AG2962" s="53">
        <f>P_2_minQ+(AG2959^2*R_dn)-dpdn_minQ</f>
        <v>159.86150822776014</v>
      </c>
      <c r="AH2962" s="45"/>
      <c r="AI2962" s="74"/>
      <c r="AJ2962" s="53">
        <f>P_2_minQ+(AJ2959^2*R_dn)-dpdn_minQ</f>
        <v>265.44296790648406</v>
      </c>
      <c r="AK2962" s="45"/>
      <c r="AL2962" s="74"/>
      <c r="AM2962" s="53">
        <f>P_2_minQ+(AM2959^2*R_dn)-dpdn_minQ</f>
        <v>383.15460694620367</v>
      </c>
      <c r="AN2962" s="45"/>
      <c r="AO2962" s="74"/>
      <c r="AP2962" s="53">
        <f>P_2_minQ+(AP2959^2*R_dn)-dpdn_minQ</f>
        <v>507.85769020370202</v>
      </c>
      <c r="AQ2962" s="45"/>
      <c r="AR2962" s="74"/>
      <c r="AS2962" s="53">
        <f>P_2_minQ+(AS2959^2*R_dn)-dpdn_minQ</f>
        <v>650.52581289005525</v>
      </c>
      <c r="AT2962" s="45"/>
      <c r="AU2962" s="74"/>
    </row>
    <row r="2963" spans="15:47" x14ac:dyDescent="0.25">
      <c r="O2963" s="6" t="s">
        <v>243</v>
      </c>
      <c r="Q2963" s="60"/>
      <c r="R2963" s="53">
        <f>R2961-R2962</f>
        <v>31.283901221742887</v>
      </c>
      <c r="S2963" s="56"/>
      <c r="T2963" s="72"/>
      <c r="U2963" s="64">
        <f>U2961-U2962</f>
        <v>25.81833920355287</v>
      </c>
      <c r="V2963" s="44"/>
      <c r="W2963" s="72"/>
      <c r="X2963" s="64">
        <f>X2961-X2962</f>
        <v>-4.852878164128736</v>
      </c>
      <c r="Y2963" s="44"/>
      <c r="Z2963" s="72"/>
      <c r="AA2963" s="64">
        <f>AA2961-AA2962</f>
        <v>-103.04003007014146</v>
      </c>
      <c r="AB2963" s="44"/>
      <c r="AC2963" s="72"/>
      <c r="AD2963" s="64">
        <f>AD2961-AD2962</f>
        <v>-333.7003215485102</v>
      </c>
      <c r="AE2963" s="44"/>
      <c r="AF2963" s="72"/>
      <c r="AG2963" s="64">
        <f>AG2961-AG2962</f>
        <v>-778.96904936656074</v>
      </c>
      <c r="AH2963" s="44"/>
      <c r="AI2963" s="72"/>
      <c r="AJ2963" s="64">
        <f>AJ2961-AJ2962</f>
        <v>-1412.4578074389046</v>
      </c>
      <c r="AK2963" s="44"/>
      <c r="AL2963" s="72"/>
      <c r="AM2963" s="64">
        <f>AM2961-AM2962</f>
        <v>-2118.7276416772224</v>
      </c>
      <c r="AN2963" s="44"/>
      <c r="AO2963" s="72"/>
      <c r="AP2963" s="64">
        <f>AP2961-AP2962</f>
        <v>-2866.9461412222126</v>
      </c>
      <c r="AQ2963" s="44"/>
      <c r="AR2963" s="72"/>
      <c r="AS2963" s="64">
        <f>AS2961-AS2962</f>
        <v>-3722.9548773403321</v>
      </c>
      <c r="AT2963" s="44"/>
      <c r="AU2963" s="72"/>
    </row>
    <row r="2964" spans="15:47" ht="13" x14ac:dyDescent="0.3">
      <c r="O2964" s="6" t="s">
        <v>75</v>
      </c>
      <c r="P2964" s="6">
        <v>3</v>
      </c>
      <c r="Q2964" s="65"/>
      <c r="R2964" s="85">
        <f>(F_LP_h/F_P_h)^2*(R2961-('Valve Sizing'!$V$4*'Valve Sizing'!$G$7))</f>
        <v>46.092045850709788</v>
      </c>
      <c r="S2964" s="58"/>
      <c r="T2964" s="73"/>
      <c r="U2964" s="53">
        <f>(U$29/U$27)^2*(U2961-('Valve Sizing'!$V$4*'Valve Sizing'!$G$7))</f>
        <v>42.309034146855481</v>
      </c>
      <c r="V2964" s="41"/>
      <c r="W2964" s="73"/>
      <c r="X2964" s="53">
        <f>(X$29/X$27)^2*(X2961-('Valve Sizing'!$V$4*'Valve Sizing'!$G$7))</f>
        <v>20.673234778496962</v>
      </c>
      <c r="Y2964" s="41"/>
      <c r="Z2964" s="73"/>
      <c r="AA2964" s="53">
        <f>(AA$29/AA$27)^2*(AA2961-('Valve Sizing'!$V$4*'Valve Sizing'!$G$7))</f>
        <v>-43.487939567803707</v>
      </c>
      <c r="AB2964" s="41"/>
      <c r="AC2964" s="73"/>
      <c r="AD2964" s="53">
        <f>(AD$29/AD$27)^2*(AD2961-('Valve Sizing'!$V$4*'Valve Sizing'!$G$7))</f>
        <v>-179.2080936464952</v>
      </c>
      <c r="AE2964" s="41"/>
      <c r="AF2964" s="73"/>
      <c r="AG2964" s="53">
        <f>(AG$29/AG$27)^2*(AG2961-('Valve Sizing'!$V$4*'Valve Sizing'!$G$7))</f>
        <v>-399.01588348215233</v>
      </c>
      <c r="AH2964" s="41"/>
      <c r="AI2964" s="73"/>
      <c r="AJ2964" s="53">
        <f>(AJ$29/AJ$27)^2*(AJ2961-('Valve Sizing'!$V$4*'Valve Sizing'!$G$7))</f>
        <v>-663.64698893669163</v>
      </c>
      <c r="AK2964" s="41"/>
      <c r="AL2964" s="73"/>
      <c r="AM2964" s="53">
        <f>(AM$29/AM$27)^2*(AM2961-('Valve Sizing'!$V$4*'Valve Sizing'!$G$7))</f>
        <v>-830.63391554140208</v>
      </c>
      <c r="AN2964" s="41"/>
      <c r="AO2964" s="73"/>
      <c r="AP2964" s="53">
        <f>(AP$29/AP$27)^2*(AP2961-('Valve Sizing'!$V$4*'Valve Sizing'!$G$7))</f>
        <v>-931.13324944503233</v>
      </c>
      <c r="AQ2964" s="41"/>
      <c r="AR2964" s="73"/>
      <c r="AS2964" s="53">
        <f>(AS$29/AS$27)^2*(AS2961-('Valve Sizing'!$V$4*'Valve Sizing'!$G$7))</f>
        <v>-1155.8314317710363</v>
      </c>
      <c r="AT2964" s="41"/>
      <c r="AU2964" s="73"/>
    </row>
    <row r="2965" spans="15:47" ht="13" x14ac:dyDescent="0.25">
      <c r="O2965" s="1" t="s">
        <v>69</v>
      </c>
      <c r="P2965" s="17">
        <v>7</v>
      </c>
      <c r="Q2965" s="65"/>
      <c r="R2965" s="53">
        <f>(R2959/(N_1*F_P_h))*SQRT('Valve Sizing'!$G$6/R2963)</f>
        <v>27.742062852178151</v>
      </c>
      <c r="S2965" s="58"/>
      <c r="T2965" s="73"/>
      <c r="U2965" s="64">
        <f>(U2959/(N_1*U$27))*SQRT('Valve Sizing'!$G$6/U2963)</f>
        <v>78.524982738353188</v>
      </c>
      <c r="V2965" s="41"/>
      <c r="W2965" s="73"/>
      <c r="X2965" s="64" t="e">
        <f>(X2959/(N_1*X$27))*SQRT('Valve Sizing'!$G$6/X2963)</f>
        <v>#NUM!</v>
      </c>
      <c r="Y2965" s="41"/>
      <c r="Z2965" s="73"/>
      <c r="AA2965" s="64" t="e">
        <f>(AA2959/(N_1*AA$27))*SQRT('Valve Sizing'!$G$6/AA2963)</f>
        <v>#NUM!</v>
      </c>
      <c r="AB2965" s="41"/>
      <c r="AC2965" s="73"/>
      <c r="AD2965" s="64" t="e">
        <f>(AD2959/(N_1*AD$27))*SQRT('Valve Sizing'!$G$6/AD2963)</f>
        <v>#NUM!</v>
      </c>
      <c r="AE2965" s="41"/>
      <c r="AF2965" s="73"/>
      <c r="AG2965" s="64" t="e">
        <f>(AG2959/(N_1*AG$27))*SQRT('Valve Sizing'!$G$6/AG2963)</f>
        <v>#NUM!</v>
      </c>
      <c r="AH2965" s="41"/>
      <c r="AI2965" s="73"/>
      <c r="AJ2965" s="64" t="e">
        <f>(AJ2959/(N_1*AJ$27))*SQRT('Valve Sizing'!$G$6/AJ2963)</f>
        <v>#NUM!</v>
      </c>
      <c r="AK2965" s="41"/>
      <c r="AL2965" s="73"/>
      <c r="AM2965" s="64" t="e">
        <f>(AM2959/(N_1*AM$27))*SQRT('Valve Sizing'!$G$6/AM2963)</f>
        <v>#NUM!</v>
      </c>
      <c r="AN2965" s="41"/>
      <c r="AO2965" s="73"/>
      <c r="AP2965" s="64" t="e">
        <f>(AP2959/(N_1*AP$27))*SQRT('Valve Sizing'!$G$6/AP2963)</f>
        <v>#NUM!</v>
      </c>
      <c r="AQ2965" s="41"/>
      <c r="AR2965" s="73"/>
      <c r="AS2965" s="64" t="e">
        <f>(AS2959/(N_1*AS$27))*SQRT('Valve Sizing'!$G$6/AS2963)</f>
        <v>#NUM!</v>
      </c>
      <c r="AT2965" s="41"/>
      <c r="AU2965" s="73"/>
    </row>
    <row r="2966" spans="15:47" ht="13" x14ac:dyDescent="0.3">
      <c r="O2966" s="1" t="s">
        <v>72</v>
      </c>
      <c r="P2966" s="17">
        <v>7</v>
      </c>
      <c r="Q2966" s="65"/>
      <c r="R2966" s="53">
        <f>(R2959/(N_1*F_P_h))*SQRT('Valve Sizing'!$G$6/R2964)</f>
        <v>22.855262395782511</v>
      </c>
      <c r="S2966" s="56"/>
      <c r="T2966" s="72"/>
      <c r="U2966" s="85">
        <f>(U2959/(N_1*U$27))*SQRT('Valve Sizing'!$G$6/U2964)</f>
        <v>61.341648799220962</v>
      </c>
      <c r="V2966" s="44"/>
      <c r="W2966" s="72"/>
      <c r="X2966" s="85">
        <f>(X2959/(N_1*X$27))*SQRT('Valve Sizing'!$G$6/X2964)</f>
        <v>211.11705667447404</v>
      </c>
      <c r="Y2966" s="44"/>
      <c r="Z2966" s="72"/>
      <c r="AA2966" s="85" t="e">
        <f>(AA2959/(N_1*AA$27))*SQRT('Valve Sizing'!$G$6/AA2964)</f>
        <v>#NUM!</v>
      </c>
      <c r="AB2966" s="44"/>
      <c r="AC2966" s="72"/>
      <c r="AD2966" s="85" t="e">
        <f>(AD2959/(N_1*AD$27))*SQRT('Valve Sizing'!$G$6/AD2964)</f>
        <v>#NUM!</v>
      </c>
      <c r="AE2966" s="44"/>
      <c r="AF2966" s="72"/>
      <c r="AG2966" s="85" t="e">
        <f>(AG2959/(N_1*AG$27))*SQRT('Valve Sizing'!$G$6/AG2964)</f>
        <v>#NUM!</v>
      </c>
      <c r="AH2966" s="44"/>
      <c r="AI2966" s="72"/>
      <c r="AJ2966" s="85" t="e">
        <f>(AJ2959/(N_1*AJ$27))*SQRT('Valve Sizing'!$G$6/AJ2964)</f>
        <v>#NUM!</v>
      </c>
      <c r="AK2966" s="44"/>
      <c r="AL2966" s="72"/>
      <c r="AM2966" s="85" t="e">
        <f>(AM2959/(N_1*AM$27))*SQRT('Valve Sizing'!$G$6/AM2964)</f>
        <v>#NUM!</v>
      </c>
      <c r="AN2966" s="44"/>
      <c r="AO2966" s="72"/>
      <c r="AP2966" s="85" t="e">
        <f>(AP2959/(N_1*AP$27))*SQRT('Valve Sizing'!$G$6/AP2964)</f>
        <v>#NUM!</v>
      </c>
      <c r="AQ2966" s="44"/>
      <c r="AR2966" s="72"/>
      <c r="AS2966" s="85" t="e">
        <f>(AS2959/(N_1*AS$27))*SQRT('Valve Sizing'!$G$6/AS2964)</f>
        <v>#NUM!</v>
      </c>
      <c r="AT2966" s="44"/>
      <c r="AU2966" s="72"/>
    </row>
    <row r="2967" spans="15:47" x14ac:dyDescent="0.25">
      <c r="O2967" s="1" t="s">
        <v>246</v>
      </c>
      <c r="P2967" s="18"/>
      <c r="Q2967" s="65"/>
      <c r="R2967" s="53">
        <f>IF(R2963&lt;R2964,R2965,R2966)</f>
        <v>27.742062852178151</v>
      </c>
      <c r="S2967" s="49"/>
      <c r="T2967" s="72"/>
      <c r="U2967" s="64">
        <f>IF(U2963&lt;U2964,U2965,U2966)</f>
        <v>78.524982738353188</v>
      </c>
      <c r="V2967" s="44"/>
      <c r="W2967" s="72"/>
      <c r="X2967" s="64" t="e">
        <f>IF(X2963&lt;X2964,X2965,X2966)</f>
        <v>#NUM!</v>
      </c>
      <c r="Y2967" s="44"/>
      <c r="Z2967" s="72"/>
      <c r="AA2967" s="64" t="e">
        <f>IF(AA2963&lt;AA2964,AA2965,AA2966)</f>
        <v>#NUM!</v>
      </c>
      <c r="AB2967" s="44"/>
      <c r="AC2967" s="72"/>
      <c r="AD2967" s="64" t="e">
        <f>IF(AD2963&lt;AD2964,AD2965,AD2966)</f>
        <v>#NUM!</v>
      </c>
      <c r="AE2967" s="44"/>
      <c r="AF2967" s="72"/>
      <c r="AG2967" s="64" t="e">
        <f>IF(AG2963&lt;AG2964,AG2965,AG2966)</f>
        <v>#NUM!</v>
      </c>
      <c r="AH2967" s="44"/>
      <c r="AI2967" s="72"/>
      <c r="AJ2967" s="64" t="e">
        <f>IF(AJ2963&lt;AJ2964,AJ2965,AJ2966)</f>
        <v>#NUM!</v>
      </c>
      <c r="AK2967" s="44"/>
      <c r="AL2967" s="72"/>
      <c r="AM2967" s="64" t="e">
        <f>IF(AM2963&lt;AM2964,AM2965,AM2966)</f>
        <v>#NUM!</v>
      </c>
      <c r="AN2967" s="44"/>
      <c r="AO2967" s="72"/>
      <c r="AP2967" s="64" t="e">
        <f>IF(AP2963&lt;AP2964,AP2965,AP2966)</f>
        <v>#NUM!</v>
      </c>
      <c r="AQ2967" s="44"/>
      <c r="AR2967" s="72"/>
      <c r="AS2967" s="64" t="e">
        <f>IF(AS2963&lt;AS2964,AS2965,AS2966)</f>
        <v>#NUM!</v>
      </c>
      <c r="AT2967" s="44"/>
      <c r="AU2967" s="72"/>
    </row>
    <row r="2968" spans="15:47" ht="13" x14ac:dyDescent="0.3">
      <c r="O2968" s="7" t="s">
        <v>264</v>
      </c>
      <c r="Q2968" s="61"/>
      <c r="R2968" s="53"/>
      <c r="S2968" s="69">
        <f>IFERROR(ABS(C_h-R2967),Q_max*10)</f>
        <v>22.742062852178151</v>
      </c>
      <c r="T2968" s="76">
        <f>R2959</f>
        <v>155.14424692361069</v>
      </c>
      <c r="U2968" s="61"/>
      <c r="V2968" s="69">
        <f>IFERROR(ABS(U$23-U2967),Q_max*10)</f>
        <v>66.524982738353188</v>
      </c>
      <c r="W2968" s="75">
        <f>U2959</f>
        <v>398.66336695554668</v>
      </c>
      <c r="X2968" s="61"/>
      <c r="Y2968" s="69">
        <f>IFERROR(ABS(X$23-X2967),Q_max*10)</f>
        <v>5500</v>
      </c>
      <c r="Z2968" s="75">
        <f>X2959</f>
        <v>956.945541135898</v>
      </c>
      <c r="AA2968" s="61"/>
      <c r="AB2968" s="69">
        <f>IFERROR(ABS(AA$23-AA2967),Q_max*10)</f>
        <v>5500</v>
      </c>
      <c r="AC2968" s="75">
        <f>AA2959</f>
        <v>1827.1597472527519</v>
      </c>
      <c r="AD2968" s="61"/>
      <c r="AE2968" s="69">
        <f>IFERROR(ABS(AD$23-AD2967),Q_max*10)</f>
        <v>5500</v>
      </c>
      <c r="AF2968" s="75">
        <f>AD2959</f>
        <v>3005.0050639241008</v>
      </c>
      <c r="AG2968" s="61"/>
      <c r="AH2968" s="69">
        <f>IFERROR(ABS(AG$23-AG2967),Q_max*10)</f>
        <v>5500</v>
      </c>
      <c r="AI2968" s="75">
        <f>AG2959</f>
        <v>4474.0430589255493</v>
      </c>
      <c r="AJ2968" s="61"/>
      <c r="AK2968" s="69">
        <f>IFERROR(ABS(AJ$23-AJ2967),Q_max*10)</f>
        <v>5500</v>
      </c>
      <c r="AL2968" s="75">
        <f>AJ2959</f>
        <v>5970.6278060648674</v>
      </c>
      <c r="AM2968" s="61"/>
      <c r="AN2968" s="69">
        <f>IFERROR(ABS(AM$23-AM2967),Q_max*10)</f>
        <v>5500</v>
      </c>
      <c r="AO2968" s="75">
        <f>AM2959</f>
        <v>7285.3005811967332</v>
      </c>
      <c r="AP2968" s="61"/>
      <c r="AQ2968" s="69">
        <f>IFERROR(ABS(AP$23-AP2967),Q_max*10)</f>
        <v>5500</v>
      </c>
      <c r="AR2968" s="75">
        <f>AP2959</f>
        <v>8458.0078053084162</v>
      </c>
      <c r="AS2968" s="61"/>
      <c r="AT2968" s="69">
        <f>IFERROR(ABS(AS$23-AS2967),Q_max*10)</f>
        <v>5500</v>
      </c>
      <c r="AU2968" s="75">
        <f>AS2959</f>
        <v>9626.0018490738239</v>
      </c>
    </row>
    <row r="2969" spans="15:47" ht="14.5" x14ac:dyDescent="0.35">
      <c r="O2969" s="6"/>
      <c r="P2969" s="6"/>
      <c r="Q2969" s="60"/>
      <c r="R2969" s="67"/>
      <c r="S2969" s="58"/>
      <c r="T2969" s="73"/>
      <c r="V2969" s="11"/>
      <c r="W2969" s="38"/>
      <c r="Y2969" s="11"/>
      <c r="Z2969" s="38"/>
      <c r="AB2969" s="11"/>
      <c r="AC2969" s="38"/>
      <c r="AE2969" s="11"/>
      <c r="AF2969" s="38"/>
      <c r="AH2969" s="11"/>
      <c r="AI2969" s="38"/>
      <c r="AK2969" s="11"/>
      <c r="AL2969" s="38"/>
      <c r="AN2969" s="11"/>
      <c r="AO2969" s="38"/>
      <c r="AQ2969" s="11"/>
      <c r="AR2969" s="38"/>
      <c r="AT2969" s="11"/>
      <c r="AU2969" s="38"/>
    </row>
    <row r="2970" spans="15:47" ht="14" x14ac:dyDescent="0.3">
      <c r="O2970" s="8" t="s">
        <v>235</v>
      </c>
      <c r="P2970" s="6"/>
      <c r="Q2970" s="60"/>
      <c r="R2970" s="53">
        <f>R2959*1.02</f>
        <v>158.24713186208291</v>
      </c>
      <c r="S2970" s="58" t="s">
        <v>238</v>
      </c>
      <c r="T2970" s="73" t="s">
        <v>241</v>
      </c>
      <c r="U2970" s="84">
        <f>U2959*1.01</f>
        <v>402.65000062510217</v>
      </c>
      <c r="V2970" s="58" t="s">
        <v>238</v>
      </c>
      <c r="W2970" s="73" t="s">
        <v>241</v>
      </c>
      <c r="X2970" s="84">
        <f>X2959*1.01</f>
        <v>966.51499654725694</v>
      </c>
      <c r="Y2970" s="58" t="s">
        <v>238</v>
      </c>
      <c r="Z2970" s="73" t="s">
        <v>241</v>
      </c>
      <c r="AA2970" s="84">
        <f>AA2959*1.01</f>
        <v>1845.4313447252794</v>
      </c>
      <c r="AB2970" s="58" t="s">
        <v>238</v>
      </c>
      <c r="AC2970" s="73" t="s">
        <v>241</v>
      </c>
      <c r="AD2970" s="84">
        <f>AD2959*1.01</f>
        <v>3035.0551145633417</v>
      </c>
      <c r="AE2970" s="58" t="s">
        <v>238</v>
      </c>
      <c r="AF2970" s="73" t="s">
        <v>241</v>
      </c>
      <c r="AG2970" s="84">
        <f>AG2959*1.01</f>
        <v>4518.7834895148044</v>
      </c>
      <c r="AH2970" s="58" t="s">
        <v>238</v>
      </c>
      <c r="AI2970" s="73" t="s">
        <v>241</v>
      </c>
      <c r="AJ2970" s="84">
        <f>AJ2959*1.01</f>
        <v>6030.3340841255158</v>
      </c>
      <c r="AK2970" s="58" t="s">
        <v>238</v>
      </c>
      <c r="AL2970" s="73" t="s">
        <v>241</v>
      </c>
      <c r="AM2970" s="84">
        <f>AM2959*1.01</f>
        <v>7358.1535870087009</v>
      </c>
      <c r="AN2970" s="58" t="s">
        <v>238</v>
      </c>
      <c r="AO2970" s="73" t="s">
        <v>241</v>
      </c>
      <c r="AP2970" s="84">
        <f>AP2959*1.01</f>
        <v>8542.5878833615006</v>
      </c>
      <c r="AQ2970" s="58" t="s">
        <v>238</v>
      </c>
      <c r="AR2970" s="73" t="s">
        <v>241</v>
      </c>
      <c r="AS2970" s="84">
        <f>AS2959*1.01</f>
        <v>9722.2618675645626</v>
      </c>
      <c r="AT2970" s="58" t="s">
        <v>238</v>
      </c>
      <c r="AU2970" s="73" t="s">
        <v>241</v>
      </c>
    </row>
    <row r="2971" spans="15:47" ht="13" x14ac:dyDescent="0.25">
      <c r="O2971" s="6"/>
      <c r="P2971" s="6"/>
      <c r="Q2971" s="60"/>
      <c r="R2971" s="70"/>
      <c r="S2971" s="63" t="s">
        <v>250</v>
      </c>
      <c r="T2971" s="71" t="s">
        <v>242</v>
      </c>
      <c r="U2971" s="61"/>
      <c r="V2971" s="63" t="s">
        <v>250</v>
      </c>
      <c r="W2971" s="71" t="s">
        <v>242</v>
      </c>
      <c r="X2971" s="61"/>
      <c r="Y2971" s="63" t="s">
        <v>250</v>
      </c>
      <c r="Z2971" s="71" t="s">
        <v>242</v>
      </c>
      <c r="AA2971" s="61"/>
      <c r="AB2971" s="63" t="s">
        <v>250</v>
      </c>
      <c r="AC2971" s="71" t="s">
        <v>242</v>
      </c>
      <c r="AD2971" s="61"/>
      <c r="AE2971" s="63" t="s">
        <v>250</v>
      </c>
      <c r="AF2971" s="71" t="s">
        <v>242</v>
      </c>
      <c r="AG2971" s="61"/>
      <c r="AH2971" s="63" t="s">
        <v>250</v>
      </c>
      <c r="AI2971" s="71" t="s">
        <v>242</v>
      </c>
      <c r="AJ2971" s="61"/>
      <c r="AK2971" s="63" t="s">
        <v>250</v>
      </c>
      <c r="AL2971" s="71" t="s">
        <v>242</v>
      </c>
      <c r="AM2971" s="61"/>
      <c r="AN2971" s="63" t="s">
        <v>250</v>
      </c>
      <c r="AO2971" s="71" t="s">
        <v>242</v>
      </c>
      <c r="AP2971" s="61"/>
      <c r="AQ2971" s="63" t="s">
        <v>250</v>
      </c>
      <c r="AR2971" s="71" t="s">
        <v>242</v>
      </c>
      <c r="AS2971" s="61"/>
      <c r="AT2971" s="63" t="s">
        <v>250</v>
      </c>
      <c r="AU2971" s="71" t="s">
        <v>242</v>
      </c>
    </row>
    <row r="2972" spans="15:47" ht="13" x14ac:dyDescent="0.3">
      <c r="O2972" s="6" t="s">
        <v>231</v>
      </c>
      <c r="P2972" s="6"/>
      <c r="Q2972" s="60"/>
      <c r="R2972" s="85">
        <f>P_1_minQ-(R2970^2*R_up)+dpup_minQ</f>
        <v>56.07041017417847</v>
      </c>
      <c r="S2972" s="56"/>
      <c r="T2972" s="72"/>
      <c r="U2972" s="53">
        <f>P_1_minQ-(U2970^2*R_up)+dpup_minQ</f>
        <v>51.440728706403419</v>
      </c>
      <c r="V2972" s="44"/>
      <c r="W2972" s="72"/>
      <c r="X2972" s="53">
        <f>P_1_minQ-(X2970^2*R_up)+dpup_minQ</f>
        <v>25.367638009093412</v>
      </c>
      <c r="Y2972" s="44"/>
      <c r="Z2972" s="72"/>
      <c r="AA2972" s="53">
        <f>P_1_minQ-(AA2970^2*R_up)+dpup_minQ</f>
        <v>-58.099623373676231</v>
      </c>
      <c r="AB2972" s="44"/>
      <c r="AC2972" s="72"/>
      <c r="AD2972" s="53">
        <f>P_1_minQ-(AD2970^2*R_up)+dpup_minQ</f>
        <v>-254.18009282124623</v>
      </c>
      <c r="AE2972" s="44"/>
      <c r="AF2972" s="72"/>
      <c r="AG2972" s="53">
        <f>P_1_minQ-(AG2970^2*R_up)+dpup_minQ</f>
        <v>-632.6956171939072</v>
      </c>
      <c r="AH2972" s="44"/>
      <c r="AI2972" s="72"/>
      <c r="AJ2972" s="53">
        <f>P_1_minQ-(AJ2970^2*R_up)+dpup_minQ</f>
        <v>-1171.213852285239</v>
      </c>
      <c r="AK2972" s="44"/>
      <c r="AL2972" s="72"/>
      <c r="AM2972" s="53">
        <f>P_1_minQ-(AM2970^2*R_up)+dpup_minQ</f>
        <v>-1771.6020672073289</v>
      </c>
      <c r="AN2972" s="44"/>
      <c r="AO2972" s="72"/>
      <c r="AP2972" s="53">
        <f>P_1_minQ-(AP2970^2*R_up)+dpup_minQ</f>
        <v>-2407.6501433621997</v>
      </c>
      <c r="AQ2972" s="44"/>
      <c r="AR2972" s="72"/>
      <c r="AS2972" s="53">
        <f>P_1_minQ-(AS2970^2*R_up)+dpup_minQ</f>
        <v>-3135.3289031239442</v>
      </c>
      <c r="AT2972" s="44"/>
      <c r="AU2972" s="72"/>
    </row>
    <row r="2973" spans="15:47" ht="13" x14ac:dyDescent="0.3">
      <c r="O2973" s="6" t="s">
        <v>233</v>
      </c>
      <c r="P2973" s="6"/>
      <c r="Q2973" s="60"/>
      <c r="R2973" s="85">
        <f>P_2_minQ+(R2970^2*R_dn)-dpdn_minQ</f>
        <v>24.825917965164308</v>
      </c>
      <c r="S2973" s="66"/>
      <c r="T2973" s="74"/>
      <c r="U2973" s="53">
        <f>P_2_minQ+(U2970^2*R_dn)-dpdn_minQ</f>
        <v>25.751854258719316</v>
      </c>
      <c r="V2973" s="45"/>
      <c r="W2973" s="74"/>
      <c r="X2973" s="53">
        <f>P_2_minQ+(X2970^2*R_dn)-dpdn_minQ</f>
        <v>30.96647239818132</v>
      </c>
      <c r="Y2973" s="45"/>
      <c r="Z2973" s="74"/>
      <c r="AA2973" s="53">
        <f>P_2_minQ+(AA2970^2*R_dn)-dpdn_minQ</f>
        <v>47.659924674735251</v>
      </c>
      <c r="AB2973" s="45"/>
      <c r="AC2973" s="74"/>
      <c r="AD2973" s="53">
        <f>P_2_minQ+(AD2970^2*R_dn)-dpdn_minQ</f>
        <v>86.87601856424925</v>
      </c>
      <c r="AE2973" s="45"/>
      <c r="AF2973" s="74"/>
      <c r="AG2973" s="53">
        <f>P_2_minQ+(AG2970^2*R_dn)-dpdn_minQ</f>
        <v>162.57912343878147</v>
      </c>
      <c r="AH2973" s="45"/>
      <c r="AI2973" s="74"/>
      <c r="AJ2973" s="53">
        <f>P_2_minQ+(AJ2970^2*R_dn)-dpdn_minQ</f>
        <v>270.28277045704777</v>
      </c>
      <c r="AK2973" s="45"/>
      <c r="AL2973" s="74"/>
      <c r="AM2973" s="53">
        <f>P_2_minQ+(AM2970^2*R_dn)-dpdn_minQ</f>
        <v>390.36041344146571</v>
      </c>
      <c r="AN2973" s="45"/>
      <c r="AO2973" s="74"/>
      <c r="AP2973" s="53">
        <f>P_2_minQ+(AP2970^2*R_dn)-dpdn_minQ</f>
        <v>517.57002867243978</v>
      </c>
      <c r="AQ2973" s="45"/>
      <c r="AR2973" s="74"/>
      <c r="AS2973" s="53">
        <f>P_2_minQ+(AS2970^2*R_dn)-dpdn_minQ</f>
        <v>663.10578062478874</v>
      </c>
      <c r="AT2973" s="45"/>
      <c r="AU2973" s="74"/>
    </row>
    <row r="2974" spans="15:47" x14ac:dyDescent="0.25">
      <c r="O2974" s="6" t="s">
        <v>243</v>
      </c>
      <c r="Q2974" s="60"/>
      <c r="R2974" s="53">
        <f>R2972-R2973</f>
        <v>31.244492209014162</v>
      </c>
      <c r="S2974" s="56"/>
      <c r="T2974" s="72"/>
      <c r="U2974" s="64">
        <f>U2972-U2973</f>
        <v>25.688874447684103</v>
      </c>
      <c r="V2974" s="44"/>
      <c r="W2974" s="72"/>
      <c r="X2974" s="64">
        <f>X2972-X2973</f>
        <v>-5.5988343890879086</v>
      </c>
      <c r="Y2974" s="44"/>
      <c r="Z2974" s="72"/>
      <c r="AA2974" s="64">
        <f>AA2972-AA2973</f>
        <v>-105.75954804841149</v>
      </c>
      <c r="AB2974" s="44"/>
      <c r="AC2974" s="72"/>
      <c r="AD2974" s="64">
        <f>AD2972-AD2973</f>
        <v>-341.05611138549546</v>
      </c>
      <c r="AE2974" s="44"/>
      <c r="AF2974" s="72"/>
      <c r="AG2974" s="64">
        <f>AG2972-AG2973</f>
        <v>-795.27474063268869</v>
      </c>
      <c r="AH2974" s="44"/>
      <c r="AI2974" s="72"/>
      <c r="AJ2974" s="64">
        <f>AJ2972-AJ2973</f>
        <v>-1441.4966227422867</v>
      </c>
      <c r="AK2974" s="44"/>
      <c r="AL2974" s="72"/>
      <c r="AM2974" s="64">
        <f>AM2972-AM2973</f>
        <v>-2161.9624806487946</v>
      </c>
      <c r="AN2974" s="44"/>
      <c r="AO2974" s="72"/>
      <c r="AP2974" s="64">
        <f>AP2972-AP2973</f>
        <v>-2925.2201720346393</v>
      </c>
      <c r="AQ2974" s="44"/>
      <c r="AR2974" s="72"/>
      <c r="AS2974" s="64">
        <f>AS2972-AS2973</f>
        <v>-3798.4346837487328</v>
      </c>
      <c r="AT2974" s="44"/>
      <c r="AU2974" s="72"/>
    </row>
    <row r="2975" spans="15:47" ht="13" x14ac:dyDescent="0.3">
      <c r="O2975" s="6" t="s">
        <v>75</v>
      </c>
      <c r="P2975" s="6">
        <v>3</v>
      </c>
      <c r="Q2975" s="65"/>
      <c r="R2975" s="85">
        <f>(F_LP_h/F_P_h)^2*(R2972-('Valve Sizing'!$V$4*'Valve Sizing'!$G$7))</f>
        <v>46.064851908113077</v>
      </c>
      <c r="S2975" s="58"/>
      <c r="T2975" s="73"/>
      <c r="U2975" s="53">
        <f>(U$29/U$27)^2*(U2972-('Valve Sizing'!$V$4*'Valve Sizing'!$G$7))</f>
        <v>42.219722151705376</v>
      </c>
      <c r="V2975" s="41"/>
      <c r="W2975" s="73"/>
      <c r="X2975" s="53">
        <f>(X$29/X$27)^2*(X2972-('Valve Sizing'!$V$4*'Valve Sizing'!$G$7))</f>
        <v>20.170240496266491</v>
      </c>
      <c r="Y2975" s="41"/>
      <c r="Z2975" s="73"/>
      <c r="AA2975" s="53">
        <f>(AA$29/AA$27)^2*(AA2972-('Valve Sizing'!$V$4*'Valve Sizing'!$G$7))</f>
        <v>-45.239302848659975</v>
      </c>
      <c r="AB2975" s="41"/>
      <c r="AC2975" s="73"/>
      <c r="AD2975" s="53">
        <f>(AD$29/AD$27)^2*(AD2972-('Valve Sizing'!$V$4*'Valve Sizing'!$G$7))</f>
        <v>-183.62884614671577</v>
      </c>
      <c r="AE2975" s="41"/>
      <c r="AF2975" s="73"/>
      <c r="AG2975" s="53">
        <f>(AG$29/AG$27)^2*(AG2972-('Valve Sizing'!$V$4*'Valve Sizing'!$G$7))</f>
        <v>-407.76720167365971</v>
      </c>
      <c r="AH2975" s="41"/>
      <c r="AI2975" s="73"/>
      <c r="AJ2975" s="53">
        <f>(AJ$29/AJ$27)^2*(AJ2972-('Valve Sizing'!$V$4*'Valve Sizing'!$G$7))</f>
        <v>-677.64283486302611</v>
      </c>
      <c r="AK2975" s="41"/>
      <c r="AL2975" s="73"/>
      <c r="AM2975" s="53">
        <f>(AM$29/AM$27)^2*(AM2972-('Valve Sizing'!$V$4*'Valve Sizing'!$G$7))</f>
        <v>-847.87280414770453</v>
      </c>
      <c r="AN2975" s="41"/>
      <c r="AO2975" s="73"/>
      <c r="AP2975" s="53">
        <f>(AP$29/AP$27)^2*(AP2972-('Valve Sizing'!$V$4*'Valve Sizing'!$G$7))</f>
        <v>-950.29699602577716</v>
      </c>
      <c r="AQ2975" s="41"/>
      <c r="AR2975" s="73"/>
      <c r="AS2975" s="53">
        <f>(AS$29/AS$27)^2*(AS2972-('Valve Sizing'!$V$4*'Valve Sizing'!$G$7))</f>
        <v>-1179.4906270387517</v>
      </c>
      <c r="AT2975" s="41"/>
      <c r="AU2975" s="73"/>
    </row>
    <row r="2976" spans="15:47" ht="13" x14ac:dyDescent="0.25">
      <c r="O2976" s="1" t="s">
        <v>69</v>
      </c>
      <c r="P2976" s="17">
        <v>7</v>
      </c>
      <c r="Q2976" s="65"/>
      <c r="R2976" s="53">
        <f>(R2970/(N_1*F_P_h))*SQRT('Valve Sizing'!$G$6/R2974)</f>
        <v>28.314744079699253</v>
      </c>
      <c r="S2976" s="58"/>
      <c r="T2976" s="73"/>
      <c r="U2976" s="64">
        <f>(U2970/(N_1*U$27))*SQRT('Valve Sizing'!$G$6/U2974)</f>
        <v>79.509832116166066</v>
      </c>
      <c r="V2976" s="41"/>
      <c r="W2976" s="73"/>
      <c r="X2976" s="64" t="e">
        <f>(X2970/(N_1*X$27))*SQRT('Valve Sizing'!$G$6/X2974)</f>
        <v>#NUM!</v>
      </c>
      <c r="Y2976" s="41"/>
      <c r="Z2976" s="73"/>
      <c r="AA2976" s="64" t="e">
        <f>(AA2970/(N_1*AA$27))*SQRT('Valve Sizing'!$G$6/AA2974)</f>
        <v>#NUM!</v>
      </c>
      <c r="AB2976" s="41"/>
      <c r="AC2976" s="73"/>
      <c r="AD2976" s="64" t="e">
        <f>(AD2970/(N_1*AD$27))*SQRT('Valve Sizing'!$G$6/AD2974)</f>
        <v>#NUM!</v>
      </c>
      <c r="AE2976" s="41"/>
      <c r="AF2976" s="73"/>
      <c r="AG2976" s="64" t="e">
        <f>(AG2970/(N_1*AG$27))*SQRT('Valve Sizing'!$G$6/AG2974)</f>
        <v>#NUM!</v>
      </c>
      <c r="AH2976" s="41"/>
      <c r="AI2976" s="73"/>
      <c r="AJ2976" s="64" t="e">
        <f>(AJ2970/(N_1*AJ$27))*SQRT('Valve Sizing'!$G$6/AJ2974)</f>
        <v>#NUM!</v>
      </c>
      <c r="AK2976" s="41"/>
      <c r="AL2976" s="73"/>
      <c r="AM2976" s="64" t="e">
        <f>(AM2970/(N_1*AM$27))*SQRT('Valve Sizing'!$G$6/AM2974)</f>
        <v>#NUM!</v>
      </c>
      <c r="AN2976" s="41"/>
      <c r="AO2976" s="73"/>
      <c r="AP2976" s="64" t="e">
        <f>(AP2970/(N_1*AP$27))*SQRT('Valve Sizing'!$G$6/AP2974)</f>
        <v>#NUM!</v>
      </c>
      <c r="AQ2976" s="41"/>
      <c r="AR2976" s="73"/>
      <c r="AS2976" s="64" t="e">
        <f>(AS2970/(N_1*AS$27))*SQRT('Valve Sizing'!$G$6/AS2974)</f>
        <v>#NUM!</v>
      </c>
      <c r="AT2976" s="41"/>
      <c r="AU2976" s="73"/>
    </row>
    <row r="2977" spans="15:47" ht="13" x14ac:dyDescent="0.3">
      <c r="O2977" s="1" t="s">
        <v>72</v>
      </c>
      <c r="P2977" s="17">
        <v>7</v>
      </c>
      <c r="Q2977" s="65"/>
      <c r="R2977" s="53">
        <f>(R2970/(N_1*F_P_h))*SQRT('Valve Sizing'!$G$6/R2975)</f>
        <v>23.319247744539787</v>
      </c>
      <c r="S2977" s="56"/>
      <c r="T2977" s="72"/>
      <c r="U2977" s="85">
        <f>(U2970/(N_1*U$27))*SQRT('Valve Sizing'!$G$6/U2975)</f>
        <v>62.020560830349453</v>
      </c>
      <c r="V2977" s="44"/>
      <c r="W2977" s="72"/>
      <c r="X2977" s="85">
        <f>(X2970/(N_1*X$27))*SQRT('Valve Sizing'!$G$6/X2975)</f>
        <v>215.87053924774582</v>
      </c>
      <c r="Y2977" s="44"/>
      <c r="Z2977" s="72"/>
      <c r="AA2977" s="85" t="e">
        <f>(AA2970/(N_1*AA$27))*SQRT('Valve Sizing'!$G$6/AA2975)</f>
        <v>#NUM!</v>
      </c>
      <c r="AB2977" s="44"/>
      <c r="AC2977" s="72"/>
      <c r="AD2977" s="85" t="e">
        <f>(AD2970/(N_1*AD$27))*SQRT('Valve Sizing'!$G$6/AD2975)</f>
        <v>#NUM!</v>
      </c>
      <c r="AE2977" s="44"/>
      <c r="AF2977" s="72"/>
      <c r="AG2977" s="85" t="e">
        <f>(AG2970/(N_1*AG$27))*SQRT('Valve Sizing'!$G$6/AG2975)</f>
        <v>#NUM!</v>
      </c>
      <c r="AH2977" s="44"/>
      <c r="AI2977" s="72"/>
      <c r="AJ2977" s="85" t="e">
        <f>(AJ2970/(N_1*AJ$27))*SQRT('Valve Sizing'!$G$6/AJ2975)</f>
        <v>#NUM!</v>
      </c>
      <c r="AK2977" s="44"/>
      <c r="AL2977" s="72"/>
      <c r="AM2977" s="85" t="e">
        <f>(AM2970/(N_1*AM$27))*SQRT('Valve Sizing'!$G$6/AM2975)</f>
        <v>#NUM!</v>
      </c>
      <c r="AN2977" s="44"/>
      <c r="AO2977" s="72"/>
      <c r="AP2977" s="85" t="e">
        <f>(AP2970/(N_1*AP$27))*SQRT('Valve Sizing'!$G$6/AP2975)</f>
        <v>#NUM!</v>
      </c>
      <c r="AQ2977" s="44"/>
      <c r="AR2977" s="72"/>
      <c r="AS2977" s="85" t="e">
        <f>(AS2970/(N_1*AS$27))*SQRT('Valve Sizing'!$G$6/AS2975)</f>
        <v>#NUM!</v>
      </c>
      <c r="AT2977" s="44"/>
      <c r="AU2977" s="72"/>
    </row>
    <row r="2978" spans="15:47" x14ac:dyDescent="0.25">
      <c r="O2978" s="1" t="s">
        <v>246</v>
      </c>
      <c r="P2978" s="18"/>
      <c r="Q2978" s="65"/>
      <c r="R2978" s="53">
        <f>IF(R2974&lt;R2975,R2976,R2977)</f>
        <v>28.314744079699253</v>
      </c>
      <c r="S2978" s="49"/>
      <c r="T2978" s="72"/>
      <c r="U2978" s="64">
        <f>IF(U2974&lt;U2975,U2976,U2977)</f>
        <v>79.509832116166066</v>
      </c>
      <c r="V2978" s="44"/>
      <c r="W2978" s="72"/>
      <c r="X2978" s="64" t="e">
        <f>IF(X2974&lt;X2975,X2976,X2977)</f>
        <v>#NUM!</v>
      </c>
      <c r="Y2978" s="44"/>
      <c r="Z2978" s="72"/>
      <c r="AA2978" s="64" t="e">
        <f>IF(AA2974&lt;AA2975,AA2976,AA2977)</f>
        <v>#NUM!</v>
      </c>
      <c r="AB2978" s="44"/>
      <c r="AC2978" s="72"/>
      <c r="AD2978" s="64" t="e">
        <f>IF(AD2974&lt;AD2975,AD2976,AD2977)</f>
        <v>#NUM!</v>
      </c>
      <c r="AE2978" s="44"/>
      <c r="AF2978" s="72"/>
      <c r="AG2978" s="64" t="e">
        <f>IF(AG2974&lt;AG2975,AG2976,AG2977)</f>
        <v>#NUM!</v>
      </c>
      <c r="AH2978" s="44"/>
      <c r="AI2978" s="72"/>
      <c r="AJ2978" s="64" t="e">
        <f>IF(AJ2974&lt;AJ2975,AJ2976,AJ2977)</f>
        <v>#NUM!</v>
      </c>
      <c r="AK2978" s="44"/>
      <c r="AL2978" s="72"/>
      <c r="AM2978" s="64" t="e">
        <f>IF(AM2974&lt;AM2975,AM2976,AM2977)</f>
        <v>#NUM!</v>
      </c>
      <c r="AN2978" s="44"/>
      <c r="AO2978" s="72"/>
      <c r="AP2978" s="64" t="e">
        <f>IF(AP2974&lt;AP2975,AP2976,AP2977)</f>
        <v>#NUM!</v>
      </c>
      <c r="AQ2978" s="44"/>
      <c r="AR2978" s="72"/>
      <c r="AS2978" s="64" t="e">
        <f>IF(AS2974&lt;AS2975,AS2976,AS2977)</f>
        <v>#NUM!</v>
      </c>
      <c r="AT2978" s="44"/>
      <c r="AU2978" s="72"/>
    </row>
    <row r="2979" spans="15:47" ht="13" x14ac:dyDescent="0.3">
      <c r="O2979" s="7" t="s">
        <v>264</v>
      </c>
      <c r="Q2979" s="61"/>
      <c r="R2979" s="53"/>
      <c r="S2979" s="69">
        <f>IFERROR(ABS(C_h-R2978),Q_max*10)</f>
        <v>23.314744079699253</v>
      </c>
      <c r="T2979" s="76">
        <f>R2970</f>
        <v>158.24713186208291</v>
      </c>
      <c r="U2979" s="61"/>
      <c r="V2979" s="69">
        <f>IFERROR(ABS(U$23-U2978),Q_max*10)</f>
        <v>67.509832116166066</v>
      </c>
      <c r="W2979" s="75">
        <f>U2970</f>
        <v>402.65000062510217</v>
      </c>
      <c r="X2979" s="61"/>
      <c r="Y2979" s="69">
        <f>IFERROR(ABS(X$23-X2978),Q_max*10)</f>
        <v>5500</v>
      </c>
      <c r="Z2979" s="75">
        <f>X2970</f>
        <v>966.51499654725694</v>
      </c>
      <c r="AA2979" s="61"/>
      <c r="AB2979" s="69">
        <f>IFERROR(ABS(AA$23-AA2978),Q_max*10)</f>
        <v>5500</v>
      </c>
      <c r="AC2979" s="75">
        <f>AA2970</f>
        <v>1845.4313447252794</v>
      </c>
      <c r="AD2979" s="61"/>
      <c r="AE2979" s="69">
        <f>IFERROR(ABS(AD$23-AD2978),Q_max*10)</f>
        <v>5500</v>
      </c>
      <c r="AF2979" s="75">
        <f>AD2970</f>
        <v>3035.0551145633417</v>
      </c>
      <c r="AG2979" s="61"/>
      <c r="AH2979" s="69">
        <f>IFERROR(ABS(AG$23-AG2978),Q_max*10)</f>
        <v>5500</v>
      </c>
      <c r="AI2979" s="75">
        <f>AG2970</f>
        <v>4518.7834895148044</v>
      </c>
      <c r="AJ2979" s="61"/>
      <c r="AK2979" s="69">
        <f>IFERROR(ABS(AJ$23-AJ2978),Q_max*10)</f>
        <v>5500</v>
      </c>
      <c r="AL2979" s="75">
        <f>AJ2970</f>
        <v>6030.3340841255158</v>
      </c>
      <c r="AM2979" s="61"/>
      <c r="AN2979" s="69">
        <f>IFERROR(ABS(AM$23-AM2978),Q_max*10)</f>
        <v>5500</v>
      </c>
      <c r="AO2979" s="75">
        <f>AM2970</f>
        <v>7358.1535870087009</v>
      </c>
      <c r="AP2979" s="61"/>
      <c r="AQ2979" s="69">
        <f>IFERROR(ABS(AP$23-AP2978),Q_max*10)</f>
        <v>5500</v>
      </c>
      <c r="AR2979" s="75">
        <f>AP2970</f>
        <v>8542.5878833615006</v>
      </c>
      <c r="AS2979" s="61"/>
      <c r="AT2979" s="69">
        <f>IFERROR(ABS(AS$23-AS2978),Q_max*10)</f>
        <v>5500</v>
      </c>
      <c r="AU2979" s="75">
        <f>AS2970</f>
        <v>9722.2618675645626</v>
      </c>
    </row>
    <row r="2980" spans="15:47" ht="14.5" x14ac:dyDescent="0.35">
      <c r="O2980" s="8"/>
      <c r="P2980" s="6"/>
      <c r="Q2980" s="60"/>
      <c r="R2980" s="67"/>
      <c r="S2980" s="56"/>
      <c r="T2980" s="72"/>
      <c r="V2980" s="11"/>
      <c r="W2980" s="38"/>
      <c r="Y2980" s="11"/>
      <c r="Z2980" s="38"/>
      <c r="AB2980" s="11"/>
      <c r="AC2980" s="38"/>
      <c r="AE2980" s="11"/>
      <c r="AF2980" s="38"/>
      <c r="AH2980" s="11"/>
      <c r="AI2980" s="38"/>
      <c r="AK2980" s="11"/>
      <c r="AL2980" s="38"/>
      <c r="AN2980" s="11"/>
      <c r="AO2980" s="38"/>
      <c r="AQ2980" s="11"/>
      <c r="AR2980" s="38"/>
      <c r="AT2980" s="11"/>
      <c r="AU2980" s="38"/>
    </row>
    <row r="2981" spans="15:47" ht="14" x14ac:dyDescent="0.3">
      <c r="O2981" s="8" t="s">
        <v>235</v>
      </c>
      <c r="P2981" s="6"/>
      <c r="Q2981" s="60"/>
      <c r="R2981" s="53">
        <f>R2970*1.02</f>
        <v>161.41207449932458</v>
      </c>
      <c r="S2981" s="58" t="s">
        <v>238</v>
      </c>
      <c r="T2981" s="73" t="s">
        <v>241</v>
      </c>
      <c r="U2981" s="84">
        <f>U2970*1.01</f>
        <v>406.67650063135318</v>
      </c>
      <c r="V2981" s="58" t="s">
        <v>238</v>
      </c>
      <c r="W2981" s="73" t="s">
        <v>241</v>
      </c>
      <c r="X2981" s="84">
        <f>X2970*1.01</f>
        <v>976.18014651272949</v>
      </c>
      <c r="Y2981" s="58" t="s">
        <v>238</v>
      </c>
      <c r="Z2981" s="73" t="s">
        <v>241</v>
      </c>
      <c r="AA2981" s="84">
        <f>AA2970*1.01</f>
        <v>1863.8856581725322</v>
      </c>
      <c r="AB2981" s="58" t="s">
        <v>238</v>
      </c>
      <c r="AC2981" s="73" t="s">
        <v>241</v>
      </c>
      <c r="AD2981" s="84">
        <f>AD2970*1.01</f>
        <v>3065.405665708975</v>
      </c>
      <c r="AE2981" s="58" t="s">
        <v>238</v>
      </c>
      <c r="AF2981" s="73" t="s">
        <v>241</v>
      </c>
      <c r="AG2981" s="84">
        <f>AG2970*1.01</f>
        <v>4563.9713244099521</v>
      </c>
      <c r="AH2981" s="58" t="s">
        <v>238</v>
      </c>
      <c r="AI2981" s="73" t="s">
        <v>241</v>
      </c>
      <c r="AJ2981" s="84">
        <f>AJ2970*1.01</f>
        <v>6090.6374249667706</v>
      </c>
      <c r="AK2981" s="58" t="s">
        <v>238</v>
      </c>
      <c r="AL2981" s="73" t="s">
        <v>241</v>
      </c>
      <c r="AM2981" s="84">
        <f>AM2970*1.01</f>
        <v>7431.7351228787884</v>
      </c>
      <c r="AN2981" s="58" t="s">
        <v>238</v>
      </c>
      <c r="AO2981" s="73" t="s">
        <v>241</v>
      </c>
      <c r="AP2981" s="84">
        <f>AP2970*1.01</f>
        <v>8628.0137621951162</v>
      </c>
      <c r="AQ2981" s="58" t="s">
        <v>238</v>
      </c>
      <c r="AR2981" s="73" t="s">
        <v>241</v>
      </c>
      <c r="AS2981" s="84">
        <f>AS2970*1.01</f>
        <v>9819.4844862402078</v>
      </c>
      <c r="AT2981" s="58" t="s">
        <v>238</v>
      </c>
      <c r="AU2981" s="73" t="s">
        <v>241</v>
      </c>
    </row>
    <row r="2982" spans="15:47" ht="13" x14ac:dyDescent="0.25">
      <c r="O2982" s="6"/>
      <c r="P2982" s="6"/>
      <c r="Q2982" s="60"/>
      <c r="R2982" s="70"/>
      <c r="S2982" s="63" t="s">
        <v>250</v>
      </c>
      <c r="T2982" s="71" t="s">
        <v>242</v>
      </c>
      <c r="U2982" s="61"/>
      <c r="V2982" s="63" t="s">
        <v>250</v>
      </c>
      <c r="W2982" s="71" t="s">
        <v>242</v>
      </c>
      <c r="X2982" s="61"/>
      <c r="Y2982" s="63" t="s">
        <v>250</v>
      </c>
      <c r="Z2982" s="71" t="s">
        <v>242</v>
      </c>
      <c r="AA2982" s="61"/>
      <c r="AB2982" s="63" t="s">
        <v>250</v>
      </c>
      <c r="AC2982" s="71" t="s">
        <v>242</v>
      </c>
      <c r="AD2982" s="61"/>
      <c r="AE2982" s="63" t="s">
        <v>250</v>
      </c>
      <c r="AF2982" s="71" t="s">
        <v>242</v>
      </c>
      <c r="AG2982" s="61"/>
      <c r="AH2982" s="63" t="s">
        <v>250</v>
      </c>
      <c r="AI2982" s="71" t="s">
        <v>242</v>
      </c>
      <c r="AJ2982" s="61"/>
      <c r="AK2982" s="63" t="s">
        <v>250</v>
      </c>
      <c r="AL2982" s="71" t="s">
        <v>242</v>
      </c>
      <c r="AM2982" s="61"/>
      <c r="AN2982" s="63" t="s">
        <v>250</v>
      </c>
      <c r="AO2982" s="71" t="s">
        <v>242</v>
      </c>
      <c r="AP2982" s="61"/>
      <c r="AQ2982" s="63" t="s">
        <v>250</v>
      </c>
      <c r="AR2982" s="71" t="s">
        <v>242</v>
      </c>
      <c r="AS2982" s="61"/>
      <c r="AT2982" s="63" t="s">
        <v>250</v>
      </c>
      <c r="AU2982" s="71" t="s">
        <v>242</v>
      </c>
    </row>
    <row r="2983" spans="15:47" ht="13" x14ac:dyDescent="0.3">
      <c r="O2983" s="6" t="s">
        <v>231</v>
      </c>
      <c r="P2983" s="6"/>
      <c r="Q2983" s="60"/>
      <c r="R2983" s="85">
        <f>P_1_minQ-(R2981^2*R_up)+dpup_minQ</f>
        <v>56.036242560142668</v>
      </c>
      <c r="S2983" s="56"/>
      <c r="T2983" s="72"/>
      <c r="U2983" s="53">
        <f>P_1_minQ-(U2981^2*R_up)+dpup_minQ</f>
        <v>51.330672875185307</v>
      </c>
      <c r="V2983" s="44"/>
      <c r="W2983" s="72"/>
      <c r="X2983" s="53">
        <f>P_1_minQ-(X2981^2*R_up)+dpup_minQ</f>
        <v>24.733513054859369</v>
      </c>
      <c r="Y2983" s="44"/>
      <c r="Z2983" s="72"/>
      <c r="AA2983" s="53">
        <f>P_1_minQ-(AA2981^2*R_up)+dpup_minQ</f>
        <v>-60.411440281703939</v>
      </c>
      <c r="AB2983" s="44"/>
      <c r="AC2983" s="72"/>
      <c r="AD2983" s="53">
        <f>P_1_minQ-(AD2981^2*R_up)+dpup_minQ</f>
        <v>-260.43312716517005</v>
      </c>
      <c r="AE2983" s="44"/>
      <c r="AF2983" s="72"/>
      <c r="AG2983" s="53">
        <f>P_1_minQ-(AG2981^2*R_up)+dpup_minQ</f>
        <v>-646.55681357772141</v>
      </c>
      <c r="AH2983" s="44"/>
      <c r="AI2983" s="72"/>
      <c r="AJ2983" s="53">
        <f>P_1_minQ-(AJ2981^2*R_up)+dpup_minQ</f>
        <v>-1195.8992651943888</v>
      </c>
      <c r="AK2983" s="44"/>
      <c r="AL2983" s="72"/>
      <c r="AM2983" s="53">
        <f>P_1_minQ-(AM2981^2*R_up)+dpup_minQ</f>
        <v>-1808.3552832364132</v>
      </c>
      <c r="AN2983" s="44"/>
      <c r="AO2983" s="72"/>
      <c r="AP2983" s="53">
        <f>P_1_minQ-(AP2981^2*R_up)+dpup_minQ</f>
        <v>-2457.1879257219971</v>
      </c>
      <c r="AQ2983" s="44"/>
      <c r="AR2983" s="72"/>
      <c r="AS2983" s="53">
        <f>P_1_minQ-(AS2981^2*R_up)+dpup_minQ</f>
        <v>-3199.4930285549517</v>
      </c>
      <c r="AT2983" s="44"/>
      <c r="AU2983" s="72"/>
    </row>
    <row r="2984" spans="15:47" ht="13" x14ac:dyDescent="0.3">
      <c r="O2984" s="6" t="s">
        <v>233</v>
      </c>
      <c r="P2984" s="6"/>
      <c r="Q2984" s="60"/>
      <c r="R2984" s="85">
        <f>P_2_minQ+(R2981^2*R_dn)-dpdn_minQ</f>
        <v>24.832751487971468</v>
      </c>
      <c r="S2984" s="66"/>
      <c r="T2984" s="74"/>
      <c r="U2984" s="53">
        <f>P_2_minQ+(U2981^2*R_dn)-dpdn_minQ</f>
        <v>25.773865424962938</v>
      </c>
      <c r="V2984" s="45"/>
      <c r="W2984" s="74"/>
      <c r="X2984" s="53">
        <f>P_2_minQ+(X2981^2*R_dn)-dpdn_minQ</f>
        <v>31.093297389028127</v>
      </c>
      <c r="Y2984" s="45"/>
      <c r="Z2984" s="74"/>
      <c r="AA2984" s="53">
        <f>P_2_minQ+(AA2981^2*R_dn)-dpdn_minQ</f>
        <v>48.122288056340793</v>
      </c>
      <c r="AB2984" s="45"/>
      <c r="AC2984" s="74"/>
      <c r="AD2984" s="53">
        <f>P_2_minQ+(AD2981^2*R_dn)-dpdn_minQ</f>
        <v>88.126625433034008</v>
      </c>
      <c r="AE2984" s="45"/>
      <c r="AF2984" s="74"/>
      <c r="AG2984" s="53">
        <f>P_2_minQ+(AG2981^2*R_dn)-dpdn_minQ</f>
        <v>165.3513627155443</v>
      </c>
      <c r="AH2984" s="45"/>
      <c r="AI2984" s="74"/>
      <c r="AJ2984" s="53">
        <f>P_2_minQ+(AJ2981^2*R_dn)-dpdn_minQ</f>
        <v>275.21985303887772</v>
      </c>
      <c r="AK2984" s="45"/>
      <c r="AL2984" s="74"/>
      <c r="AM2984" s="53">
        <f>P_2_minQ+(AM2981^2*R_dn)-dpdn_minQ</f>
        <v>397.71105664728259</v>
      </c>
      <c r="AN2984" s="45"/>
      <c r="AO2984" s="74"/>
      <c r="AP2984" s="53">
        <f>P_2_minQ+(AP2981^2*R_dn)-dpdn_minQ</f>
        <v>527.47758514439931</v>
      </c>
      <c r="AQ2984" s="45"/>
      <c r="AR2984" s="74"/>
      <c r="AS2984" s="53">
        <f>P_2_minQ+(AS2981^2*R_dn)-dpdn_minQ</f>
        <v>675.93860571099026</v>
      </c>
      <c r="AT2984" s="45"/>
      <c r="AU2984" s="74"/>
    </row>
    <row r="2985" spans="15:47" x14ac:dyDescent="0.25">
      <c r="O2985" s="6" t="s">
        <v>243</v>
      </c>
      <c r="Q2985" s="60"/>
      <c r="R2985" s="53">
        <f>R2983-R2984</f>
        <v>31.2034910721712</v>
      </c>
      <c r="S2985" s="56"/>
      <c r="T2985" s="72"/>
      <c r="U2985" s="64">
        <f>U2983-U2984</f>
        <v>25.556807450222369</v>
      </c>
      <c r="V2985" s="44"/>
      <c r="W2985" s="72"/>
      <c r="X2985" s="64">
        <f>X2983-X2984</f>
        <v>-6.3597843341687579</v>
      </c>
      <c r="Y2985" s="44"/>
      <c r="Z2985" s="72"/>
      <c r="AA2985" s="64">
        <f>AA2983-AA2984</f>
        <v>-108.53372833804474</v>
      </c>
      <c r="AB2985" s="44"/>
      <c r="AC2985" s="72"/>
      <c r="AD2985" s="64">
        <f>AD2983-AD2984</f>
        <v>-348.55975259820406</v>
      </c>
      <c r="AE2985" s="44"/>
      <c r="AF2985" s="72"/>
      <c r="AG2985" s="64">
        <f>AG2983-AG2984</f>
        <v>-811.90817629326568</v>
      </c>
      <c r="AH2985" s="44"/>
      <c r="AI2985" s="72"/>
      <c r="AJ2985" s="64">
        <f>AJ2983-AJ2984</f>
        <v>-1471.1191182332666</v>
      </c>
      <c r="AK2985" s="44"/>
      <c r="AL2985" s="72"/>
      <c r="AM2985" s="64">
        <f>AM2983-AM2984</f>
        <v>-2206.0663398836959</v>
      </c>
      <c r="AN2985" s="44"/>
      <c r="AO2985" s="72"/>
      <c r="AP2985" s="64">
        <f>AP2983-AP2984</f>
        <v>-2984.6655108663963</v>
      </c>
      <c r="AQ2985" s="44"/>
      <c r="AR2985" s="72"/>
      <c r="AS2985" s="64">
        <f>AS2983-AS2984</f>
        <v>-3875.4316342659422</v>
      </c>
      <c r="AT2985" s="44"/>
      <c r="AU2985" s="72"/>
    </row>
    <row r="2986" spans="15:47" ht="13" x14ac:dyDescent="0.3">
      <c r="O2986" s="6" t="s">
        <v>75</v>
      </c>
      <c r="P2986" s="6">
        <v>3</v>
      </c>
      <c r="Q2986" s="65"/>
      <c r="R2986" s="85">
        <f>(F_LP_h/F_P_h)^2*(R2983-('Valve Sizing'!$V$4*'Valve Sizing'!$G$7))</f>
        <v>46.03655933023547</v>
      </c>
      <c r="S2986" s="58"/>
      <c r="T2986" s="73"/>
      <c r="U2986" s="53">
        <f>(U$29/U$27)^2*(U2983-('Valve Sizing'!$V$4*'Valve Sizing'!$G$7))</f>
        <v>42.128614985452749</v>
      </c>
      <c r="V2986" s="41"/>
      <c r="W2986" s="73"/>
      <c r="X2986" s="53">
        <f>(X$29/X$27)^2*(X2983-('Valve Sizing'!$V$4*'Valve Sizing'!$G$7))</f>
        <v>19.657136028963183</v>
      </c>
      <c r="Y2986" s="41"/>
      <c r="Z2986" s="73"/>
      <c r="AA2986" s="53">
        <f>(AA$29/AA$27)^2*(AA2983-('Valve Sizing'!$V$4*'Valve Sizing'!$G$7))</f>
        <v>-47.025868531461455</v>
      </c>
      <c r="AB2986" s="41"/>
      <c r="AC2986" s="73"/>
      <c r="AD2986" s="53">
        <f>(AD$29/AD$27)^2*(AD2983-('Valve Sizing'!$V$4*'Valve Sizing'!$G$7))</f>
        <v>-188.13845577219075</v>
      </c>
      <c r="AE2986" s="41"/>
      <c r="AF2986" s="73"/>
      <c r="AG2986" s="53">
        <f>(AG$29/AG$27)^2*(AG2983-('Valve Sizing'!$V$4*'Valve Sizing'!$G$7))</f>
        <v>-416.69442136081631</v>
      </c>
      <c r="AH2986" s="41"/>
      <c r="AI2986" s="73"/>
      <c r="AJ2986" s="53">
        <f>(AJ$29/AJ$27)^2*(AJ2983-('Valve Sizing'!$V$4*'Valve Sizing'!$G$7))</f>
        <v>-691.91999729247982</v>
      </c>
      <c r="AK2986" s="41"/>
      <c r="AL2986" s="73"/>
      <c r="AM2986" s="53">
        <f>(AM$29/AM$27)^2*(AM2983-('Valve Sizing'!$V$4*'Valve Sizing'!$G$7))</f>
        <v>-865.45819441499384</v>
      </c>
      <c r="AN2986" s="41"/>
      <c r="AO2986" s="73"/>
      <c r="AP2986" s="53">
        <f>(AP$29/AP$27)^2*(AP2983-('Valve Sizing'!$V$4*'Valve Sizing'!$G$7))</f>
        <v>-969.84593391279486</v>
      </c>
      <c r="AQ2986" s="41"/>
      <c r="AR2986" s="73"/>
      <c r="AS2986" s="53">
        <f>(AS$29/AS$27)^2*(AS2983-('Valve Sizing'!$V$4*'Valve Sizing'!$G$7))</f>
        <v>-1203.6253721313478</v>
      </c>
      <c r="AT2986" s="41"/>
      <c r="AU2986" s="73"/>
    </row>
    <row r="2987" spans="15:47" ht="13" x14ac:dyDescent="0.25">
      <c r="O2987" s="1" t="s">
        <v>69</v>
      </c>
      <c r="P2987" s="17">
        <v>7</v>
      </c>
      <c r="Q2987" s="65"/>
      <c r="R2987" s="53">
        <f>(R2981/(N_1*F_P_h))*SQRT('Valve Sizing'!$G$6/R2985)</f>
        <v>28.900007458929519</v>
      </c>
      <c r="S2987" s="58"/>
      <c r="T2987" s="73"/>
      <c r="U2987" s="64">
        <f>(U2981/(N_1*U$27))*SQRT('Valve Sizing'!$G$6/U2985)</f>
        <v>80.51215438294642</v>
      </c>
      <c r="V2987" s="41"/>
      <c r="W2987" s="73"/>
      <c r="X2987" s="64" t="e">
        <f>(X2981/(N_1*X$27))*SQRT('Valve Sizing'!$G$6/X2985)</f>
        <v>#NUM!</v>
      </c>
      <c r="Y2987" s="41"/>
      <c r="Z2987" s="73"/>
      <c r="AA2987" s="64" t="e">
        <f>(AA2981/(N_1*AA$27))*SQRT('Valve Sizing'!$G$6/AA2985)</f>
        <v>#NUM!</v>
      </c>
      <c r="AB2987" s="41"/>
      <c r="AC2987" s="73"/>
      <c r="AD2987" s="64" t="e">
        <f>(AD2981/(N_1*AD$27))*SQRT('Valve Sizing'!$G$6/AD2985)</f>
        <v>#NUM!</v>
      </c>
      <c r="AE2987" s="41"/>
      <c r="AF2987" s="73"/>
      <c r="AG2987" s="64" t="e">
        <f>(AG2981/(N_1*AG$27))*SQRT('Valve Sizing'!$G$6/AG2985)</f>
        <v>#NUM!</v>
      </c>
      <c r="AH2987" s="41"/>
      <c r="AI2987" s="73"/>
      <c r="AJ2987" s="64" t="e">
        <f>(AJ2981/(N_1*AJ$27))*SQRT('Valve Sizing'!$G$6/AJ2985)</f>
        <v>#NUM!</v>
      </c>
      <c r="AK2987" s="41"/>
      <c r="AL2987" s="73"/>
      <c r="AM2987" s="64" t="e">
        <f>(AM2981/(N_1*AM$27))*SQRT('Valve Sizing'!$G$6/AM2985)</f>
        <v>#NUM!</v>
      </c>
      <c r="AN2987" s="41"/>
      <c r="AO2987" s="73"/>
      <c r="AP2987" s="64" t="e">
        <f>(AP2981/(N_1*AP$27))*SQRT('Valve Sizing'!$G$6/AP2985)</f>
        <v>#NUM!</v>
      </c>
      <c r="AQ2987" s="41"/>
      <c r="AR2987" s="73"/>
      <c r="AS2987" s="64" t="e">
        <f>(AS2981/(N_1*AS$27))*SQRT('Valve Sizing'!$G$6/AS2985)</f>
        <v>#NUM!</v>
      </c>
      <c r="AT2987" s="41"/>
      <c r="AU2987" s="73"/>
    </row>
    <row r="2988" spans="15:47" ht="13" x14ac:dyDescent="0.3">
      <c r="O2988" s="1" t="s">
        <v>72</v>
      </c>
      <c r="P2988" s="17">
        <v>7</v>
      </c>
      <c r="Q2988" s="65"/>
      <c r="R2988" s="53">
        <f>(R2981/(N_1*F_P_h))*SQRT('Valve Sizing'!$G$6/R2986)</f>
        <v>23.79294051644268</v>
      </c>
      <c r="S2988" s="56"/>
      <c r="T2988" s="72"/>
      <c r="U2988" s="85">
        <f>(U2981/(N_1*U$27))*SQRT('Valve Sizing'!$G$6/U2986)</f>
        <v>62.708463187763606</v>
      </c>
      <c r="V2988" s="44"/>
      <c r="W2988" s="72"/>
      <c r="X2988" s="85">
        <f>(X2981/(N_1*X$27))*SQRT('Valve Sizing'!$G$6/X2986)</f>
        <v>220.85649057088597</v>
      </c>
      <c r="Y2988" s="44"/>
      <c r="Z2988" s="72"/>
      <c r="AA2988" s="85" t="e">
        <f>(AA2981/(N_1*AA$27))*SQRT('Valve Sizing'!$G$6/AA2986)</f>
        <v>#NUM!</v>
      </c>
      <c r="AB2988" s="44"/>
      <c r="AC2988" s="72"/>
      <c r="AD2988" s="85" t="e">
        <f>(AD2981/(N_1*AD$27))*SQRT('Valve Sizing'!$G$6/AD2986)</f>
        <v>#NUM!</v>
      </c>
      <c r="AE2988" s="44"/>
      <c r="AF2988" s="72"/>
      <c r="AG2988" s="85" t="e">
        <f>(AG2981/(N_1*AG$27))*SQRT('Valve Sizing'!$G$6/AG2986)</f>
        <v>#NUM!</v>
      </c>
      <c r="AH2988" s="44"/>
      <c r="AI2988" s="72"/>
      <c r="AJ2988" s="85" t="e">
        <f>(AJ2981/(N_1*AJ$27))*SQRT('Valve Sizing'!$G$6/AJ2986)</f>
        <v>#NUM!</v>
      </c>
      <c r="AK2988" s="44"/>
      <c r="AL2988" s="72"/>
      <c r="AM2988" s="85" t="e">
        <f>(AM2981/(N_1*AM$27))*SQRT('Valve Sizing'!$G$6/AM2986)</f>
        <v>#NUM!</v>
      </c>
      <c r="AN2988" s="44"/>
      <c r="AO2988" s="72"/>
      <c r="AP2988" s="85" t="e">
        <f>(AP2981/(N_1*AP$27))*SQRT('Valve Sizing'!$G$6/AP2986)</f>
        <v>#NUM!</v>
      </c>
      <c r="AQ2988" s="44"/>
      <c r="AR2988" s="72"/>
      <c r="AS2988" s="85" t="e">
        <f>(AS2981/(N_1*AS$27))*SQRT('Valve Sizing'!$G$6/AS2986)</f>
        <v>#NUM!</v>
      </c>
      <c r="AT2988" s="44"/>
      <c r="AU2988" s="72"/>
    </row>
    <row r="2989" spans="15:47" x14ac:dyDescent="0.25">
      <c r="O2989" s="1" t="s">
        <v>246</v>
      </c>
      <c r="P2989" s="18"/>
      <c r="Q2989" s="65"/>
      <c r="R2989" s="53">
        <f>IF(R2985&lt;R2986,R2987,R2988)</f>
        <v>28.900007458929519</v>
      </c>
      <c r="S2989" s="49"/>
      <c r="T2989" s="72"/>
      <c r="U2989" s="64">
        <f>IF(U2985&lt;U2986,U2987,U2988)</f>
        <v>80.51215438294642</v>
      </c>
      <c r="V2989" s="44"/>
      <c r="W2989" s="72"/>
      <c r="X2989" s="64" t="e">
        <f>IF(X2985&lt;X2986,X2987,X2988)</f>
        <v>#NUM!</v>
      </c>
      <c r="Y2989" s="44"/>
      <c r="Z2989" s="72"/>
      <c r="AA2989" s="64" t="e">
        <f>IF(AA2985&lt;AA2986,AA2987,AA2988)</f>
        <v>#NUM!</v>
      </c>
      <c r="AB2989" s="44"/>
      <c r="AC2989" s="72"/>
      <c r="AD2989" s="64" t="e">
        <f>IF(AD2985&lt;AD2986,AD2987,AD2988)</f>
        <v>#NUM!</v>
      </c>
      <c r="AE2989" s="44"/>
      <c r="AF2989" s="72"/>
      <c r="AG2989" s="64" t="e">
        <f>IF(AG2985&lt;AG2986,AG2987,AG2988)</f>
        <v>#NUM!</v>
      </c>
      <c r="AH2989" s="44"/>
      <c r="AI2989" s="72"/>
      <c r="AJ2989" s="64" t="e">
        <f>IF(AJ2985&lt;AJ2986,AJ2987,AJ2988)</f>
        <v>#NUM!</v>
      </c>
      <c r="AK2989" s="44"/>
      <c r="AL2989" s="72"/>
      <c r="AM2989" s="64" t="e">
        <f>IF(AM2985&lt;AM2986,AM2987,AM2988)</f>
        <v>#NUM!</v>
      </c>
      <c r="AN2989" s="44"/>
      <c r="AO2989" s="72"/>
      <c r="AP2989" s="64" t="e">
        <f>IF(AP2985&lt;AP2986,AP2987,AP2988)</f>
        <v>#NUM!</v>
      </c>
      <c r="AQ2989" s="44"/>
      <c r="AR2989" s="72"/>
      <c r="AS2989" s="64" t="e">
        <f>IF(AS2985&lt;AS2986,AS2987,AS2988)</f>
        <v>#NUM!</v>
      </c>
      <c r="AT2989" s="44"/>
      <c r="AU2989" s="72"/>
    </row>
    <row r="2990" spans="15:47" ht="13" x14ac:dyDescent="0.3">
      <c r="O2990" s="7" t="s">
        <v>264</v>
      </c>
      <c r="Q2990" s="61"/>
      <c r="R2990" s="53"/>
      <c r="S2990" s="69">
        <f>IFERROR(ABS(C_h-R2989),Q_max*10)</f>
        <v>23.900007458929519</v>
      </c>
      <c r="T2990" s="76">
        <f>R2981</f>
        <v>161.41207449932458</v>
      </c>
      <c r="U2990" s="61"/>
      <c r="V2990" s="69">
        <f>IFERROR(ABS(U$23-U2989),Q_max*10)</f>
        <v>68.51215438294642</v>
      </c>
      <c r="W2990" s="75">
        <f>U2981</f>
        <v>406.67650063135318</v>
      </c>
      <c r="X2990" s="61"/>
      <c r="Y2990" s="69">
        <f>IFERROR(ABS(X$23-X2989),Q_max*10)</f>
        <v>5500</v>
      </c>
      <c r="Z2990" s="75">
        <f>X2981</f>
        <v>976.18014651272949</v>
      </c>
      <c r="AA2990" s="61"/>
      <c r="AB2990" s="69">
        <f>IFERROR(ABS(AA$23-AA2989),Q_max*10)</f>
        <v>5500</v>
      </c>
      <c r="AC2990" s="75">
        <f>AA2981</f>
        <v>1863.8856581725322</v>
      </c>
      <c r="AD2990" s="61"/>
      <c r="AE2990" s="69">
        <f>IFERROR(ABS(AD$23-AD2989),Q_max*10)</f>
        <v>5500</v>
      </c>
      <c r="AF2990" s="75">
        <f>AD2981</f>
        <v>3065.405665708975</v>
      </c>
      <c r="AG2990" s="61"/>
      <c r="AH2990" s="69">
        <f>IFERROR(ABS(AG$23-AG2989),Q_max*10)</f>
        <v>5500</v>
      </c>
      <c r="AI2990" s="75">
        <f>AG2981</f>
        <v>4563.9713244099521</v>
      </c>
      <c r="AJ2990" s="61"/>
      <c r="AK2990" s="69">
        <f>IFERROR(ABS(AJ$23-AJ2989),Q_max*10)</f>
        <v>5500</v>
      </c>
      <c r="AL2990" s="75">
        <f>AJ2981</f>
        <v>6090.6374249667706</v>
      </c>
      <c r="AM2990" s="61"/>
      <c r="AN2990" s="69">
        <f>IFERROR(ABS(AM$23-AM2989),Q_max*10)</f>
        <v>5500</v>
      </c>
      <c r="AO2990" s="75">
        <f>AM2981</f>
        <v>7431.7351228787884</v>
      </c>
      <c r="AP2990" s="61"/>
      <c r="AQ2990" s="69">
        <f>IFERROR(ABS(AP$23-AP2989),Q_max*10)</f>
        <v>5500</v>
      </c>
      <c r="AR2990" s="75">
        <f>AP2981</f>
        <v>8628.0137621951162</v>
      </c>
      <c r="AS2990" s="61"/>
      <c r="AT2990" s="69">
        <f>IFERROR(ABS(AS$23-AS2989),Q_max*10)</f>
        <v>5500</v>
      </c>
      <c r="AU2990" s="75">
        <f>AS2981</f>
        <v>9819.4844862402078</v>
      </c>
    </row>
    <row r="2991" spans="15:47" ht="14.5" x14ac:dyDescent="0.35">
      <c r="O2991" s="6"/>
      <c r="P2991" s="6"/>
      <c r="Q2991" s="60"/>
      <c r="R2991" s="67"/>
      <c r="S2991" s="66"/>
      <c r="T2991" s="74"/>
      <c r="V2991" s="11"/>
      <c r="W2991" s="38"/>
      <c r="Y2991" s="11"/>
      <c r="Z2991" s="38"/>
      <c r="AB2991" s="11"/>
      <c r="AC2991" s="38"/>
      <c r="AE2991" s="11"/>
      <c r="AF2991" s="38"/>
      <c r="AH2991" s="11"/>
      <c r="AI2991" s="38"/>
      <c r="AK2991" s="11"/>
      <c r="AL2991" s="38"/>
      <c r="AN2991" s="11"/>
      <c r="AO2991" s="38"/>
      <c r="AQ2991" s="11"/>
      <c r="AR2991" s="38"/>
      <c r="AT2991" s="11"/>
      <c r="AU2991" s="38"/>
    </row>
    <row r="2992" spans="15:47" ht="14" x14ac:dyDescent="0.3">
      <c r="O2992" s="8" t="s">
        <v>235</v>
      </c>
      <c r="P2992" s="6"/>
      <c r="Q2992" s="60"/>
      <c r="R2992" s="53">
        <f>R2981*1.02</f>
        <v>164.64031598931106</v>
      </c>
      <c r="S2992" s="58" t="s">
        <v>238</v>
      </c>
      <c r="T2992" s="73" t="s">
        <v>241</v>
      </c>
      <c r="U2992" s="84">
        <f>U2981*1.01</f>
        <v>410.7432656376667</v>
      </c>
      <c r="V2992" s="58" t="s">
        <v>238</v>
      </c>
      <c r="W2992" s="73" t="s">
        <v>241</v>
      </c>
      <c r="X2992" s="84">
        <f>X2981*1.01</f>
        <v>985.94194797785678</v>
      </c>
      <c r="Y2992" s="58" t="s">
        <v>238</v>
      </c>
      <c r="Z2992" s="73" t="s">
        <v>241</v>
      </c>
      <c r="AA2992" s="84">
        <f>AA2981*1.01</f>
        <v>1882.5245147542576</v>
      </c>
      <c r="AB2992" s="58" t="s">
        <v>238</v>
      </c>
      <c r="AC2992" s="73" t="s">
        <v>241</v>
      </c>
      <c r="AD2992" s="84">
        <f>AD2981*1.01</f>
        <v>3096.0597223660648</v>
      </c>
      <c r="AE2992" s="58" t="s">
        <v>238</v>
      </c>
      <c r="AF2992" s="73" t="s">
        <v>241</v>
      </c>
      <c r="AG2992" s="84">
        <f>AG2981*1.01</f>
        <v>4609.6110376540519</v>
      </c>
      <c r="AH2992" s="58" t="s">
        <v>238</v>
      </c>
      <c r="AI2992" s="73" t="s">
        <v>241</v>
      </c>
      <c r="AJ2992" s="84">
        <f>AJ2981*1.01</f>
        <v>6151.5437992164379</v>
      </c>
      <c r="AK2992" s="58" t="s">
        <v>238</v>
      </c>
      <c r="AL2992" s="73" t="s">
        <v>241</v>
      </c>
      <c r="AM2992" s="84">
        <f>AM2981*1.01</f>
        <v>7506.052474107576</v>
      </c>
      <c r="AN2992" s="58" t="s">
        <v>238</v>
      </c>
      <c r="AO2992" s="73" t="s">
        <v>241</v>
      </c>
      <c r="AP2992" s="84">
        <f>AP2981*1.01</f>
        <v>8714.2938998170666</v>
      </c>
      <c r="AQ2992" s="58" t="s">
        <v>238</v>
      </c>
      <c r="AR2992" s="73" t="s">
        <v>241</v>
      </c>
      <c r="AS2992" s="84">
        <f>AS2981*1.01</f>
        <v>9917.6793311026104</v>
      </c>
      <c r="AT2992" s="58" t="s">
        <v>238</v>
      </c>
      <c r="AU2992" s="73" t="s">
        <v>241</v>
      </c>
    </row>
    <row r="2993" spans="15:47" ht="13" x14ac:dyDescent="0.25">
      <c r="O2993" s="6"/>
      <c r="P2993" s="6"/>
      <c r="Q2993" s="60"/>
      <c r="R2993" s="70"/>
      <c r="S2993" s="63" t="s">
        <v>250</v>
      </c>
      <c r="T2993" s="71" t="s">
        <v>242</v>
      </c>
      <c r="U2993" s="61"/>
      <c r="V2993" s="63" t="s">
        <v>250</v>
      </c>
      <c r="W2993" s="71" t="s">
        <v>242</v>
      </c>
      <c r="X2993" s="61"/>
      <c r="Y2993" s="63" t="s">
        <v>250</v>
      </c>
      <c r="Z2993" s="71" t="s">
        <v>242</v>
      </c>
      <c r="AA2993" s="61"/>
      <c r="AB2993" s="63" t="s">
        <v>250</v>
      </c>
      <c r="AC2993" s="71" t="s">
        <v>242</v>
      </c>
      <c r="AD2993" s="61"/>
      <c r="AE2993" s="63" t="s">
        <v>250</v>
      </c>
      <c r="AF2993" s="71" t="s">
        <v>242</v>
      </c>
      <c r="AG2993" s="61"/>
      <c r="AH2993" s="63" t="s">
        <v>250</v>
      </c>
      <c r="AI2993" s="71" t="s">
        <v>242</v>
      </c>
      <c r="AJ2993" s="61"/>
      <c r="AK2993" s="63" t="s">
        <v>250</v>
      </c>
      <c r="AL2993" s="71" t="s">
        <v>242</v>
      </c>
      <c r="AM2993" s="61"/>
      <c r="AN2993" s="63" t="s">
        <v>250</v>
      </c>
      <c r="AO2993" s="71" t="s">
        <v>242</v>
      </c>
      <c r="AP2993" s="61"/>
      <c r="AQ2993" s="63" t="s">
        <v>250</v>
      </c>
      <c r="AR2993" s="71" t="s">
        <v>242</v>
      </c>
      <c r="AS2993" s="61"/>
      <c r="AT2993" s="63" t="s">
        <v>250</v>
      </c>
      <c r="AU2993" s="71" t="s">
        <v>242</v>
      </c>
    </row>
    <row r="2994" spans="15:47" ht="13" x14ac:dyDescent="0.3">
      <c r="O2994" s="6" t="s">
        <v>231</v>
      </c>
      <c r="P2994" s="6"/>
      <c r="Q2994" s="60"/>
      <c r="R2994" s="85">
        <f>P_1_minQ-(R2992^2*R_up)+dpup_minQ</f>
        <v>56.000694574499825</v>
      </c>
      <c r="S2994" s="56"/>
      <c r="T2994" s="72"/>
      <c r="U2994" s="53">
        <f>P_1_minQ-(U2992^2*R_up)+dpup_minQ</f>
        <v>51.218404921759713</v>
      </c>
      <c r="V2994" s="44"/>
      <c r="W2994" s="72"/>
      <c r="X2994" s="53">
        <f>P_1_minQ-(X2992^2*R_up)+dpup_minQ</f>
        <v>24.086642189045225</v>
      </c>
      <c r="Y2994" s="44"/>
      <c r="Z2994" s="72"/>
      <c r="AA2994" s="53">
        <f>P_1_minQ-(AA2992^2*R_up)+dpup_minQ</f>
        <v>-62.769724709583009</v>
      </c>
      <c r="AB2994" s="44"/>
      <c r="AC2994" s="72"/>
      <c r="AD2994" s="53">
        <f>P_1_minQ-(AD2992^2*R_up)+dpup_minQ</f>
        <v>-266.81184749940678</v>
      </c>
      <c r="AE2994" s="44"/>
      <c r="AF2994" s="72"/>
      <c r="AG2994" s="53">
        <f>P_1_minQ-(AG2992^2*R_up)+dpup_minQ</f>
        <v>-660.69662000885046</v>
      </c>
      <c r="AH2994" s="44"/>
      <c r="AI2994" s="72"/>
      <c r="AJ2994" s="53">
        <f>P_1_minQ-(AJ2992^2*R_up)+dpup_minQ</f>
        <v>-1221.0808549030128</v>
      </c>
      <c r="AK2994" s="44"/>
      <c r="AL2994" s="72"/>
      <c r="AM2994" s="53">
        <f>P_1_minQ-(AM2992^2*R_up)+dpup_minQ</f>
        <v>-1845.8472389076821</v>
      </c>
      <c r="AN2994" s="44"/>
      <c r="AO2994" s="72"/>
      <c r="AP2994" s="53">
        <f>P_1_minQ-(AP2992^2*R_up)+dpup_minQ</f>
        <v>-2507.7214175072259</v>
      </c>
      <c r="AQ2994" s="44"/>
      <c r="AR2994" s="72"/>
      <c r="AS2994" s="53">
        <f>P_1_minQ-(AS2992^2*R_up)+dpup_minQ</f>
        <v>-3264.9468529071237</v>
      </c>
      <c r="AT2994" s="44"/>
      <c r="AU2994" s="72"/>
    </row>
    <row r="2995" spans="15:47" ht="13" x14ac:dyDescent="0.3">
      <c r="O2995" s="6" t="s">
        <v>233</v>
      </c>
      <c r="P2995" s="6"/>
      <c r="Q2995" s="60"/>
      <c r="R2995" s="85">
        <f>P_2_minQ+(R2992^2*R_dn)-dpdn_minQ</f>
        <v>24.839861085100036</v>
      </c>
      <c r="S2995" s="66"/>
      <c r="T2995" s="74"/>
      <c r="U2995" s="53">
        <f>P_2_minQ+(U2992^2*R_dn)-dpdn_minQ</f>
        <v>25.796319015648059</v>
      </c>
      <c r="V2995" s="45"/>
      <c r="W2995" s="74"/>
      <c r="X2995" s="53">
        <f>P_2_minQ+(X2992^2*R_dn)-dpdn_minQ</f>
        <v>31.222671562190957</v>
      </c>
      <c r="Y2995" s="45"/>
      <c r="Z2995" s="74"/>
      <c r="AA2995" s="53">
        <f>P_2_minQ+(AA2992^2*R_dn)-dpdn_minQ</f>
        <v>48.593944941916604</v>
      </c>
      <c r="AB2995" s="45"/>
      <c r="AC2995" s="74"/>
      <c r="AD2995" s="53">
        <f>P_2_minQ+(AD2992^2*R_dn)-dpdn_minQ</f>
        <v>89.402369499881345</v>
      </c>
      <c r="AE2995" s="45"/>
      <c r="AF2995" s="74"/>
      <c r="AG2995" s="53">
        <f>P_2_minQ+(AG2992^2*R_dn)-dpdn_minQ</f>
        <v>168.17932400177008</v>
      </c>
      <c r="AH2995" s="45"/>
      <c r="AI2995" s="74"/>
      <c r="AJ2995" s="53">
        <f>P_2_minQ+(AJ2992^2*R_dn)-dpdn_minQ</f>
        <v>280.25617098060252</v>
      </c>
      <c r="AK2995" s="45"/>
      <c r="AL2995" s="74"/>
      <c r="AM2995" s="53">
        <f>P_2_minQ+(AM2992^2*R_dn)-dpdn_minQ</f>
        <v>405.20944778153637</v>
      </c>
      <c r="AN2995" s="45"/>
      <c r="AO2995" s="74"/>
      <c r="AP2995" s="53">
        <f>P_2_minQ+(AP2992^2*R_dn)-dpdn_minQ</f>
        <v>537.58428350144504</v>
      </c>
      <c r="AQ2995" s="45"/>
      <c r="AR2995" s="74"/>
      <c r="AS2995" s="53">
        <f>P_2_minQ+(AS2992^2*R_dn)-dpdn_minQ</f>
        <v>689.0293705814247</v>
      </c>
      <c r="AT2995" s="45"/>
      <c r="AU2995" s="74"/>
    </row>
    <row r="2996" spans="15:47" x14ac:dyDescent="0.25">
      <c r="O2996" s="6" t="s">
        <v>243</v>
      </c>
      <c r="Q2996" s="60"/>
      <c r="R2996" s="53">
        <f>R2994-R2995</f>
        <v>31.160833489399788</v>
      </c>
      <c r="S2996" s="56"/>
      <c r="T2996" s="72"/>
      <c r="U2996" s="64">
        <f>U2994-U2995</f>
        <v>25.422085906111654</v>
      </c>
      <c r="V2996" s="44"/>
      <c r="W2996" s="72"/>
      <c r="X2996" s="64">
        <f>X2994-X2995</f>
        <v>-7.1360293731457318</v>
      </c>
      <c r="Y2996" s="44"/>
      <c r="Z2996" s="72"/>
      <c r="AA2996" s="64">
        <f>AA2994-AA2995</f>
        <v>-111.36366965149961</v>
      </c>
      <c r="AB2996" s="44"/>
      <c r="AC2996" s="72"/>
      <c r="AD2996" s="64">
        <f>AD2994-AD2995</f>
        <v>-356.21421699928811</v>
      </c>
      <c r="AE2996" s="44"/>
      <c r="AF2996" s="72"/>
      <c r="AG2996" s="64">
        <f>AG2994-AG2995</f>
        <v>-828.87594401062051</v>
      </c>
      <c r="AH2996" s="44"/>
      <c r="AI2996" s="72"/>
      <c r="AJ2996" s="64">
        <f>AJ2994-AJ2995</f>
        <v>-1501.3370258836153</v>
      </c>
      <c r="AK2996" s="44"/>
      <c r="AL2996" s="72"/>
      <c r="AM2996" s="64">
        <f>AM2994-AM2995</f>
        <v>-2251.0566866892186</v>
      </c>
      <c r="AN2996" s="44"/>
      <c r="AO2996" s="72"/>
      <c r="AP2996" s="64">
        <f>AP2994-AP2995</f>
        <v>-3045.3057010086709</v>
      </c>
      <c r="AQ2996" s="44"/>
      <c r="AR2996" s="72"/>
      <c r="AS2996" s="64">
        <f>AS2994-AS2995</f>
        <v>-3953.9762234885484</v>
      </c>
      <c r="AT2996" s="44"/>
      <c r="AU2996" s="72"/>
    </row>
    <row r="2997" spans="15:47" ht="13" x14ac:dyDescent="0.3">
      <c r="O2997" s="6" t="s">
        <v>75</v>
      </c>
      <c r="P2997" s="6">
        <v>3</v>
      </c>
      <c r="Q2997" s="65"/>
      <c r="R2997" s="85">
        <f>(F_LP_h/F_P_h)^2*(R2994-('Valve Sizing'!$V$4*'Valve Sizing'!$G$7))</f>
        <v>46.00712373221161</v>
      </c>
      <c r="S2997" s="58"/>
      <c r="T2997" s="73"/>
      <c r="U2997" s="53">
        <f>(U$29/U$27)^2*(U2994-('Valve Sizing'!$V$4*'Valve Sizing'!$G$7))</f>
        <v>42.035676565158454</v>
      </c>
      <c r="V2997" s="41"/>
      <c r="W2997" s="73"/>
      <c r="X2997" s="53">
        <f>(X$29/X$27)^2*(X2994-('Valve Sizing'!$V$4*'Valve Sizing'!$G$7))</f>
        <v>19.133718161867083</v>
      </c>
      <c r="Y2997" s="41"/>
      <c r="Z2997" s="73"/>
      <c r="AA2997" s="53">
        <f>(AA$29/AA$27)^2*(AA2994-('Valve Sizing'!$V$4*'Valve Sizing'!$G$7))</f>
        <v>-48.848344184487253</v>
      </c>
      <c r="AB2997" s="41"/>
      <c r="AC2997" s="73"/>
      <c r="AD2997" s="53">
        <f>(AD$29/AD$27)^2*(AD2994-('Valve Sizing'!$V$4*'Valve Sizing'!$G$7))</f>
        <v>-192.73870855113782</v>
      </c>
      <c r="AE2997" s="41"/>
      <c r="AF2997" s="73"/>
      <c r="AG2997" s="53">
        <f>(AG$29/AG$27)^2*(AG2994-('Valve Sizing'!$V$4*'Valve Sizing'!$G$7))</f>
        <v>-425.80107816368485</v>
      </c>
      <c r="AH2997" s="41"/>
      <c r="AI2997" s="73"/>
      <c r="AJ2997" s="53">
        <f>(AJ$29/AJ$27)^2*(AJ2994-('Valve Sizing'!$V$4*'Valve Sizing'!$G$7))</f>
        <v>-706.48413068676564</v>
      </c>
      <c r="AK2997" s="41"/>
      <c r="AL2997" s="73"/>
      <c r="AM2997" s="53">
        <f>(AM$29/AM$27)^2*(AM2994-('Valve Sizing'!$V$4*'Valve Sizing'!$G$7))</f>
        <v>-883.39705102665562</v>
      </c>
      <c r="AN2997" s="41"/>
      <c r="AO2997" s="73"/>
      <c r="AP2997" s="53">
        <f>(AP$29/AP$27)^2*(AP2994-('Valve Sizing'!$V$4*'Valve Sizing'!$G$7))</f>
        <v>-989.78780545134146</v>
      </c>
      <c r="AQ2997" s="41"/>
      <c r="AR2997" s="73"/>
      <c r="AS2997" s="53">
        <f>(AS$29/AS$27)^2*(AS2994-('Valve Sizing'!$V$4*'Valve Sizing'!$G$7))</f>
        <v>-1228.2452256003057</v>
      </c>
      <c r="AT2997" s="41"/>
      <c r="AU2997" s="73"/>
    </row>
    <row r="2998" spans="15:47" ht="13" x14ac:dyDescent="0.25">
      <c r="O2998" s="1" t="s">
        <v>69</v>
      </c>
      <c r="P2998" s="17">
        <v>7</v>
      </c>
      <c r="Q2998" s="65"/>
      <c r="R2998" s="53">
        <f>(R2992/(N_1*F_P_h))*SQRT('Valve Sizing'!$G$6/R2996)</f>
        <v>29.498177647758517</v>
      </c>
      <c r="S2998" s="58"/>
      <c r="T2998" s="73"/>
      <c r="U2998" s="64">
        <f>(U2992/(N_1*U$27))*SQRT('Valve Sizing'!$G$6/U2996)</f>
        <v>81.532457194600624</v>
      </c>
      <c r="V2998" s="41"/>
      <c r="W2998" s="73"/>
      <c r="X2998" s="64" t="e">
        <f>(X2992/(N_1*X$27))*SQRT('Valve Sizing'!$G$6/X2996)</f>
        <v>#NUM!</v>
      </c>
      <c r="Y2998" s="41"/>
      <c r="Z2998" s="73"/>
      <c r="AA2998" s="64" t="e">
        <f>(AA2992/(N_1*AA$27))*SQRT('Valve Sizing'!$G$6/AA2996)</f>
        <v>#NUM!</v>
      </c>
      <c r="AB2998" s="41"/>
      <c r="AC2998" s="73"/>
      <c r="AD2998" s="64" t="e">
        <f>(AD2992/(N_1*AD$27))*SQRT('Valve Sizing'!$G$6/AD2996)</f>
        <v>#NUM!</v>
      </c>
      <c r="AE2998" s="41"/>
      <c r="AF2998" s="73"/>
      <c r="AG2998" s="64" t="e">
        <f>(AG2992/(N_1*AG$27))*SQRT('Valve Sizing'!$G$6/AG2996)</f>
        <v>#NUM!</v>
      </c>
      <c r="AH2998" s="41"/>
      <c r="AI2998" s="73"/>
      <c r="AJ2998" s="64" t="e">
        <f>(AJ2992/(N_1*AJ$27))*SQRT('Valve Sizing'!$G$6/AJ2996)</f>
        <v>#NUM!</v>
      </c>
      <c r="AK2998" s="41"/>
      <c r="AL2998" s="73"/>
      <c r="AM2998" s="64" t="e">
        <f>(AM2992/(N_1*AM$27))*SQRT('Valve Sizing'!$G$6/AM2996)</f>
        <v>#NUM!</v>
      </c>
      <c r="AN2998" s="41"/>
      <c r="AO2998" s="73"/>
      <c r="AP2998" s="64" t="e">
        <f>(AP2992/(N_1*AP$27))*SQRT('Valve Sizing'!$G$6/AP2996)</f>
        <v>#NUM!</v>
      </c>
      <c r="AQ2998" s="41"/>
      <c r="AR2998" s="73"/>
      <c r="AS2998" s="64" t="e">
        <f>(AS2992/(N_1*AS$27))*SQRT('Valve Sizing'!$G$6/AS2996)</f>
        <v>#NUM!</v>
      </c>
      <c r="AT2998" s="41"/>
      <c r="AU2998" s="73"/>
    </row>
    <row r="2999" spans="15:47" ht="13" x14ac:dyDescent="0.3">
      <c r="O2999" s="1" t="s">
        <v>72</v>
      </c>
      <c r="P2999" s="17">
        <v>7</v>
      </c>
      <c r="Q2999" s="65"/>
      <c r="R2999" s="53">
        <f>(R2992/(N_1*F_P_h))*SQRT('Valve Sizing'!$G$6/R2997)</f>
        <v>24.276561737635635</v>
      </c>
      <c r="S2999" s="56"/>
      <c r="T2999" s="72"/>
      <c r="U2999" s="85">
        <f>(U2992/(N_1*U$27))*SQRT('Valve Sizing'!$G$6/U2997)</f>
        <v>63.40552475668548</v>
      </c>
      <c r="V2999" s="44"/>
      <c r="W2999" s="72"/>
      <c r="X2999" s="85">
        <f>(X2992/(N_1*X$27))*SQRT('Valve Sizing'!$G$6/X2997)</f>
        <v>226.09552983102898</v>
      </c>
      <c r="Y2999" s="44"/>
      <c r="Z2999" s="72"/>
      <c r="AA2999" s="85" t="e">
        <f>(AA2992/(N_1*AA$27))*SQRT('Valve Sizing'!$G$6/AA2997)</f>
        <v>#NUM!</v>
      </c>
      <c r="AB2999" s="44"/>
      <c r="AC2999" s="72"/>
      <c r="AD2999" s="85" t="e">
        <f>(AD2992/(N_1*AD$27))*SQRT('Valve Sizing'!$G$6/AD2997)</f>
        <v>#NUM!</v>
      </c>
      <c r="AE2999" s="44"/>
      <c r="AF2999" s="72"/>
      <c r="AG2999" s="85" t="e">
        <f>(AG2992/(N_1*AG$27))*SQRT('Valve Sizing'!$G$6/AG2997)</f>
        <v>#NUM!</v>
      </c>
      <c r="AH2999" s="44"/>
      <c r="AI2999" s="72"/>
      <c r="AJ2999" s="85" t="e">
        <f>(AJ2992/(N_1*AJ$27))*SQRT('Valve Sizing'!$G$6/AJ2997)</f>
        <v>#NUM!</v>
      </c>
      <c r="AK2999" s="44"/>
      <c r="AL2999" s="72"/>
      <c r="AM2999" s="85" t="e">
        <f>(AM2992/(N_1*AM$27))*SQRT('Valve Sizing'!$G$6/AM2997)</f>
        <v>#NUM!</v>
      </c>
      <c r="AN2999" s="44"/>
      <c r="AO2999" s="72"/>
      <c r="AP2999" s="85" t="e">
        <f>(AP2992/(N_1*AP$27))*SQRT('Valve Sizing'!$G$6/AP2997)</f>
        <v>#NUM!</v>
      </c>
      <c r="AQ2999" s="44"/>
      <c r="AR2999" s="72"/>
      <c r="AS2999" s="85" t="e">
        <f>(AS2992/(N_1*AS$27))*SQRT('Valve Sizing'!$G$6/AS2997)</f>
        <v>#NUM!</v>
      </c>
      <c r="AT2999" s="44"/>
      <c r="AU2999" s="72"/>
    </row>
    <row r="3000" spans="15:47" x14ac:dyDescent="0.25">
      <c r="O3000" s="1" t="s">
        <v>246</v>
      </c>
      <c r="P3000" s="18"/>
      <c r="Q3000" s="65"/>
      <c r="R3000" s="53">
        <f>IF(R2996&lt;R2997,R2998,R2999)</f>
        <v>29.498177647758517</v>
      </c>
      <c r="S3000" s="49"/>
      <c r="T3000" s="72"/>
      <c r="U3000" s="64">
        <f>IF(U2996&lt;U2997,U2998,U2999)</f>
        <v>81.532457194600624</v>
      </c>
      <c r="V3000" s="44"/>
      <c r="W3000" s="72"/>
      <c r="X3000" s="64" t="e">
        <f>IF(X2996&lt;X2997,X2998,X2999)</f>
        <v>#NUM!</v>
      </c>
      <c r="Y3000" s="44"/>
      <c r="Z3000" s="72"/>
      <c r="AA3000" s="64" t="e">
        <f>IF(AA2996&lt;AA2997,AA2998,AA2999)</f>
        <v>#NUM!</v>
      </c>
      <c r="AB3000" s="44"/>
      <c r="AC3000" s="72"/>
      <c r="AD3000" s="64" t="e">
        <f>IF(AD2996&lt;AD2997,AD2998,AD2999)</f>
        <v>#NUM!</v>
      </c>
      <c r="AE3000" s="44"/>
      <c r="AF3000" s="72"/>
      <c r="AG3000" s="64" t="e">
        <f>IF(AG2996&lt;AG2997,AG2998,AG2999)</f>
        <v>#NUM!</v>
      </c>
      <c r="AH3000" s="44"/>
      <c r="AI3000" s="72"/>
      <c r="AJ3000" s="64" t="e">
        <f>IF(AJ2996&lt;AJ2997,AJ2998,AJ2999)</f>
        <v>#NUM!</v>
      </c>
      <c r="AK3000" s="44"/>
      <c r="AL3000" s="72"/>
      <c r="AM3000" s="64" t="e">
        <f>IF(AM2996&lt;AM2997,AM2998,AM2999)</f>
        <v>#NUM!</v>
      </c>
      <c r="AN3000" s="44"/>
      <c r="AO3000" s="72"/>
      <c r="AP3000" s="64" t="e">
        <f>IF(AP2996&lt;AP2997,AP2998,AP2999)</f>
        <v>#NUM!</v>
      </c>
      <c r="AQ3000" s="44"/>
      <c r="AR3000" s="72"/>
      <c r="AS3000" s="64" t="e">
        <f>IF(AS2996&lt;AS2997,AS2998,AS2999)</f>
        <v>#NUM!</v>
      </c>
      <c r="AT3000" s="44"/>
      <c r="AU3000" s="72"/>
    </row>
    <row r="3001" spans="15:47" ht="13" x14ac:dyDescent="0.3">
      <c r="O3001" s="7" t="s">
        <v>264</v>
      </c>
      <c r="Q3001" s="61"/>
      <c r="R3001" s="53"/>
      <c r="S3001" s="69">
        <f>IFERROR(ABS(C_h-R3000),Q_max*10)</f>
        <v>24.498177647758517</v>
      </c>
      <c r="T3001" s="76">
        <f>R2992</f>
        <v>164.64031598931106</v>
      </c>
      <c r="U3001" s="61"/>
      <c r="V3001" s="69">
        <f>IFERROR(ABS(U$23-U3000),Q_max*10)</f>
        <v>69.532457194600624</v>
      </c>
      <c r="W3001" s="75">
        <f>U2992</f>
        <v>410.7432656376667</v>
      </c>
      <c r="X3001" s="61"/>
      <c r="Y3001" s="69">
        <f>IFERROR(ABS(X$23-X3000),Q_max*10)</f>
        <v>5500</v>
      </c>
      <c r="Z3001" s="75">
        <f>X2992</f>
        <v>985.94194797785678</v>
      </c>
      <c r="AA3001" s="61"/>
      <c r="AB3001" s="69">
        <f>IFERROR(ABS(AA$23-AA3000),Q_max*10)</f>
        <v>5500</v>
      </c>
      <c r="AC3001" s="75">
        <f>AA2992</f>
        <v>1882.5245147542576</v>
      </c>
      <c r="AD3001" s="61"/>
      <c r="AE3001" s="69">
        <f>IFERROR(ABS(AD$23-AD3000),Q_max*10)</f>
        <v>5500</v>
      </c>
      <c r="AF3001" s="75">
        <f>AD2992</f>
        <v>3096.0597223660648</v>
      </c>
      <c r="AG3001" s="61"/>
      <c r="AH3001" s="69">
        <f>IFERROR(ABS(AG$23-AG3000),Q_max*10)</f>
        <v>5500</v>
      </c>
      <c r="AI3001" s="75">
        <f>AG2992</f>
        <v>4609.6110376540519</v>
      </c>
      <c r="AJ3001" s="61"/>
      <c r="AK3001" s="69">
        <f>IFERROR(ABS(AJ$23-AJ3000),Q_max*10)</f>
        <v>5500</v>
      </c>
      <c r="AL3001" s="75">
        <f>AJ2992</f>
        <v>6151.5437992164379</v>
      </c>
      <c r="AM3001" s="61"/>
      <c r="AN3001" s="69">
        <f>IFERROR(ABS(AM$23-AM3000),Q_max*10)</f>
        <v>5500</v>
      </c>
      <c r="AO3001" s="75">
        <f>AM2992</f>
        <v>7506.052474107576</v>
      </c>
      <c r="AP3001" s="61"/>
      <c r="AQ3001" s="69">
        <f>IFERROR(ABS(AP$23-AP3000),Q_max*10)</f>
        <v>5500</v>
      </c>
      <c r="AR3001" s="75">
        <f>AP2992</f>
        <v>8714.2938998170666</v>
      </c>
      <c r="AS3001" s="61"/>
      <c r="AT3001" s="69">
        <f>IFERROR(ABS(AS$23-AS3000),Q_max*10)</f>
        <v>5500</v>
      </c>
      <c r="AU3001" s="75">
        <f>AS2992</f>
        <v>9917.6793311026104</v>
      </c>
    </row>
    <row r="3002" spans="15:47" ht="14.5" x14ac:dyDescent="0.35">
      <c r="O3002" s="6"/>
      <c r="P3002" s="6"/>
      <c r="Q3002" s="60"/>
      <c r="R3002" s="67"/>
      <c r="S3002" s="56"/>
      <c r="T3002" s="72"/>
      <c r="V3002" s="11"/>
      <c r="W3002" s="38"/>
      <c r="Y3002" s="11"/>
      <c r="Z3002" s="38"/>
      <c r="AB3002" s="11"/>
      <c r="AC3002" s="38"/>
      <c r="AE3002" s="11"/>
      <c r="AF3002" s="38"/>
      <c r="AH3002" s="11"/>
      <c r="AI3002" s="38"/>
      <c r="AK3002" s="11"/>
      <c r="AL3002" s="38"/>
      <c r="AN3002" s="11"/>
      <c r="AO3002" s="38"/>
      <c r="AQ3002" s="11"/>
      <c r="AR3002" s="38"/>
      <c r="AT3002" s="11"/>
      <c r="AU3002" s="38"/>
    </row>
    <row r="3003" spans="15:47" ht="14" x14ac:dyDescent="0.3">
      <c r="O3003" s="8" t="s">
        <v>235</v>
      </c>
      <c r="P3003" s="6"/>
      <c r="Q3003" s="60"/>
      <c r="R3003" s="53">
        <f>R2992*1.02</f>
        <v>167.93312230909729</v>
      </c>
      <c r="S3003" s="58" t="s">
        <v>238</v>
      </c>
      <c r="T3003" s="73" t="s">
        <v>241</v>
      </c>
      <c r="U3003" s="84">
        <f>U2992*1.01</f>
        <v>414.85069829404335</v>
      </c>
      <c r="V3003" s="58" t="s">
        <v>238</v>
      </c>
      <c r="W3003" s="73" t="s">
        <v>241</v>
      </c>
      <c r="X3003" s="84">
        <f>X2992*1.01</f>
        <v>995.80136745763537</v>
      </c>
      <c r="Y3003" s="58" t="s">
        <v>238</v>
      </c>
      <c r="Z3003" s="73" t="s">
        <v>241</v>
      </c>
      <c r="AA3003" s="84">
        <f>AA2992*1.01</f>
        <v>1901.3497599018001</v>
      </c>
      <c r="AB3003" s="58" t="s">
        <v>238</v>
      </c>
      <c r="AC3003" s="73" t="s">
        <v>241</v>
      </c>
      <c r="AD3003" s="84">
        <f>AD2992*1.01</f>
        <v>3127.0203195897257</v>
      </c>
      <c r="AE3003" s="58" t="s">
        <v>238</v>
      </c>
      <c r="AF3003" s="73" t="s">
        <v>241</v>
      </c>
      <c r="AG3003" s="84">
        <f>AG2992*1.01</f>
        <v>4655.7071480305922</v>
      </c>
      <c r="AH3003" s="58" t="s">
        <v>238</v>
      </c>
      <c r="AI3003" s="73" t="s">
        <v>241</v>
      </c>
      <c r="AJ3003" s="84">
        <f>AJ2992*1.01</f>
        <v>6213.0592372086021</v>
      </c>
      <c r="AK3003" s="58" t="s">
        <v>238</v>
      </c>
      <c r="AL3003" s="73" t="s">
        <v>241</v>
      </c>
      <c r="AM3003" s="84">
        <f>AM2992*1.01</f>
        <v>7581.1129988486518</v>
      </c>
      <c r="AN3003" s="58" t="s">
        <v>238</v>
      </c>
      <c r="AO3003" s="73" t="s">
        <v>241</v>
      </c>
      <c r="AP3003" s="84">
        <f>AP2992*1.01</f>
        <v>8801.4368388152379</v>
      </c>
      <c r="AQ3003" s="58" t="s">
        <v>238</v>
      </c>
      <c r="AR3003" s="73" t="s">
        <v>241</v>
      </c>
      <c r="AS3003" s="84">
        <f>AS2992*1.01</f>
        <v>10016.856124413636</v>
      </c>
      <c r="AT3003" s="58" t="s">
        <v>238</v>
      </c>
      <c r="AU3003" s="73" t="s">
        <v>241</v>
      </c>
    </row>
    <row r="3004" spans="15:47" ht="13" x14ac:dyDescent="0.25">
      <c r="O3004" s="6"/>
      <c r="P3004" s="6"/>
      <c r="Q3004" s="60"/>
      <c r="R3004" s="70"/>
      <c r="S3004" s="63" t="s">
        <v>250</v>
      </c>
      <c r="T3004" s="71" t="s">
        <v>242</v>
      </c>
      <c r="U3004" s="61"/>
      <c r="V3004" s="63" t="s">
        <v>250</v>
      </c>
      <c r="W3004" s="71" t="s">
        <v>242</v>
      </c>
      <c r="X3004" s="61"/>
      <c r="Y3004" s="63" t="s">
        <v>250</v>
      </c>
      <c r="Z3004" s="71" t="s">
        <v>242</v>
      </c>
      <c r="AA3004" s="61"/>
      <c r="AB3004" s="63" t="s">
        <v>250</v>
      </c>
      <c r="AC3004" s="71" t="s">
        <v>242</v>
      </c>
      <c r="AD3004" s="61"/>
      <c r="AE3004" s="63" t="s">
        <v>250</v>
      </c>
      <c r="AF3004" s="71" t="s">
        <v>242</v>
      </c>
      <c r="AG3004" s="61"/>
      <c r="AH3004" s="63" t="s">
        <v>250</v>
      </c>
      <c r="AI3004" s="71" t="s">
        <v>242</v>
      </c>
      <c r="AJ3004" s="61"/>
      <c r="AK3004" s="63" t="s">
        <v>250</v>
      </c>
      <c r="AL3004" s="71" t="s">
        <v>242</v>
      </c>
      <c r="AM3004" s="61"/>
      <c r="AN3004" s="63" t="s">
        <v>250</v>
      </c>
      <c r="AO3004" s="71" t="s">
        <v>242</v>
      </c>
      <c r="AP3004" s="61"/>
      <c r="AQ3004" s="63" t="s">
        <v>250</v>
      </c>
      <c r="AR3004" s="71" t="s">
        <v>242</v>
      </c>
      <c r="AS3004" s="61"/>
      <c r="AT3004" s="63" t="s">
        <v>250</v>
      </c>
      <c r="AU3004" s="71" t="s">
        <v>242</v>
      </c>
    </row>
    <row r="3005" spans="15:47" ht="13" x14ac:dyDescent="0.3">
      <c r="O3005" s="6" t="s">
        <v>231</v>
      </c>
      <c r="P3005" s="6"/>
      <c r="Q3005" s="60"/>
      <c r="R3005" s="85">
        <f>P_1_minQ-(R3003^2*R_up)+dpup_minQ</f>
        <v>55.963710450237009</v>
      </c>
      <c r="S3005" s="56"/>
      <c r="T3005" s="72"/>
      <c r="U3005" s="53">
        <f>P_1_minQ-(U3003^2*R_up)+dpup_minQ</f>
        <v>51.103880382470265</v>
      </c>
      <c r="V3005" s="44"/>
      <c r="W3005" s="72"/>
      <c r="X3005" s="53">
        <f>P_1_minQ-(X3003^2*R_up)+dpup_minQ</f>
        <v>23.426769218828216</v>
      </c>
      <c r="Y3005" s="44"/>
      <c r="Z3005" s="72"/>
      <c r="AA3005" s="53">
        <f>P_1_minQ-(AA3003^2*R_up)+dpup_minQ</f>
        <v>-65.175410654462439</v>
      </c>
      <c r="AB3005" s="44"/>
      <c r="AC3005" s="72"/>
      <c r="AD3005" s="53">
        <f>P_1_minQ-(AD3003^2*R_up)+dpup_minQ</f>
        <v>-273.31878011236171</v>
      </c>
      <c r="AE3005" s="44"/>
      <c r="AF3005" s="72"/>
      <c r="AG3005" s="53">
        <f>P_1_minQ-(AG3003^2*R_up)+dpup_minQ</f>
        <v>-675.12063654924509</v>
      </c>
      <c r="AH3005" s="44"/>
      <c r="AI3005" s="72"/>
      <c r="AJ3005" s="53">
        <f>P_1_minQ-(AJ3003^2*R_up)+dpup_minQ</f>
        <v>-1246.76859456478</v>
      </c>
      <c r="AK3005" s="44"/>
      <c r="AL3005" s="72"/>
      <c r="AM3005" s="53">
        <f>P_1_minQ-(AM3003^2*R_up)+dpup_minQ</f>
        <v>-1884.0927828879433</v>
      </c>
      <c r="AN3005" s="44"/>
      <c r="AO3005" s="72"/>
      <c r="AP3005" s="53">
        <f>P_1_minQ-(AP3003^2*R_up)+dpup_minQ</f>
        <v>-2559.270632477338</v>
      </c>
      <c r="AQ3005" s="44"/>
      <c r="AR3005" s="72"/>
      <c r="AS3005" s="53">
        <f>P_1_minQ-(AS3003^2*R_up)+dpup_minQ</f>
        <v>-3331.7162991287732</v>
      </c>
      <c r="AT3005" s="44"/>
      <c r="AU3005" s="72"/>
    </row>
    <row r="3006" spans="15:47" ht="13" x14ac:dyDescent="0.3">
      <c r="O3006" s="6" t="s">
        <v>233</v>
      </c>
      <c r="P3006" s="6"/>
      <c r="Q3006" s="60"/>
      <c r="R3006" s="85">
        <f>P_2_minQ+(R3003^2*R_dn)-dpdn_minQ</f>
        <v>24.847257909952599</v>
      </c>
      <c r="S3006" s="66"/>
      <c r="T3006" s="74"/>
      <c r="U3006" s="53">
        <f>P_2_minQ+(U3003^2*R_dn)-dpdn_minQ</f>
        <v>25.819223923505948</v>
      </c>
      <c r="V3006" s="45"/>
      <c r="W3006" s="74"/>
      <c r="X3006" s="53">
        <f>P_2_minQ+(X3003^2*R_dn)-dpdn_minQ</f>
        <v>31.354646156234356</v>
      </c>
      <c r="Y3006" s="45"/>
      <c r="Z3006" s="74"/>
      <c r="AA3006" s="53">
        <f>P_2_minQ+(AA3003^2*R_dn)-dpdn_minQ</f>
        <v>49.07508213089249</v>
      </c>
      <c r="AB3006" s="45"/>
      <c r="AC3006" s="74"/>
      <c r="AD3006" s="53">
        <f>P_2_minQ+(AD3003^2*R_dn)-dpdn_minQ</f>
        <v>90.703756022472348</v>
      </c>
      <c r="AE3006" s="45"/>
      <c r="AF3006" s="74"/>
      <c r="AG3006" s="53">
        <f>P_2_minQ+(AG3003^2*R_dn)-dpdn_minQ</f>
        <v>171.06412730984906</v>
      </c>
      <c r="AH3006" s="45"/>
      <c r="AI3006" s="74"/>
      <c r="AJ3006" s="53">
        <f>P_2_minQ+(AJ3003^2*R_dn)-dpdn_minQ</f>
        <v>285.39371891295599</v>
      </c>
      <c r="AK3006" s="45"/>
      <c r="AL3006" s="74"/>
      <c r="AM3006" s="53">
        <f>P_2_minQ+(AM3003^2*R_dn)-dpdn_minQ</f>
        <v>412.85855657758862</v>
      </c>
      <c r="AN3006" s="45"/>
      <c r="AO3006" s="74"/>
      <c r="AP3006" s="53">
        <f>P_2_minQ+(AP3003^2*R_dn)-dpdn_minQ</f>
        <v>547.8941264954675</v>
      </c>
      <c r="AQ3006" s="45"/>
      <c r="AR3006" s="74"/>
      <c r="AS3006" s="53">
        <f>P_2_minQ+(AS3003^2*R_dn)-dpdn_minQ</f>
        <v>702.38325982575464</v>
      </c>
      <c r="AT3006" s="45"/>
      <c r="AU3006" s="74"/>
    </row>
    <row r="3007" spans="15:47" x14ac:dyDescent="0.25">
      <c r="O3007" s="6" t="s">
        <v>243</v>
      </c>
      <c r="Q3007" s="60"/>
      <c r="R3007" s="53">
        <f>R3005-R3006</f>
        <v>31.11645254028441</v>
      </c>
      <c r="S3007" s="56"/>
      <c r="T3007" s="72"/>
      <c r="U3007" s="64">
        <f>U3005-U3006</f>
        <v>25.284656458964317</v>
      </c>
      <c r="V3007" s="44"/>
      <c r="W3007" s="72"/>
      <c r="X3007" s="64">
        <f>X3005-X3006</f>
        <v>-7.9278769374061397</v>
      </c>
      <c r="Y3007" s="44"/>
      <c r="Z3007" s="72"/>
      <c r="AA3007" s="64">
        <f>AA3005-AA3006</f>
        <v>-114.25049278535494</v>
      </c>
      <c r="AB3007" s="44"/>
      <c r="AC3007" s="72"/>
      <c r="AD3007" s="64">
        <f>AD3005-AD3006</f>
        <v>-364.02253613483407</v>
      </c>
      <c r="AE3007" s="44"/>
      <c r="AF3007" s="72"/>
      <c r="AG3007" s="64">
        <f>AG3005-AG3006</f>
        <v>-846.18476385909412</v>
      </c>
      <c r="AH3007" s="44"/>
      <c r="AI3007" s="72"/>
      <c r="AJ3007" s="64">
        <f>AJ3005-AJ3006</f>
        <v>-1532.162313477736</v>
      </c>
      <c r="AK3007" s="44"/>
      <c r="AL3007" s="72"/>
      <c r="AM3007" s="64">
        <f>AM3005-AM3006</f>
        <v>-2296.9513394655319</v>
      </c>
      <c r="AN3007" s="44"/>
      <c r="AO3007" s="72"/>
      <c r="AP3007" s="64">
        <f>AP3005-AP3006</f>
        <v>-3107.1647589728054</v>
      </c>
      <c r="AQ3007" s="44"/>
      <c r="AR3007" s="72"/>
      <c r="AS3007" s="64">
        <f>AS3005-AS3006</f>
        <v>-4034.0995589545278</v>
      </c>
      <c r="AT3007" s="44"/>
      <c r="AU3007" s="72"/>
    </row>
    <row r="3008" spans="15:47" ht="13" x14ac:dyDescent="0.3">
      <c r="O3008" s="6" t="s">
        <v>75</v>
      </c>
      <c r="P3008" s="6">
        <v>3</v>
      </c>
      <c r="Q3008" s="65"/>
      <c r="R3008" s="85">
        <f>(F_LP_h/F_P_h)^2*(R3005-('Valve Sizing'!$V$4*'Valve Sizing'!$G$7))</f>
        <v>45.976498936027582</v>
      </c>
      <c r="S3008" s="58"/>
      <c r="T3008" s="73"/>
      <c r="U3008" s="53">
        <f>(U$29/U$27)^2*(U3005-('Valve Sizing'!$V$4*'Valve Sizing'!$G$7))</f>
        <v>41.940870082616243</v>
      </c>
      <c r="V3008" s="41"/>
      <c r="W3008" s="73"/>
      <c r="X3008" s="53">
        <f>(X$29/X$27)^2*(X3005-('Valve Sizing'!$V$4*'Valve Sizing'!$G$7))</f>
        <v>18.59977959564235</v>
      </c>
      <c r="Y3008" s="41"/>
      <c r="Z3008" s="73"/>
      <c r="AA3008" s="53">
        <f>(AA$29/AA$27)^2*(AA3005-('Valve Sizing'!$V$4*'Valve Sizing'!$G$7))</f>
        <v>-50.707451598138867</v>
      </c>
      <c r="AB3008" s="41"/>
      <c r="AC3008" s="73"/>
      <c r="AD3008" s="53">
        <f>(AD$29/AD$27)^2*(AD3005-('Valve Sizing'!$V$4*'Valve Sizing'!$G$7))</f>
        <v>-197.43142641094173</v>
      </c>
      <c r="AE3008" s="41"/>
      <c r="AF3008" s="73"/>
      <c r="AG3008" s="53">
        <f>(AG$29/AG$27)^2*(AG3005-('Valve Sizing'!$V$4*'Valve Sizing'!$G$7))</f>
        <v>-435.09077876829105</v>
      </c>
      <c r="AH3008" s="41"/>
      <c r="AI3008" s="73"/>
      <c r="AJ3008" s="53">
        <f>(AJ$29/AJ$27)^2*(AJ3005-('Valve Sizing'!$V$4*'Valve Sizing'!$G$7))</f>
        <v>-721.34100316227659</v>
      </c>
      <c r="AK3008" s="41"/>
      <c r="AL3008" s="73"/>
      <c r="AM3008" s="53">
        <f>(AM$29/AM$27)^2*(AM3005-('Valve Sizing'!$V$4*'Valve Sizing'!$G$7))</f>
        <v>-901.69647865621164</v>
      </c>
      <c r="AN3008" s="41"/>
      <c r="AO3008" s="73"/>
      <c r="AP3008" s="53">
        <f>(AP$29/AP$27)^2*(AP3005-('Valve Sizing'!$V$4*'Valve Sizing'!$G$7))</f>
        <v>-1010.1305086078129</v>
      </c>
      <c r="AQ3008" s="41"/>
      <c r="AR3008" s="73"/>
      <c r="AS3008" s="53">
        <f>(AS$29/AS$27)^2*(AS3005-('Valve Sizing'!$V$4*'Valve Sizing'!$G$7))</f>
        <v>-1253.3599381239894</v>
      </c>
      <c r="AT3008" s="41"/>
      <c r="AU3008" s="73"/>
    </row>
    <row r="3009" spans="15:47" ht="13" x14ac:dyDescent="0.25">
      <c r="O3009" s="1" t="s">
        <v>69</v>
      </c>
      <c r="P3009" s="17">
        <v>7</v>
      </c>
      <c r="Q3009" s="65"/>
      <c r="R3009" s="53">
        <f>(R3003/(N_1*F_P_h))*SQRT('Valve Sizing'!$G$6/R3007)</f>
        <v>30.109590696876147</v>
      </c>
      <c r="S3009" s="58"/>
      <c r="T3009" s="73"/>
      <c r="U3009" s="64">
        <f>(U3003/(N_1*U$27))*SQRT('Valve Sizing'!$G$6/U3007)</f>
        <v>82.571270544841539</v>
      </c>
      <c r="V3009" s="41"/>
      <c r="W3009" s="73"/>
      <c r="X3009" s="64" t="e">
        <f>(X3003/(N_1*X$27))*SQRT('Valve Sizing'!$G$6/X3007)</f>
        <v>#NUM!</v>
      </c>
      <c r="Y3009" s="41"/>
      <c r="Z3009" s="73"/>
      <c r="AA3009" s="64" t="e">
        <f>(AA3003/(N_1*AA$27))*SQRT('Valve Sizing'!$G$6/AA3007)</f>
        <v>#NUM!</v>
      </c>
      <c r="AB3009" s="41"/>
      <c r="AC3009" s="73"/>
      <c r="AD3009" s="64" t="e">
        <f>(AD3003/(N_1*AD$27))*SQRT('Valve Sizing'!$G$6/AD3007)</f>
        <v>#NUM!</v>
      </c>
      <c r="AE3009" s="41"/>
      <c r="AF3009" s="73"/>
      <c r="AG3009" s="64" t="e">
        <f>(AG3003/(N_1*AG$27))*SQRT('Valve Sizing'!$G$6/AG3007)</f>
        <v>#NUM!</v>
      </c>
      <c r="AH3009" s="41"/>
      <c r="AI3009" s="73"/>
      <c r="AJ3009" s="64" t="e">
        <f>(AJ3003/(N_1*AJ$27))*SQRT('Valve Sizing'!$G$6/AJ3007)</f>
        <v>#NUM!</v>
      </c>
      <c r="AK3009" s="41"/>
      <c r="AL3009" s="73"/>
      <c r="AM3009" s="64" t="e">
        <f>(AM3003/(N_1*AM$27))*SQRT('Valve Sizing'!$G$6/AM3007)</f>
        <v>#NUM!</v>
      </c>
      <c r="AN3009" s="41"/>
      <c r="AO3009" s="73"/>
      <c r="AP3009" s="64" t="e">
        <f>(AP3003/(N_1*AP$27))*SQRT('Valve Sizing'!$G$6/AP3007)</f>
        <v>#NUM!</v>
      </c>
      <c r="AQ3009" s="41"/>
      <c r="AR3009" s="73"/>
      <c r="AS3009" s="64" t="e">
        <f>(AS3003/(N_1*AS$27))*SQRT('Valve Sizing'!$G$6/AS3007)</f>
        <v>#NUM!</v>
      </c>
      <c r="AT3009" s="41"/>
      <c r="AU3009" s="73"/>
    </row>
    <row r="3010" spans="15:47" ht="13" x14ac:dyDescent="0.3">
      <c r="O3010" s="1" t="s">
        <v>72</v>
      </c>
      <c r="P3010" s="17">
        <v>7</v>
      </c>
      <c r="Q3010" s="65"/>
      <c r="R3010" s="53">
        <f>(R3003/(N_1*F_P_h))*SQRT('Valve Sizing'!$G$6/R3008)</f>
        <v>24.77033857426099</v>
      </c>
      <c r="S3010" s="56"/>
      <c r="T3010" s="72"/>
      <c r="U3010" s="85">
        <f>(U3003/(N_1*U$27))*SQRT('Valve Sizing'!$G$6/U3008)</f>
        <v>64.111919230091317</v>
      </c>
      <c r="V3010" s="44"/>
      <c r="W3010" s="72"/>
      <c r="X3010" s="85">
        <f>(X3003/(N_1*X$27))*SQRT('Valve Sizing'!$G$6/X3008)</f>
        <v>231.61097618439004</v>
      </c>
      <c r="Y3010" s="44"/>
      <c r="Z3010" s="72"/>
      <c r="AA3010" s="85" t="e">
        <f>(AA3003/(N_1*AA$27))*SQRT('Valve Sizing'!$G$6/AA3008)</f>
        <v>#NUM!</v>
      </c>
      <c r="AB3010" s="44"/>
      <c r="AC3010" s="72"/>
      <c r="AD3010" s="85" t="e">
        <f>(AD3003/(N_1*AD$27))*SQRT('Valve Sizing'!$G$6/AD3008)</f>
        <v>#NUM!</v>
      </c>
      <c r="AE3010" s="44"/>
      <c r="AF3010" s="72"/>
      <c r="AG3010" s="85" t="e">
        <f>(AG3003/(N_1*AG$27))*SQRT('Valve Sizing'!$G$6/AG3008)</f>
        <v>#NUM!</v>
      </c>
      <c r="AH3010" s="44"/>
      <c r="AI3010" s="72"/>
      <c r="AJ3010" s="85" t="e">
        <f>(AJ3003/(N_1*AJ$27))*SQRT('Valve Sizing'!$G$6/AJ3008)</f>
        <v>#NUM!</v>
      </c>
      <c r="AK3010" s="44"/>
      <c r="AL3010" s="72"/>
      <c r="AM3010" s="85" t="e">
        <f>(AM3003/(N_1*AM$27))*SQRT('Valve Sizing'!$G$6/AM3008)</f>
        <v>#NUM!</v>
      </c>
      <c r="AN3010" s="44"/>
      <c r="AO3010" s="72"/>
      <c r="AP3010" s="85" t="e">
        <f>(AP3003/(N_1*AP$27))*SQRT('Valve Sizing'!$G$6/AP3008)</f>
        <v>#NUM!</v>
      </c>
      <c r="AQ3010" s="44"/>
      <c r="AR3010" s="72"/>
      <c r="AS3010" s="85" t="e">
        <f>(AS3003/(N_1*AS$27))*SQRT('Valve Sizing'!$G$6/AS3008)</f>
        <v>#NUM!</v>
      </c>
      <c r="AT3010" s="44"/>
      <c r="AU3010" s="72"/>
    </row>
    <row r="3011" spans="15:47" x14ac:dyDescent="0.25">
      <c r="O3011" s="1" t="s">
        <v>246</v>
      </c>
      <c r="P3011" s="18"/>
      <c r="Q3011" s="65"/>
      <c r="R3011" s="53">
        <f>IF(R3007&lt;R3008,R3009,R3010)</f>
        <v>30.109590696876147</v>
      </c>
      <c r="S3011" s="49"/>
      <c r="T3011" s="72"/>
      <c r="U3011" s="64">
        <f>IF(U3007&lt;U3008,U3009,U3010)</f>
        <v>82.571270544841539</v>
      </c>
      <c r="V3011" s="44"/>
      <c r="W3011" s="72"/>
      <c r="X3011" s="64" t="e">
        <f>IF(X3007&lt;X3008,X3009,X3010)</f>
        <v>#NUM!</v>
      </c>
      <c r="Y3011" s="44"/>
      <c r="Z3011" s="72"/>
      <c r="AA3011" s="64" t="e">
        <f>IF(AA3007&lt;AA3008,AA3009,AA3010)</f>
        <v>#NUM!</v>
      </c>
      <c r="AB3011" s="44"/>
      <c r="AC3011" s="72"/>
      <c r="AD3011" s="64" t="e">
        <f>IF(AD3007&lt;AD3008,AD3009,AD3010)</f>
        <v>#NUM!</v>
      </c>
      <c r="AE3011" s="44"/>
      <c r="AF3011" s="72"/>
      <c r="AG3011" s="64" t="e">
        <f>IF(AG3007&lt;AG3008,AG3009,AG3010)</f>
        <v>#NUM!</v>
      </c>
      <c r="AH3011" s="44"/>
      <c r="AI3011" s="72"/>
      <c r="AJ3011" s="64" t="e">
        <f>IF(AJ3007&lt;AJ3008,AJ3009,AJ3010)</f>
        <v>#NUM!</v>
      </c>
      <c r="AK3011" s="44"/>
      <c r="AL3011" s="72"/>
      <c r="AM3011" s="64" t="e">
        <f>IF(AM3007&lt;AM3008,AM3009,AM3010)</f>
        <v>#NUM!</v>
      </c>
      <c r="AN3011" s="44"/>
      <c r="AO3011" s="72"/>
      <c r="AP3011" s="64" t="e">
        <f>IF(AP3007&lt;AP3008,AP3009,AP3010)</f>
        <v>#NUM!</v>
      </c>
      <c r="AQ3011" s="44"/>
      <c r="AR3011" s="72"/>
      <c r="AS3011" s="64" t="e">
        <f>IF(AS3007&lt;AS3008,AS3009,AS3010)</f>
        <v>#NUM!</v>
      </c>
      <c r="AT3011" s="44"/>
      <c r="AU3011" s="72"/>
    </row>
    <row r="3012" spans="15:47" ht="13" x14ac:dyDescent="0.3">
      <c r="O3012" s="7" t="s">
        <v>264</v>
      </c>
      <c r="Q3012" s="61"/>
      <c r="R3012" s="53"/>
      <c r="S3012" s="69">
        <f>IFERROR(ABS(C_h-R3011),Q_max*10)</f>
        <v>25.109590696876147</v>
      </c>
      <c r="T3012" s="76">
        <f>R3003</f>
        <v>167.93312230909729</v>
      </c>
      <c r="U3012" s="61"/>
      <c r="V3012" s="69">
        <f>IFERROR(ABS(U$23-U3011),Q_max*10)</f>
        <v>70.571270544841539</v>
      </c>
      <c r="W3012" s="75">
        <f>U3003</f>
        <v>414.85069829404335</v>
      </c>
      <c r="X3012" s="61"/>
      <c r="Y3012" s="69">
        <f>IFERROR(ABS(X$23-X3011),Q_max*10)</f>
        <v>5500</v>
      </c>
      <c r="Z3012" s="75">
        <f>X3003</f>
        <v>995.80136745763537</v>
      </c>
      <c r="AA3012" s="61"/>
      <c r="AB3012" s="69">
        <f>IFERROR(ABS(AA$23-AA3011),Q_max*10)</f>
        <v>5500</v>
      </c>
      <c r="AC3012" s="75">
        <f>AA3003</f>
        <v>1901.3497599018001</v>
      </c>
      <c r="AD3012" s="61"/>
      <c r="AE3012" s="69">
        <f>IFERROR(ABS(AD$23-AD3011),Q_max*10)</f>
        <v>5500</v>
      </c>
      <c r="AF3012" s="75">
        <f>AD3003</f>
        <v>3127.0203195897257</v>
      </c>
      <c r="AG3012" s="61"/>
      <c r="AH3012" s="69">
        <f>IFERROR(ABS(AG$23-AG3011),Q_max*10)</f>
        <v>5500</v>
      </c>
      <c r="AI3012" s="75">
        <f>AG3003</f>
        <v>4655.7071480305922</v>
      </c>
      <c r="AJ3012" s="61"/>
      <c r="AK3012" s="69">
        <f>IFERROR(ABS(AJ$23-AJ3011),Q_max*10)</f>
        <v>5500</v>
      </c>
      <c r="AL3012" s="75">
        <f>AJ3003</f>
        <v>6213.0592372086021</v>
      </c>
      <c r="AM3012" s="61"/>
      <c r="AN3012" s="69">
        <f>IFERROR(ABS(AM$23-AM3011),Q_max*10)</f>
        <v>5500</v>
      </c>
      <c r="AO3012" s="75">
        <f>AM3003</f>
        <v>7581.1129988486518</v>
      </c>
      <c r="AP3012" s="61"/>
      <c r="AQ3012" s="69">
        <f>IFERROR(ABS(AP$23-AP3011),Q_max*10)</f>
        <v>5500</v>
      </c>
      <c r="AR3012" s="75">
        <f>AP3003</f>
        <v>8801.4368388152379</v>
      </c>
      <c r="AS3012" s="61"/>
      <c r="AT3012" s="69">
        <f>IFERROR(ABS(AS$23-AS3011),Q_max*10)</f>
        <v>5500</v>
      </c>
      <c r="AU3012" s="75">
        <f>AS3003</f>
        <v>10016.856124413636</v>
      </c>
    </row>
    <row r="3013" spans="15:47" ht="14.5" x14ac:dyDescent="0.35">
      <c r="O3013" s="6"/>
      <c r="P3013" s="6"/>
      <c r="Q3013" s="60"/>
      <c r="R3013" s="67"/>
      <c r="S3013" s="58"/>
      <c r="T3013" s="73"/>
      <c r="V3013" s="11"/>
      <c r="W3013" s="38"/>
      <c r="Y3013" s="11"/>
      <c r="Z3013" s="38"/>
      <c r="AB3013" s="11"/>
      <c r="AC3013" s="38"/>
      <c r="AE3013" s="11"/>
      <c r="AF3013" s="38"/>
      <c r="AH3013" s="11"/>
      <c r="AI3013" s="38"/>
      <c r="AK3013" s="11"/>
      <c r="AL3013" s="38"/>
      <c r="AN3013" s="11"/>
      <c r="AO3013" s="38"/>
      <c r="AQ3013" s="11"/>
      <c r="AR3013" s="38"/>
      <c r="AT3013" s="11"/>
      <c r="AU3013" s="38"/>
    </row>
    <row r="3014" spans="15:47" ht="14" x14ac:dyDescent="0.3">
      <c r="O3014" s="8" t="s">
        <v>235</v>
      </c>
      <c r="P3014" s="6"/>
      <c r="Q3014" s="60"/>
      <c r="R3014" s="53">
        <f>R3003*1.02</f>
        <v>171.29178475527922</v>
      </c>
      <c r="S3014" s="58" t="s">
        <v>238</v>
      </c>
      <c r="T3014" s="73" t="s">
        <v>241</v>
      </c>
      <c r="U3014" s="84">
        <f>U3003*1.01</f>
        <v>418.99920527698379</v>
      </c>
      <c r="V3014" s="58" t="s">
        <v>238</v>
      </c>
      <c r="W3014" s="73" t="s">
        <v>241</v>
      </c>
      <c r="X3014" s="84">
        <f>X3003*1.01</f>
        <v>1005.7593811322117</v>
      </c>
      <c r="Y3014" s="58" t="s">
        <v>238</v>
      </c>
      <c r="Z3014" s="73" t="s">
        <v>241</v>
      </c>
      <c r="AA3014" s="84">
        <f>AA3003*1.01</f>
        <v>1920.363257500818</v>
      </c>
      <c r="AB3014" s="58" t="s">
        <v>238</v>
      </c>
      <c r="AC3014" s="73" t="s">
        <v>241</v>
      </c>
      <c r="AD3014" s="84">
        <f>AD3003*1.01</f>
        <v>3158.2905227856231</v>
      </c>
      <c r="AE3014" s="58" t="s">
        <v>238</v>
      </c>
      <c r="AF3014" s="73" t="s">
        <v>241</v>
      </c>
      <c r="AG3014" s="84">
        <f>AG3003*1.01</f>
        <v>4702.2642195108983</v>
      </c>
      <c r="AH3014" s="58" t="s">
        <v>238</v>
      </c>
      <c r="AI3014" s="73" t="s">
        <v>241</v>
      </c>
      <c r="AJ3014" s="84">
        <f>AJ3003*1.01</f>
        <v>6275.1898295806877</v>
      </c>
      <c r="AK3014" s="58" t="s">
        <v>238</v>
      </c>
      <c r="AL3014" s="73" t="s">
        <v>241</v>
      </c>
      <c r="AM3014" s="84">
        <f>AM3003*1.01</f>
        <v>7656.9241288371386</v>
      </c>
      <c r="AN3014" s="58" t="s">
        <v>238</v>
      </c>
      <c r="AO3014" s="73" t="s">
        <v>241</v>
      </c>
      <c r="AP3014" s="84">
        <f>AP3003*1.01</f>
        <v>8889.4512072033904</v>
      </c>
      <c r="AQ3014" s="58" t="s">
        <v>238</v>
      </c>
      <c r="AR3014" s="73" t="s">
        <v>241</v>
      </c>
      <c r="AS3014" s="84">
        <f>AS3003*1.01</f>
        <v>10117.024685657772</v>
      </c>
      <c r="AT3014" s="58" t="s">
        <v>238</v>
      </c>
      <c r="AU3014" s="73" t="s">
        <v>241</v>
      </c>
    </row>
    <row r="3015" spans="15:47" ht="13" x14ac:dyDescent="0.25">
      <c r="O3015" s="6"/>
      <c r="P3015" s="6"/>
      <c r="Q3015" s="60"/>
      <c r="R3015" s="70"/>
      <c r="S3015" s="63" t="s">
        <v>250</v>
      </c>
      <c r="T3015" s="71" t="s">
        <v>242</v>
      </c>
      <c r="U3015" s="61"/>
      <c r="V3015" s="63" t="s">
        <v>250</v>
      </c>
      <c r="W3015" s="71" t="s">
        <v>242</v>
      </c>
      <c r="X3015" s="61"/>
      <c r="Y3015" s="63" t="s">
        <v>250</v>
      </c>
      <c r="Z3015" s="71" t="s">
        <v>242</v>
      </c>
      <c r="AA3015" s="61"/>
      <c r="AB3015" s="63" t="s">
        <v>250</v>
      </c>
      <c r="AC3015" s="71" t="s">
        <v>242</v>
      </c>
      <c r="AD3015" s="61"/>
      <c r="AE3015" s="63" t="s">
        <v>250</v>
      </c>
      <c r="AF3015" s="71" t="s">
        <v>242</v>
      </c>
      <c r="AG3015" s="61"/>
      <c r="AH3015" s="63" t="s">
        <v>250</v>
      </c>
      <c r="AI3015" s="71" t="s">
        <v>242</v>
      </c>
      <c r="AJ3015" s="61"/>
      <c r="AK3015" s="63" t="s">
        <v>250</v>
      </c>
      <c r="AL3015" s="71" t="s">
        <v>242</v>
      </c>
      <c r="AM3015" s="61"/>
      <c r="AN3015" s="63" t="s">
        <v>250</v>
      </c>
      <c r="AO3015" s="71" t="s">
        <v>242</v>
      </c>
      <c r="AP3015" s="61"/>
      <c r="AQ3015" s="63" t="s">
        <v>250</v>
      </c>
      <c r="AR3015" s="71" t="s">
        <v>242</v>
      </c>
      <c r="AS3015" s="61"/>
      <c r="AT3015" s="63" t="s">
        <v>250</v>
      </c>
      <c r="AU3015" s="71" t="s">
        <v>242</v>
      </c>
    </row>
    <row r="3016" spans="15:47" ht="13" x14ac:dyDescent="0.3">
      <c r="O3016" s="6" t="s">
        <v>231</v>
      </c>
      <c r="P3016" s="6"/>
      <c r="Q3016" s="60"/>
      <c r="R3016" s="85">
        <f>P_1_minQ-(R3014^2*R_up)+dpup_minQ</f>
        <v>55.925232167353968</v>
      </c>
      <c r="S3016" s="56"/>
      <c r="T3016" s="72"/>
      <c r="U3016" s="53">
        <f>P_1_minQ-(U3014^2*R_up)+dpup_minQ</f>
        <v>50.987053899941102</v>
      </c>
      <c r="V3016" s="44"/>
      <c r="W3016" s="72"/>
      <c r="X3016" s="53">
        <f>P_1_minQ-(X3014^2*R_up)+dpup_minQ</f>
        <v>22.753632801909848</v>
      </c>
      <c r="Y3016" s="44"/>
      <c r="Z3016" s="72"/>
      <c r="AA3016" s="53">
        <f>P_1_minQ-(AA3014^2*R_up)+dpup_minQ</f>
        <v>-67.629450886833951</v>
      </c>
      <c r="AB3016" s="44"/>
      <c r="AC3016" s="72"/>
      <c r="AD3016" s="53">
        <f>P_1_minQ-(AD3014^2*R_up)+dpup_minQ</f>
        <v>-279.95650207083708</v>
      </c>
      <c r="AE3016" s="44"/>
      <c r="AF3016" s="72"/>
      <c r="AG3016" s="53">
        <f>P_1_minQ-(AG3014^2*R_up)+dpup_minQ</f>
        <v>-689.8345758221019</v>
      </c>
      <c r="AH3016" s="44"/>
      <c r="AI3016" s="72"/>
      <c r="AJ3016" s="53">
        <f>P_1_minQ-(AJ3014^2*R_up)+dpup_minQ</f>
        <v>-1272.9726577937488</v>
      </c>
      <c r="AK3016" s="44"/>
      <c r="AL3016" s="72"/>
      <c r="AM3016" s="53">
        <f>P_1_minQ-(AM3014^2*R_up)+dpup_minQ</f>
        <v>-1923.1070623022079</v>
      </c>
      <c r="AN3016" s="44"/>
      <c r="AO3016" s="72"/>
      <c r="AP3016" s="53">
        <f>P_1_minQ-(AP3014^2*R_up)+dpup_minQ</f>
        <v>-2611.8559866683495</v>
      </c>
      <c r="AQ3016" s="44"/>
      <c r="AR3016" s="72"/>
      <c r="AS3016" s="53">
        <f>P_1_minQ-(AS3014^2*R_up)+dpup_minQ</f>
        <v>-3399.8278112194785</v>
      </c>
      <c r="AT3016" s="44"/>
      <c r="AU3016" s="72"/>
    </row>
    <row r="3017" spans="15:47" ht="13" x14ac:dyDescent="0.3">
      <c r="O3017" s="6" t="s">
        <v>233</v>
      </c>
      <c r="P3017" s="6"/>
      <c r="Q3017" s="60"/>
      <c r="R3017" s="85">
        <f>P_2_minQ+(R3014^2*R_dn)-dpdn_minQ</f>
        <v>24.854953566529208</v>
      </c>
      <c r="S3017" s="66"/>
      <c r="T3017" s="74"/>
      <c r="U3017" s="53">
        <f>P_2_minQ+(U3014^2*R_dn)-dpdn_minQ</f>
        <v>25.842589220011781</v>
      </c>
      <c r="V3017" s="45"/>
      <c r="W3017" s="74"/>
      <c r="X3017" s="53">
        <f>P_2_minQ+(X3014^2*R_dn)-dpdn_minQ</f>
        <v>31.489273439618032</v>
      </c>
      <c r="Y3017" s="45"/>
      <c r="Z3017" s="74"/>
      <c r="AA3017" s="53">
        <f>P_2_minQ+(AA3014^2*R_dn)-dpdn_minQ</f>
        <v>49.565890177366796</v>
      </c>
      <c r="AB3017" s="45"/>
      <c r="AC3017" s="74"/>
      <c r="AD3017" s="53">
        <f>P_2_minQ+(AD3014^2*R_dn)-dpdn_minQ</f>
        <v>92.031300414167404</v>
      </c>
      <c r="AE3017" s="45"/>
      <c r="AF3017" s="74"/>
      <c r="AG3017" s="53">
        <f>P_2_minQ+(AG3014^2*R_dn)-dpdn_minQ</f>
        <v>174.00691516442041</v>
      </c>
      <c r="AH3017" s="45"/>
      <c r="AI3017" s="74"/>
      <c r="AJ3017" s="53">
        <f>P_2_minQ+(AJ3014^2*R_dn)-dpdn_minQ</f>
        <v>290.6345315587497</v>
      </c>
      <c r="AK3017" s="45"/>
      <c r="AL3017" s="74"/>
      <c r="AM3017" s="53">
        <f>P_2_minQ+(AM3014^2*R_dn)-dpdn_minQ</f>
        <v>420.66141246044151</v>
      </c>
      <c r="AN3017" s="45"/>
      <c r="AO3017" s="74"/>
      <c r="AP3017" s="53">
        <f>P_2_minQ+(AP3014^2*R_dn)-dpdn_minQ</f>
        <v>558.41119733366986</v>
      </c>
      <c r="AQ3017" s="45"/>
      <c r="AR3017" s="74"/>
      <c r="AS3017" s="53">
        <f>P_2_minQ+(AS3014^2*R_dn)-dpdn_minQ</f>
        <v>716.00556224389561</v>
      </c>
      <c r="AT3017" s="45"/>
      <c r="AU3017" s="74"/>
    </row>
    <row r="3018" spans="15:47" x14ac:dyDescent="0.25">
      <c r="O3018" s="6" t="s">
        <v>243</v>
      </c>
      <c r="Q3018" s="60"/>
      <c r="R3018" s="53">
        <f>R3016-R3017</f>
        <v>31.070278600824761</v>
      </c>
      <c r="S3018" s="56"/>
      <c r="T3018" s="72"/>
      <c r="U3018" s="64">
        <f>U3016-U3017</f>
        <v>25.144464679929321</v>
      </c>
      <c r="V3018" s="44"/>
      <c r="W3018" s="72"/>
      <c r="X3018" s="64">
        <f>X3016-X3017</f>
        <v>-8.7356406377081832</v>
      </c>
      <c r="Y3018" s="44"/>
      <c r="Z3018" s="72"/>
      <c r="AA3018" s="64">
        <f>AA3016-AA3017</f>
        <v>-117.19534106420075</v>
      </c>
      <c r="AB3018" s="44"/>
      <c r="AC3018" s="72"/>
      <c r="AD3018" s="64">
        <f>AD3016-AD3017</f>
        <v>-371.98780248500447</v>
      </c>
      <c r="AE3018" s="44"/>
      <c r="AF3018" s="72"/>
      <c r="AG3018" s="64">
        <f>AG3016-AG3017</f>
        <v>-863.84149098652233</v>
      </c>
      <c r="AH3018" s="44"/>
      <c r="AI3018" s="72"/>
      <c r="AJ3018" s="64">
        <f>AJ3016-AJ3017</f>
        <v>-1563.6071893524986</v>
      </c>
      <c r="AK3018" s="44"/>
      <c r="AL3018" s="72"/>
      <c r="AM3018" s="64">
        <f>AM3016-AM3017</f>
        <v>-2343.7684747626495</v>
      </c>
      <c r="AN3018" s="44"/>
      <c r="AO3018" s="72"/>
      <c r="AP3018" s="64">
        <f>AP3016-AP3017</f>
        <v>-3170.2671840020193</v>
      </c>
      <c r="AQ3018" s="44"/>
      <c r="AR3018" s="72"/>
      <c r="AS3018" s="64">
        <f>AS3016-AS3017</f>
        <v>-4115.8333734633743</v>
      </c>
      <c r="AT3018" s="44"/>
      <c r="AU3018" s="72"/>
    </row>
    <row r="3019" spans="15:47" ht="13" x14ac:dyDescent="0.3">
      <c r="O3019" s="6" t="s">
        <v>75</v>
      </c>
      <c r="P3019" s="6">
        <v>3</v>
      </c>
      <c r="Q3019" s="65"/>
      <c r="R3019" s="85">
        <f>(F_LP_h/F_P_h)^2*(R3016-('Valve Sizing'!$V$4*'Valve Sizing'!$G$7))</f>
        <v>45.944636898077718</v>
      </c>
      <c r="S3019" s="58"/>
      <c r="T3019" s="73"/>
      <c r="U3019" s="53">
        <f>(U$29/U$27)^2*(U3016-('Valve Sizing'!$V$4*'Valve Sizing'!$G$7))</f>
        <v>41.844157989774928</v>
      </c>
      <c r="V3019" s="41"/>
      <c r="W3019" s="73"/>
      <c r="X3019" s="53">
        <f>(X$29/X$27)^2*(X3016-('Valve Sizing'!$V$4*'Valve Sizing'!$G$7))</f>
        <v>18.055108864236502</v>
      </c>
      <c r="Y3019" s="41"/>
      <c r="Z3019" s="73"/>
      <c r="AA3019" s="53">
        <f>(AA$29/AA$27)^2*(AA3016-('Valve Sizing'!$V$4*'Valve Sizing'!$G$7))</f>
        <v>-52.603927070804872</v>
      </c>
      <c r="AB3019" s="41"/>
      <c r="AC3019" s="73"/>
      <c r="AD3019" s="53">
        <f>(AD$29/AD$27)^2*(AD3016-('Valve Sizing'!$V$4*'Valve Sizing'!$G$7))</f>
        <v>-202.2184678997277</v>
      </c>
      <c r="AE3019" s="41"/>
      <c r="AF3019" s="73"/>
      <c r="AG3019" s="53">
        <f>(AG$29/AG$27)^2*(AG3016-('Valve Sizing'!$V$4*'Valve Sizing'!$G$7))</f>
        <v>-444.56720235504991</v>
      </c>
      <c r="AH3019" s="41"/>
      <c r="AI3019" s="73"/>
      <c r="AJ3019" s="53">
        <f>(AJ$29/AJ$27)^2*(AJ3016-('Valve Sizing'!$V$4*'Valve Sizing'!$G$7))</f>
        <v>-736.49649877454533</v>
      </c>
      <c r="AK3019" s="41"/>
      <c r="AL3019" s="73"/>
      <c r="AM3019" s="53">
        <f>(AM$29/AM$27)^2*(AM3016-('Valve Sizing'!$V$4*'Valve Sizing'!$G$7))</f>
        <v>-920.36372478112185</v>
      </c>
      <c r="AN3019" s="41"/>
      <c r="AO3019" s="73"/>
      <c r="AP3019" s="53">
        <f>(AP$29/AP$27)^2*(AP3016-('Valve Sizing'!$V$4*'Valve Sizing'!$G$7))</f>
        <v>-1030.8821000977296</v>
      </c>
      <c r="AQ3019" s="41"/>
      <c r="AR3019" s="73"/>
      <c r="AS3019" s="53">
        <f>(AS$29/AS$27)^2*(AS3016-('Valve Sizing'!$V$4*'Valve Sizing'!$G$7))</f>
        <v>-1278.979456369399</v>
      </c>
      <c r="AT3019" s="41"/>
      <c r="AU3019" s="73"/>
    </row>
    <row r="3020" spans="15:47" ht="13" x14ac:dyDescent="0.25">
      <c r="O3020" s="1" t="s">
        <v>69</v>
      </c>
      <c r="P3020" s="17">
        <v>7</v>
      </c>
      <c r="Q3020" s="65"/>
      <c r="R3020" s="53">
        <f>(R3014/(N_1*F_P_h))*SQRT('Valve Sizing'!$G$6/R3018)</f>
        <v>30.734594625527656</v>
      </c>
      <c r="S3020" s="58"/>
      <c r="T3020" s="73"/>
      <c r="U3020" s="64">
        <f>(U3014/(N_1*U$27))*SQRT('Valve Sizing'!$G$6/U3018)</f>
        <v>83.629148071005801</v>
      </c>
      <c r="V3020" s="41"/>
      <c r="W3020" s="73"/>
      <c r="X3020" s="64" t="e">
        <f>(X3014/(N_1*X$27))*SQRT('Valve Sizing'!$G$6/X3018)</f>
        <v>#NUM!</v>
      </c>
      <c r="Y3020" s="41"/>
      <c r="Z3020" s="73"/>
      <c r="AA3020" s="64" t="e">
        <f>(AA3014/(N_1*AA$27))*SQRT('Valve Sizing'!$G$6/AA3018)</f>
        <v>#NUM!</v>
      </c>
      <c r="AB3020" s="41"/>
      <c r="AC3020" s="73"/>
      <c r="AD3020" s="64" t="e">
        <f>(AD3014/(N_1*AD$27))*SQRT('Valve Sizing'!$G$6/AD3018)</f>
        <v>#NUM!</v>
      </c>
      <c r="AE3020" s="41"/>
      <c r="AF3020" s="73"/>
      <c r="AG3020" s="64" t="e">
        <f>(AG3014/(N_1*AG$27))*SQRT('Valve Sizing'!$G$6/AG3018)</f>
        <v>#NUM!</v>
      </c>
      <c r="AH3020" s="41"/>
      <c r="AI3020" s="73"/>
      <c r="AJ3020" s="64" t="e">
        <f>(AJ3014/(N_1*AJ$27))*SQRT('Valve Sizing'!$G$6/AJ3018)</f>
        <v>#NUM!</v>
      </c>
      <c r="AK3020" s="41"/>
      <c r="AL3020" s="73"/>
      <c r="AM3020" s="64" t="e">
        <f>(AM3014/(N_1*AM$27))*SQRT('Valve Sizing'!$G$6/AM3018)</f>
        <v>#NUM!</v>
      </c>
      <c r="AN3020" s="41"/>
      <c r="AO3020" s="73"/>
      <c r="AP3020" s="64" t="e">
        <f>(AP3014/(N_1*AP$27))*SQRT('Valve Sizing'!$G$6/AP3018)</f>
        <v>#NUM!</v>
      </c>
      <c r="AQ3020" s="41"/>
      <c r="AR3020" s="73"/>
      <c r="AS3020" s="64" t="e">
        <f>(AS3014/(N_1*AS$27))*SQRT('Valve Sizing'!$G$6/AS3018)</f>
        <v>#NUM!</v>
      </c>
      <c r="AT3020" s="41"/>
      <c r="AU3020" s="73"/>
    </row>
    <row r="3021" spans="15:47" ht="13" x14ac:dyDescent="0.3">
      <c r="O3021" s="1" t="s">
        <v>72</v>
      </c>
      <c r="P3021" s="17">
        <v>7</v>
      </c>
      <c r="Q3021" s="65"/>
      <c r="R3021" s="53">
        <f>(R3014/(N_1*F_P_h))*SQRT('Valve Sizing'!$G$6/R3019)</f>
        <v>25.274504568500152</v>
      </c>
      <c r="S3021" s="56"/>
      <c r="T3021" s="72"/>
      <c r="U3021" s="85">
        <f>(U3014/(N_1*U$27))*SQRT('Valve Sizing'!$G$6/U3019)</f>
        <v>64.827825296521965</v>
      </c>
      <c r="V3021" s="44"/>
      <c r="W3021" s="72"/>
      <c r="X3021" s="85">
        <f>(X3014/(N_1*X$27))*SQRT('Valve Sizing'!$G$6/X3019)</f>
        <v>237.42932294963927</v>
      </c>
      <c r="Y3021" s="44"/>
      <c r="Z3021" s="72"/>
      <c r="AA3021" s="85" t="e">
        <f>(AA3014/(N_1*AA$27))*SQRT('Valve Sizing'!$G$6/AA3019)</f>
        <v>#NUM!</v>
      </c>
      <c r="AB3021" s="44"/>
      <c r="AC3021" s="72"/>
      <c r="AD3021" s="85" t="e">
        <f>(AD3014/(N_1*AD$27))*SQRT('Valve Sizing'!$G$6/AD3019)</f>
        <v>#NUM!</v>
      </c>
      <c r="AE3021" s="44"/>
      <c r="AF3021" s="72"/>
      <c r="AG3021" s="85" t="e">
        <f>(AG3014/(N_1*AG$27))*SQRT('Valve Sizing'!$G$6/AG3019)</f>
        <v>#NUM!</v>
      </c>
      <c r="AH3021" s="44"/>
      <c r="AI3021" s="72"/>
      <c r="AJ3021" s="85" t="e">
        <f>(AJ3014/(N_1*AJ$27))*SQRT('Valve Sizing'!$G$6/AJ3019)</f>
        <v>#NUM!</v>
      </c>
      <c r="AK3021" s="44"/>
      <c r="AL3021" s="72"/>
      <c r="AM3021" s="85" t="e">
        <f>(AM3014/(N_1*AM$27))*SQRT('Valve Sizing'!$G$6/AM3019)</f>
        <v>#NUM!</v>
      </c>
      <c r="AN3021" s="44"/>
      <c r="AO3021" s="72"/>
      <c r="AP3021" s="85" t="e">
        <f>(AP3014/(N_1*AP$27))*SQRT('Valve Sizing'!$G$6/AP3019)</f>
        <v>#NUM!</v>
      </c>
      <c r="AQ3021" s="44"/>
      <c r="AR3021" s="72"/>
      <c r="AS3021" s="85" t="e">
        <f>(AS3014/(N_1*AS$27))*SQRT('Valve Sizing'!$G$6/AS3019)</f>
        <v>#NUM!</v>
      </c>
      <c r="AT3021" s="44"/>
      <c r="AU3021" s="72"/>
    </row>
    <row r="3022" spans="15:47" x14ac:dyDescent="0.25">
      <c r="O3022" s="1" t="s">
        <v>246</v>
      </c>
      <c r="P3022" s="18"/>
      <c r="Q3022" s="65"/>
      <c r="R3022" s="53">
        <f>IF(R3018&lt;R3019,R3020,R3021)</f>
        <v>30.734594625527656</v>
      </c>
      <c r="S3022" s="49"/>
      <c r="T3022" s="72"/>
      <c r="U3022" s="64">
        <f>IF(U3018&lt;U3019,U3020,U3021)</f>
        <v>83.629148071005801</v>
      </c>
      <c r="V3022" s="44"/>
      <c r="W3022" s="72"/>
      <c r="X3022" s="64" t="e">
        <f>IF(X3018&lt;X3019,X3020,X3021)</f>
        <v>#NUM!</v>
      </c>
      <c r="Y3022" s="44"/>
      <c r="Z3022" s="72"/>
      <c r="AA3022" s="64" t="e">
        <f>IF(AA3018&lt;AA3019,AA3020,AA3021)</f>
        <v>#NUM!</v>
      </c>
      <c r="AB3022" s="44"/>
      <c r="AC3022" s="72"/>
      <c r="AD3022" s="64" t="e">
        <f>IF(AD3018&lt;AD3019,AD3020,AD3021)</f>
        <v>#NUM!</v>
      </c>
      <c r="AE3022" s="44"/>
      <c r="AF3022" s="72"/>
      <c r="AG3022" s="64" t="e">
        <f>IF(AG3018&lt;AG3019,AG3020,AG3021)</f>
        <v>#NUM!</v>
      </c>
      <c r="AH3022" s="44"/>
      <c r="AI3022" s="72"/>
      <c r="AJ3022" s="64" t="e">
        <f>IF(AJ3018&lt;AJ3019,AJ3020,AJ3021)</f>
        <v>#NUM!</v>
      </c>
      <c r="AK3022" s="44"/>
      <c r="AL3022" s="72"/>
      <c r="AM3022" s="64" t="e">
        <f>IF(AM3018&lt;AM3019,AM3020,AM3021)</f>
        <v>#NUM!</v>
      </c>
      <c r="AN3022" s="44"/>
      <c r="AO3022" s="72"/>
      <c r="AP3022" s="64" t="e">
        <f>IF(AP3018&lt;AP3019,AP3020,AP3021)</f>
        <v>#NUM!</v>
      </c>
      <c r="AQ3022" s="44"/>
      <c r="AR3022" s="72"/>
      <c r="AS3022" s="64" t="e">
        <f>IF(AS3018&lt;AS3019,AS3020,AS3021)</f>
        <v>#NUM!</v>
      </c>
      <c r="AT3022" s="44"/>
      <c r="AU3022" s="72"/>
    </row>
    <row r="3023" spans="15:47" ht="13" x14ac:dyDescent="0.3">
      <c r="O3023" s="7" t="s">
        <v>264</v>
      </c>
      <c r="Q3023" s="61"/>
      <c r="R3023" s="53"/>
      <c r="S3023" s="69">
        <f>IFERROR(ABS(C_h-R3022),Q_max*10)</f>
        <v>25.734594625527656</v>
      </c>
      <c r="T3023" s="76">
        <f>R3014</f>
        <v>171.29178475527922</v>
      </c>
      <c r="U3023" s="61"/>
      <c r="V3023" s="69">
        <f>IFERROR(ABS(U$23-U3022),Q_max*10)</f>
        <v>71.629148071005801</v>
      </c>
      <c r="W3023" s="75">
        <f>U3014</f>
        <v>418.99920527698379</v>
      </c>
      <c r="X3023" s="61"/>
      <c r="Y3023" s="69">
        <f>IFERROR(ABS(X$23-X3022),Q_max*10)</f>
        <v>5500</v>
      </c>
      <c r="Z3023" s="75">
        <f>X3014</f>
        <v>1005.7593811322117</v>
      </c>
      <c r="AA3023" s="61"/>
      <c r="AB3023" s="69">
        <f>IFERROR(ABS(AA$23-AA3022),Q_max*10)</f>
        <v>5500</v>
      </c>
      <c r="AC3023" s="75">
        <f>AA3014</f>
        <v>1920.363257500818</v>
      </c>
      <c r="AD3023" s="61"/>
      <c r="AE3023" s="69">
        <f>IFERROR(ABS(AD$23-AD3022),Q_max*10)</f>
        <v>5500</v>
      </c>
      <c r="AF3023" s="75">
        <f>AD3014</f>
        <v>3158.2905227856231</v>
      </c>
      <c r="AG3023" s="61"/>
      <c r="AH3023" s="69">
        <f>IFERROR(ABS(AG$23-AG3022),Q_max*10)</f>
        <v>5500</v>
      </c>
      <c r="AI3023" s="75">
        <f>AG3014</f>
        <v>4702.2642195108983</v>
      </c>
      <c r="AJ3023" s="61"/>
      <c r="AK3023" s="69">
        <f>IFERROR(ABS(AJ$23-AJ3022),Q_max*10)</f>
        <v>5500</v>
      </c>
      <c r="AL3023" s="75">
        <f>AJ3014</f>
        <v>6275.1898295806877</v>
      </c>
      <c r="AM3023" s="61"/>
      <c r="AN3023" s="69">
        <f>IFERROR(ABS(AM$23-AM3022),Q_max*10)</f>
        <v>5500</v>
      </c>
      <c r="AO3023" s="75">
        <f>AM3014</f>
        <v>7656.9241288371386</v>
      </c>
      <c r="AP3023" s="61"/>
      <c r="AQ3023" s="69">
        <f>IFERROR(ABS(AP$23-AP3022),Q_max*10)</f>
        <v>5500</v>
      </c>
      <c r="AR3023" s="75">
        <f>AP3014</f>
        <v>8889.4512072033904</v>
      </c>
      <c r="AS3023" s="61"/>
      <c r="AT3023" s="69">
        <f>IFERROR(ABS(AS$23-AS3022),Q_max*10)</f>
        <v>5500</v>
      </c>
      <c r="AU3023" s="75">
        <f>AS3014</f>
        <v>10117.024685657772</v>
      </c>
    </row>
    <row r="3024" spans="15:47" ht="14.5" x14ac:dyDescent="0.35">
      <c r="O3024" s="8"/>
      <c r="P3024" s="6"/>
      <c r="Q3024" s="60"/>
      <c r="R3024" s="67"/>
      <c r="S3024" s="56"/>
      <c r="T3024" s="72"/>
      <c r="V3024" s="11"/>
      <c r="W3024" s="38"/>
      <c r="Y3024" s="11"/>
      <c r="Z3024" s="38"/>
      <c r="AB3024" s="11"/>
      <c r="AC3024" s="38"/>
      <c r="AE3024" s="11"/>
      <c r="AF3024" s="38"/>
      <c r="AH3024" s="11"/>
      <c r="AI3024" s="38"/>
      <c r="AK3024" s="11"/>
      <c r="AL3024" s="38"/>
      <c r="AN3024" s="11"/>
      <c r="AO3024" s="38"/>
      <c r="AQ3024" s="11"/>
      <c r="AR3024" s="38"/>
      <c r="AT3024" s="11"/>
      <c r="AU3024" s="38"/>
    </row>
    <row r="3025" spans="15:47" ht="14" x14ac:dyDescent="0.3">
      <c r="O3025" s="8" t="s">
        <v>235</v>
      </c>
      <c r="P3025" s="6"/>
      <c r="Q3025" s="60"/>
      <c r="R3025" s="53">
        <f>R3014*1.02</f>
        <v>174.7176204503848</v>
      </c>
      <c r="S3025" s="58" t="s">
        <v>238</v>
      </c>
      <c r="T3025" s="73" t="s">
        <v>241</v>
      </c>
      <c r="U3025" s="84">
        <f>U3014*1.01</f>
        <v>423.18919732975365</v>
      </c>
      <c r="V3025" s="58" t="s">
        <v>238</v>
      </c>
      <c r="W3025" s="73" t="s">
        <v>241</v>
      </c>
      <c r="X3025" s="84">
        <f>X3014*1.01</f>
        <v>1015.8169749435339</v>
      </c>
      <c r="Y3025" s="58" t="s">
        <v>238</v>
      </c>
      <c r="Z3025" s="73" t="s">
        <v>241</v>
      </c>
      <c r="AA3025" s="84">
        <f>AA3014*1.01</f>
        <v>1939.5668900758262</v>
      </c>
      <c r="AB3025" s="58" t="s">
        <v>238</v>
      </c>
      <c r="AC3025" s="73" t="s">
        <v>241</v>
      </c>
      <c r="AD3025" s="84">
        <f>AD3014*1.01</f>
        <v>3189.8734280134795</v>
      </c>
      <c r="AE3025" s="58" t="s">
        <v>238</v>
      </c>
      <c r="AF3025" s="73" t="s">
        <v>241</v>
      </c>
      <c r="AG3025" s="84">
        <f>AG3014*1.01</f>
        <v>4749.2868617060076</v>
      </c>
      <c r="AH3025" s="58" t="s">
        <v>238</v>
      </c>
      <c r="AI3025" s="73" t="s">
        <v>241</v>
      </c>
      <c r="AJ3025" s="84">
        <f>AJ3014*1.01</f>
        <v>6337.941727876495</v>
      </c>
      <c r="AK3025" s="58" t="s">
        <v>238</v>
      </c>
      <c r="AL3025" s="73" t="s">
        <v>241</v>
      </c>
      <c r="AM3025" s="84">
        <f>AM3014*1.01</f>
        <v>7733.4933701255104</v>
      </c>
      <c r="AN3025" s="58" t="s">
        <v>238</v>
      </c>
      <c r="AO3025" s="73" t="s">
        <v>241</v>
      </c>
      <c r="AP3025" s="84">
        <f>AP3014*1.01</f>
        <v>8978.3457192754249</v>
      </c>
      <c r="AQ3025" s="58" t="s">
        <v>238</v>
      </c>
      <c r="AR3025" s="73" t="s">
        <v>241</v>
      </c>
      <c r="AS3025" s="84">
        <f>AS3014*1.01</f>
        <v>10218.194932514351</v>
      </c>
      <c r="AT3025" s="58" t="s">
        <v>238</v>
      </c>
      <c r="AU3025" s="73" t="s">
        <v>241</v>
      </c>
    </row>
    <row r="3026" spans="15:47" ht="13" x14ac:dyDescent="0.25">
      <c r="O3026" s="6"/>
      <c r="P3026" s="6"/>
      <c r="Q3026" s="60"/>
      <c r="R3026" s="70"/>
      <c r="S3026" s="63" t="s">
        <v>250</v>
      </c>
      <c r="T3026" s="71" t="s">
        <v>242</v>
      </c>
      <c r="U3026" s="61"/>
      <c r="V3026" s="63" t="s">
        <v>250</v>
      </c>
      <c r="W3026" s="71" t="s">
        <v>242</v>
      </c>
      <c r="X3026" s="61"/>
      <c r="Y3026" s="63" t="s">
        <v>250</v>
      </c>
      <c r="Z3026" s="71" t="s">
        <v>242</v>
      </c>
      <c r="AA3026" s="61"/>
      <c r="AB3026" s="63" t="s">
        <v>250</v>
      </c>
      <c r="AC3026" s="71" t="s">
        <v>242</v>
      </c>
      <c r="AD3026" s="61"/>
      <c r="AE3026" s="63" t="s">
        <v>250</v>
      </c>
      <c r="AF3026" s="71" t="s">
        <v>242</v>
      </c>
      <c r="AG3026" s="61"/>
      <c r="AH3026" s="63" t="s">
        <v>250</v>
      </c>
      <c r="AI3026" s="71" t="s">
        <v>242</v>
      </c>
      <c r="AJ3026" s="61"/>
      <c r="AK3026" s="63" t="s">
        <v>250</v>
      </c>
      <c r="AL3026" s="71" t="s">
        <v>242</v>
      </c>
      <c r="AM3026" s="61"/>
      <c r="AN3026" s="63" t="s">
        <v>250</v>
      </c>
      <c r="AO3026" s="71" t="s">
        <v>242</v>
      </c>
      <c r="AP3026" s="61"/>
      <c r="AQ3026" s="63" t="s">
        <v>250</v>
      </c>
      <c r="AR3026" s="71" t="s">
        <v>242</v>
      </c>
      <c r="AS3026" s="61"/>
      <c r="AT3026" s="63" t="s">
        <v>250</v>
      </c>
      <c r="AU3026" s="71" t="s">
        <v>242</v>
      </c>
    </row>
    <row r="3027" spans="15:47" ht="13" x14ac:dyDescent="0.3">
      <c r="O3027" s="6" t="s">
        <v>231</v>
      </c>
      <c r="P3027" s="6"/>
      <c r="Q3027" s="60"/>
      <c r="R3027" s="85">
        <f>P_1_minQ-(R3025^2*R_up)+dpup_minQ</f>
        <v>55.88519936184246</v>
      </c>
      <c r="S3027" s="56"/>
      <c r="T3027" s="72"/>
      <c r="U3027" s="53">
        <f>P_1_minQ-(U3025^2*R_up)+dpup_minQ</f>
        <v>50.867879205113098</v>
      </c>
      <c r="V3027" s="44"/>
      <c r="W3027" s="72"/>
      <c r="X3027" s="53">
        <f>P_1_minQ-(X3025^2*R_up)+dpup_minQ</f>
        <v>22.066966343011412</v>
      </c>
      <c r="Y3027" s="44"/>
      <c r="Z3027" s="72"/>
      <c r="AA3027" s="53">
        <f>P_1_minQ-(AA3025^2*R_up)+dpup_minQ</f>
        <v>-70.132817327876126</v>
      </c>
      <c r="AB3027" s="44"/>
      <c r="AC3027" s="72"/>
      <c r="AD3027" s="53">
        <f>P_1_minQ-(AD3025^2*R_up)+dpup_minQ</f>
        <v>-286.72764224067777</v>
      </c>
      <c r="AE3027" s="44"/>
      <c r="AF3027" s="72"/>
      <c r="AG3027" s="53">
        <f>P_1_minQ-(AG3025^2*R_up)+dpup_minQ</f>
        <v>-704.844265274343</v>
      </c>
      <c r="AH3027" s="44"/>
      <c r="AI3027" s="72"/>
      <c r="AJ3027" s="53">
        <f>P_1_minQ-(AJ3025^2*R_up)+dpup_minQ</f>
        <v>-1299.70342269362</v>
      </c>
      <c r="AK3027" s="44"/>
      <c r="AL3027" s="72"/>
      <c r="AM3027" s="53">
        <f>P_1_minQ-(AM3025^2*R_up)+dpup_minQ</f>
        <v>-1962.9055287326994</v>
      </c>
      <c r="AN3027" s="44"/>
      <c r="AO3027" s="72"/>
      <c r="AP3027" s="53">
        <f>P_1_minQ-(AP3025^2*R_up)+dpup_minQ</f>
        <v>-2665.4983064786006</v>
      </c>
      <c r="AQ3027" s="44"/>
      <c r="AR3027" s="72"/>
      <c r="AS3027" s="53">
        <f>P_1_minQ-(AS3025^2*R_up)+dpup_minQ</f>
        <v>-3469.3083647032067</v>
      </c>
      <c r="AT3027" s="44"/>
      <c r="AU3027" s="72"/>
    </row>
    <row r="3028" spans="15:47" ht="13" x14ac:dyDescent="0.3">
      <c r="O3028" s="6" t="s">
        <v>233</v>
      </c>
      <c r="P3028" s="6"/>
      <c r="Q3028" s="60"/>
      <c r="R3028" s="85">
        <f>P_2_minQ+(R3025^2*R_dn)-dpdn_minQ</f>
        <v>24.86296012763151</v>
      </c>
      <c r="S3028" s="66"/>
      <c r="T3028" s="74"/>
      <c r="U3028" s="53">
        <f>P_2_minQ+(U3025^2*R_dn)-dpdn_minQ</f>
        <v>25.866424158977381</v>
      </c>
      <c r="V3028" s="45"/>
      <c r="W3028" s="74"/>
      <c r="X3028" s="53">
        <f>P_2_minQ+(X3025^2*R_dn)-dpdn_minQ</f>
        <v>31.626606731397718</v>
      </c>
      <c r="Y3028" s="45"/>
      <c r="Z3028" s="74"/>
      <c r="AA3028" s="53">
        <f>P_2_minQ+(AA3025^2*R_dn)-dpdn_minQ</f>
        <v>50.066563465575229</v>
      </c>
      <c r="AB3028" s="45"/>
      <c r="AC3028" s="74"/>
      <c r="AD3028" s="53">
        <f>P_2_minQ+(AD3025^2*R_dn)-dpdn_minQ</f>
        <v>93.385528448135545</v>
      </c>
      <c r="AE3028" s="45"/>
      <c r="AF3028" s="74"/>
      <c r="AG3028" s="53">
        <f>P_2_minQ+(AG3025^2*R_dn)-dpdn_minQ</f>
        <v>177.00885305486864</v>
      </c>
      <c r="AH3028" s="45"/>
      <c r="AI3028" s="74"/>
      <c r="AJ3028" s="53">
        <f>P_2_minQ+(AJ3025^2*R_dn)-dpdn_minQ</f>
        <v>295.98068453872395</v>
      </c>
      <c r="AK3028" s="45"/>
      <c r="AL3028" s="74"/>
      <c r="AM3028" s="53">
        <f>P_2_minQ+(AM3025^2*R_dn)-dpdn_minQ</f>
        <v>428.6211057465398</v>
      </c>
      <c r="AN3028" s="45"/>
      <c r="AO3028" s="74"/>
      <c r="AP3028" s="53">
        <f>P_2_minQ+(AP3025^2*R_dn)-dpdn_minQ</f>
        <v>569.13966129572009</v>
      </c>
      <c r="AQ3028" s="45"/>
      <c r="AR3028" s="74"/>
      <c r="AS3028" s="53">
        <f>P_2_minQ+(AS3025^2*R_dn)-dpdn_minQ</f>
        <v>729.90167294064133</v>
      </c>
      <c r="AT3028" s="45"/>
      <c r="AU3028" s="74"/>
    </row>
    <row r="3029" spans="15:47" x14ac:dyDescent="0.25">
      <c r="O3029" s="6" t="s">
        <v>243</v>
      </c>
      <c r="Q3029" s="60"/>
      <c r="R3029" s="53">
        <f>R3027-R3028</f>
        <v>31.02223923421095</v>
      </c>
      <c r="S3029" s="56"/>
      <c r="T3029" s="72"/>
      <c r="U3029" s="64">
        <f>U3027-U3028</f>
        <v>25.001455046135717</v>
      </c>
      <c r="V3029" s="44"/>
      <c r="W3029" s="72"/>
      <c r="X3029" s="64">
        <f>X3027-X3028</f>
        <v>-9.5596403883863061</v>
      </c>
      <c r="Y3029" s="44"/>
      <c r="Z3029" s="72"/>
      <c r="AA3029" s="64">
        <f>AA3027-AA3028</f>
        <v>-120.19938079345135</v>
      </c>
      <c r="AB3029" s="44"/>
      <c r="AC3029" s="72"/>
      <c r="AD3029" s="64">
        <f>AD3027-AD3028</f>
        <v>-380.11317068881328</v>
      </c>
      <c r="AE3029" s="44"/>
      <c r="AF3029" s="72"/>
      <c r="AG3029" s="64">
        <f>AG3027-AG3028</f>
        <v>-881.85311832921161</v>
      </c>
      <c r="AH3029" s="44"/>
      <c r="AI3029" s="72"/>
      <c r="AJ3029" s="64">
        <f>AJ3027-AJ3028</f>
        <v>-1595.6841072323441</v>
      </c>
      <c r="AK3029" s="44"/>
      <c r="AL3029" s="72"/>
      <c r="AM3029" s="64">
        <f>AM3027-AM3028</f>
        <v>-2391.526634479239</v>
      </c>
      <c r="AN3029" s="44"/>
      <c r="AO3029" s="72"/>
      <c r="AP3029" s="64">
        <f>AP3027-AP3028</f>
        <v>-3234.6379677743207</v>
      </c>
      <c r="AQ3029" s="44"/>
      <c r="AR3029" s="72"/>
      <c r="AS3029" s="64">
        <f>AS3027-AS3028</f>
        <v>-4199.2100376438484</v>
      </c>
      <c r="AT3029" s="44"/>
      <c r="AU3029" s="72"/>
    </row>
    <row r="3030" spans="15:47" ht="13" x14ac:dyDescent="0.3">
      <c r="O3030" s="6" t="s">
        <v>75</v>
      </c>
      <c r="P3030" s="6">
        <v>3</v>
      </c>
      <c r="Q3030" s="65"/>
      <c r="R3030" s="85">
        <f>(F_LP_h/F_P_h)^2*(R3027-('Valve Sizing'!$V$4*'Valve Sizing'!$G$7))</f>
        <v>45.911487633794678</v>
      </c>
      <c r="S3030" s="58"/>
      <c r="T3030" s="73"/>
      <c r="U3030" s="53">
        <f>(U$29/U$27)^2*(U3027-('Valve Sizing'!$V$4*'Valve Sizing'!$G$7))</f>
        <v>41.745501983867506</v>
      </c>
      <c r="V3030" s="41"/>
      <c r="W3030" s="73"/>
      <c r="X3030" s="53">
        <f>(X$29/X$27)^2*(X3027-('Valve Sizing'!$V$4*'Valve Sizing'!$G$7))</f>
        <v>17.499490251129387</v>
      </c>
      <c r="Y3030" s="41"/>
      <c r="Z3030" s="73"/>
      <c r="AA3030" s="53">
        <f>(AA$29/AA$27)^2*(AA3027-('Valve Sizing'!$V$4*'Valve Sizing'!$G$7))</f>
        <v>-54.53852170047147</v>
      </c>
      <c r="AB3030" s="41"/>
      <c r="AC3030" s="73"/>
      <c r="AD3030" s="53">
        <f>(AD$29/AD$27)^2*(AD3027-('Valve Sizing'!$V$4*'Valve Sizing'!$G$7))</f>
        <v>-207.10172892243827</v>
      </c>
      <c r="AE3030" s="41"/>
      <c r="AF3030" s="73"/>
      <c r="AG3030" s="53">
        <f>(AG$29/AG$27)^2*(AG3027-('Valve Sizing'!$V$4*'Valve Sizing'!$G$7))</f>
        <v>-454.23410205590261</v>
      </c>
      <c r="AH3030" s="41"/>
      <c r="AI3030" s="73"/>
      <c r="AJ3030" s="53">
        <f>(AJ$29/AJ$27)^2*(AJ3027-('Valve Sizing'!$V$4*'Valve Sizing'!$G$7))</f>
        <v>-751.95661984862079</v>
      </c>
      <c r="AK3030" s="41"/>
      <c r="AL3030" s="73"/>
      <c r="AM3030" s="53">
        <f>(AM$29/AM$27)^2*(AM3027-('Valve Sizing'!$V$4*'Valve Sizing'!$G$7))</f>
        <v>-939.40618255314291</v>
      </c>
      <c r="AN3030" s="41"/>
      <c r="AO3030" s="73"/>
      <c r="AP3030" s="53">
        <f>(AP$29/AP$27)^2*(AP3027-('Valve Sizing'!$V$4*'Valve Sizing'!$G$7))</f>
        <v>-1052.0507985765935</v>
      </c>
      <c r="AQ3030" s="41"/>
      <c r="AR3030" s="73"/>
      <c r="AS3030" s="53">
        <f>(AS$29/AS$27)^2*(AS3027-('Valve Sizing'!$V$4*'Valve Sizing'!$G$7))</f>
        <v>-1305.1139269315415</v>
      </c>
      <c r="AT3030" s="41"/>
      <c r="AU3030" s="73"/>
    </row>
    <row r="3031" spans="15:47" ht="13" x14ac:dyDescent="0.25">
      <c r="O3031" s="1" t="s">
        <v>69</v>
      </c>
      <c r="P3031" s="17">
        <v>7</v>
      </c>
      <c r="Q3031" s="65"/>
      <c r="R3031" s="53">
        <f>(R3025/(N_1*F_P_h))*SQRT('Valve Sizing'!$G$6/R3029)</f>
        <v>31.373550035577967</v>
      </c>
      <c r="S3031" s="58"/>
      <c r="T3031" s="73"/>
      <c r="U3031" s="64">
        <f>(U3025/(N_1*U$27))*SQRT('Valve Sizing'!$G$6/U3029)</f>
        <v>84.706668454668787</v>
      </c>
      <c r="V3031" s="41"/>
      <c r="W3031" s="73"/>
      <c r="X3031" s="64" t="e">
        <f>(X3025/(N_1*X$27))*SQRT('Valve Sizing'!$G$6/X3029)</f>
        <v>#NUM!</v>
      </c>
      <c r="Y3031" s="41"/>
      <c r="Z3031" s="73"/>
      <c r="AA3031" s="64" t="e">
        <f>(AA3025/(N_1*AA$27))*SQRT('Valve Sizing'!$G$6/AA3029)</f>
        <v>#NUM!</v>
      </c>
      <c r="AB3031" s="41"/>
      <c r="AC3031" s="73"/>
      <c r="AD3031" s="64" t="e">
        <f>(AD3025/(N_1*AD$27))*SQRT('Valve Sizing'!$G$6/AD3029)</f>
        <v>#NUM!</v>
      </c>
      <c r="AE3031" s="41"/>
      <c r="AF3031" s="73"/>
      <c r="AG3031" s="64" t="e">
        <f>(AG3025/(N_1*AG$27))*SQRT('Valve Sizing'!$G$6/AG3029)</f>
        <v>#NUM!</v>
      </c>
      <c r="AH3031" s="41"/>
      <c r="AI3031" s="73"/>
      <c r="AJ3031" s="64" t="e">
        <f>(AJ3025/(N_1*AJ$27))*SQRT('Valve Sizing'!$G$6/AJ3029)</f>
        <v>#NUM!</v>
      </c>
      <c r="AK3031" s="41"/>
      <c r="AL3031" s="73"/>
      <c r="AM3031" s="64" t="e">
        <f>(AM3025/(N_1*AM$27))*SQRT('Valve Sizing'!$G$6/AM3029)</f>
        <v>#NUM!</v>
      </c>
      <c r="AN3031" s="41"/>
      <c r="AO3031" s="73"/>
      <c r="AP3031" s="64" t="e">
        <f>(AP3025/(N_1*AP$27))*SQRT('Valve Sizing'!$G$6/AP3029)</f>
        <v>#NUM!</v>
      </c>
      <c r="AQ3031" s="41"/>
      <c r="AR3031" s="73"/>
      <c r="AS3031" s="64" t="e">
        <f>(AS3025/(N_1*AS$27))*SQRT('Valve Sizing'!$G$6/AS3029)</f>
        <v>#NUM!</v>
      </c>
      <c r="AT3031" s="41"/>
      <c r="AU3031" s="73"/>
    </row>
    <row r="3032" spans="15:47" ht="13" x14ac:dyDescent="0.3">
      <c r="O3032" s="1" t="s">
        <v>72</v>
      </c>
      <c r="P3032" s="17">
        <v>7</v>
      </c>
      <c r="Q3032" s="65"/>
      <c r="R3032" s="53">
        <f>(R3025/(N_1*F_P_h))*SQRT('Valve Sizing'!$G$6/R3030)</f>
        <v>25.789299887138341</v>
      </c>
      <c r="S3032" s="56"/>
      <c r="T3032" s="72"/>
      <c r="U3032" s="85">
        <f>(U3025/(N_1*U$27))*SQRT('Valve Sizing'!$G$6/U3030)</f>
        <v>65.553426837018307</v>
      </c>
      <c r="V3032" s="44"/>
      <c r="W3032" s="72"/>
      <c r="X3032" s="85">
        <f>(X3025/(N_1*X$27))*SQRT('Valve Sizing'!$G$6/X3030)</f>
        <v>243.58081793122756</v>
      </c>
      <c r="Y3032" s="44"/>
      <c r="Z3032" s="72"/>
      <c r="AA3032" s="85" t="e">
        <f>(AA3025/(N_1*AA$27))*SQRT('Valve Sizing'!$G$6/AA3030)</f>
        <v>#NUM!</v>
      </c>
      <c r="AB3032" s="44"/>
      <c r="AC3032" s="72"/>
      <c r="AD3032" s="85" t="e">
        <f>(AD3025/(N_1*AD$27))*SQRT('Valve Sizing'!$G$6/AD3030)</f>
        <v>#NUM!</v>
      </c>
      <c r="AE3032" s="44"/>
      <c r="AF3032" s="72"/>
      <c r="AG3032" s="85" t="e">
        <f>(AG3025/(N_1*AG$27))*SQRT('Valve Sizing'!$G$6/AG3030)</f>
        <v>#NUM!</v>
      </c>
      <c r="AH3032" s="44"/>
      <c r="AI3032" s="72"/>
      <c r="AJ3032" s="85" t="e">
        <f>(AJ3025/(N_1*AJ$27))*SQRT('Valve Sizing'!$G$6/AJ3030)</f>
        <v>#NUM!</v>
      </c>
      <c r="AK3032" s="44"/>
      <c r="AL3032" s="72"/>
      <c r="AM3032" s="85" t="e">
        <f>(AM3025/(N_1*AM$27))*SQRT('Valve Sizing'!$G$6/AM3030)</f>
        <v>#NUM!</v>
      </c>
      <c r="AN3032" s="44"/>
      <c r="AO3032" s="72"/>
      <c r="AP3032" s="85" t="e">
        <f>(AP3025/(N_1*AP$27))*SQRT('Valve Sizing'!$G$6/AP3030)</f>
        <v>#NUM!</v>
      </c>
      <c r="AQ3032" s="44"/>
      <c r="AR3032" s="72"/>
      <c r="AS3032" s="85" t="e">
        <f>(AS3025/(N_1*AS$27))*SQRT('Valve Sizing'!$G$6/AS3030)</f>
        <v>#NUM!</v>
      </c>
      <c r="AT3032" s="44"/>
      <c r="AU3032" s="72"/>
    </row>
    <row r="3033" spans="15:47" x14ac:dyDescent="0.25">
      <c r="O3033" s="1" t="s">
        <v>246</v>
      </c>
      <c r="P3033" s="18"/>
      <c r="Q3033" s="65"/>
      <c r="R3033" s="53">
        <f>IF(R3029&lt;R3030,R3031,R3032)</f>
        <v>31.373550035577967</v>
      </c>
      <c r="S3033" s="49"/>
      <c r="T3033" s="72"/>
      <c r="U3033" s="64">
        <f>IF(U3029&lt;U3030,U3031,U3032)</f>
        <v>84.706668454668787</v>
      </c>
      <c r="V3033" s="44"/>
      <c r="W3033" s="72"/>
      <c r="X3033" s="64" t="e">
        <f>IF(X3029&lt;X3030,X3031,X3032)</f>
        <v>#NUM!</v>
      </c>
      <c r="Y3033" s="44"/>
      <c r="Z3033" s="72"/>
      <c r="AA3033" s="64" t="e">
        <f>IF(AA3029&lt;AA3030,AA3031,AA3032)</f>
        <v>#NUM!</v>
      </c>
      <c r="AB3033" s="44"/>
      <c r="AC3033" s="72"/>
      <c r="AD3033" s="64" t="e">
        <f>IF(AD3029&lt;AD3030,AD3031,AD3032)</f>
        <v>#NUM!</v>
      </c>
      <c r="AE3033" s="44"/>
      <c r="AF3033" s="72"/>
      <c r="AG3033" s="64" t="e">
        <f>IF(AG3029&lt;AG3030,AG3031,AG3032)</f>
        <v>#NUM!</v>
      </c>
      <c r="AH3033" s="44"/>
      <c r="AI3033" s="72"/>
      <c r="AJ3033" s="64" t="e">
        <f>IF(AJ3029&lt;AJ3030,AJ3031,AJ3032)</f>
        <v>#NUM!</v>
      </c>
      <c r="AK3033" s="44"/>
      <c r="AL3033" s="72"/>
      <c r="AM3033" s="64" t="e">
        <f>IF(AM3029&lt;AM3030,AM3031,AM3032)</f>
        <v>#NUM!</v>
      </c>
      <c r="AN3033" s="44"/>
      <c r="AO3033" s="72"/>
      <c r="AP3033" s="64" t="e">
        <f>IF(AP3029&lt;AP3030,AP3031,AP3032)</f>
        <v>#NUM!</v>
      </c>
      <c r="AQ3033" s="44"/>
      <c r="AR3033" s="72"/>
      <c r="AS3033" s="64" t="e">
        <f>IF(AS3029&lt;AS3030,AS3031,AS3032)</f>
        <v>#NUM!</v>
      </c>
      <c r="AT3033" s="44"/>
      <c r="AU3033" s="72"/>
    </row>
    <row r="3034" spans="15:47" ht="13" x14ac:dyDescent="0.3">
      <c r="O3034" s="7" t="s">
        <v>264</v>
      </c>
      <c r="Q3034" s="61"/>
      <c r="R3034" s="53"/>
      <c r="S3034" s="69">
        <f>IFERROR(ABS(C_h-R3033),Q_max*10)</f>
        <v>26.373550035577967</v>
      </c>
      <c r="T3034" s="76">
        <f>R3025</f>
        <v>174.7176204503848</v>
      </c>
      <c r="U3034" s="61"/>
      <c r="V3034" s="69">
        <f>IFERROR(ABS(U$23-U3033),Q_max*10)</f>
        <v>72.706668454668787</v>
      </c>
      <c r="W3034" s="75">
        <f>U3025</f>
        <v>423.18919732975365</v>
      </c>
      <c r="X3034" s="61"/>
      <c r="Y3034" s="69">
        <f>IFERROR(ABS(X$23-X3033),Q_max*10)</f>
        <v>5500</v>
      </c>
      <c r="Z3034" s="75">
        <f>X3025</f>
        <v>1015.8169749435339</v>
      </c>
      <c r="AA3034" s="61"/>
      <c r="AB3034" s="69">
        <f>IFERROR(ABS(AA$23-AA3033),Q_max*10)</f>
        <v>5500</v>
      </c>
      <c r="AC3034" s="75">
        <f>AA3025</f>
        <v>1939.5668900758262</v>
      </c>
      <c r="AD3034" s="61"/>
      <c r="AE3034" s="69">
        <f>IFERROR(ABS(AD$23-AD3033),Q_max*10)</f>
        <v>5500</v>
      </c>
      <c r="AF3034" s="75">
        <f>AD3025</f>
        <v>3189.8734280134795</v>
      </c>
      <c r="AG3034" s="61"/>
      <c r="AH3034" s="69">
        <f>IFERROR(ABS(AG$23-AG3033),Q_max*10)</f>
        <v>5500</v>
      </c>
      <c r="AI3034" s="75">
        <f>AG3025</f>
        <v>4749.2868617060076</v>
      </c>
      <c r="AJ3034" s="61"/>
      <c r="AK3034" s="69">
        <f>IFERROR(ABS(AJ$23-AJ3033),Q_max*10)</f>
        <v>5500</v>
      </c>
      <c r="AL3034" s="75">
        <f>AJ3025</f>
        <v>6337.941727876495</v>
      </c>
      <c r="AM3034" s="61"/>
      <c r="AN3034" s="69">
        <f>IFERROR(ABS(AM$23-AM3033),Q_max*10)</f>
        <v>5500</v>
      </c>
      <c r="AO3034" s="75">
        <f>AM3025</f>
        <v>7733.4933701255104</v>
      </c>
      <c r="AP3034" s="61"/>
      <c r="AQ3034" s="69">
        <f>IFERROR(ABS(AP$23-AP3033),Q_max*10)</f>
        <v>5500</v>
      </c>
      <c r="AR3034" s="75">
        <f>AP3025</f>
        <v>8978.3457192754249</v>
      </c>
      <c r="AS3034" s="61"/>
      <c r="AT3034" s="69">
        <f>IFERROR(ABS(AS$23-AS3033),Q_max*10)</f>
        <v>5500</v>
      </c>
      <c r="AU3034" s="75">
        <f>AS3025</f>
        <v>10218.194932514351</v>
      </c>
    </row>
    <row r="3035" spans="15:47" ht="14.5" x14ac:dyDescent="0.35">
      <c r="O3035" s="6"/>
      <c r="P3035" s="6"/>
      <c r="Q3035" s="60"/>
      <c r="R3035" s="67"/>
      <c r="S3035" s="56"/>
      <c r="T3035" s="72"/>
      <c r="V3035" s="11"/>
      <c r="W3035" s="38"/>
      <c r="Y3035" s="11"/>
      <c r="Z3035" s="38"/>
      <c r="AB3035" s="11"/>
      <c r="AC3035" s="38"/>
      <c r="AE3035" s="11"/>
      <c r="AF3035" s="38"/>
      <c r="AH3035" s="11"/>
      <c r="AI3035" s="38"/>
      <c r="AK3035" s="11"/>
      <c r="AL3035" s="38"/>
      <c r="AN3035" s="11"/>
      <c r="AO3035" s="38"/>
      <c r="AQ3035" s="11"/>
      <c r="AR3035" s="38"/>
      <c r="AT3035" s="11"/>
      <c r="AU3035" s="38"/>
    </row>
    <row r="3036" spans="15:47" ht="14" x14ac:dyDescent="0.3">
      <c r="O3036" s="8" t="s">
        <v>235</v>
      </c>
      <c r="P3036" s="6"/>
      <c r="Q3036" s="60"/>
      <c r="R3036" s="53">
        <f>R3025*1.02</f>
        <v>178.21197285939249</v>
      </c>
      <c r="S3036" s="58" t="s">
        <v>238</v>
      </c>
      <c r="T3036" s="73" t="s">
        <v>241</v>
      </c>
      <c r="U3036" s="84">
        <f>U3025*1.01</f>
        <v>427.42108930305119</v>
      </c>
      <c r="V3036" s="58" t="s">
        <v>238</v>
      </c>
      <c r="W3036" s="73" t="s">
        <v>241</v>
      </c>
      <c r="X3036" s="84">
        <f>X3025*1.01</f>
        <v>1025.9751446929693</v>
      </c>
      <c r="Y3036" s="58" t="s">
        <v>238</v>
      </c>
      <c r="Z3036" s="73" t="s">
        <v>241</v>
      </c>
      <c r="AA3036" s="84">
        <f>AA3025*1.01</f>
        <v>1958.9625589765844</v>
      </c>
      <c r="AB3036" s="58" t="s">
        <v>238</v>
      </c>
      <c r="AC3036" s="73" t="s">
        <v>241</v>
      </c>
      <c r="AD3036" s="84">
        <f>AD3025*1.01</f>
        <v>3221.7721622936142</v>
      </c>
      <c r="AE3036" s="58" t="s">
        <v>238</v>
      </c>
      <c r="AF3036" s="73" t="s">
        <v>241</v>
      </c>
      <c r="AG3036" s="84">
        <f>AG3025*1.01</f>
        <v>4796.7797303230673</v>
      </c>
      <c r="AH3036" s="58" t="s">
        <v>238</v>
      </c>
      <c r="AI3036" s="73" t="s">
        <v>241</v>
      </c>
      <c r="AJ3036" s="84">
        <f>AJ3025*1.01</f>
        <v>6401.3211451552597</v>
      </c>
      <c r="AK3036" s="58" t="s">
        <v>238</v>
      </c>
      <c r="AL3036" s="73" t="s">
        <v>241</v>
      </c>
      <c r="AM3036" s="84">
        <f>AM3025*1.01</f>
        <v>7810.8283038267655</v>
      </c>
      <c r="AN3036" s="58" t="s">
        <v>238</v>
      </c>
      <c r="AO3036" s="73" t="s">
        <v>241</v>
      </c>
      <c r="AP3036" s="84">
        <f>AP3025*1.01</f>
        <v>9068.1291764681791</v>
      </c>
      <c r="AQ3036" s="58" t="s">
        <v>238</v>
      </c>
      <c r="AR3036" s="73" t="s">
        <v>241</v>
      </c>
      <c r="AS3036" s="84">
        <f>AS3025*1.01</f>
        <v>10320.376881839495</v>
      </c>
      <c r="AT3036" s="58" t="s">
        <v>238</v>
      </c>
      <c r="AU3036" s="73" t="s">
        <v>241</v>
      </c>
    </row>
    <row r="3037" spans="15:47" ht="13" x14ac:dyDescent="0.25">
      <c r="O3037" s="6"/>
      <c r="P3037" s="6"/>
      <c r="Q3037" s="60"/>
      <c r="R3037" s="70"/>
      <c r="S3037" s="63" t="s">
        <v>250</v>
      </c>
      <c r="T3037" s="71" t="s">
        <v>242</v>
      </c>
      <c r="U3037" s="61"/>
      <c r="V3037" s="63" t="s">
        <v>250</v>
      </c>
      <c r="W3037" s="71" t="s">
        <v>242</v>
      </c>
      <c r="X3037" s="61"/>
      <c r="Y3037" s="63" t="s">
        <v>250</v>
      </c>
      <c r="Z3037" s="71" t="s">
        <v>242</v>
      </c>
      <c r="AA3037" s="61"/>
      <c r="AB3037" s="63" t="s">
        <v>250</v>
      </c>
      <c r="AC3037" s="71" t="s">
        <v>242</v>
      </c>
      <c r="AD3037" s="61"/>
      <c r="AE3037" s="63" t="s">
        <v>250</v>
      </c>
      <c r="AF3037" s="71" t="s">
        <v>242</v>
      </c>
      <c r="AG3037" s="61"/>
      <c r="AH3037" s="63" t="s">
        <v>250</v>
      </c>
      <c r="AI3037" s="71" t="s">
        <v>242</v>
      </c>
      <c r="AJ3037" s="61"/>
      <c r="AK3037" s="63" t="s">
        <v>250</v>
      </c>
      <c r="AL3037" s="71" t="s">
        <v>242</v>
      </c>
      <c r="AM3037" s="61"/>
      <c r="AN3037" s="63" t="s">
        <v>250</v>
      </c>
      <c r="AO3037" s="71" t="s">
        <v>242</v>
      </c>
      <c r="AP3037" s="61"/>
      <c r="AQ3037" s="63" t="s">
        <v>250</v>
      </c>
      <c r="AR3037" s="71" t="s">
        <v>242</v>
      </c>
      <c r="AS3037" s="61"/>
      <c r="AT3037" s="63" t="s">
        <v>250</v>
      </c>
      <c r="AU3037" s="71" t="s">
        <v>242</v>
      </c>
    </row>
    <row r="3038" spans="15:47" ht="13" x14ac:dyDescent="0.3">
      <c r="O3038" s="6" t="s">
        <v>231</v>
      </c>
      <c r="P3038" s="6"/>
      <c r="Q3038" s="60"/>
      <c r="R3038" s="85">
        <f>P_1_minQ-(R3036^2*R_up)+dpup_minQ</f>
        <v>55.843549230988287</v>
      </c>
      <c r="S3038" s="56"/>
      <c r="T3038" s="72"/>
      <c r="U3038" s="53">
        <f>P_1_minQ-(U3036^2*R_up)+dpup_minQ</f>
        <v>50.746309098919049</v>
      </c>
      <c r="V3038" s="44"/>
      <c r="W3038" s="72"/>
      <c r="X3038" s="53">
        <f>P_1_minQ-(X3036^2*R_up)+dpup_minQ</f>
        <v>21.366497888289114</v>
      </c>
      <c r="Y3038" s="44"/>
      <c r="Z3038" s="72"/>
      <c r="AA3038" s="53">
        <f>P_1_minQ-(AA3036^2*R_up)+dpup_minQ</f>
        <v>-72.686501434383246</v>
      </c>
      <c r="AB3038" s="44"/>
      <c r="AC3038" s="72"/>
      <c r="AD3038" s="53">
        <f>P_1_minQ-(AD3036^2*R_up)+dpup_minQ</f>
        <v>-293.63488232793213</v>
      </c>
      <c r="AE3038" s="44"/>
      <c r="AF3038" s="72"/>
      <c r="AG3038" s="53">
        <f>P_1_minQ-(AG3036^2*R_up)+dpup_minQ</f>
        <v>-720.15564948457404</v>
      </c>
      <c r="AH3038" s="44"/>
      <c r="AI3038" s="72"/>
      <c r="AJ3038" s="53">
        <f>P_1_minQ-(AJ3036^2*R_up)+dpup_minQ</f>
        <v>-1326.9714759679784</v>
      </c>
      <c r="AK3038" s="44"/>
      <c r="AL3038" s="72"/>
      <c r="AM3038" s="53">
        <f>P_1_minQ-(AM3036^2*R_up)+dpup_minQ</f>
        <v>-2003.5039443384433</v>
      </c>
      <c r="AN3038" s="44"/>
      <c r="AO3038" s="72"/>
      <c r="AP3038" s="53">
        <f>P_1_minQ-(AP3036^2*R_up)+dpup_minQ</f>
        <v>-2720.2188369170367</v>
      </c>
      <c r="AQ3038" s="44"/>
      <c r="AR3038" s="72"/>
      <c r="AS3038" s="53">
        <f>P_1_minQ-(AS3036^2*R_up)+dpup_minQ</f>
        <v>-3540.1854773119589</v>
      </c>
      <c r="AT3038" s="44"/>
      <c r="AU3038" s="72"/>
    </row>
    <row r="3039" spans="15:47" ht="13" x14ac:dyDescent="0.3">
      <c r="O3039" s="6" t="s">
        <v>233</v>
      </c>
      <c r="P3039" s="6"/>
      <c r="Q3039" s="60"/>
      <c r="R3039" s="85">
        <f>P_2_minQ+(R3036^2*R_dn)-dpdn_minQ</f>
        <v>24.871290153802345</v>
      </c>
      <c r="S3039" s="66"/>
      <c r="T3039" s="74"/>
      <c r="U3039" s="53">
        <f>P_2_minQ+(U3036^2*R_dn)-dpdn_minQ</f>
        <v>25.890738180216189</v>
      </c>
      <c r="V3039" s="45"/>
      <c r="W3039" s="74"/>
      <c r="X3039" s="53">
        <f>P_2_minQ+(X3036^2*R_dn)-dpdn_minQ</f>
        <v>31.766700422342179</v>
      </c>
      <c r="Y3039" s="45"/>
      <c r="Z3039" s="74"/>
      <c r="AA3039" s="53">
        <f>P_2_minQ+(AA3036^2*R_dn)-dpdn_minQ</f>
        <v>50.57730028687665</v>
      </c>
      <c r="AB3039" s="45"/>
      <c r="AC3039" s="74"/>
      <c r="AD3039" s="53">
        <f>P_2_minQ+(AD3036^2*R_dn)-dpdn_minQ</f>
        <v>94.766976465586424</v>
      </c>
      <c r="AE3039" s="45"/>
      <c r="AF3039" s="74"/>
      <c r="AG3039" s="53">
        <f>P_2_minQ+(AG3036^2*R_dn)-dpdn_minQ</f>
        <v>180.07112989691481</v>
      </c>
      <c r="AH3039" s="45"/>
      <c r="AI3039" s="74"/>
      <c r="AJ3039" s="53">
        <f>P_2_minQ+(AJ3036^2*R_dn)-dpdn_minQ</f>
        <v>301.43429519359563</v>
      </c>
      <c r="AK3039" s="45"/>
      <c r="AL3039" s="74"/>
      <c r="AM3039" s="53">
        <f>P_2_minQ+(AM3036^2*R_dn)-dpdn_minQ</f>
        <v>436.74078886768859</v>
      </c>
      <c r="AN3039" s="45"/>
      <c r="AO3039" s="74"/>
      <c r="AP3039" s="53">
        <f>P_2_minQ+(AP3036^2*R_dn)-dpdn_minQ</f>
        <v>580.08376738340735</v>
      </c>
      <c r="AQ3039" s="45"/>
      <c r="AR3039" s="74"/>
      <c r="AS3039" s="53">
        <f>P_2_minQ+(AS3036^2*R_dn)-dpdn_minQ</f>
        <v>744.07709546239175</v>
      </c>
      <c r="AT3039" s="45"/>
      <c r="AU3039" s="74"/>
    </row>
    <row r="3040" spans="15:47" x14ac:dyDescent="0.25">
      <c r="O3040" s="6" t="s">
        <v>243</v>
      </c>
      <c r="Q3040" s="60"/>
      <c r="R3040" s="53">
        <f>R3038-R3039</f>
        <v>30.972259077185942</v>
      </c>
      <c r="S3040" s="56"/>
      <c r="T3040" s="72"/>
      <c r="U3040" s="64">
        <f>U3038-U3039</f>
        <v>24.85557091870286</v>
      </c>
      <c r="V3040" s="44"/>
      <c r="W3040" s="72"/>
      <c r="X3040" s="64">
        <f>X3038-X3039</f>
        <v>-10.400202534053065</v>
      </c>
      <c r="Y3040" s="44"/>
      <c r="Z3040" s="72"/>
      <c r="AA3040" s="64">
        <f>AA3038-AA3039</f>
        <v>-123.2638017212599</v>
      </c>
      <c r="AB3040" s="44"/>
      <c r="AC3040" s="72"/>
      <c r="AD3040" s="64">
        <f>AD3038-AD3039</f>
        <v>-388.40185879351856</v>
      </c>
      <c r="AE3040" s="44"/>
      <c r="AF3040" s="72"/>
      <c r="AG3040" s="64">
        <f>AG3038-AG3039</f>
        <v>-900.22677938148888</v>
      </c>
      <c r="AH3040" s="44"/>
      <c r="AI3040" s="72"/>
      <c r="AJ3040" s="64">
        <f>AJ3038-AJ3039</f>
        <v>-1628.4057711615742</v>
      </c>
      <c r="AK3040" s="44"/>
      <c r="AL3040" s="72"/>
      <c r="AM3040" s="64">
        <f>AM3038-AM3039</f>
        <v>-2440.244733206132</v>
      </c>
      <c r="AN3040" s="44"/>
      <c r="AO3040" s="72"/>
      <c r="AP3040" s="64">
        <f>AP3038-AP3039</f>
        <v>-3300.3026043004438</v>
      </c>
      <c r="AQ3040" s="44"/>
      <c r="AR3040" s="72"/>
      <c r="AS3040" s="64">
        <f>AS3038-AS3039</f>
        <v>-4284.2625727743507</v>
      </c>
      <c r="AT3040" s="44"/>
      <c r="AU3040" s="72"/>
    </row>
    <row r="3041" spans="15:47" ht="13" x14ac:dyDescent="0.3">
      <c r="O3041" s="6" t="s">
        <v>75</v>
      </c>
      <c r="P3041" s="6">
        <v>3</v>
      </c>
      <c r="Q3041" s="65"/>
      <c r="R3041" s="85">
        <f>(F_LP_h/F_P_h)^2*(R3038-('Valve Sizing'!$V$4*'Valve Sizing'!$G$7))</f>
        <v>45.876999139234613</v>
      </c>
      <c r="S3041" s="58"/>
      <c r="T3041" s="73"/>
      <c r="U3041" s="53">
        <f>(U$29/U$27)^2*(U3038-('Valve Sizing'!$V$4*'Valve Sizing'!$G$7))</f>
        <v>41.644862992241343</v>
      </c>
      <c r="V3041" s="41"/>
      <c r="W3041" s="73"/>
      <c r="X3041" s="53">
        <f>(X$29/X$27)^2*(X3038-('Valve Sizing'!$V$4*'Valve Sizing'!$G$7))</f>
        <v>16.93270370389882</v>
      </c>
      <c r="Y3041" s="41"/>
      <c r="Z3041" s="73"/>
      <c r="AA3041" s="53">
        <f>(AA$29/AA$27)^2*(AA3038-('Valve Sizing'!$V$4*'Valve Sizing'!$G$7))</f>
        <v>-56.512001682194359</v>
      </c>
      <c r="AB3041" s="41"/>
      <c r="AC3041" s="73"/>
      <c r="AD3041" s="53">
        <f>(AD$29/AD$27)^2*(AD3038-('Valve Sizing'!$V$4*'Valve Sizing'!$G$7))</f>
        <v>-212.08314349170524</v>
      </c>
      <c r="AE3041" s="41"/>
      <c r="AF3041" s="73"/>
      <c r="AG3041" s="53">
        <f>(AG$29/AG$27)^2*(AG3038-('Valve Sizing'!$V$4*'Valve Sizing'!$G$7))</f>
        <v>-464.09530644074232</v>
      </c>
      <c r="AH3041" s="41"/>
      <c r="AI3041" s="73"/>
      <c r="AJ3041" s="53">
        <f>(AJ$29/AJ$27)^2*(AJ3038-('Valve Sizing'!$V$4*'Valve Sizing'!$G$7))</f>
        <v>-767.7274893562851</v>
      </c>
      <c r="AK3041" s="41"/>
      <c r="AL3041" s="73"/>
      <c r="AM3041" s="53">
        <f>(AM$29/AM$27)^2*(AM3038-('Valve Sizing'!$V$4*'Valve Sizing'!$G$7))</f>
        <v>-958.83139372638129</v>
      </c>
      <c r="AN3041" s="41"/>
      <c r="AO3041" s="73"/>
      <c r="AP3041" s="53">
        <f>(AP$29/AP$27)^2*(AP3038-('Valve Sizing'!$V$4*'Valve Sizing'!$G$7))</f>
        <v>-1073.6449878948822</v>
      </c>
      <c r="AQ3041" s="41"/>
      <c r="AR3041" s="73"/>
      <c r="AS3041" s="53">
        <f>(AS$29/AS$27)^2*(AS3038-('Valve Sizing'!$V$4*'Valve Sizing'!$G$7))</f>
        <v>-1331.7737003519835</v>
      </c>
      <c r="AT3041" s="41"/>
      <c r="AU3041" s="73"/>
    </row>
    <row r="3042" spans="15:47" ht="13" x14ac:dyDescent="0.25">
      <c r="O3042" s="1" t="s">
        <v>69</v>
      </c>
      <c r="P3042" s="17">
        <v>7</v>
      </c>
      <c r="Q3042" s="65"/>
      <c r="R3042" s="53">
        <f>(R3036/(N_1*F_P_h))*SQRT('Valve Sizing'!$G$6/R3040)</f>
        <v>32.026830766945103</v>
      </c>
      <c r="S3042" s="58"/>
      <c r="T3042" s="73"/>
      <c r="U3042" s="64">
        <f>(U3036/(N_1*U$27))*SQRT('Valve Sizing'!$G$6/U3040)</f>
        <v>85.804436925315528</v>
      </c>
      <c r="V3042" s="41"/>
      <c r="W3042" s="73"/>
      <c r="X3042" s="64" t="e">
        <f>(X3036/(N_1*X$27))*SQRT('Valve Sizing'!$G$6/X3040)</f>
        <v>#NUM!</v>
      </c>
      <c r="Y3042" s="41"/>
      <c r="Z3042" s="73"/>
      <c r="AA3042" s="64" t="e">
        <f>(AA3036/(N_1*AA$27))*SQRT('Valve Sizing'!$G$6/AA3040)</f>
        <v>#NUM!</v>
      </c>
      <c r="AB3042" s="41"/>
      <c r="AC3042" s="73"/>
      <c r="AD3042" s="64" t="e">
        <f>(AD3036/(N_1*AD$27))*SQRT('Valve Sizing'!$G$6/AD3040)</f>
        <v>#NUM!</v>
      </c>
      <c r="AE3042" s="41"/>
      <c r="AF3042" s="73"/>
      <c r="AG3042" s="64" t="e">
        <f>(AG3036/(N_1*AG$27))*SQRT('Valve Sizing'!$G$6/AG3040)</f>
        <v>#NUM!</v>
      </c>
      <c r="AH3042" s="41"/>
      <c r="AI3042" s="73"/>
      <c r="AJ3042" s="64" t="e">
        <f>(AJ3036/(N_1*AJ$27))*SQRT('Valve Sizing'!$G$6/AJ3040)</f>
        <v>#NUM!</v>
      </c>
      <c r="AK3042" s="41"/>
      <c r="AL3042" s="73"/>
      <c r="AM3042" s="64" t="e">
        <f>(AM3036/(N_1*AM$27))*SQRT('Valve Sizing'!$G$6/AM3040)</f>
        <v>#NUM!</v>
      </c>
      <c r="AN3042" s="41"/>
      <c r="AO3042" s="73"/>
      <c r="AP3042" s="64" t="e">
        <f>(AP3036/(N_1*AP$27))*SQRT('Valve Sizing'!$G$6/AP3040)</f>
        <v>#NUM!</v>
      </c>
      <c r="AQ3042" s="41"/>
      <c r="AR3042" s="73"/>
      <c r="AS3042" s="64" t="e">
        <f>(AS3036/(N_1*AS$27))*SQRT('Valve Sizing'!$G$6/AS3040)</f>
        <v>#NUM!</v>
      </c>
      <c r="AT3042" s="41"/>
      <c r="AU3042" s="73"/>
    </row>
    <row r="3043" spans="15:47" ht="13" x14ac:dyDescent="0.3">
      <c r="O3043" s="1" t="s">
        <v>72</v>
      </c>
      <c r="P3043" s="17">
        <v>7</v>
      </c>
      <c r="Q3043" s="65"/>
      <c r="R3043" s="53">
        <f>(R3036/(N_1*F_P_h))*SQRT('Valve Sizing'!$G$6/R3041)</f>
        <v>26.31497158347797</v>
      </c>
      <c r="S3043" s="56"/>
      <c r="T3043" s="72"/>
      <c r="U3043" s="85">
        <f>(U3036/(N_1*U$27))*SQRT('Valve Sizing'!$G$6/U3041)</f>
        <v>66.28891313171043</v>
      </c>
      <c r="V3043" s="44"/>
      <c r="W3043" s="72"/>
      <c r="X3043" s="85">
        <f>(X3036/(N_1*X$27))*SQRT('Valve Sizing'!$G$6/X3041)</f>
        <v>250.1001791684871</v>
      </c>
      <c r="Y3043" s="44"/>
      <c r="Z3043" s="72"/>
      <c r="AA3043" s="85" t="e">
        <f>(AA3036/(N_1*AA$27))*SQRT('Valve Sizing'!$G$6/AA3041)</f>
        <v>#NUM!</v>
      </c>
      <c r="AB3043" s="44"/>
      <c r="AC3043" s="72"/>
      <c r="AD3043" s="85" t="e">
        <f>(AD3036/(N_1*AD$27))*SQRT('Valve Sizing'!$G$6/AD3041)</f>
        <v>#NUM!</v>
      </c>
      <c r="AE3043" s="44"/>
      <c r="AF3043" s="72"/>
      <c r="AG3043" s="85" t="e">
        <f>(AG3036/(N_1*AG$27))*SQRT('Valve Sizing'!$G$6/AG3041)</f>
        <v>#NUM!</v>
      </c>
      <c r="AH3043" s="44"/>
      <c r="AI3043" s="72"/>
      <c r="AJ3043" s="85" t="e">
        <f>(AJ3036/(N_1*AJ$27))*SQRT('Valve Sizing'!$G$6/AJ3041)</f>
        <v>#NUM!</v>
      </c>
      <c r="AK3043" s="44"/>
      <c r="AL3043" s="72"/>
      <c r="AM3043" s="85" t="e">
        <f>(AM3036/(N_1*AM$27))*SQRT('Valve Sizing'!$G$6/AM3041)</f>
        <v>#NUM!</v>
      </c>
      <c r="AN3043" s="44"/>
      <c r="AO3043" s="72"/>
      <c r="AP3043" s="85" t="e">
        <f>(AP3036/(N_1*AP$27))*SQRT('Valve Sizing'!$G$6/AP3041)</f>
        <v>#NUM!</v>
      </c>
      <c r="AQ3043" s="44"/>
      <c r="AR3043" s="72"/>
      <c r="AS3043" s="85" t="e">
        <f>(AS3036/(N_1*AS$27))*SQRT('Valve Sizing'!$G$6/AS3041)</f>
        <v>#NUM!</v>
      </c>
      <c r="AT3043" s="44"/>
      <c r="AU3043" s="72"/>
    </row>
    <row r="3044" spans="15:47" x14ac:dyDescent="0.25">
      <c r="O3044" s="1" t="s">
        <v>246</v>
      </c>
      <c r="P3044" s="18"/>
      <c r="Q3044" s="65"/>
      <c r="R3044" s="53">
        <f>IF(R3040&lt;R3041,R3042,R3043)</f>
        <v>32.026830766945103</v>
      </c>
      <c r="S3044" s="49"/>
      <c r="T3044" s="72"/>
      <c r="U3044" s="64">
        <f>IF(U3040&lt;U3041,U3042,U3043)</f>
        <v>85.804436925315528</v>
      </c>
      <c r="V3044" s="44"/>
      <c r="W3044" s="72"/>
      <c r="X3044" s="64" t="e">
        <f>IF(X3040&lt;X3041,X3042,X3043)</f>
        <v>#NUM!</v>
      </c>
      <c r="Y3044" s="44"/>
      <c r="Z3044" s="72"/>
      <c r="AA3044" s="64" t="e">
        <f>IF(AA3040&lt;AA3041,AA3042,AA3043)</f>
        <v>#NUM!</v>
      </c>
      <c r="AB3044" s="44"/>
      <c r="AC3044" s="72"/>
      <c r="AD3044" s="64" t="e">
        <f>IF(AD3040&lt;AD3041,AD3042,AD3043)</f>
        <v>#NUM!</v>
      </c>
      <c r="AE3044" s="44"/>
      <c r="AF3044" s="72"/>
      <c r="AG3044" s="64" t="e">
        <f>IF(AG3040&lt;AG3041,AG3042,AG3043)</f>
        <v>#NUM!</v>
      </c>
      <c r="AH3044" s="44"/>
      <c r="AI3044" s="72"/>
      <c r="AJ3044" s="64" t="e">
        <f>IF(AJ3040&lt;AJ3041,AJ3042,AJ3043)</f>
        <v>#NUM!</v>
      </c>
      <c r="AK3044" s="44"/>
      <c r="AL3044" s="72"/>
      <c r="AM3044" s="64" t="e">
        <f>IF(AM3040&lt;AM3041,AM3042,AM3043)</f>
        <v>#NUM!</v>
      </c>
      <c r="AN3044" s="44"/>
      <c r="AO3044" s="72"/>
      <c r="AP3044" s="64" t="e">
        <f>IF(AP3040&lt;AP3041,AP3042,AP3043)</f>
        <v>#NUM!</v>
      </c>
      <c r="AQ3044" s="44"/>
      <c r="AR3044" s="72"/>
      <c r="AS3044" s="64" t="e">
        <f>IF(AS3040&lt;AS3041,AS3042,AS3043)</f>
        <v>#NUM!</v>
      </c>
      <c r="AT3044" s="44"/>
      <c r="AU3044" s="72"/>
    </row>
    <row r="3045" spans="15:47" ht="13" x14ac:dyDescent="0.3">
      <c r="O3045" s="7" t="s">
        <v>264</v>
      </c>
      <c r="Q3045" s="61"/>
      <c r="R3045" s="53"/>
      <c r="S3045" s="69">
        <f>IFERROR(ABS(C_h-R3044),Q_max*10)</f>
        <v>27.026830766945103</v>
      </c>
      <c r="T3045" s="76">
        <f>R3036</f>
        <v>178.21197285939249</v>
      </c>
      <c r="U3045" s="61"/>
      <c r="V3045" s="69">
        <f>IFERROR(ABS(U$23-U3044),Q_max*10)</f>
        <v>73.804436925315528</v>
      </c>
      <c r="W3045" s="75">
        <f>U3036</f>
        <v>427.42108930305119</v>
      </c>
      <c r="X3045" s="61"/>
      <c r="Y3045" s="69">
        <f>IFERROR(ABS(X$23-X3044),Q_max*10)</f>
        <v>5500</v>
      </c>
      <c r="Z3045" s="75">
        <f>X3036</f>
        <v>1025.9751446929693</v>
      </c>
      <c r="AA3045" s="61"/>
      <c r="AB3045" s="69">
        <f>IFERROR(ABS(AA$23-AA3044),Q_max*10)</f>
        <v>5500</v>
      </c>
      <c r="AC3045" s="75">
        <f>AA3036</f>
        <v>1958.9625589765844</v>
      </c>
      <c r="AD3045" s="61"/>
      <c r="AE3045" s="69">
        <f>IFERROR(ABS(AD$23-AD3044),Q_max*10)</f>
        <v>5500</v>
      </c>
      <c r="AF3045" s="75">
        <f>AD3036</f>
        <v>3221.7721622936142</v>
      </c>
      <c r="AG3045" s="61"/>
      <c r="AH3045" s="69">
        <f>IFERROR(ABS(AG$23-AG3044),Q_max*10)</f>
        <v>5500</v>
      </c>
      <c r="AI3045" s="75">
        <f>AG3036</f>
        <v>4796.7797303230673</v>
      </c>
      <c r="AJ3045" s="61"/>
      <c r="AK3045" s="69">
        <f>IFERROR(ABS(AJ$23-AJ3044),Q_max*10)</f>
        <v>5500</v>
      </c>
      <c r="AL3045" s="75">
        <f>AJ3036</f>
        <v>6401.3211451552597</v>
      </c>
      <c r="AM3045" s="61"/>
      <c r="AN3045" s="69">
        <f>IFERROR(ABS(AM$23-AM3044),Q_max*10)</f>
        <v>5500</v>
      </c>
      <c r="AO3045" s="75">
        <f>AM3036</f>
        <v>7810.8283038267655</v>
      </c>
      <c r="AP3045" s="61"/>
      <c r="AQ3045" s="69">
        <f>IFERROR(ABS(AP$23-AP3044),Q_max*10)</f>
        <v>5500</v>
      </c>
      <c r="AR3045" s="75">
        <f>AP3036</f>
        <v>9068.1291764681791</v>
      </c>
      <c r="AS3045" s="61"/>
      <c r="AT3045" s="69">
        <f>IFERROR(ABS(AS$23-AS3044),Q_max*10)</f>
        <v>5500</v>
      </c>
      <c r="AU3045" s="75">
        <f>AS3036</f>
        <v>10320.376881839495</v>
      </c>
    </row>
    <row r="3046" spans="15:47" ht="14.5" x14ac:dyDescent="0.35">
      <c r="O3046" s="8"/>
      <c r="P3046" s="6"/>
      <c r="Q3046" s="60"/>
      <c r="R3046" s="67"/>
      <c r="S3046" s="56"/>
      <c r="T3046" s="72"/>
      <c r="V3046" s="11"/>
      <c r="W3046" s="38"/>
      <c r="Y3046" s="11"/>
      <c r="Z3046" s="38"/>
      <c r="AB3046" s="11"/>
      <c r="AC3046" s="38"/>
      <c r="AE3046" s="11"/>
      <c r="AF3046" s="38"/>
      <c r="AH3046" s="11"/>
      <c r="AI3046" s="38"/>
      <c r="AK3046" s="11"/>
      <c r="AL3046" s="38"/>
      <c r="AN3046" s="11"/>
      <c r="AO3046" s="38"/>
      <c r="AQ3046" s="11"/>
      <c r="AR3046" s="38"/>
      <c r="AT3046" s="11"/>
      <c r="AU3046" s="38"/>
    </row>
    <row r="3047" spans="15:47" ht="14" x14ac:dyDescent="0.3">
      <c r="O3047" s="8" t="s">
        <v>235</v>
      </c>
      <c r="P3047" s="6"/>
      <c r="Q3047" s="60"/>
      <c r="R3047" s="53">
        <f>R3036*1.02</f>
        <v>181.77621231658034</v>
      </c>
      <c r="S3047" s="58" t="s">
        <v>238</v>
      </c>
      <c r="T3047" s="73" t="s">
        <v>241</v>
      </c>
      <c r="U3047" s="84">
        <f>U3036*1.01</f>
        <v>431.69530019608169</v>
      </c>
      <c r="V3047" s="58" t="s">
        <v>238</v>
      </c>
      <c r="W3047" s="73" t="s">
        <v>241</v>
      </c>
      <c r="X3047" s="84">
        <f>X3036*1.01</f>
        <v>1036.2348961398989</v>
      </c>
      <c r="Y3047" s="58" t="s">
        <v>238</v>
      </c>
      <c r="Z3047" s="73" t="s">
        <v>241</v>
      </c>
      <c r="AA3047" s="84">
        <f>AA3036*1.01</f>
        <v>1978.5521845663502</v>
      </c>
      <c r="AB3047" s="58" t="s">
        <v>238</v>
      </c>
      <c r="AC3047" s="73" t="s">
        <v>241</v>
      </c>
      <c r="AD3047" s="84">
        <f>AD3036*1.01</f>
        <v>3253.9898839165503</v>
      </c>
      <c r="AE3047" s="58" t="s">
        <v>238</v>
      </c>
      <c r="AF3047" s="73" t="s">
        <v>241</v>
      </c>
      <c r="AG3047" s="84">
        <f>AG3036*1.01</f>
        <v>4844.7475276262976</v>
      </c>
      <c r="AH3047" s="58" t="s">
        <v>238</v>
      </c>
      <c r="AI3047" s="73" t="s">
        <v>241</v>
      </c>
      <c r="AJ3047" s="84">
        <f>AJ3036*1.01</f>
        <v>6465.3343566068124</v>
      </c>
      <c r="AK3047" s="58" t="s">
        <v>238</v>
      </c>
      <c r="AL3047" s="73" t="s">
        <v>241</v>
      </c>
      <c r="AM3047" s="84">
        <f>AM3036*1.01</f>
        <v>7888.936586865033</v>
      </c>
      <c r="AN3047" s="58" t="s">
        <v>238</v>
      </c>
      <c r="AO3047" s="73" t="s">
        <v>241</v>
      </c>
      <c r="AP3047" s="84">
        <f>AP3036*1.01</f>
        <v>9158.8104682328612</v>
      </c>
      <c r="AQ3047" s="58" t="s">
        <v>238</v>
      </c>
      <c r="AR3047" s="73" t="s">
        <v>241</v>
      </c>
      <c r="AS3047" s="84">
        <f>AS3036*1.01</f>
        <v>10423.58065065789</v>
      </c>
      <c r="AT3047" s="58" t="s">
        <v>238</v>
      </c>
      <c r="AU3047" s="73" t="s">
        <v>241</v>
      </c>
    </row>
    <row r="3048" spans="15:47" ht="13" x14ac:dyDescent="0.25">
      <c r="O3048" s="6"/>
      <c r="P3048" s="6"/>
      <c r="Q3048" s="60"/>
      <c r="R3048" s="70"/>
      <c r="S3048" s="63" t="s">
        <v>250</v>
      </c>
      <c r="T3048" s="71" t="s">
        <v>242</v>
      </c>
      <c r="U3048" s="61"/>
      <c r="V3048" s="63" t="s">
        <v>250</v>
      </c>
      <c r="W3048" s="71" t="s">
        <v>242</v>
      </c>
      <c r="X3048" s="61"/>
      <c r="Y3048" s="63" t="s">
        <v>250</v>
      </c>
      <c r="Z3048" s="71" t="s">
        <v>242</v>
      </c>
      <c r="AA3048" s="61"/>
      <c r="AB3048" s="63" t="s">
        <v>250</v>
      </c>
      <c r="AC3048" s="71" t="s">
        <v>242</v>
      </c>
      <c r="AD3048" s="61"/>
      <c r="AE3048" s="63" t="s">
        <v>250</v>
      </c>
      <c r="AF3048" s="71" t="s">
        <v>242</v>
      </c>
      <c r="AG3048" s="61"/>
      <c r="AH3048" s="63" t="s">
        <v>250</v>
      </c>
      <c r="AI3048" s="71" t="s">
        <v>242</v>
      </c>
      <c r="AJ3048" s="61"/>
      <c r="AK3048" s="63" t="s">
        <v>250</v>
      </c>
      <c r="AL3048" s="71" t="s">
        <v>242</v>
      </c>
      <c r="AM3048" s="61"/>
      <c r="AN3048" s="63" t="s">
        <v>250</v>
      </c>
      <c r="AO3048" s="71" t="s">
        <v>242</v>
      </c>
      <c r="AP3048" s="61"/>
      <c r="AQ3048" s="63" t="s">
        <v>250</v>
      </c>
      <c r="AR3048" s="71" t="s">
        <v>242</v>
      </c>
      <c r="AS3048" s="61"/>
      <c r="AT3048" s="63" t="s">
        <v>250</v>
      </c>
      <c r="AU3048" s="71" t="s">
        <v>242</v>
      </c>
    </row>
    <row r="3049" spans="15:47" ht="13" x14ac:dyDescent="0.3">
      <c r="O3049" s="6" t="s">
        <v>231</v>
      </c>
      <c r="P3049" s="6"/>
      <c r="Q3049" s="60"/>
      <c r="R3049" s="85">
        <f>P_1_minQ-(R3047^2*R_up)+dpup_minQ</f>
        <v>55.800216434847606</v>
      </c>
      <c r="S3049" s="56"/>
      <c r="T3049" s="72"/>
      <c r="U3049" s="53">
        <f>P_1_minQ-(U3047^2*R_up)+dpup_minQ</f>
        <v>50.622295433590509</v>
      </c>
      <c r="V3049" s="44"/>
      <c r="W3049" s="72"/>
      <c r="X3049" s="53">
        <f>P_1_minQ-(X3047^2*R_up)+dpup_minQ</f>
        <v>20.65195001762692</v>
      </c>
      <c r="Y3049" s="44"/>
      <c r="Z3049" s="72"/>
      <c r="AA3049" s="53">
        <f>P_1_minQ-(AA3047^2*R_up)+dpup_minQ</f>
        <v>-75.291514591431167</v>
      </c>
      <c r="AB3049" s="44"/>
      <c r="AC3049" s="72"/>
      <c r="AD3049" s="53">
        <f>P_1_minQ-(AD3047^2*R_up)+dpup_minQ</f>
        <v>-300.68095794094035</v>
      </c>
      <c r="AE3049" s="44"/>
      <c r="AF3049" s="72"/>
      <c r="AG3049" s="53">
        <f>P_1_minQ-(AG3047^2*R_up)+dpup_minQ</f>
        <v>-735.77479251743068</v>
      </c>
      <c r="AH3049" s="44"/>
      <c r="AI3049" s="72"/>
      <c r="AJ3049" s="53">
        <f>P_1_minQ-(AJ3047^2*R_up)+dpup_minQ</f>
        <v>-1354.7876171131518</v>
      </c>
      <c r="AK3049" s="44"/>
      <c r="AL3049" s="72"/>
      <c r="AM3049" s="53">
        <f>P_1_minQ-(AM3047^2*R_up)+dpup_minQ</f>
        <v>-2044.9183880978628</v>
      </c>
      <c r="AN3049" s="44"/>
      <c r="AO3049" s="72"/>
      <c r="AP3049" s="53">
        <f>P_1_minQ-(AP3047^2*R_up)+dpup_minQ</f>
        <v>-2776.0392500172866</v>
      </c>
      <c r="AQ3049" s="44"/>
      <c r="AR3049" s="72"/>
      <c r="AS3049" s="53">
        <f>P_1_minQ-(AS3047^2*R_up)+dpup_minQ</f>
        <v>-3612.4872198841467</v>
      </c>
      <c r="AT3049" s="44"/>
      <c r="AU3049" s="72"/>
    </row>
    <row r="3050" spans="15:47" ht="13" x14ac:dyDescent="0.3">
      <c r="O3050" s="6" t="s">
        <v>233</v>
      </c>
      <c r="P3050" s="6"/>
      <c r="Q3050" s="60"/>
      <c r="R3050" s="85">
        <f>P_2_minQ+(R3047^2*R_dn)-dpdn_minQ</f>
        <v>24.879956713030481</v>
      </c>
      <c r="S3050" s="66"/>
      <c r="T3050" s="74"/>
      <c r="U3050" s="53">
        <f>P_2_minQ+(U3047^2*R_dn)-dpdn_minQ</f>
        <v>25.915540913281898</v>
      </c>
      <c r="V3050" s="45"/>
      <c r="W3050" s="74"/>
      <c r="X3050" s="53">
        <f>P_2_minQ+(X3047^2*R_dn)-dpdn_minQ</f>
        <v>31.909609996474618</v>
      </c>
      <c r="Y3050" s="45"/>
      <c r="Z3050" s="74"/>
      <c r="AA3050" s="53">
        <f>P_2_minQ+(AA3047^2*R_dn)-dpdn_minQ</f>
        <v>51.098302918286237</v>
      </c>
      <c r="AB3050" s="45"/>
      <c r="AC3050" s="74"/>
      <c r="AD3050" s="53">
        <f>P_2_minQ+(AD3047^2*R_dn)-dpdn_minQ</f>
        <v>96.176191588188075</v>
      </c>
      <c r="AE3050" s="45"/>
      <c r="AF3050" s="74"/>
      <c r="AG3050" s="53">
        <f>P_2_minQ+(AG3047^2*R_dn)-dpdn_minQ</f>
        <v>183.19495850348611</v>
      </c>
      <c r="AH3050" s="45"/>
      <c r="AI3050" s="74"/>
      <c r="AJ3050" s="53">
        <f>P_2_minQ+(AJ3047^2*R_dn)-dpdn_minQ</f>
        <v>306.99752342263031</v>
      </c>
      <c r="AK3050" s="45"/>
      <c r="AL3050" s="74"/>
      <c r="AM3050" s="53">
        <f>P_2_minQ+(AM3047^2*R_dn)-dpdn_minQ</f>
        <v>445.02367761957254</v>
      </c>
      <c r="AN3050" s="45"/>
      <c r="AO3050" s="74"/>
      <c r="AP3050" s="53">
        <f>P_2_minQ+(AP3047^2*R_dn)-dpdn_minQ</f>
        <v>591.2478500034573</v>
      </c>
      <c r="AQ3050" s="45"/>
      <c r="AR3050" s="74"/>
      <c r="AS3050" s="53">
        <f>P_2_minQ+(AS3047^2*R_dn)-dpdn_minQ</f>
        <v>758.53744397682919</v>
      </c>
      <c r="AT3050" s="45"/>
      <c r="AU3050" s="74"/>
    </row>
    <row r="3051" spans="15:47" x14ac:dyDescent="0.25">
      <c r="O3051" s="6" t="s">
        <v>243</v>
      </c>
      <c r="Q3051" s="60"/>
      <c r="R3051" s="53">
        <f>R3049-R3050</f>
        <v>30.920259721817125</v>
      </c>
      <c r="S3051" s="56"/>
      <c r="T3051" s="72"/>
      <c r="U3051" s="64">
        <f>U3049-U3050</f>
        <v>24.706754520308611</v>
      </c>
      <c r="V3051" s="44"/>
      <c r="W3051" s="72"/>
      <c r="X3051" s="64">
        <f>X3049-X3050</f>
        <v>-11.257659978847698</v>
      </c>
      <c r="Y3051" s="44"/>
      <c r="Z3051" s="72"/>
      <c r="AA3051" s="64">
        <f>AA3049-AA3050</f>
        <v>-126.3898175097174</v>
      </c>
      <c r="AB3051" s="44"/>
      <c r="AC3051" s="72"/>
      <c r="AD3051" s="64">
        <f>AD3049-AD3050</f>
        <v>-396.85714952912844</v>
      </c>
      <c r="AE3051" s="44"/>
      <c r="AF3051" s="72"/>
      <c r="AG3051" s="64">
        <f>AG3049-AG3050</f>
        <v>-918.96975102091676</v>
      </c>
      <c r="AH3051" s="44"/>
      <c r="AI3051" s="72"/>
      <c r="AJ3051" s="64">
        <f>AJ3049-AJ3050</f>
        <v>-1661.7851405357821</v>
      </c>
      <c r="AK3051" s="44"/>
      <c r="AL3051" s="72"/>
      <c r="AM3051" s="64">
        <f>AM3049-AM3050</f>
        <v>-2489.9420657174355</v>
      </c>
      <c r="AN3051" s="44"/>
      <c r="AO3051" s="72"/>
      <c r="AP3051" s="64">
        <f>AP3049-AP3050</f>
        <v>-3367.2871000207438</v>
      </c>
      <c r="AQ3051" s="44"/>
      <c r="AR3051" s="72"/>
      <c r="AS3051" s="64">
        <f>AS3049-AS3050</f>
        <v>-4371.024663860976</v>
      </c>
      <c r="AT3051" s="44"/>
      <c r="AU3051" s="72"/>
    </row>
    <row r="3052" spans="15:47" ht="13" x14ac:dyDescent="0.3">
      <c r="O3052" s="6" t="s">
        <v>75</v>
      </c>
      <c r="P3052" s="6">
        <v>3</v>
      </c>
      <c r="Q3052" s="65"/>
      <c r="R3052" s="85">
        <f>(F_LP_h/F_P_h)^2*(R3049-('Valve Sizing'!$V$4*'Valve Sizing'!$G$7))</f>
        <v>45.841117309494315</v>
      </c>
      <c r="S3052" s="58"/>
      <c r="T3052" s="73"/>
      <c r="U3052" s="53">
        <f>(U$29/U$27)^2*(U3049-('Valve Sizing'!$V$4*'Valve Sizing'!$G$7))</f>
        <v>41.5422011568835</v>
      </c>
      <c r="V3052" s="41"/>
      <c r="W3052" s="73"/>
      <c r="X3052" s="53">
        <f>(X$29/X$27)^2*(X3049-('Valve Sizing'!$V$4*'Valve Sizing'!$G$7))</f>
        <v>16.354524747068933</v>
      </c>
      <c r="Y3052" s="41"/>
      <c r="Z3052" s="73"/>
      <c r="AA3052" s="53">
        <f>(AA$29/AA$27)^2*(AA3049-('Valve Sizing'!$V$4*'Valve Sizing'!$G$7))</f>
        <v>-58.525148611549881</v>
      </c>
      <c r="AB3052" s="41"/>
      <c r="AC3052" s="73"/>
      <c r="AD3052" s="53">
        <f>(AD$29/AD$27)^2*(AD3049-('Valve Sizing'!$V$4*'Valve Sizing'!$G$7))</f>
        <v>-217.16468449381449</v>
      </c>
      <c r="AE3052" s="41"/>
      <c r="AF3052" s="73"/>
      <c r="AG3052" s="53">
        <f>(AG$29/AG$27)^2*(AG3049-('Valve Sizing'!$V$4*'Valve Sizing'!$G$7))</f>
        <v>-474.15472103371729</v>
      </c>
      <c r="AH3052" s="41"/>
      <c r="AI3052" s="73"/>
      <c r="AJ3052" s="53">
        <f>(AJ$29/AJ$27)^2*(AJ3049-('Valve Sizing'!$V$4*'Valve Sizing'!$G$7))</f>
        <v>-783.81535334105354</v>
      </c>
      <c r="AK3052" s="41"/>
      <c r="AL3052" s="73"/>
      <c r="AM3052" s="53">
        <f>(AM$29/AM$27)^2*(AM3049-('Valve Sizing'!$V$4*'Valve Sizing'!$G$7))</f>
        <v>-978.64705164420195</v>
      </c>
      <c r="AN3052" s="41"/>
      <c r="AO3052" s="73"/>
      <c r="AP3052" s="53">
        <f>(AP$29/AP$27)^2*(AP3049-('Valve Sizing'!$V$4*'Valve Sizing'!$G$7))</f>
        <v>-1095.6732204184691</v>
      </c>
      <c r="AQ3052" s="41"/>
      <c r="AR3052" s="73"/>
      <c r="AS3052" s="53">
        <f>(AS$29/AS$27)^2*(AS3049-('Valve Sizing'!$V$4*'Valve Sizing'!$G$7))</f>
        <v>-1358.969335218176</v>
      </c>
      <c r="AT3052" s="41"/>
      <c r="AU3052" s="73"/>
    </row>
    <row r="3053" spans="15:47" ht="13" x14ac:dyDescent="0.25">
      <c r="O3053" s="1" t="s">
        <v>69</v>
      </c>
      <c r="P3053" s="17">
        <v>7</v>
      </c>
      <c r="Q3053" s="65"/>
      <c r="R3053" s="53">
        <f>(R3047/(N_1*F_P_h))*SQRT('Valve Sizing'!$G$6/R3051)</f>
        <v>32.694824597745388</v>
      </c>
      <c r="S3053" s="58"/>
      <c r="T3053" s="73"/>
      <c r="U3053" s="64">
        <f>(U3047/(N_1*U$27))*SQRT('Valve Sizing'!$G$6/U3051)</f>
        <v>86.923086876166352</v>
      </c>
      <c r="V3053" s="41"/>
      <c r="W3053" s="73"/>
      <c r="X3053" s="64" t="e">
        <f>(X3047/(N_1*X$27))*SQRT('Valve Sizing'!$G$6/X3051)</f>
        <v>#NUM!</v>
      </c>
      <c r="Y3053" s="41"/>
      <c r="Z3053" s="73"/>
      <c r="AA3053" s="64" t="e">
        <f>(AA3047/(N_1*AA$27))*SQRT('Valve Sizing'!$G$6/AA3051)</f>
        <v>#NUM!</v>
      </c>
      <c r="AB3053" s="41"/>
      <c r="AC3053" s="73"/>
      <c r="AD3053" s="64" t="e">
        <f>(AD3047/(N_1*AD$27))*SQRT('Valve Sizing'!$G$6/AD3051)</f>
        <v>#NUM!</v>
      </c>
      <c r="AE3053" s="41"/>
      <c r="AF3053" s="73"/>
      <c r="AG3053" s="64" t="e">
        <f>(AG3047/(N_1*AG$27))*SQRT('Valve Sizing'!$G$6/AG3051)</f>
        <v>#NUM!</v>
      </c>
      <c r="AH3053" s="41"/>
      <c r="AI3053" s="73"/>
      <c r="AJ3053" s="64" t="e">
        <f>(AJ3047/(N_1*AJ$27))*SQRT('Valve Sizing'!$G$6/AJ3051)</f>
        <v>#NUM!</v>
      </c>
      <c r="AK3053" s="41"/>
      <c r="AL3053" s="73"/>
      <c r="AM3053" s="64" t="e">
        <f>(AM3047/(N_1*AM$27))*SQRT('Valve Sizing'!$G$6/AM3051)</f>
        <v>#NUM!</v>
      </c>
      <c r="AN3053" s="41"/>
      <c r="AO3053" s="73"/>
      <c r="AP3053" s="64" t="e">
        <f>(AP3047/(N_1*AP$27))*SQRT('Valve Sizing'!$G$6/AP3051)</f>
        <v>#NUM!</v>
      </c>
      <c r="AQ3053" s="41"/>
      <c r="AR3053" s="73"/>
      <c r="AS3053" s="64" t="e">
        <f>(AS3047/(N_1*AS$27))*SQRT('Valve Sizing'!$G$6/AS3051)</f>
        <v>#NUM!</v>
      </c>
      <c r="AT3053" s="41"/>
      <c r="AU3053" s="73"/>
    </row>
    <row r="3054" spans="15:47" ht="13" x14ac:dyDescent="0.3">
      <c r="O3054" s="1" t="s">
        <v>72</v>
      </c>
      <c r="P3054" s="17">
        <v>7</v>
      </c>
      <c r="Q3054" s="65"/>
      <c r="R3054" s="53">
        <f>(R3047/(N_1*F_P_h))*SQRT('Valve Sizing'!$G$6/R3052)</f>
        <v>26.851773873488096</v>
      </c>
      <c r="S3054" s="56"/>
      <c r="T3054" s="72"/>
      <c r="U3054" s="85">
        <f>(U3047/(N_1*U$27))*SQRT('Valve Sizing'!$G$6/U3052)</f>
        <v>67.034479076623512</v>
      </c>
      <c r="V3054" s="44"/>
      <c r="W3054" s="72"/>
      <c r="X3054" s="85">
        <f>(X3047/(N_1*X$27))*SQRT('Valve Sizing'!$G$6/X3052)</f>
        <v>257.0274851581587</v>
      </c>
      <c r="Y3054" s="44"/>
      <c r="Z3054" s="72"/>
      <c r="AA3054" s="85" t="e">
        <f>(AA3047/(N_1*AA$27))*SQRT('Valve Sizing'!$G$6/AA3052)</f>
        <v>#NUM!</v>
      </c>
      <c r="AB3054" s="44"/>
      <c r="AC3054" s="72"/>
      <c r="AD3054" s="85" t="e">
        <f>(AD3047/(N_1*AD$27))*SQRT('Valve Sizing'!$G$6/AD3052)</f>
        <v>#NUM!</v>
      </c>
      <c r="AE3054" s="44"/>
      <c r="AF3054" s="72"/>
      <c r="AG3054" s="85" t="e">
        <f>(AG3047/(N_1*AG$27))*SQRT('Valve Sizing'!$G$6/AG3052)</f>
        <v>#NUM!</v>
      </c>
      <c r="AH3054" s="44"/>
      <c r="AI3054" s="72"/>
      <c r="AJ3054" s="85" t="e">
        <f>(AJ3047/(N_1*AJ$27))*SQRT('Valve Sizing'!$G$6/AJ3052)</f>
        <v>#NUM!</v>
      </c>
      <c r="AK3054" s="44"/>
      <c r="AL3054" s="72"/>
      <c r="AM3054" s="85" t="e">
        <f>(AM3047/(N_1*AM$27))*SQRT('Valve Sizing'!$G$6/AM3052)</f>
        <v>#NUM!</v>
      </c>
      <c r="AN3054" s="44"/>
      <c r="AO3054" s="72"/>
      <c r="AP3054" s="85" t="e">
        <f>(AP3047/(N_1*AP$27))*SQRT('Valve Sizing'!$G$6/AP3052)</f>
        <v>#NUM!</v>
      </c>
      <c r="AQ3054" s="44"/>
      <c r="AR3054" s="72"/>
      <c r="AS3054" s="85" t="e">
        <f>(AS3047/(N_1*AS$27))*SQRT('Valve Sizing'!$G$6/AS3052)</f>
        <v>#NUM!</v>
      </c>
      <c r="AT3054" s="44"/>
      <c r="AU3054" s="72"/>
    </row>
    <row r="3055" spans="15:47" x14ac:dyDescent="0.25">
      <c r="O3055" s="1" t="s">
        <v>246</v>
      </c>
      <c r="P3055" s="18"/>
      <c r="Q3055" s="65"/>
      <c r="R3055" s="53">
        <f>IF(R3051&lt;R3052,R3053,R3054)</f>
        <v>32.694824597745388</v>
      </c>
      <c r="S3055" s="49"/>
      <c r="T3055" s="72"/>
      <c r="U3055" s="64">
        <f>IF(U3051&lt;U3052,U3053,U3054)</f>
        <v>86.923086876166352</v>
      </c>
      <c r="V3055" s="44"/>
      <c r="W3055" s="72"/>
      <c r="X3055" s="64" t="e">
        <f>IF(X3051&lt;X3052,X3053,X3054)</f>
        <v>#NUM!</v>
      </c>
      <c r="Y3055" s="44"/>
      <c r="Z3055" s="72"/>
      <c r="AA3055" s="64" t="e">
        <f>IF(AA3051&lt;AA3052,AA3053,AA3054)</f>
        <v>#NUM!</v>
      </c>
      <c r="AB3055" s="44"/>
      <c r="AC3055" s="72"/>
      <c r="AD3055" s="64" t="e">
        <f>IF(AD3051&lt;AD3052,AD3053,AD3054)</f>
        <v>#NUM!</v>
      </c>
      <c r="AE3055" s="44"/>
      <c r="AF3055" s="72"/>
      <c r="AG3055" s="64" t="e">
        <f>IF(AG3051&lt;AG3052,AG3053,AG3054)</f>
        <v>#NUM!</v>
      </c>
      <c r="AH3055" s="44"/>
      <c r="AI3055" s="72"/>
      <c r="AJ3055" s="64" t="e">
        <f>IF(AJ3051&lt;AJ3052,AJ3053,AJ3054)</f>
        <v>#NUM!</v>
      </c>
      <c r="AK3055" s="44"/>
      <c r="AL3055" s="72"/>
      <c r="AM3055" s="64" t="e">
        <f>IF(AM3051&lt;AM3052,AM3053,AM3054)</f>
        <v>#NUM!</v>
      </c>
      <c r="AN3055" s="44"/>
      <c r="AO3055" s="72"/>
      <c r="AP3055" s="64" t="e">
        <f>IF(AP3051&lt;AP3052,AP3053,AP3054)</f>
        <v>#NUM!</v>
      </c>
      <c r="AQ3055" s="44"/>
      <c r="AR3055" s="72"/>
      <c r="AS3055" s="64" t="e">
        <f>IF(AS3051&lt;AS3052,AS3053,AS3054)</f>
        <v>#NUM!</v>
      </c>
      <c r="AT3055" s="44"/>
      <c r="AU3055" s="72"/>
    </row>
    <row r="3056" spans="15:47" ht="13" x14ac:dyDescent="0.3">
      <c r="O3056" s="7" t="s">
        <v>264</v>
      </c>
      <c r="Q3056" s="61"/>
      <c r="R3056" s="53"/>
      <c r="S3056" s="69">
        <f>IFERROR(ABS(C_h-R3055),Q_max*10)</f>
        <v>27.694824597745388</v>
      </c>
      <c r="T3056" s="76">
        <f>R3047</f>
        <v>181.77621231658034</v>
      </c>
      <c r="U3056" s="61"/>
      <c r="V3056" s="69">
        <f>IFERROR(ABS(U$23-U3055),Q_max*10)</f>
        <v>74.923086876166352</v>
      </c>
      <c r="W3056" s="75">
        <f>U3047</f>
        <v>431.69530019608169</v>
      </c>
      <c r="X3056" s="61"/>
      <c r="Y3056" s="69">
        <f>IFERROR(ABS(X$23-X3055),Q_max*10)</f>
        <v>5500</v>
      </c>
      <c r="Z3056" s="75">
        <f>X3047</f>
        <v>1036.2348961398989</v>
      </c>
      <c r="AA3056" s="61"/>
      <c r="AB3056" s="69">
        <f>IFERROR(ABS(AA$23-AA3055),Q_max*10)</f>
        <v>5500</v>
      </c>
      <c r="AC3056" s="75">
        <f>AA3047</f>
        <v>1978.5521845663502</v>
      </c>
      <c r="AD3056" s="61"/>
      <c r="AE3056" s="69">
        <f>IFERROR(ABS(AD$23-AD3055),Q_max*10)</f>
        <v>5500</v>
      </c>
      <c r="AF3056" s="75">
        <f>AD3047</f>
        <v>3253.9898839165503</v>
      </c>
      <c r="AG3056" s="61"/>
      <c r="AH3056" s="69">
        <f>IFERROR(ABS(AG$23-AG3055),Q_max*10)</f>
        <v>5500</v>
      </c>
      <c r="AI3056" s="75">
        <f>AG3047</f>
        <v>4844.7475276262976</v>
      </c>
      <c r="AJ3056" s="61"/>
      <c r="AK3056" s="69">
        <f>IFERROR(ABS(AJ$23-AJ3055),Q_max*10)</f>
        <v>5500</v>
      </c>
      <c r="AL3056" s="75">
        <f>AJ3047</f>
        <v>6465.3343566068124</v>
      </c>
      <c r="AM3056" s="61"/>
      <c r="AN3056" s="69">
        <f>IFERROR(ABS(AM$23-AM3055),Q_max*10)</f>
        <v>5500</v>
      </c>
      <c r="AO3056" s="75">
        <f>AM3047</f>
        <v>7888.936586865033</v>
      </c>
      <c r="AP3056" s="61"/>
      <c r="AQ3056" s="69">
        <f>IFERROR(ABS(AP$23-AP3055),Q_max*10)</f>
        <v>5500</v>
      </c>
      <c r="AR3056" s="75">
        <f>AP3047</f>
        <v>9158.8104682328612</v>
      </c>
      <c r="AS3056" s="61"/>
      <c r="AT3056" s="69">
        <f>IFERROR(ABS(AS$23-AS3055),Q_max*10)</f>
        <v>5500</v>
      </c>
      <c r="AU3056" s="75">
        <f>AS3047</f>
        <v>10423.58065065789</v>
      </c>
    </row>
    <row r="3057" spans="15:47" ht="14.5" x14ac:dyDescent="0.35">
      <c r="O3057" s="6"/>
      <c r="P3057" s="6"/>
      <c r="Q3057" s="60"/>
      <c r="R3057" s="67"/>
      <c r="S3057" s="58"/>
      <c r="T3057" s="73"/>
      <c r="V3057" s="11"/>
      <c r="W3057" s="38"/>
      <c r="Y3057" s="11"/>
      <c r="Z3057" s="38"/>
      <c r="AB3057" s="11"/>
      <c r="AC3057" s="38"/>
      <c r="AE3057" s="11"/>
      <c r="AF3057" s="38"/>
      <c r="AH3057" s="11"/>
      <c r="AI3057" s="38"/>
      <c r="AK3057" s="11"/>
      <c r="AL3057" s="38"/>
      <c r="AN3057" s="11"/>
      <c r="AO3057" s="38"/>
      <c r="AQ3057" s="11"/>
      <c r="AR3057" s="38"/>
      <c r="AT3057" s="11"/>
      <c r="AU3057" s="38"/>
    </row>
    <row r="3058" spans="15:47" ht="14" x14ac:dyDescent="0.3">
      <c r="O3058" s="8" t="s">
        <v>235</v>
      </c>
      <c r="P3058" s="6"/>
      <c r="Q3058" s="60"/>
      <c r="R3058" s="53">
        <f>R3047*1.02</f>
        <v>185.41173656291195</v>
      </c>
      <c r="S3058" s="58" t="s">
        <v>238</v>
      </c>
      <c r="T3058" s="73" t="s">
        <v>241</v>
      </c>
      <c r="U3058" s="84">
        <f>U3047*1.01</f>
        <v>436.01225319804252</v>
      </c>
      <c r="V3058" s="58" t="s">
        <v>238</v>
      </c>
      <c r="W3058" s="73" t="s">
        <v>241</v>
      </c>
      <c r="X3058" s="84">
        <f>X3047*1.01</f>
        <v>1046.5972451012979</v>
      </c>
      <c r="Y3058" s="58" t="s">
        <v>238</v>
      </c>
      <c r="Z3058" s="73" t="s">
        <v>241</v>
      </c>
      <c r="AA3058" s="84">
        <f>AA3047*1.01</f>
        <v>1998.3377064120136</v>
      </c>
      <c r="AB3058" s="58" t="s">
        <v>238</v>
      </c>
      <c r="AC3058" s="73" t="s">
        <v>241</v>
      </c>
      <c r="AD3058" s="84">
        <f>AD3047*1.01</f>
        <v>3286.529782755716</v>
      </c>
      <c r="AE3058" s="58" t="s">
        <v>238</v>
      </c>
      <c r="AF3058" s="73" t="s">
        <v>241</v>
      </c>
      <c r="AG3058" s="84">
        <f>AG3047*1.01</f>
        <v>4893.1950029025602</v>
      </c>
      <c r="AH3058" s="58" t="s">
        <v>238</v>
      </c>
      <c r="AI3058" s="73" t="s">
        <v>241</v>
      </c>
      <c r="AJ3058" s="84">
        <f>AJ3047*1.01</f>
        <v>6529.987700172881</v>
      </c>
      <c r="AK3058" s="58" t="s">
        <v>238</v>
      </c>
      <c r="AL3058" s="73" t="s">
        <v>241</v>
      </c>
      <c r="AM3058" s="84">
        <f>AM3047*1.01</f>
        <v>7967.8259527336832</v>
      </c>
      <c r="AN3058" s="58" t="s">
        <v>238</v>
      </c>
      <c r="AO3058" s="73" t="s">
        <v>241</v>
      </c>
      <c r="AP3058" s="84">
        <f>AP3047*1.01</f>
        <v>9250.39857291519</v>
      </c>
      <c r="AQ3058" s="58" t="s">
        <v>238</v>
      </c>
      <c r="AR3058" s="73" t="s">
        <v>241</v>
      </c>
      <c r="AS3058" s="84">
        <f>AS3047*1.01</f>
        <v>10527.816457164468</v>
      </c>
      <c r="AT3058" s="58" t="s">
        <v>238</v>
      </c>
      <c r="AU3058" s="73" t="s">
        <v>241</v>
      </c>
    </row>
    <row r="3059" spans="15:47" ht="13" x14ac:dyDescent="0.25">
      <c r="O3059" s="6"/>
      <c r="P3059" s="6"/>
      <c r="Q3059" s="60"/>
      <c r="R3059" s="70"/>
      <c r="S3059" s="63" t="s">
        <v>250</v>
      </c>
      <c r="T3059" s="71" t="s">
        <v>242</v>
      </c>
      <c r="U3059" s="61"/>
      <c r="V3059" s="63" t="s">
        <v>250</v>
      </c>
      <c r="W3059" s="71" t="s">
        <v>242</v>
      </c>
      <c r="X3059" s="61"/>
      <c r="Y3059" s="63" t="s">
        <v>250</v>
      </c>
      <c r="Z3059" s="71" t="s">
        <v>242</v>
      </c>
      <c r="AA3059" s="61"/>
      <c r="AB3059" s="63" t="s">
        <v>250</v>
      </c>
      <c r="AC3059" s="71" t="s">
        <v>242</v>
      </c>
      <c r="AD3059" s="61"/>
      <c r="AE3059" s="63" t="s">
        <v>250</v>
      </c>
      <c r="AF3059" s="71" t="s">
        <v>242</v>
      </c>
      <c r="AG3059" s="61"/>
      <c r="AH3059" s="63" t="s">
        <v>250</v>
      </c>
      <c r="AI3059" s="71" t="s">
        <v>242</v>
      </c>
      <c r="AJ3059" s="61"/>
      <c r="AK3059" s="63" t="s">
        <v>250</v>
      </c>
      <c r="AL3059" s="71" t="s">
        <v>242</v>
      </c>
      <c r="AM3059" s="61"/>
      <c r="AN3059" s="63" t="s">
        <v>250</v>
      </c>
      <c r="AO3059" s="71" t="s">
        <v>242</v>
      </c>
      <c r="AP3059" s="61"/>
      <c r="AQ3059" s="63" t="s">
        <v>250</v>
      </c>
      <c r="AR3059" s="71" t="s">
        <v>242</v>
      </c>
      <c r="AS3059" s="61"/>
      <c r="AT3059" s="63" t="s">
        <v>250</v>
      </c>
      <c r="AU3059" s="71" t="s">
        <v>242</v>
      </c>
    </row>
    <row r="3060" spans="15:47" ht="13" x14ac:dyDescent="0.3">
      <c r="O3060" s="6" t="s">
        <v>231</v>
      </c>
      <c r="P3060" s="6"/>
      <c r="Q3060" s="60"/>
      <c r="R3060" s="85">
        <f>P_1_minQ-(R3058^2*R_up)+dpup_minQ</f>
        <v>55.755132993742833</v>
      </c>
      <c r="S3060" s="56"/>
      <c r="T3060" s="72"/>
      <c r="U3060" s="53">
        <f>P_1_minQ-(U3058^2*R_up)+dpup_minQ</f>
        <v>50.495789093588854</v>
      </c>
      <c r="V3060" s="44"/>
      <c r="W3060" s="72"/>
      <c r="X3060" s="53">
        <f>P_1_minQ-(X3058^2*R_up)+dpup_minQ</f>
        <v>19.923039734764405</v>
      </c>
      <c r="Y3060" s="44"/>
      <c r="Z3060" s="72"/>
      <c r="AA3060" s="53">
        <f>P_1_minQ-(AA3058^2*R_up)+dpup_minQ</f>
        <v>-77.948888512935724</v>
      </c>
      <c r="AB3060" s="44"/>
      <c r="AC3060" s="72"/>
      <c r="AD3060" s="53">
        <f>P_1_minQ-(AD3058^2*R_up)+dpup_minQ</f>
        <v>-307.8686596737702</v>
      </c>
      <c r="AE3060" s="44"/>
      <c r="AF3060" s="72"/>
      <c r="AG3060" s="53">
        <f>P_1_minQ-(AG3058^2*R_up)+dpup_minQ</f>
        <v>-751.70788032524774</v>
      </c>
      <c r="AH3060" s="44"/>
      <c r="AI3060" s="72"/>
      <c r="AJ3060" s="53">
        <f>P_1_minQ-(AJ3058^2*R_up)+dpup_minQ</f>
        <v>-1383.1628626953432</v>
      </c>
      <c r="AK3060" s="44"/>
      <c r="AL3060" s="72"/>
      <c r="AM3060" s="53">
        <f>P_1_minQ-(AM3058^2*R_up)+dpup_minQ</f>
        <v>-2087.1652621768467</v>
      </c>
      <c r="AN3060" s="44"/>
      <c r="AO3060" s="72"/>
      <c r="AP3060" s="53">
        <f>P_1_minQ-(AP3058^2*R_up)+dpup_minQ</f>
        <v>-2832.9816534208508</v>
      </c>
      <c r="AQ3060" s="44"/>
      <c r="AR3060" s="72"/>
      <c r="AS3060" s="53">
        <f>P_1_minQ-(AS3058^2*R_up)+dpup_minQ</f>
        <v>-3686.2422274820342</v>
      </c>
      <c r="AT3060" s="44"/>
      <c r="AU3060" s="72"/>
    </row>
    <row r="3061" spans="15:47" ht="13" x14ac:dyDescent="0.3">
      <c r="O3061" s="6" t="s">
        <v>233</v>
      </c>
      <c r="P3061" s="6"/>
      <c r="Q3061" s="60"/>
      <c r="R3061" s="85">
        <f>P_2_minQ+(R3058^2*R_dn)-dpdn_minQ</f>
        <v>24.888973401251434</v>
      </c>
      <c r="S3061" s="66"/>
      <c r="T3061" s="74"/>
      <c r="U3061" s="53">
        <f>P_2_minQ+(U3058^2*R_dn)-dpdn_minQ</f>
        <v>25.940842181282228</v>
      </c>
      <c r="V3061" s="45"/>
      <c r="W3061" s="74"/>
      <c r="X3061" s="53">
        <f>P_2_minQ+(X3058^2*R_dn)-dpdn_minQ</f>
        <v>32.055392053047122</v>
      </c>
      <c r="Y3061" s="45"/>
      <c r="Z3061" s="74"/>
      <c r="AA3061" s="53">
        <f>P_2_minQ+(AA3058^2*R_dn)-dpdn_minQ</f>
        <v>51.629777702587148</v>
      </c>
      <c r="AB3061" s="45"/>
      <c r="AC3061" s="74"/>
      <c r="AD3061" s="53">
        <f>P_2_minQ+(AD3058^2*R_dn)-dpdn_minQ</f>
        <v>97.613731934754028</v>
      </c>
      <c r="AE3061" s="45"/>
      <c r="AF3061" s="74"/>
      <c r="AG3061" s="53">
        <f>P_2_minQ+(AG3058^2*R_dn)-dpdn_minQ</f>
        <v>186.38157606504953</v>
      </c>
      <c r="AH3061" s="45"/>
      <c r="AI3061" s="74"/>
      <c r="AJ3061" s="53">
        <f>P_2_minQ+(AJ3058^2*R_dn)-dpdn_minQ</f>
        <v>312.6725725390686</v>
      </c>
      <c r="AK3061" s="45"/>
      <c r="AL3061" s="74"/>
      <c r="AM3061" s="53">
        <f>P_2_minQ+(AM3058^2*R_dn)-dpdn_minQ</f>
        <v>453.47305243536925</v>
      </c>
      <c r="AN3061" s="45"/>
      <c r="AO3061" s="74"/>
      <c r="AP3061" s="53">
        <f>P_2_minQ+(AP3058^2*R_dn)-dpdn_minQ</f>
        <v>602.63633068417016</v>
      </c>
      <c r="AQ3061" s="45"/>
      <c r="AR3061" s="74"/>
      <c r="AS3061" s="53">
        <f>P_2_minQ+(AS3058^2*R_dn)-dpdn_minQ</f>
        <v>773.28844549640678</v>
      </c>
      <c r="AT3061" s="45"/>
      <c r="AU3061" s="74"/>
    </row>
    <row r="3062" spans="15:47" x14ac:dyDescent="0.25">
      <c r="O3062" s="6" t="s">
        <v>243</v>
      </c>
      <c r="Q3062" s="60"/>
      <c r="R3062" s="53">
        <f>R3060-R3061</f>
        <v>30.8661595924914</v>
      </c>
      <c r="S3062" s="56"/>
      <c r="T3062" s="72"/>
      <c r="U3062" s="64">
        <f>U3060-U3061</f>
        <v>24.554946912306626</v>
      </c>
      <c r="V3062" s="44"/>
      <c r="W3062" s="72"/>
      <c r="X3062" s="64">
        <f>X3060-X3061</f>
        <v>-12.132352318282717</v>
      </c>
      <c r="Y3062" s="44"/>
      <c r="Z3062" s="72"/>
      <c r="AA3062" s="64">
        <f>AA3060-AA3061</f>
        <v>-129.57866621552287</v>
      </c>
      <c r="AB3062" s="44"/>
      <c r="AC3062" s="72"/>
      <c r="AD3062" s="64">
        <f>AD3060-AD3061</f>
        <v>-405.48239160852421</v>
      </c>
      <c r="AE3062" s="44"/>
      <c r="AF3062" s="72"/>
      <c r="AG3062" s="64">
        <f>AG3060-AG3061</f>
        <v>-938.0894563902973</v>
      </c>
      <c r="AH3062" s="44"/>
      <c r="AI3062" s="72"/>
      <c r="AJ3062" s="64">
        <f>AJ3060-AJ3061</f>
        <v>-1695.8354352344118</v>
      </c>
      <c r="AK3062" s="44"/>
      <c r="AL3062" s="72"/>
      <c r="AM3062" s="64">
        <f>AM3060-AM3061</f>
        <v>-2540.6383146122162</v>
      </c>
      <c r="AN3062" s="44"/>
      <c r="AO3062" s="72"/>
      <c r="AP3062" s="64">
        <f>AP3060-AP3061</f>
        <v>-3435.6179841050207</v>
      </c>
      <c r="AQ3062" s="44"/>
      <c r="AR3062" s="72"/>
      <c r="AS3062" s="64">
        <f>AS3060-AS3061</f>
        <v>-4459.5306729784406</v>
      </c>
      <c r="AT3062" s="44"/>
      <c r="AU3062" s="72"/>
    </row>
    <row r="3063" spans="15:47" ht="13" x14ac:dyDescent="0.3">
      <c r="O3063" s="6" t="s">
        <v>75</v>
      </c>
      <c r="P3063" s="6">
        <v>3</v>
      </c>
      <c r="Q3063" s="65"/>
      <c r="R3063" s="85">
        <f>(F_LP_h/F_P_h)^2*(R3060-('Valve Sizing'!$V$4*'Valve Sizing'!$G$7))</f>
        <v>45.803785853832501</v>
      </c>
      <c r="S3063" s="58"/>
      <c r="T3063" s="73"/>
      <c r="U3063" s="53">
        <f>(U$29/U$27)^2*(U3060-('Valve Sizing'!$V$4*'Valve Sizing'!$G$7))</f>
        <v>41.437475818634958</v>
      </c>
      <c r="V3063" s="41"/>
      <c r="W3063" s="73"/>
      <c r="X3063" s="53">
        <f>(X$29/X$27)^2*(X3060-('Valve Sizing'!$V$4*'Valve Sizing'!$G$7))</f>
        <v>15.764724393206759</v>
      </c>
      <c r="Y3063" s="41"/>
      <c r="Z3063" s="73"/>
      <c r="AA3063" s="53">
        <f>(AA$29/AA$27)^2*(AA3060-('Valve Sizing'!$V$4*'Valve Sizing'!$G$7))</f>
        <v>-60.578759794185437</v>
      </c>
      <c r="AB3063" s="41"/>
      <c r="AC3063" s="73"/>
      <c r="AD3063" s="53">
        <f>(AD$29/AD$27)^2*(AD3060-('Valve Sizing'!$V$4*'Valve Sizing'!$G$7))</f>
        <v>-222.34836447006629</v>
      </c>
      <c r="AE3063" s="41"/>
      <c r="AF3063" s="73"/>
      <c r="AG3063" s="53">
        <f>(AG$29/AG$27)^2*(AG3060-('Valve Sizing'!$V$4*'Valve Sizing'!$G$7))</f>
        <v>-484.4163298600111</v>
      </c>
      <c r="AH3063" s="41"/>
      <c r="AI3063" s="73"/>
      <c r="AJ3063" s="53">
        <f>(AJ$29/AJ$27)^2*(AJ3060-('Valve Sizing'!$V$4*'Valve Sizing'!$G$7))</f>
        <v>-800.22658339191594</v>
      </c>
      <c r="AK3063" s="41"/>
      <c r="AL3063" s="73"/>
      <c r="AM3063" s="53">
        <f>(AM$29/AM$27)^2*(AM3060-('Valve Sizing'!$V$4*'Valve Sizing'!$G$7))</f>
        <v>-998.86100428617078</v>
      </c>
      <c r="AN3063" s="41"/>
      <c r="AO3063" s="73"/>
      <c r="AP3063" s="53">
        <f>(AP$29/AP$27)^2*(AP3060-('Valve Sizing'!$V$4*'Valve Sizing'!$G$7))</f>
        <v>-1118.1442204157797</v>
      </c>
      <c r="AQ3063" s="41"/>
      <c r="AR3063" s="73"/>
      <c r="AS3063" s="53">
        <f>(AS$29/AS$27)^2*(AS3060-('Valve Sizing'!$V$4*'Valve Sizing'!$G$7))</f>
        <v>-1386.7116023451788</v>
      </c>
      <c r="AT3063" s="41"/>
      <c r="AU3063" s="73"/>
    </row>
    <row r="3064" spans="15:47" ht="13" x14ac:dyDescent="0.25">
      <c r="O3064" s="1" t="s">
        <v>69</v>
      </c>
      <c r="P3064" s="17">
        <v>7</v>
      </c>
      <c r="Q3064" s="65"/>
      <c r="R3064" s="53">
        <f>(R3058/(N_1*F_P_h))*SQRT('Valve Sizing'!$G$6/R3062)</f>
        <v>33.377933992805922</v>
      </c>
      <c r="S3064" s="58"/>
      <c r="T3064" s="73"/>
      <c r="U3064" s="64">
        <f>(U3058/(N_1*U$27))*SQRT('Valve Sizing'!$G$6/U3062)</f>
        <v>88.063281602198586</v>
      </c>
      <c r="V3064" s="41"/>
      <c r="W3064" s="73"/>
      <c r="X3064" s="64" t="e">
        <f>(X3058/(N_1*X$27))*SQRT('Valve Sizing'!$G$6/X3062)</f>
        <v>#NUM!</v>
      </c>
      <c r="Y3064" s="41"/>
      <c r="Z3064" s="73"/>
      <c r="AA3064" s="64" t="e">
        <f>(AA3058/(N_1*AA$27))*SQRT('Valve Sizing'!$G$6/AA3062)</f>
        <v>#NUM!</v>
      </c>
      <c r="AB3064" s="41"/>
      <c r="AC3064" s="73"/>
      <c r="AD3064" s="64" t="e">
        <f>(AD3058/(N_1*AD$27))*SQRT('Valve Sizing'!$G$6/AD3062)</f>
        <v>#NUM!</v>
      </c>
      <c r="AE3064" s="41"/>
      <c r="AF3064" s="73"/>
      <c r="AG3064" s="64" t="e">
        <f>(AG3058/(N_1*AG$27))*SQRT('Valve Sizing'!$G$6/AG3062)</f>
        <v>#NUM!</v>
      </c>
      <c r="AH3064" s="41"/>
      <c r="AI3064" s="73"/>
      <c r="AJ3064" s="64" t="e">
        <f>(AJ3058/(N_1*AJ$27))*SQRT('Valve Sizing'!$G$6/AJ3062)</f>
        <v>#NUM!</v>
      </c>
      <c r="AK3064" s="41"/>
      <c r="AL3064" s="73"/>
      <c r="AM3064" s="64" t="e">
        <f>(AM3058/(N_1*AM$27))*SQRT('Valve Sizing'!$G$6/AM3062)</f>
        <v>#NUM!</v>
      </c>
      <c r="AN3064" s="41"/>
      <c r="AO3064" s="73"/>
      <c r="AP3064" s="64" t="e">
        <f>(AP3058/(N_1*AP$27))*SQRT('Valve Sizing'!$G$6/AP3062)</f>
        <v>#NUM!</v>
      </c>
      <c r="AQ3064" s="41"/>
      <c r="AR3064" s="73"/>
      <c r="AS3064" s="64" t="e">
        <f>(AS3058/(N_1*AS$27))*SQRT('Valve Sizing'!$G$6/AS3062)</f>
        <v>#NUM!</v>
      </c>
      <c r="AT3064" s="41"/>
      <c r="AU3064" s="73"/>
    </row>
    <row r="3065" spans="15:47" ht="13" x14ac:dyDescent="0.3">
      <c r="O3065" s="1" t="s">
        <v>72</v>
      </c>
      <c r="P3065" s="17">
        <v>7</v>
      </c>
      <c r="Q3065" s="65"/>
      <c r="R3065" s="53">
        <f>(R3058/(N_1*F_P_h))*SQRT('Valve Sizing'!$G$6/R3063)</f>
        <v>27.399968427145602</v>
      </c>
      <c r="S3065" s="56"/>
      <c r="T3065" s="72"/>
      <c r="U3065" s="85">
        <f>(U3058/(N_1*U$27))*SQRT('Valve Sizing'!$G$6/U3063)</f>
        <v>67.790325411302675</v>
      </c>
      <c r="V3065" s="44"/>
      <c r="W3065" s="72"/>
      <c r="X3065" s="85">
        <f>(X3058/(N_1*X$27))*SQRT('Valve Sizing'!$G$6/X3063)</f>
        <v>264.40929220165424</v>
      </c>
      <c r="Y3065" s="44"/>
      <c r="Z3065" s="72"/>
      <c r="AA3065" s="85" t="e">
        <f>(AA3058/(N_1*AA$27))*SQRT('Valve Sizing'!$G$6/AA3063)</f>
        <v>#NUM!</v>
      </c>
      <c r="AB3065" s="44"/>
      <c r="AC3065" s="72"/>
      <c r="AD3065" s="85" t="e">
        <f>(AD3058/(N_1*AD$27))*SQRT('Valve Sizing'!$G$6/AD3063)</f>
        <v>#NUM!</v>
      </c>
      <c r="AE3065" s="44"/>
      <c r="AF3065" s="72"/>
      <c r="AG3065" s="85" t="e">
        <f>(AG3058/(N_1*AG$27))*SQRT('Valve Sizing'!$G$6/AG3063)</f>
        <v>#NUM!</v>
      </c>
      <c r="AH3065" s="44"/>
      <c r="AI3065" s="72"/>
      <c r="AJ3065" s="85" t="e">
        <f>(AJ3058/(N_1*AJ$27))*SQRT('Valve Sizing'!$G$6/AJ3063)</f>
        <v>#NUM!</v>
      </c>
      <c r="AK3065" s="44"/>
      <c r="AL3065" s="72"/>
      <c r="AM3065" s="85" t="e">
        <f>(AM3058/(N_1*AM$27))*SQRT('Valve Sizing'!$G$6/AM3063)</f>
        <v>#NUM!</v>
      </c>
      <c r="AN3065" s="44"/>
      <c r="AO3065" s="72"/>
      <c r="AP3065" s="85" t="e">
        <f>(AP3058/(N_1*AP$27))*SQRT('Valve Sizing'!$G$6/AP3063)</f>
        <v>#NUM!</v>
      </c>
      <c r="AQ3065" s="44"/>
      <c r="AR3065" s="72"/>
      <c r="AS3065" s="85" t="e">
        <f>(AS3058/(N_1*AS$27))*SQRT('Valve Sizing'!$G$6/AS3063)</f>
        <v>#NUM!</v>
      </c>
      <c r="AT3065" s="44"/>
      <c r="AU3065" s="72"/>
    </row>
    <row r="3066" spans="15:47" x14ac:dyDescent="0.25">
      <c r="O3066" s="1" t="s">
        <v>246</v>
      </c>
      <c r="P3066" s="18"/>
      <c r="Q3066" s="65"/>
      <c r="R3066" s="53">
        <f>IF(R3062&lt;R3063,R3064,R3065)</f>
        <v>33.377933992805922</v>
      </c>
      <c r="S3066" s="49"/>
      <c r="T3066" s="72"/>
      <c r="U3066" s="64">
        <f>IF(U3062&lt;U3063,U3064,U3065)</f>
        <v>88.063281602198586</v>
      </c>
      <c r="V3066" s="44"/>
      <c r="W3066" s="72"/>
      <c r="X3066" s="64" t="e">
        <f>IF(X3062&lt;X3063,X3064,X3065)</f>
        <v>#NUM!</v>
      </c>
      <c r="Y3066" s="44"/>
      <c r="Z3066" s="72"/>
      <c r="AA3066" s="64" t="e">
        <f>IF(AA3062&lt;AA3063,AA3064,AA3065)</f>
        <v>#NUM!</v>
      </c>
      <c r="AB3066" s="44"/>
      <c r="AC3066" s="72"/>
      <c r="AD3066" s="64" t="e">
        <f>IF(AD3062&lt;AD3063,AD3064,AD3065)</f>
        <v>#NUM!</v>
      </c>
      <c r="AE3066" s="44"/>
      <c r="AF3066" s="72"/>
      <c r="AG3066" s="64" t="e">
        <f>IF(AG3062&lt;AG3063,AG3064,AG3065)</f>
        <v>#NUM!</v>
      </c>
      <c r="AH3066" s="44"/>
      <c r="AI3066" s="72"/>
      <c r="AJ3066" s="64" t="e">
        <f>IF(AJ3062&lt;AJ3063,AJ3064,AJ3065)</f>
        <v>#NUM!</v>
      </c>
      <c r="AK3066" s="44"/>
      <c r="AL3066" s="72"/>
      <c r="AM3066" s="64" t="e">
        <f>IF(AM3062&lt;AM3063,AM3064,AM3065)</f>
        <v>#NUM!</v>
      </c>
      <c r="AN3066" s="44"/>
      <c r="AO3066" s="72"/>
      <c r="AP3066" s="64" t="e">
        <f>IF(AP3062&lt;AP3063,AP3064,AP3065)</f>
        <v>#NUM!</v>
      </c>
      <c r="AQ3066" s="44"/>
      <c r="AR3066" s="72"/>
      <c r="AS3066" s="64" t="e">
        <f>IF(AS3062&lt;AS3063,AS3064,AS3065)</f>
        <v>#NUM!</v>
      </c>
      <c r="AT3066" s="44"/>
      <c r="AU3066" s="72"/>
    </row>
    <row r="3067" spans="15:47" ht="13" x14ac:dyDescent="0.3">
      <c r="O3067" s="7" t="s">
        <v>264</v>
      </c>
      <c r="Q3067" s="61"/>
      <c r="R3067" s="53"/>
      <c r="S3067" s="69">
        <f>IFERROR(ABS(C_h-R3066),Q_max*10)</f>
        <v>28.377933992805922</v>
      </c>
      <c r="T3067" s="76">
        <f>R3058</f>
        <v>185.41173656291195</v>
      </c>
      <c r="U3067" s="61"/>
      <c r="V3067" s="69">
        <f>IFERROR(ABS(U$23-U3066),Q_max*10)</f>
        <v>76.063281602198586</v>
      </c>
      <c r="W3067" s="75">
        <f>U3058</f>
        <v>436.01225319804252</v>
      </c>
      <c r="X3067" s="61"/>
      <c r="Y3067" s="69">
        <f>IFERROR(ABS(X$23-X3066),Q_max*10)</f>
        <v>5500</v>
      </c>
      <c r="Z3067" s="75">
        <f>X3058</f>
        <v>1046.5972451012979</v>
      </c>
      <c r="AA3067" s="61"/>
      <c r="AB3067" s="69">
        <f>IFERROR(ABS(AA$23-AA3066),Q_max*10)</f>
        <v>5500</v>
      </c>
      <c r="AC3067" s="75">
        <f>AA3058</f>
        <v>1998.3377064120136</v>
      </c>
      <c r="AD3067" s="61"/>
      <c r="AE3067" s="69">
        <f>IFERROR(ABS(AD$23-AD3066),Q_max*10)</f>
        <v>5500</v>
      </c>
      <c r="AF3067" s="75">
        <f>AD3058</f>
        <v>3286.529782755716</v>
      </c>
      <c r="AG3067" s="61"/>
      <c r="AH3067" s="69">
        <f>IFERROR(ABS(AG$23-AG3066),Q_max*10)</f>
        <v>5500</v>
      </c>
      <c r="AI3067" s="75">
        <f>AG3058</f>
        <v>4893.1950029025602</v>
      </c>
      <c r="AJ3067" s="61"/>
      <c r="AK3067" s="69">
        <f>IFERROR(ABS(AJ$23-AJ3066),Q_max*10)</f>
        <v>5500</v>
      </c>
      <c r="AL3067" s="75">
        <f>AJ3058</f>
        <v>6529.987700172881</v>
      </c>
      <c r="AM3067" s="61"/>
      <c r="AN3067" s="69">
        <f>IFERROR(ABS(AM$23-AM3066),Q_max*10)</f>
        <v>5500</v>
      </c>
      <c r="AO3067" s="75">
        <f>AM3058</f>
        <v>7967.8259527336832</v>
      </c>
      <c r="AP3067" s="61"/>
      <c r="AQ3067" s="69">
        <f>IFERROR(ABS(AP$23-AP3066),Q_max*10)</f>
        <v>5500</v>
      </c>
      <c r="AR3067" s="75">
        <f>AP3058</f>
        <v>9250.39857291519</v>
      </c>
      <c r="AS3067" s="61"/>
      <c r="AT3067" s="69">
        <f>IFERROR(ABS(AS$23-AS3066),Q_max*10)</f>
        <v>5500</v>
      </c>
      <c r="AU3067" s="75">
        <f>AS3058</f>
        <v>10527.816457164468</v>
      </c>
    </row>
    <row r="3068" spans="15:47" ht="14.5" x14ac:dyDescent="0.35">
      <c r="O3068" s="8"/>
      <c r="P3068" s="6"/>
      <c r="Q3068" s="60"/>
      <c r="R3068" s="67"/>
      <c r="S3068" s="56"/>
      <c r="T3068" s="72"/>
      <c r="V3068" s="11"/>
      <c r="W3068" s="38"/>
      <c r="Y3068" s="11"/>
      <c r="Z3068" s="38"/>
      <c r="AB3068" s="11"/>
      <c r="AC3068" s="38"/>
      <c r="AE3068" s="11"/>
      <c r="AF3068" s="38"/>
      <c r="AH3068" s="11"/>
      <c r="AI3068" s="38"/>
      <c r="AK3068" s="11"/>
      <c r="AL3068" s="38"/>
      <c r="AN3068" s="11"/>
      <c r="AO3068" s="38"/>
      <c r="AQ3068" s="11"/>
      <c r="AR3068" s="38"/>
      <c r="AT3068" s="11"/>
      <c r="AU3068" s="38"/>
    </row>
    <row r="3069" spans="15:47" ht="14" x14ac:dyDescent="0.3">
      <c r="O3069" s="8" t="s">
        <v>235</v>
      </c>
      <c r="P3069" s="6"/>
      <c r="Q3069" s="60"/>
      <c r="R3069" s="53">
        <f>R3058*1.02</f>
        <v>189.1199712941702</v>
      </c>
      <c r="S3069" s="58" t="s">
        <v>238</v>
      </c>
      <c r="T3069" s="73" t="s">
        <v>241</v>
      </c>
      <c r="U3069" s="84">
        <f>U3058*1.01</f>
        <v>440.37237573002295</v>
      </c>
      <c r="V3069" s="58" t="s">
        <v>238</v>
      </c>
      <c r="W3069" s="73" t="s">
        <v>241</v>
      </c>
      <c r="X3069" s="84">
        <f>X3058*1.01</f>
        <v>1057.0632175523108</v>
      </c>
      <c r="Y3069" s="58" t="s">
        <v>238</v>
      </c>
      <c r="Z3069" s="73" t="s">
        <v>241</v>
      </c>
      <c r="AA3069" s="84">
        <f>AA3058*1.01</f>
        <v>2018.3210834761337</v>
      </c>
      <c r="AB3069" s="58" t="s">
        <v>238</v>
      </c>
      <c r="AC3069" s="73" t="s">
        <v>241</v>
      </c>
      <c r="AD3069" s="84">
        <f>AD3058*1.01</f>
        <v>3319.3950805832733</v>
      </c>
      <c r="AE3069" s="58" t="s">
        <v>238</v>
      </c>
      <c r="AF3069" s="73" t="s">
        <v>241</v>
      </c>
      <c r="AG3069" s="84">
        <f>AG3058*1.01</f>
        <v>4942.1269529315859</v>
      </c>
      <c r="AH3069" s="58" t="s">
        <v>238</v>
      </c>
      <c r="AI3069" s="73" t="s">
        <v>241</v>
      </c>
      <c r="AJ3069" s="84">
        <f>AJ3058*1.01</f>
        <v>6595.2875771746094</v>
      </c>
      <c r="AK3069" s="58" t="s">
        <v>238</v>
      </c>
      <c r="AL3069" s="73" t="s">
        <v>241</v>
      </c>
      <c r="AM3069" s="84">
        <f>AM3058*1.01</f>
        <v>8047.5042122610203</v>
      </c>
      <c r="AN3069" s="58" t="s">
        <v>238</v>
      </c>
      <c r="AO3069" s="73" t="s">
        <v>241</v>
      </c>
      <c r="AP3069" s="84">
        <f>AP3058*1.01</f>
        <v>9342.9025586443422</v>
      </c>
      <c r="AQ3069" s="58" t="s">
        <v>238</v>
      </c>
      <c r="AR3069" s="73" t="s">
        <v>241</v>
      </c>
      <c r="AS3069" s="84">
        <f>AS3058*1.01</f>
        <v>10633.094621736112</v>
      </c>
      <c r="AT3069" s="58" t="s">
        <v>238</v>
      </c>
      <c r="AU3069" s="73" t="s">
        <v>241</v>
      </c>
    </row>
    <row r="3070" spans="15:47" ht="13" x14ac:dyDescent="0.25">
      <c r="O3070" s="6"/>
      <c r="P3070" s="6"/>
      <c r="Q3070" s="60"/>
      <c r="R3070" s="70"/>
      <c r="S3070" s="63" t="s">
        <v>250</v>
      </c>
      <c r="T3070" s="71" t="s">
        <v>242</v>
      </c>
      <c r="U3070" s="61"/>
      <c r="V3070" s="63" t="s">
        <v>250</v>
      </c>
      <c r="W3070" s="71" t="s">
        <v>242</v>
      </c>
      <c r="X3070" s="61"/>
      <c r="Y3070" s="63" t="s">
        <v>250</v>
      </c>
      <c r="Z3070" s="71" t="s">
        <v>242</v>
      </c>
      <c r="AA3070" s="61"/>
      <c r="AB3070" s="63" t="s">
        <v>250</v>
      </c>
      <c r="AC3070" s="71" t="s">
        <v>242</v>
      </c>
      <c r="AD3070" s="61"/>
      <c r="AE3070" s="63" t="s">
        <v>250</v>
      </c>
      <c r="AF3070" s="71" t="s">
        <v>242</v>
      </c>
      <c r="AG3070" s="61"/>
      <c r="AH3070" s="63" t="s">
        <v>250</v>
      </c>
      <c r="AI3070" s="71" t="s">
        <v>242</v>
      </c>
      <c r="AJ3070" s="61"/>
      <c r="AK3070" s="63" t="s">
        <v>250</v>
      </c>
      <c r="AL3070" s="71" t="s">
        <v>242</v>
      </c>
      <c r="AM3070" s="61"/>
      <c r="AN3070" s="63" t="s">
        <v>250</v>
      </c>
      <c r="AO3070" s="71" t="s">
        <v>242</v>
      </c>
      <c r="AP3070" s="61"/>
      <c r="AQ3070" s="63" t="s">
        <v>250</v>
      </c>
      <c r="AR3070" s="71" t="s">
        <v>242</v>
      </c>
      <c r="AS3070" s="61"/>
      <c r="AT3070" s="63" t="s">
        <v>250</v>
      </c>
      <c r="AU3070" s="71" t="s">
        <v>242</v>
      </c>
    </row>
    <row r="3071" spans="15:47" ht="13" x14ac:dyDescent="0.3">
      <c r="O3071" s="6" t="s">
        <v>231</v>
      </c>
      <c r="P3071" s="6"/>
      <c r="Q3071" s="60"/>
      <c r="R3071" s="85">
        <f>P_1_minQ-(R3069^2*R_up)+dpup_minQ</f>
        <v>55.708228181617436</v>
      </c>
      <c r="S3071" s="56"/>
      <c r="T3071" s="72"/>
      <c r="U3071" s="53">
        <f>P_1_minQ-(U3069^2*R_up)+dpup_minQ</f>
        <v>50.366739976153177</v>
      </c>
      <c r="V3071" s="44"/>
      <c r="W3071" s="72"/>
      <c r="X3071" s="53">
        <f>P_1_minQ-(X3069^2*R_up)+dpup_minQ</f>
        <v>19.17947835521635</v>
      </c>
      <c r="Y3071" s="44"/>
      <c r="Z3071" s="72"/>
      <c r="AA3071" s="53">
        <f>P_1_minQ-(AA3069^2*R_up)+dpup_minQ</f>
        <v>-80.659675650262557</v>
      </c>
      <c r="AB3071" s="44"/>
      <c r="AC3071" s="72"/>
      <c r="AD3071" s="53">
        <f>P_1_minQ-(AD3069^2*R_up)+dpup_minQ</f>
        <v>-315.20083421142976</v>
      </c>
      <c r="AE3071" s="44"/>
      <c r="AF3071" s="72"/>
      <c r="AG3071" s="53">
        <f>P_1_minQ-(AG3069^2*R_up)+dpup_minQ</f>
        <v>-767.96122319800213</v>
      </c>
      <c r="AH3071" s="44"/>
      <c r="AI3071" s="72"/>
      <c r="AJ3071" s="53">
        <f>P_1_minQ-(AJ3069^2*R_up)+dpup_minQ</f>
        <v>-1412.1084507137364</v>
      </c>
      <c r="AK3071" s="44"/>
      <c r="AL3071" s="72"/>
      <c r="AM3071" s="53">
        <f>P_1_minQ-(AM3069^2*R_up)+dpup_minQ</f>
        <v>-2130.2612984248185</v>
      </c>
      <c r="AN3071" s="44"/>
      <c r="AO3071" s="72"/>
      <c r="AP3071" s="53">
        <f>P_1_minQ-(AP3069^2*R_up)+dpup_minQ</f>
        <v>-2891.0685991328269</v>
      </c>
      <c r="AQ3071" s="44"/>
      <c r="AR3071" s="72"/>
      <c r="AS3071" s="53">
        <f>P_1_minQ-(AS3069^2*R_up)+dpup_minQ</f>
        <v>-3761.4797107326394</v>
      </c>
      <c r="AT3071" s="44"/>
      <c r="AU3071" s="72"/>
    </row>
    <row r="3072" spans="15:47" ht="13" x14ac:dyDescent="0.3">
      <c r="O3072" s="6" t="s">
        <v>233</v>
      </c>
      <c r="P3072" s="6"/>
      <c r="Q3072" s="60"/>
      <c r="R3072" s="85">
        <f>P_2_minQ+(R3069^2*R_dn)-dpdn_minQ</f>
        <v>24.898354363676514</v>
      </c>
      <c r="S3072" s="66"/>
      <c r="T3072" s="74"/>
      <c r="U3072" s="53">
        <f>P_2_minQ+(U3069^2*R_dn)-dpdn_minQ</f>
        <v>25.966652004769365</v>
      </c>
      <c r="V3072" s="45"/>
      <c r="W3072" s="74"/>
      <c r="X3072" s="53">
        <f>P_2_minQ+(X3069^2*R_dn)-dpdn_minQ</f>
        <v>32.204104328956731</v>
      </c>
      <c r="Y3072" s="45"/>
      <c r="Z3072" s="74"/>
      <c r="AA3072" s="53">
        <f>P_2_minQ+(AA3069^2*R_dn)-dpdn_minQ</f>
        <v>52.171935130052518</v>
      </c>
      <c r="AB3072" s="45"/>
      <c r="AC3072" s="74"/>
      <c r="AD3072" s="53">
        <f>P_2_minQ+(AD3069^2*R_dn)-dpdn_minQ</f>
        <v>99.080166842285948</v>
      </c>
      <c r="AE3072" s="45"/>
      <c r="AF3072" s="74"/>
      <c r="AG3072" s="53">
        <f>P_2_minQ+(AG3069^2*R_dn)-dpdn_minQ</f>
        <v>189.63224463960043</v>
      </c>
      <c r="AH3072" s="45"/>
      <c r="AI3072" s="74"/>
      <c r="AJ3072" s="53">
        <f>P_2_minQ+(AJ3069^2*R_dn)-dpdn_minQ</f>
        <v>318.46169014274722</v>
      </c>
      <c r="AK3072" s="45"/>
      <c r="AL3072" s="74"/>
      <c r="AM3072" s="53">
        <f>P_2_minQ+(AM3069^2*R_dn)-dpdn_minQ</f>
        <v>462.09225968496355</v>
      </c>
      <c r="AN3072" s="45"/>
      <c r="AO3072" s="74"/>
      <c r="AP3072" s="53">
        <f>P_2_minQ+(AP3069^2*R_dn)-dpdn_minQ</f>
        <v>614.25371982656532</v>
      </c>
      <c r="AQ3072" s="45"/>
      <c r="AR3072" s="74"/>
      <c r="AS3072" s="53">
        <f>P_2_minQ+(AS3069^2*R_dn)-dpdn_minQ</f>
        <v>788.33594214652783</v>
      </c>
      <c r="AT3072" s="45"/>
      <c r="AU3072" s="74"/>
    </row>
    <row r="3073" spans="15:47" x14ac:dyDescent="0.25">
      <c r="O3073" s="6" t="s">
        <v>243</v>
      </c>
      <c r="Q3073" s="60"/>
      <c r="R3073" s="53">
        <f>R3071-R3072</f>
        <v>30.809873817940922</v>
      </c>
      <c r="S3073" s="56"/>
      <c r="T3073" s="72"/>
      <c r="U3073" s="64">
        <f>U3071-U3072</f>
        <v>24.400087971383812</v>
      </c>
      <c r="V3073" s="44"/>
      <c r="W3073" s="72"/>
      <c r="X3073" s="64">
        <f>X3071-X3072</f>
        <v>-13.024625973740381</v>
      </c>
      <c r="Y3073" s="44"/>
      <c r="Z3073" s="72"/>
      <c r="AA3073" s="64">
        <f>AA3071-AA3072</f>
        <v>-132.83161078031509</v>
      </c>
      <c r="AB3073" s="44"/>
      <c r="AC3073" s="72"/>
      <c r="AD3073" s="64">
        <f>AD3071-AD3072</f>
        <v>-414.28100105371573</v>
      </c>
      <c r="AE3073" s="44"/>
      <c r="AF3073" s="72"/>
      <c r="AG3073" s="64">
        <f>AG3071-AG3072</f>
        <v>-957.59346783760259</v>
      </c>
      <c r="AH3073" s="44"/>
      <c r="AI3073" s="72"/>
      <c r="AJ3073" s="64">
        <f>AJ3071-AJ3072</f>
        <v>-1730.5701408564837</v>
      </c>
      <c r="AK3073" s="44"/>
      <c r="AL3073" s="72"/>
      <c r="AM3073" s="64">
        <f>AM3071-AM3072</f>
        <v>-2592.3535581097822</v>
      </c>
      <c r="AN3073" s="44"/>
      <c r="AO3073" s="72"/>
      <c r="AP3073" s="64">
        <f>AP3071-AP3072</f>
        <v>-3505.3223189593923</v>
      </c>
      <c r="AQ3073" s="44"/>
      <c r="AR3073" s="72"/>
      <c r="AS3073" s="64">
        <f>AS3071-AS3072</f>
        <v>-4549.8156528791669</v>
      </c>
      <c r="AT3073" s="44"/>
      <c r="AU3073" s="72"/>
    </row>
    <row r="3074" spans="15:47" ht="13" x14ac:dyDescent="0.3">
      <c r="O3074" s="6" t="s">
        <v>75</v>
      </c>
      <c r="P3074" s="6">
        <v>3</v>
      </c>
      <c r="Q3074" s="65"/>
      <c r="R3074" s="85">
        <f>(F_LP_h/F_P_h)^2*(R3071-('Valve Sizing'!$V$4*'Valve Sizing'!$G$7))</f>
        <v>45.764946207361959</v>
      </c>
      <c r="S3074" s="58"/>
      <c r="T3074" s="73"/>
      <c r="U3074" s="53">
        <f>(U$29/U$27)^2*(U3071-('Valve Sizing'!$V$4*'Valve Sizing'!$G$7))</f>
        <v>41.330645501087623</v>
      </c>
      <c r="V3074" s="41"/>
      <c r="W3074" s="73"/>
      <c r="X3074" s="53">
        <f>(X$29/X$27)^2*(X3071-('Valve Sizing'!$V$4*'Valve Sizing'!$G$7))</f>
        <v>15.163069052231952</v>
      </c>
      <c r="Y3074" s="41"/>
      <c r="Z3074" s="73"/>
      <c r="AA3074" s="53">
        <f>(AA$29/AA$27)^2*(AA3071-('Valve Sizing'!$V$4*'Valve Sizing'!$G$7))</f>
        <v>-62.673648561591989</v>
      </c>
      <c r="AB3074" s="41"/>
      <c r="AC3074" s="73"/>
      <c r="AD3074" s="53">
        <f>(AD$29/AD$27)^2*(AD3071-('Valve Sizing'!$V$4*'Valve Sizing'!$G$7))</f>
        <v>-227.63623641384061</v>
      </c>
      <c r="AE3074" s="41"/>
      <c r="AF3074" s="73"/>
      <c r="AG3074" s="53">
        <f>(AG$29/AG$27)^2*(AG3071-('Valve Sizing'!$V$4*'Valve Sizing'!$G$7))</f>
        <v>-494.88419702371351</v>
      </c>
      <c r="AH3074" s="41"/>
      <c r="AI3074" s="73"/>
      <c r="AJ3074" s="53">
        <f>(AJ$29/AJ$27)^2*(AJ3071-('Valve Sizing'!$V$4*'Valve Sizing'!$G$7))</f>
        <v>-816.96767916680051</v>
      </c>
      <c r="AK3074" s="41"/>
      <c r="AL3074" s="73"/>
      <c r="AM3074" s="53">
        <f>(AM$29/AM$27)^2*(AM3071-('Valve Sizing'!$V$4*'Valve Sizing'!$G$7))</f>
        <v>-1019.4812573762433</v>
      </c>
      <c r="AN3074" s="41"/>
      <c r="AO3074" s="73"/>
      <c r="AP3074" s="53">
        <f>(AP$29/AP$27)^2*(AP3071-('Valve Sizing'!$V$4*'Valve Sizing'!$G$7))</f>
        <v>-1141.0668875130366</v>
      </c>
      <c r="AQ3074" s="41"/>
      <c r="AR3074" s="73"/>
      <c r="AS3074" s="53">
        <f>(AS$29/AS$27)^2*(AS3071-('Valve Sizing'!$V$4*'Valve Sizing'!$G$7))</f>
        <v>-1415.0114890414341</v>
      </c>
      <c r="AT3074" s="41"/>
      <c r="AU3074" s="73"/>
    </row>
    <row r="3075" spans="15:47" ht="13" x14ac:dyDescent="0.25">
      <c r="O3075" s="1" t="s">
        <v>69</v>
      </c>
      <c r="P3075" s="17">
        <v>7</v>
      </c>
      <c r="Q3075" s="65"/>
      <c r="R3075" s="53">
        <f>(R3069/(N_1*F_P_h))*SQRT('Valve Sizing'!$G$6/R3073)</f>
        <v>34.076576904546449</v>
      </c>
      <c r="S3075" s="58"/>
      <c r="T3075" s="73"/>
      <c r="U3075" s="64">
        <f>(U3069/(N_1*U$27))*SQRT('Valve Sizing'!$G$6/U3073)</f>
        <v>89.225716171458714</v>
      </c>
      <c r="V3075" s="41"/>
      <c r="W3075" s="73"/>
      <c r="X3075" s="64" t="e">
        <f>(X3069/(N_1*X$27))*SQRT('Valve Sizing'!$G$6/X3073)</f>
        <v>#NUM!</v>
      </c>
      <c r="Y3075" s="41"/>
      <c r="Z3075" s="73"/>
      <c r="AA3075" s="64" t="e">
        <f>(AA3069/(N_1*AA$27))*SQRT('Valve Sizing'!$G$6/AA3073)</f>
        <v>#NUM!</v>
      </c>
      <c r="AB3075" s="41"/>
      <c r="AC3075" s="73"/>
      <c r="AD3075" s="64" t="e">
        <f>(AD3069/(N_1*AD$27))*SQRT('Valve Sizing'!$G$6/AD3073)</f>
        <v>#NUM!</v>
      </c>
      <c r="AE3075" s="41"/>
      <c r="AF3075" s="73"/>
      <c r="AG3075" s="64" t="e">
        <f>(AG3069/(N_1*AG$27))*SQRT('Valve Sizing'!$G$6/AG3073)</f>
        <v>#NUM!</v>
      </c>
      <c r="AH3075" s="41"/>
      <c r="AI3075" s="73"/>
      <c r="AJ3075" s="64" t="e">
        <f>(AJ3069/(N_1*AJ$27))*SQRT('Valve Sizing'!$G$6/AJ3073)</f>
        <v>#NUM!</v>
      </c>
      <c r="AK3075" s="41"/>
      <c r="AL3075" s="73"/>
      <c r="AM3075" s="64" t="e">
        <f>(AM3069/(N_1*AM$27))*SQRT('Valve Sizing'!$G$6/AM3073)</f>
        <v>#NUM!</v>
      </c>
      <c r="AN3075" s="41"/>
      <c r="AO3075" s="73"/>
      <c r="AP3075" s="64" t="e">
        <f>(AP3069/(N_1*AP$27))*SQRT('Valve Sizing'!$G$6/AP3073)</f>
        <v>#NUM!</v>
      </c>
      <c r="AQ3075" s="41"/>
      <c r="AR3075" s="73"/>
      <c r="AS3075" s="64" t="e">
        <f>(AS3069/(N_1*AS$27))*SQRT('Valve Sizing'!$G$6/AS3073)</f>
        <v>#NUM!</v>
      </c>
      <c r="AT3075" s="41"/>
      <c r="AU3075" s="73"/>
    </row>
    <row r="3076" spans="15:47" ht="13" x14ac:dyDescent="0.3">
      <c r="O3076" s="1" t="s">
        <v>72</v>
      </c>
      <c r="P3076" s="17">
        <v>7</v>
      </c>
      <c r="Q3076" s="65"/>
      <c r="R3076" s="53">
        <f>(R3069/(N_1*F_P_h))*SQRT('Valve Sizing'!$G$6/R3074)</f>
        <v>27.959824675997638</v>
      </c>
      <c r="S3076" s="56"/>
      <c r="T3076" s="72"/>
      <c r="U3076" s="85">
        <f>(U3069/(N_1*U$27))*SQRT('Valve Sizing'!$G$6/U3074)</f>
        <v>68.556658957900382</v>
      </c>
      <c r="V3076" s="44"/>
      <c r="W3076" s="72"/>
      <c r="X3076" s="85">
        <f>(X3069/(N_1*X$27))*SQRT('Valve Sizing'!$G$6/X3074)</f>
        <v>272.30005076783385</v>
      </c>
      <c r="Y3076" s="44"/>
      <c r="Z3076" s="72"/>
      <c r="AA3076" s="85" t="e">
        <f>(AA3069/(N_1*AA$27))*SQRT('Valve Sizing'!$G$6/AA3074)</f>
        <v>#NUM!</v>
      </c>
      <c r="AB3076" s="44"/>
      <c r="AC3076" s="72"/>
      <c r="AD3076" s="85" t="e">
        <f>(AD3069/(N_1*AD$27))*SQRT('Valve Sizing'!$G$6/AD3074)</f>
        <v>#NUM!</v>
      </c>
      <c r="AE3076" s="44"/>
      <c r="AF3076" s="72"/>
      <c r="AG3076" s="85" t="e">
        <f>(AG3069/(N_1*AG$27))*SQRT('Valve Sizing'!$G$6/AG3074)</f>
        <v>#NUM!</v>
      </c>
      <c r="AH3076" s="44"/>
      <c r="AI3076" s="72"/>
      <c r="AJ3076" s="85" t="e">
        <f>(AJ3069/(N_1*AJ$27))*SQRT('Valve Sizing'!$G$6/AJ3074)</f>
        <v>#NUM!</v>
      </c>
      <c r="AK3076" s="44"/>
      <c r="AL3076" s="72"/>
      <c r="AM3076" s="85" t="e">
        <f>(AM3069/(N_1*AM$27))*SQRT('Valve Sizing'!$G$6/AM3074)</f>
        <v>#NUM!</v>
      </c>
      <c r="AN3076" s="44"/>
      <c r="AO3076" s="72"/>
      <c r="AP3076" s="85" t="e">
        <f>(AP3069/(N_1*AP$27))*SQRT('Valve Sizing'!$G$6/AP3074)</f>
        <v>#NUM!</v>
      </c>
      <c r="AQ3076" s="44"/>
      <c r="AR3076" s="72"/>
      <c r="AS3076" s="85" t="e">
        <f>(AS3069/(N_1*AS$27))*SQRT('Valve Sizing'!$G$6/AS3074)</f>
        <v>#NUM!</v>
      </c>
      <c r="AT3076" s="44"/>
      <c r="AU3076" s="72"/>
    </row>
    <row r="3077" spans="15:47" x14ac:dyDescent="0.25">
      <c r="O3077" s="1" t="s">
        <v>246</v>
      </c>
      <c r="P3077" s="18"/>
      <c r="Q3077" s="65"/>
      <c r="R3077" s="53">
        <f>IF(R3073&lt;R3074,R3075,R3076)</f>
        <v>34.076576904546449</v>
      </c>
      <c r="S3077" s="49"/>
      <c r="T3077" s="72"/>
      <c r="U3077" s="64">
        <f>IF(U3073&lt;U3074,U3075,U3076)</f>
        <v>89.225716171458714</v>
      </c>
      <c r="V3077" s="44"/>
      <c r="W3077" s="72"/>
      <c r="X3077" s="64" t="e">
        <f>IF(X3073&lt;X3074,X3075,X3076)</f>
        <v>#NUM!</v>
      </c>
      <c r="Y3077" s="44"/>
      <c r="Z3077" s="72"/>
      <c r="AA3077" s="64" t="e">
        <f>IF(AA3073&lt;AA3074,AA3075,AA3076)</f>
        <v>#NUM!</v>
      </c>
      <c r="AB3077" s="44"/>
      <c r="AC3077" s="72"/>
      <c r="AD3077" s="64" t="e">
        <f>IF(AD3073&lt;AD3074,AD3075,AD3076)</f>
        <v>#NUM!</v>
      </c>
      <c r="AE3077" s="44"/>
      <c r="AF3077" s="72"/>
      <c r="AG3077" s="64" t="e">
        <f>IF(AG3073&lt;AG3074,AG3075,AG3076)</f>
        <v>#NUM!</v>
      </c>
      <c r="AH3077" s="44"/>
      <c r="AI3077" s="72"/>
      <c r="AJ3077" s="64" t="e">
        <f>IF(AJ3073&lt;AJ3074,AJ3075,AJ3076)</f>
        <v>#NUM!</v>
      </c>
      <c r="AK3077" s="44"/>
      <c r="AL3077" s="72"/>
      <c r="AM3077" s="64" t="e">
        <f>IF(AM3073&lt;AM3074,AM3075,AM3076)</f>
        <v>#NUM!</v>
      </c>
      <c r="AN3077" s="44"/>
      <c r="AO3077" s="72"/>
      <c r="AP3077" s="64" t="e">
        <f>IF(AP3073&lt;AP3074,AP3075,AP3076)</f>
        <v>#NUM!</v>
      </c>
      <c r="AQ3077" s="44"/>
      <c r="AR3077" s="72"/>
      <c r="AS3077" s="64" t="e">
        <f>IF(AS3073&lt;AS3074,AS3075,AS3076)</f>
        <v>#NUM!</v>
      </c>
      <c r="AT3077" s="44"/>
      <c r="AU3077" s="72"/>
    </row>
    <row r="3078" spans="15:47" ht="13" x14ac:dyDescent="0.3">
      <c r="O3078" s="7" t="s">
        <v>264</v>
      </c>
      <c r="Q3078" s="61"/>
      <c r="R3078" s="53"/>
      <c r="S3078" s="69">
        <f>IFERROR(ABS(C_h-R3077),Q_max*10)</f>
        <v>29.076576904546449</v>
      </c>
      <c r="T3078" s="76">
        <f>R3069</f>
        <v>189.1199712941702</v>
      </c>
      <c r="U3078" s="61"/>
      <c r="V3078" s="69">
        <f>IFERROR(ABS(U$23-U3077),Q_max*10)</f>
        <v>77.225716171458714</v>
      </c>
      <c r="W3078" s="75">
        <f>U3069</f>
        <v>440.37237573002295</v>
      </c>
      <c r="X3078" s="61"/>
      <c r="Y3078" s="69">
        <f>IFERROR(ABS(X$23-X3077),Q_max*10)</f>
        <v>5500</v>
      </c>
      <c r="Z3078" s="75">
        <f>X3069</f>
        <v>1057.0632175523108</v>
      </c>
      <c r="AA3078" s="61"/>
      <c r="AB3078" s="69">
        <f>IFERROR(ABS(AA$23-AA3077),Q_max*10)</f>
        <v>5500</v>
      </c>
      <c r="AC3078" s="75">
        <f>AA3069</f>
        <v>2018.3210834761337</v>
      </c>
      <c r="AD3078" s="61"/>
      <c r="AE3078" s="69">
        <f>IFERROR(ABS(AD$23-AD3077),Q_max*10)</f>
        <v>5500</v>
      </c>
      <c r="AF3078" s="75">
        <f>AD3069</f>
        <v>3319.3950805832733</v>
      </c>
      <c r="AG3078" s="61"/>
      <c r="AH3078" s="69">
        <f>IFERROR(ABS(AG$23-AG3077),Q_max*10)</f>
        <v>5500</v>
      </c>
      <c r="AI3078" s="75">
        <f>AG3069</f>
        <v>4942.1269529315859</v>
      </c>
      <c r="AJ3078" s="61"/>
      <c r="AK3078" s="69">
        <f>IFERROR(ABS(AJ$23-AJ3077),Q_max*10)</f>
        <v>5500</v>
      </c>
      <c r="AL3078" s="75">
        <f>AJ3069</f>
        <v>6595.2875771746094</v>
      </c>
      <c r="AM3078" s="61"/>
      <c r="AN3078" s="69">
        <f>IFERROR(ABS(AM$23-AM3077),Q_max*10)</f>
        <v>5500</v>
      </c>
      <c r="AO3078" s="75">
        <f>AM3069</f>
        <v>8047.5042122610203</v>
      </c>
      <c r="AP3078" s="61"/>
      <c r="AQ3078" s="69">
        <f>IFERROR(ABS(AP$23-AP3077),Q_max*10)</f>
        <v>5500</v>
      </c>
      <c r="AR3078" s="75">
        <f>AP3069</f>
        <v>9342.9025586443422</v>
      </c>
      <c r="AS3078" s="61"/>
      <c r="AT3078" s="69">
        <f>IFERROR(ABS(AS$23-AS3077),Q_max*10)</f>
        <v>5500</v>
      </c>
      <c r="AU3078" s="75">
        <f>AS3069</f>
        <v>10633.094621736112</v>
      </c>
    </row>
    <row r="3079" spans="15:47" ht="14.5" x14ac:dyDescent="0.35">
      <c r="O3079" s="6"/>
      <c r="P3079" s="6"/>
      <c r="Q3079" s="60"/>
      <c r="R3079" s="67"/>
      <c r="S3079" s="66"/>
      <c r="T3079" s="74"/>
      <c r="V3079" s="11"/>
      <c r="W3079" s="38"/>
      <c r="Y3079" s="11"/>
      <c r="Z3079" s="38"/>
      <c r="AB3079" s="11"/>
      <c r="AC3079" s="38"/>
      <c r="AE3079" s="11"/>
      <c r="AF3079" s="38"/>
      <c r="AH3079" s="11"/>
      <c r="AI3079" s="38"/>
      <c r="AK3079" s="11"/>
      <c r="AL3079" s="38"/>
      <c r="AN3079" s="11"/>
      <c r="AO3079" s="38"/>
      <c r="AQ3079" s="11"/>
      <c r="AR3079" s="38"/>
      <c r="AT3079" s="11"/>
      <c r="AU3079" s="38"/>
    </row>
    <row r="3080" spans="15:47" ht="14" x14ac:dyDescent="0.3">
      <c r="O3080" s="8" t="s">
        <v>235</v>
      </c>
      <c r="P3080" s="6"/>
      <c r="Q3080" s="60"/>
      <c r="R3080" s="53">
        <f>R3069*1.02</f>
        <v>192.9023707200536</v>
      </c>
      <c r="S3080" s="58" t="s">
        <v>238</v>
      </c>
      <c r="T3080" s="73" t="s">
        <v>241</v>
      </c>
      <c r="U3080" s="84">
        <f>U3069*1.01</f>
        <v>444.77609948732317</v>
      </c>
      <c r="V3080" s="58" t="s">
        <v>238</v>
      </c>
      <c r="W3080" s="73" t="s">
        <v>241</v>
      </c>
      <c r="X3080" s="84">
        <f>X3069*1.01</f>
        <v>1067.6338497278339</v>
      </c>
      <c r="Y3080" s="58" t="s">
        <v>238</v>
      </c>
      <c r="Z3080" s="73" t="s">
        <v>241</v>
      </c>
      <c r="AA3080" s="84">
        <f>AA3069*1.01</f>
        <v>2038.5042943108951</v>
      </c>
      <c r="AB3080" s="58" t="s">
        <v>238</v>
      </c>
      <c r="AC3080" s="73" t="s">
        <v>241</v>
      </c>
      <c r="AD3080" s="84">
        <f>AD3069*1.01</f>
        <v>3352.5890313891059</v>
      </c>
      <c r="AE3080" s="58" t="s">
        <v>238</v>
      </c>
      <c r="AF3080" s="73" t="s">
        <v>241</v>
      </c>
      <c r="AG3080" s="84">
        <f>AG3069*1.01</f>
        <v>4991.5482224609023</v>
      </c>
      <c r="AH3080" s="58" t="s">
        <v>238</v>
      </c>
      <c r="AI3080" s="73" t="s">
        <v>241</v>
      </c>
      <c r="AJ3080" s="84">
        <f>AJ3069*1.01</f>
        <v>6661.2404529463556</v>
      </c>
      <c r="AK3080" s="58" t="s">
        <v>238</v>
      </c>
      <c r="AL3080" s="73" t="s">
        <v>241</v>
      </c>
      <c r="AM3080" s="84">
        <f>AM3069*1.01</f>
        <v>8127.9792543836302</v>
      </c>
      <c r="AN3080" s="58" t="s">
        <v>238</v>
      </c>
      <c r="AO3080" s="73" t="s">
        <v>241</v>
      </c>
      <c r="AP3080" s="84">
        <f>AP3069*1.01</f>
        <v>9436.3315842307857</v>
      </c>
      <c r="AQ3080" s="58" t="s">
        <v>238</v>
      </c>
      <c r="AR3080" s="73" t="s">
        <v>241</v>
      </c>
      <c r="AS3080" s="84">
        <f>AS3069*1.01</f>
        <v>10739.425567953474</v>
      </c>
      <c r="AT3080" s="58" t="s">
        <v>238</v>
      </c>
      <c r="AU3080" s="73" t="s">
        <v>241</v>
      </c>
    </row>
    <row r="3081" spans="15:47" ht="13" x14ac:dyDescent="0.25">
      <c r="O3081" s="6"/>
      <c r="P3081" s="6"/>
      <c r="Q3081" s="60"/>
      <c r="R3081" s="70"/>
      <c r="S3081" s="63" t="s">
        <v>250</v>
      </c>
      <c r="T3081" s="71" t="s">
        <v>242</v>
      </c>
      <c r="U3081" s="61"/>
      <c r="V3081" s="63" t="s">
        <v>250</v>
      </c>
      <c r="W3081" s="71" t="s">
        <v>242</v>
      </c>
      <c r="X3081" s="61"/>
      <c r="Y3081" s="63" t="s">
        <v>250</v>
      </c>
      <c r="Z3081" s="71" t="s">
        <v>242</v>
      </c>
      <c r="AA3081" s="61"/>
      <c r="AB3081" s="63" t="s">
        <v>250</v>
      </c>
      <c r="AC3081" s="71" t="s">
        <v>242</v>
      </c>
      <c r="AD3081" s="61"/>
      <c r="AE3081" s="63" t="s">
        <v>250</v>
      </c>
      <c r="AF3081" s="71" t="s">
        <v>242</v>
      </c>
      <c r="AG3081" s="61"/>
      <c r="AH3081" s="63" t="s">
        <v>250</v>
      </c>
      <c r="AI3081" s="71" t="s">
        <v>242</v>
      </c>
      <c r="AJ3081" s="61"/>
      <c r="AK3081" s="63" t="s">
        <v>250</v>
      </c>
      <c r="AL3081" s="71" t="s">
        <v>242</v>
      </c>
      <c r="AM3081" s="61"/>
      <c r="AN3081" s="63" t="s">
        <v>250</v>
      </c>
      <c r="AO3081" s="71" t="s">
        <v>242</v>
      </c>
      <c r="AP3081" s="61"/>
      <c r="AQ3081" s="63" t="s">
        <v>250</v>
      </c>
      <c r="AR3081" s="71" t="s">
        <v>242</v>
      </c>
      <c r="AS3081" s="61"/>
      <c r="AT3081" s="63" t="s">
        <v>250</v>
      </c>
      <c r="AU3081" s="71" t="s">
        <v>242</v>
      </c>
    </row>
    <row r="3082" spans="15:47" ht="13" x14ac:dyDescent="0.3">
      <c r="O3082" s="6" t="s">
        <v>231</v>
      </c>
      <c r="P3082" s="6"/>
      <c r="Q3082" s="60"/>
      <c r="R3082" s="85">
        <f>P_1_minQ-(R3080^2*R_up)+dpup_minQ</f>
        <v>55.659428415082168</v>
      </c>
      <c r="S3082" s="56"/>
      <c r="T3082" s="72"/>
      <c r="U3082" s="53">
        <f>P_1_minQ-(U3080^2*R_up)+dpup_minQ</f>
        <v>50.235096971457033</v>
      </c>
      <c r="V3082" s="44"/>
      <c r="W3082" s="72"/>
      <c r="X3082" s="53">
        <f>P_1_minQ-(X3080^2*R_up)+dpup_minQ</f>
        <v>18.420971391939386</v>
      </c>
      <c r="Y3082" s="44"/>
      <c r="Z3082" s="72"/>
      <c r="AA3082" s="53">
        <f>P_1_minQ-(AA3080^2*R_up)+dpup_minQ</f>
        <v>-83.424949609049662</v>
      </c>
      <c r="AB3082" s="44"/>
      <c r="AC3082" s="72"/>
      <c r="AD3082" s="53">
        <f>P_1_minQ-(AD3080^2*R_up)+dpup_minQ</f>
        <v>-322.68038545729632</v>
      </c>
      <c r="AE3082" s="44"/>
      <c r="AF3082" s="72"/>
      <c r="AG3082" s="53">
        <f>P_1_minQ-(AG3080^2*R_up)+dpup_minQ</f>
        <v>-784.5412582624989</v>
      </c>
      <c r="AH3082" s="44"/>
      <c r="AI3082" s="72"/>
      <c r="AJ3082" s="53">
        <f>P_1_minQ-(AJ3080^2*R_up)+dpup_minQ</f>
        <v>-1441.6358450512992</v>
      </c>
      <c r="AK3082" s="44"/>
      <c r="AL3082" s="72"/>
      <c r="AM3082" s="53">
        <f>P_1_minQ-(AM3080^2*R_up)+dpup_minQ</f>
        <v>-2174.223565001374</v>
      </c>
      <c r="AN3082" s="44"/>
      <c r="AO3082" s="72"/>
      <c r="AP3082" s="53">
        <f>P_1_minQ-(AP3080^2*R_up)+dpup_minQ</f>
        <v>-2950.3230924536138</v>
      </c>
      <c r="AQ3082" s="44"/>
      <c r="AR3082" s="72"/>
      <c r="AS3082" s="53">
        <f>P_1_minQ-(AS3080^2*R_up)+dpup_minQ</f>
        <v>-3838.229467396583</v>
      </c>
      <c r="AT3082" s="44"/>
      <c r="AU3082" s="72"/>
    </row>
    <row r="3083" spans="15:47" ht="13" x14ac:dyDescent="0.3">
      <c r="O3083" s="6" t="s">
        <v>233</v>
      </c>
      <c r="P3083" s="6"/>
      <c r="Q3083" s="60"/>
      <c r="R3083" s="85">
        <f>P_2_minQ+(R3080^2*R_dn)-dpdn_minQ</f>
        <v>24.908114316983568</v>
      </c>
      <c r="S3083" s="66"/>
      <c r="T3083" s="74"/>
      <c r="U3083" s="53">
        <f>P_2_minQ+(U3080^2*R_dn)-dpdn_minQ</f>
        <v>25.992980605708595</v>
      </c>
      <c r="V3083" s="45"/>
      <c r="W3083" s="74"/>
      <c r="X3083" s="53">
        <f>P_2_minQ+(X3080^2*R_dn)-dpdn_minQ</f>
        <v>32.355805721612128</v>
      </c>
      <c r="Y3083" s="45"/>
      <c r="Z3083" s="74"/>
      <c r="AA3083" s="53">
        <f>P_2_minQ+(AA3080^2*R_dn)-dpdn_minQ</f>
        <v>52.724989921809936</v>
      </c>
      <c r="AB3083" s="45"/>
      <c r="AC3083" s="74"/>
      <c r="AD3083" s="53">
        <f>P_2_minQ+(AD3080^2*R_dn)-dpdn_minQ</f>
        <v>100.57607709145927</v>
      </c>
      <c r="AE3083" s="45"/>
      <c r="AF3083" s="74"/>
      <c r="AG3083" s="53">
        <f>P_2_minQ+(AG3080^2*R_dn)-dpdn_minQ</f>
        <v>192.94825165249981</v>
      </c>
      <c r="AH3083" s="45"/>
      <c r="AI3083" s="74"/>
      <c r="AJ3083" s="53">
        <f>P_2_minQ+(AJ3080^2*R_dn)-dpdn_minQ</f>
        <v>324.36716901025977</v>
      </c>
      <c r="AK3083" s="45"/>
      <c r="AL3083" s="74"/>
      <c r="AM3083" s="53">
        <f>P_2_minQ+(AM3080^2*R_dn)-dpdn_minQ</f>
        <v>470.88471300027464</v>
      </c>
      <c r="AN3083" s="45"/>
      <c r="AO3083" s="74"/>
      <c r="AP3083" s="53">
        <f>P_2_minQ+(AP3080^2*R_dn)-dpdn_minQ</f>
        <v>626.10461849072271</v>
      </c>
      <c r="AQ3083" s="45"/>
      <c r="AR3083" s="74"/>
      <c r="AS3083" s="53">
        <f>P_2_minQ+(AS3080^2*R_dn)-dpdn_minQ</f>
        <v>803.68589347931652</v>
      </c>
      <c r="AT3083" s="45"/>
      <c r="AU3083" s="74"/>
    </row>
    <row r="3084" spans="15:47" x14ac:dyDescent="0.25">
      <c r="O3084" s="6" t="s">
        <v>243</v>
      </c>
      <c r="Q3084" s="60"/>
      <c r="R3084" s="53">
        <f>R3082-R3083</f>
        <v>30.7513140980986</v>
      </c>
      <c r="S3084" s="56"/>
      <c r="T3084" s="72"/>
      <c r="U3084" s="64">
        <f>U3082-U3083</f>
        <v>24.242116365748437</v>
      </c>
      <c r="V3084" s="44"/>
      <c r="W3084" s="72"/>
      <c r="X3084" s="64">
        <f>X3082-X3083</f>
        <v>-13.934834329672743</v>
      </c>
      <c r="Y3084" s="44"/>
      <c r="Z3084" s="72"/>
      <c r="AA3084" s="64">
        <f>AA3082-AA3083</f>
        <v>-136.1499395308596</v>
      </c>
      <c r="AB3084" s="44"/>
      <c r="AC3084" s="72"/>
      <c r="AD3084" s="64">
        <f>AD3082-AD3083</f>
        <v>-423.25646254875562</v>
      </c>
      <c r="AE3084" s="44"/>
      <c r="AF3084" s="72"/>
      <c r="AG3084" s="64">
        <f>AG3082-AG3083</f>
        <v>-977.48950991499873</v>
      </c>
      <c r="AH3084" s="44"/>
      <c r="AI3084" s="72"/>
      <c r="AJ3084" s="64">
        <f>AJ3082-AJ3083</f>
        <v>-1766.003014061559</v>
      </c>
      <c r="AK3084" s="44"/>
      <c r="AL3084" s="72"/>
      <c r="AM3084" s="64">
        <f>AM3082-AM3083</f>
        <v>-2645.1082780016486</v>
      </c>
      <c r="AN3084" s="44"/>
      <c r="AO3084" s="72"/>
      <c r="AP3084" s="64">
        <f>AP3082-AP3083</f>
        <v>-3576.4277109443365</v>
      </c>
      <c r="AQ3084" s="44"/>
      <c r="AR3084" s="72"/>
      <c r="AS3084" s="64">
        <f>AS3082-AS3083</f>
        <v>-4641.9153608758998</v>
      </c>
      <c r="AT3084" s="44"/>
      <c r="AU3084" s="72"/>
    </row>
    <row r="3085" spans="15:47" ht="13" x14ac:dyDescent="0.3">
      <c r="O3085" s="6" t="s">
        <v>75</v>
      </c>
      <c r="P3085" s="6">
        <v>3</v>
      </c>
      <c r="Q3085" s="65"/>
      <c r="R3085" s="85">
        <f>(F_LP_h/F_P_h)^2*(R3082-('Valve Sizing'!$V$4*'Valve Sizing'!$G$7))</f>
        <v>45.724537439174007</v>
      </c>
      <c r="S3085" s="58"/>
      <c r="T3085" s="73"/>
      <c r="U3085" s="53">
        <f>(U$29/U$27)^2*(U3082-('Valve Sizing'!$V$4*'Valve Sizing'!$G$7))</f>
        <v>41.221667894157584</v>
      </c>
      <c r="V3085" s="41"/>
      <c r="W3085" s="73"/>
      <c r="X3085" s="53">
        <f>(X$29/X$27)^2*(X3082-('Valve Sizing'!$V$4*'Valve Sizing'!$G$7))</f>
        <v>14.549320438903555</v>
      </c>
      <c r="Y3085" s="41"/>
      <c r="Z3085" s="73"/>
      <c r="AA3085" s="53">
        <f>(AA$29/AA$27)^2*(AA3082-('Valve Sizing'!$V$4*'Valve Sizing'!$G$7))</f>
        <v>-64.810644593223415</v>
      </c>
      <c r="AB3085" s="41"/>
      <c r="AC3085" s="73"/>
      <c r="AD3085" s="53">
        <f>(AD$29/AD$27)^2*(AD3082-('Valve Sizing'!$V$4*'Valve Sizing'!$G$7))</f>
        <v>-233.0303945836848</v>
      </c>
      <c r="AE3085" s="41"/>
      <c r="AF3085" s="73"/>
      <c r="AG3085" s="53">
        <f>(AG$29/AG$27)^2*(AG3082-('Valve Sizing'!$V$4*'Valve Sizing'!$G$7))</f>
        <v>-505.56246831740634</v>
      </c>
      <c r="AH3085" s="41"/>
      <c r="AI3085" s="73"/>
      <c r="AJ3085" s="53">
        <f>(AJ$29/AJ$27)^2*(AJ3082-('Valve Sizing'!$V$4*'Valve Sizing'!$G$7))</f>
        <v>-834.04527096676009</v>
      </c>
      <c r="AK3085" s="41"/>
      <c r="AL3085" s="73"/>
      <c r="AM3085" s="53">
        <f>(AM$29/AM$27)^2*(AM3082-('Valve Sizing'!$V$4*'Valve Sizing'!$G$7))</f>
        <v>-1040.515977553426</v>
      </c>
      <c r="AN3085" s="41"/>
      <c r="AO3085" s="73"/>
      <c r="AP3085" s="53">
        <f>(AP$29/AP$27)^2*(AP3082-('Valve Sizing'!$V$4*'Valve Sizing'!$G$7))</f>
        <v>-1164.4503002189481</v>
      </c>
      <c r="AQ3085" s="41"/>
      <c r="AR3085" s="73"/>
      <c r="AS3085" s="53">
        <f>(AS$29/AS$27)^2*(AS3082-('Valve Sizing'!$V$4*'Valve Sizing'!$G$7))</f>
        <v>-1443.8802034602847</v>
      </c>
      <c r="AT3085" s="41"/>
      <c r="AU3085" s="73"/>
    </row>
    <row r="3086" spans="15:47" ht="13" x14ac:dyDescent="0.25">
      <c r="O3086" s="1" t="s">
        <v>69</v>
      </c>
      <c r="P3086" s="17">
        <v>7</v>
      </c>
      <c r="Q3086" s="65"/>
      <c r="R3086" s="53">
        <f>(R3080/(N_1*F_P_h))*SQRT('Valve Sizing'!$G$6/R3084)</f>
        <v>34.791187630616719</v>
      </c>
      <c r="S3086" s="58"/>
      <c r="T3086" s="73"/>
      <c r="U3086" s="64">
        <f>(U3080/(N_1*U$27))*SQRT('Valve Sizing'!$G$6/U3084)</f>
        <v>90.411119441939789</v>
      </c>
      <c r="V3086" s="41"/>
      <c r="W3086" s="73"/>
      <c r="X3086" s="64" t="e">
        <f>(X3080/(N_1*X$27))*SQRT('Valve Sizing'!$G$6/X3084)</f>
        <v>#NUM!</v>
      </c>
      <c r="Y3086" s="41"/>
      <c r="Z3086" s="73"/>
      <c r="AA3086" s="64" t="e">
        <f>(AA3080/(N_1*AA$27))*SQRT('Valve Sizing'!$G$6/AA3084)</f>
        <v>#NUM!</v>
      </c>
      <c r="AB3086" s="41"/>
      <c r="AC3086" s="73"/>
      <c r="AD3086" s="64" t="e">
        <f>(AD3080/(N_1*AD$27))*SQRT('Valve Sizing'!$G$6/AD3084)</f>
        <v>#NUM!</v>
      </c>
      <c r="AE3086" s="41"/>
      <c r="AF3086" s="73"/>
      <c r="AG3086" s="64" t="e">
        <f>(AG3080/(N_1*AG$27))*SQRT('Valve Sizing'!$G$6/AG3084)</f>
        <v>#NUM!</v>
      </c>
      <c r="AH3086" s="41"/>
      <c r="AI3086" s="73"/>
      <c r="AJ3086" s="64" t="e">
        <f>(AJ3080/(N_1*AJ$27))*SQRT('Valve Sizing'!$G$6/AJ3084)</f>
        <v>#NUM!</v>
      </c>
      <c r="AK3086" s="41"/>
      <c r="AL3086" s="73"/>
      <c r="AM3086" s="64" t="e">
        <f>(AM3080/(N_1*AM$27))*SQRT('Valve Sizing'!$G$6/AM3084)</f>
        <v>#NUM!</v>
      </c>
      <c r="AN3086" s="41"/>
      <c r="AO3086" s="73"/>
      <c r="AP3086" s="64" t="e">
        <f>(AP3080/(N_1*AP$27))*SQRT('Valve Sizing'!$G$6/AP3084)</f>
        <v>#NUM!</v>
      </c>
      <c r="AQ3086" s="41"/>
      <c r="AR3086" s="73"/>
      <c r="AS3086" s="64" t="e">
        <f>(AS3080/(N_1*AS$27))*SQRT('Valve Sizing'!$G$6/AS3084)</f>
        <v>#NUM!</v>
      </c>
      <c r="AT3086" s="41"/>
      <c r="AU3086" s="73"/>
    </row>
    <row r="3087" spans="15:47" ht="13" x14ac:dyDescent="0.3">
      <c r="O3087" s="1" t="s">
        <v>72</v>
      </c>
      <c r="P3087" s="17">
        <v>7</v>
      </c>
      <c r="Q3087" s="65"/>
      <c r="R3087" s="53">
        <f>(R3080/(N_1*F_P_h))*SQRT('Valve Sizing'!$G$6/R3085)</f>
        <v>28.531620138055381</v>
      </c>
      <c r="S3087" s="56"/>
      <c r="T3087" s="72"/>
      <c r="U3087" s="85">
        <f>(U3080/(N_1*U$27))*SQRT('Valve Sizing'!$G$6/U3085)</f>
        <v>69.333692872414019</v>
      </c>
      <c r="V3087" s="44"/>
      <c r="W3087" s="72"/>
      <c r="X3087" s="85">
        <f>(X3080/(N_1*X$27))*SQRT('Valve Sizing'!$G$6/X3085)</f>
        <v>280.76392038172088</v>
      </c>
      <c r="Y3087" s="44"/>
      <c r="Z3087" s="72"/>
      <c r="AA3087" s="85" t="e">
        <f>(AA3080/(N_1*AA$27))*SQRT('Valve Sizing'!$G$6/AA3085)</f>
        <v>#NUM!</v>
      </c>
      <c r="AB3087" s="44"/>
      <c r="AC3087" s="72"/>
      <c r="AD3087" s="85" t="e">
        <f>(AD3080/(N_1*AD$27))*SQRT('Valve Sizing'!$G$6/AD3085)</f>
        <v>#NUM!</v>
      </c>
      <c r="AE3087" s="44"/>
      <c r="AF3087" s="72"/>
      <c r="AG3087" s="85" t="e">
        <f>(AG3080/(N_1*AG$27))*SQRT('Valve Sizing'!$G$6/AG3085)</f>
        <v>#NUM!</v>
      </c>
      <c r="AH3087" s="44"/>
      <c r="AI3087" s="72"/>
      <c r="AJ3087" s="85" t="e">
        <f>(AJ3080/(N_1*AJ$27))*SQRT('Valve Sizing'!$G$6/AJ3085)</f>
        <v>#NUM!</v>
      </c>
      <c r="AK3087" s="44"/>
      <c r="AL3087" s="72"/>
      <c r="AM3087" s="85" t="e">
        <f>(AM3080/(N_1*AM$27))*SQRT('Valve Sizing'!$G$6/AM3085)</f>
        <v>#NUM!</v>
      </c>
      <c r="AN3087" s="44"/>
      <c r="AO3087" s="72"/>
      <c r="AP3087" s="85" t="e">
        <f>(AP3080/(N_1*AP$27))*SQRT('Valve Sizing'!$G$6/AP3085)</f>
        <v>#NUM!</v>
      </c>
      <c r="AQ3087" s="44"/>
      <c r="AR3087" s="72"/>
      <c r="AS3087" s="85" t="e">
        <f>(AS3080/(N_1*AS$27))*SQRT('Valve Sizing'!$G$6/AS3085)</f>
        <v>#NUM!</v>
      </c>
      <c r="AT3087" s="44"/>
      <c r="AU3087" s="72"/>
    </row>
    <row r="3088" spans="15:47" x14ac:dyDescent="0.25">
      <c r="O3088" s="1" t="s">
        <v>246</v>
      </c>
      <c r="P3088" s="18"/>
      <c r="Q3088" s="65"/>
      <c r="R3088" s="53">
        <f>IF(R3084&lt;R3085,R3086,R3087)</f>
        <v>34.791187630616719</v>
      </c>
      <c r="S3088" s="49"/>
      <c r="T3088" s="72"/>
      <c r="U3088" s="64">
        <f>IF(U3084&lt;U3085,U3086,U3087)</f>
        <v>90.411119441939789</v>
      </c>
      <c r="V3088" s="44"/>
      <c r="W3088" s="72"/>
      <c r="X3088" s="64" t="e">
        <f>IF(X3084&lt;X3085,X3086,X3087)</f>
        <v>#NUM!</v>
      </c>
      <c r="Y3088" s="44"/>
      <c r="Z3088" s="72"/>
      <c r="AA3088" s="64" t="e">
        <f>IF(AA3084&lt;AA3085,AA3086,AA3087)</f>
        <v>#NUM!</v>
      </c>
      <c r="AB3088" s="44"/>
      <c r="AC3088" s="72"/>
      <c r="AD3088" s="64" t="e">
        <f>IF(AD3084&lt;AD3085,AD3086,AD3087)</f>
        <v>#NUM!</v>
      </c>
      <c r="AE3088" s="44"/>
      <c r="AF3088" s="72"/>
      <c r="AG3088" s="64" t="e">
        <f>IF(AG3084&lt;AG3085,AG3086,AG3087)</f>
        <v>#NUM!</v>
      </c>
      <c r="AH3088" s="44"/>
      <c r="AI3088" s="72"/>
      <c r="AJ3088" s="64" t="e">
        <f>IF(AJ3084&lt;AJ3085,AJ3086,AJ3087)</f>
        <v>#NUM!</v>
      </c>
      <c r="AK3088" s="44"/>
      <c r="AL3088" s="72"/>
      <c r="AM3088" s="64" t="e">
        <f>IF(AM3084&lt;AM3085,AM3086,AM3087)</f>
        <v>#NUM!</v>
      </c>
      <c r="AN3088" s="44"/>
      <c r="AO3088" s="72"/>
      <c r="AP3088" s="64" t="e">
        <f>IF(AP3084&lt;AP3085,AP3086,AP3087)</f>
        <v>#NUM!</v>
      </c>
      <c r="AQ3088" s="44"/>
      <c r="AR3088" s="72"/>
      <c r="AS3088" s="64" t="e">
        <f>IF(AS3084&lt;AS3085,AS3086,AS3087)</f>
        <v>#NUM!</v>
      </c>
      <c r="AT3088" s="44"/>
      <c r="AU3088" s="72"/>
    </row>
    <row r="3089" spans="15:47" ht="13" x14ac:dyDescent="0.3">
      <c r="O3089" s="7" t="s">
        <v>264</v>
      </c>
      <c r="Q3089" s="61"/>
      <c r="R3089" s="53"/>
      <c r="S3089" s="69">
        <f>IFERROR(ABS(C_h-R3088),Q_max*10)</f>
        <v>29.791187630616719</v>
      </c>
      <c r="T3089" s="76">
        <f>R3080</f>
        <v>192.9023707200536</v>
      </c>
      <c r="U3089" s="61"/>
      <c r="V3089" s="69">
        <f>IFERROR(ABS(U$23-U3088),Q_max*10)</f>
        <v>78.411119441939789</v>
      </c>
      <c r="W3089" s="75">
        <f>U3080</f>
        <v>444.77609948732317</v>
      </c>
      <c r="X3089" s="61"/>
      <c r="Y3089" s="69">
        <f>IFERROR(ABS(X$23-X3088),Q_max*10)</f>
        <v>5500</v>
      </c>
      <c r="Z3089" s="75">
        <f>X3080</f>
        <v>1067.6338497278339</v>
      </c>
      <c r="AA3089" s="61"/>
      <c r="AB3089" s="69">
        <f>IFERROR(ABS(AA$23-AA3088),Q_max*10)</f>
        <v>5500</v>
      </c>
      <c r="AC3089" s="75">
        <f>AA3080</f>
        <v>2038.5042943108951</v>
      </c>
      <c r="AD3089" s="61"/>
      <c r="AE3089" s="69">
        <f>IFERROR(ABS(AD$23-AD3088),Q_max*10)</f>
        <v>5500</v>
      </c>
      <c r="AF3089" s="75">
        <f>AD3080</f>
        <v>3352.5890313891059</v>
      </c>
      <c r="AG3089" s="61"/>
      <c r="AH3089" s="69">
        <f>IFERROR(ABS(AG$23-AG3088),Q_max*10)</f>
        <v>5500</v>
      </c>
      <c r="AI3089" s="75">
        <f>AG3080</f>
        <v>4991.5482224609023</v>
      </c>
      <c r="AJ3089" s="61"/>
      <c r="AK3089" s="69">
        <f>IFERROR(ABS(AJ$23-AJ3088),Q_max*10)</f>
        <v>5500</v>
      </c>
      <c r="AL3089" s="75">
        <f>AJ3080</f>
        <v>6661.2404529463556</v>
      </c>
      <c r="AM3089" s="61"/>
      <c r="AN3089" s="69">
        <f>IFERROR(ABS(AM$23-AM3088),Q_max*10)</f>
        <v>5500</v>
      </c>
      <c r="AO3089" s="75">
        <f>AM3080</f>
        <v>8127.9792543836302</v>
      </c>
      <c r="AP3089" s="61"/>
      <c r="AQ3089" s="69">
        <f>IFERROR(ABS(AP$23-AP3088),Q_max*10)</f>
        <v>5500</v>
      </c>
      <c r="AR3089" s="75">
        <f>AP3080</f>
        <v>9436.3315842307857</v>
      </c>
      <c r="AS3089" s="61"/>
      <c r="AT3089" s="69">
        <f>IFERROR(ABS(AS$23-AS3088),Q_max*10)</f>
        <v>5500</v>
      </c>
      <c r="AU3089" s="75">
        <f>AS3080</f>
        <v>10739.425567953474</v>
      </c>
    </row>
    <row r="3090" spans="15:47" ht="14.5" x14ac:dyDescent="0.35">
      <c r="O3090" s="6"/>
      <c r="P3090" s="6"/>
      <c r="Q3090" s="60"/>
      <c r="R3090" s="67"/>
      <c r="S3090" s="56"/>
      <c r="T3090" s="72"/>
      <c r="V3090" s="11"/>
      <c r="W3090" s="38"/>
      <c r="Y3090" s="11"/>
      <c r="Z3090" s="38"/>
      <c r="AB3090" s="11"/>
      <c r="AC3090" s="38"/>
      <c r="AE3090" s="11"/>
      <c r="AF3090" s="38"/>
      <c r="AH3090" s="11"/>
      <c r="AI3090" s="38"/>
      <c r="AK3090" s="11"/>
      <c r="AL3090" s="38"/>
      <c r="AN3090" s="11"/>
      <c r="AO3090" s="38"/>
      <c r="AQ3090" s="11"/>
      <c r="AR3090" s="38"/>
      <c r="AT3090" s="11"/>
      <c r="AU3090" s="38"/>
    </row>
    <row r="3091" spans="15:47" ht="14" x14ac:dyDescent="0.3">
      <c r="O3091" s="8" t="s">
        <v>235</v>
      </c>
      <c r="P3091" s="6"/>
      <c r="Q3091" s="60"/>
      <c r="R3091" s="53">
        <f>R3080*1.02</f>
        <v>196.76041813445468</v>
      </c>
      <c r="S3091" s="58" t="s">
        <v>238</v>
      </c>
      <c r="T3091" s="73" t="s">
        <v>241</v>
      </c>
      <c r="U3091" s="84">
        <f>U3080*1.01</f>
        <v>449.22386048219641</v>
      </c>
      <c r="V3091" s="58" t="s">
        <v>238</v>
      </c>
      <c r="W3091" s="73" t="s">
        <v>241</v>
      </c>
      <c r="X3091" s="84">
        <f>X3080*1.01</f>
        <v>1078.3101882251121</v>
      </c>
      <c r="Y3091" s="58" t="s">
        <v>238</v>
      </c>
      <c r="Z3091" s="73" t="s">
        <v>241</v>
      </c>
      <c r="AA3091" s="84">
        <f>AA3080*1.01</f>
        <v>2058.8893372540042</v>
      </c>
      <c r="AB3091" s="58" t="s">
        <v>238</v>
      </c>
      <c r="AC3091" s="73" t="s">
        <v>241</v>
      </c>
      <c r="AD3091" s="84">
        <f>AD3080*1.01</f>
        <v>3386.114921702997</v>
      </c>
      <c r="AE3091" s="58" t="s">
        <v>238</v>
      </c>
      <c r="AF3091" s="73" t="s">
        <v>241</v>
      </c>
      <c r="AG3091" s="84">
        <f>AG3080*1.01</f>
        <v>5041.4637046855114</v>
      </c>
      <c r="AH3091" s="58" t="s">
        <v>238</v>
      </c>
      <c r="AI3091" s="73" t="s">
        <v>241</v>
      </c>
      <c r="AJ3091" s="84">
        <f>AJ3080*1.01</f>
        <v>6727.8528574758193</v>
      </c>
      <c r="AK3091" s="58" t="s">
        <v>238</v>
      </c>
      <c r="AL3091" s="73" t="s">
        <v>241</v>
      </c>
      <c r="AM3091" s="84">
        <f>AM3080*1.01</f>
        <v>8209.2590469274674</v>
      </c>
      <c r="AN3091" s="58" t="s">
        <v>238</v>
      </c>
      <c r="AO3091" s="73" t="s">
        <v>241</v>
      </c>
      <c r="AP3091" s="84">
        <f>AP3080*1.01</f>
        <v>9530.6949000730929</v>
      </c>
      <c r="AQ3091" s="58" t="s">
        <v>238</v>
      </c>
      <c r="AR3091" s="73" t="s">
        <v>241</v>
      </c>
      <c r="AS3091" s="84">
        <f>AS3080*1.01</f>
        <v>10846.81982363301</v>
      </c>
      <c r="AT3091" s="58" t="s">
        <v>238</v>
      </c>
      <c r="AU3091" s="73" t="s">
        <v>241</v>
      </c>
    </row>
    <row r="3092" spans="15:47" ht="13" x14ac:dyDescent="0.25">
      <c r="O3092" s="6"/>
      <c r="P3092" s="6"/>
      <c r="Q3092" s="60"/>
      <c r="R3092" s="70"/>
      <c r="S3092" s="63" t="s">
        <v>250</v>
      </c>
      <c r="T3092" s="71" t="s">
        <v>242</v>
      </c>
      <c r="U3092" s="61"/>
      <c r="V3092" s="63" t="s">
        <v>250</v>
      </c>
      <c r="W3092" s="71" t="s">
        <v>242</v>
      </c>
      <c r="X3092" s="61"/>
      <c r="Y3092" s="63" t="s">
        <v>250</v>
      </c>
      <c r="Z3092" s="71" t="s">
        <v>242</v>
      </c>
      <c r="AA3092" s="61"/>
      <c r="AB3092" s="63" t="s">
        <v>250</v>
      </c>
      <c r="AC3092" s="71" t="s">
        <v>242</v>
      </c>
      <c r="AD3092" s="61"/>
      <c r="AE3092" s="63" t="s">
        <v>250</v>
      </c>
      <c r="AF3092" s="71" t="s">
        <v>242</v>
      </c>
      <c r="AG3092" s="61"/>
      <c r="AH3092" s="63" t="s">
        <v>250</v>
      </c>
      <c r="AI3092" s="71" t="s">
        <v>242</v>
      </c>
      <c r="AJ3092" s="61"/>
      <c r="AK3092" s="63" t="s">
        <v>250</v>
      </c>
      <c r="AL3092" s="71" t="s">
        <v>242</v>
      </c>
      <c r="AM3092" s="61"/>
      <c r="AN3092" s="63" t="s">
        <v>250</v>
      </c>
      <c r="AO3092" s="71" t="s">
        <v>242</v>
      </c>
      <c r="AP3092" s="61"/>
      <c r="AQ3092" s="63" t="s">
        <v>250</v>
      </c>
      <c r="AR3092" s="71" t="s">
        <v>242</v>
      </c>
      <c r="AS3092" s="61"/>
      <c r="AT3092" s="63" t="s">
        <v>250</v>
      </c>
      <c r="AU3092" s="71" t="s">
        <v>242</v>
      </c>
    </row>
    <row r="3093" spans="15:47" ht="13" x14ac:dyDescent="0.3">
      <c r="O3093" s="6" t="s">
        <v>231</v>
      </c>
      <c r="P3093" s="6"/>
      <c r="Q3093" s="60"/>
      <c r="R3093" s="85">
        <f>P_1_minQ-(R3091^2*R_up)+dpup_minQ</f>
        <v>55.608657137978874</v>
      </c>
      <c r="S3093" s="56"/>
      <c r="T3093" s="72"/>
      <c r="U3093" s="53">
        <f>P_1_minQ-(U3091^2*R_up)+dpup_minQ</f>
        <v>50.100807942366501</v>
      </c>
      <c r="V3093" s="44"/>
      <c r="W3093" s="72"/>
      <c r="X3093" s="53">
        <f>P_1_minQ-(X3091^2*R_up)+dpup_minQ</f>
        <v>17.647218438700545</v>
      </c>
      <c r="Y3093" s="44"/>
      <c r="Z3093" s="72"/>
      <c r="AA3093" s="53">
        <f>P_1_minQ-(AA3091^2*R_up)+dpup_minQ</f>
        <v>-86.245805574408422</v>
      </c>
      <c r="AB3093" s="44"/>
      <c r="AC3093" s="72"/>
      <c r="AD3093" s="53">
        <f>P_1_minQ-(AD3091^2*R_up)+dpup_minQ</f>
        <v>-330.31027568320479</v>
      </c>
      <c r="AE3093" s="44"/>
      <c r="AF3093" s="72"/>
      <c r="AG3093" s="53">
        <f>P_1_minQ-(AG3091^2*R_up)+dpup_minQ</f>
        <v>-801.45455203179199</v>
      </c>
      <c r="AH3093" s="44"/>
      <c r="AI3093" s="72"/>
      <c r="AJ3093" s="53">
        <f>P_1_minQ-(AJ3091^2*R_up)+dpup_minQ</f>
        <v>-1471.7567400150472</v>
      </c>
      <c r="AK3093" s="44"/>
      <c r="AL3093" s="72"/>
      <c r="AM3093" s="53">
        <f>P_1_minQ-(AM3091^2*R_up)+dpup_minQ</f>
        <v>-2219.0694731361186</v>
      </c>
      <c r="AN3093" s="44"/>
      <c r="AO3093" s="72"/>
      <c r="AP3093" s="53">
        <f>P_1_minQ-(AP3091^2*R_up)+dpup_minQ</f>
        <v>-3010.7686010901475</v>
      </c>
      <c r="AQ3093" s="44"/>
      <c r="AR3093" s="72"/>
      <c r="AS3093" s="53">
        <f>P_1_minQ-(AS3091^2*R_up)+dpup_minQ</f>
        <v>-3916.5218941694716</v>
      </c>
      <c r="AT3093" s="44"/>
      <c r="AU3093" s="72"/>
    </row>
    <row r="3094" spans="15:47" ht="13" x14ac:dyDescent="0.3">
      <c r="O3094" s="6" t="s">
        <v>233</v>
      </c>
      <c r="P3094" s="6"/>
      <c r="Q3094" s="60"/>
      <c r="R3094" s="85">
        <f>P_2_minQ+(R3091^2*R_dn)-dpdn_minQ</f>
        <v>24.918268572404227</v>
      </c>
      <c r="S3094" s="66"/>
      <c r="T3094" s="74"/>
      <c r="U3094" s="53">
        <f>P_2_minQ+(U3091^2*R_dn)-dpdn_minQ</f>
        <v>26.019838411526703</v>
      </c>
      <c r="V3094" s="45"/>
      <c r="W3094" s="74"/>
      <c r="X3094" s="53">
        <f>P_2_minQ+(X3091^2*R_dn)-dpdn_minQ</f>
        <v>32.510556312259894</v>
      </c>
      <c r="Y3094" s="45"/>
      <c r="Z3094" s="74"/>
      <c r="AA3094" s="53">
        <f>P_2_minQ+(AA3091^2*R_dn)-dpdn_minQ</f>
        <v>53.289161114881686</v>
      </c>
      <c r="AB3094" s="45"/>
      <c r="AC3094" s="74"/>
      <c r="AD3094" s="53">
        <f>P_2_minQ+(AD3091^2*R_dn)-dpdn_minQ</f>
        <v>102.10205513664096</v>
      </c>
      <c r="AE3094" s="45"/>
      <c r="AF3094" s="74"/>
      <c r="AG3094" s="53">
        <f>P_2_minQ+(AG3091^2*R_dn)-dpdn_minQ</f>
        <v>196.33091040635841</v>
      </c>
      <c r="AH3094" s="45"/>
      <c r="AI3094" s="74"/>
      <c r="AJ3094" s="53">
        <f>P_2_minQ+(AJ3091^2*R_dn)-dpdn_minQ</f>
        <v>330.3913480030094</v>
      </c>
      <c r="AK3094" s="45"/>
      <c r="AL3094" s="74"/>
      <c r="AM3094" s="53">
        <f>P_2_minQ+(AM3091^2*R_dn)-dpdn_minQ</f>
        <v>479.85389462722367</v>
      </c>
      <c r="AN3094" s="45"/>
      <c r="AO3094" s="74"/>
      <c r="AP3094" s="53">
        <f>P_2_minQ+(AP3091^2*R_dn)-dpdn_minQ</f>
        <v>638.1937202180294</v>
      </c>
      <c r="AQ3094" s="45"/>
      <c r="AR3094" s="74"/>
      <c r="AS3094" s="53">
        <f>P_2_minQ+(AS3091^2*R_dn)-dpdn_minQ</f>
        <v>819.34437883389421</v>
      </c>
      <c r="AT3094" s="45"/>
      <c r="AU3094" s="74"/>
    </row>
    <row r="3095" spans="15:47" x14ac:dyDescent="0.25">
      <c r="O3095" s="6" t="s">
        <v>243</v>
      </c>
      <c r="Q3095" s="60"/>
      <c r="R3095" s="53">
        <f>R3093-R3094</f>
        <v>30.690388565574647</v>
      </c>
      <c r="S3095" s="56"/>
      <c r="T3095" s="72"/>
      <c r="U3095" s="64">
        <f>U3093-U3094</f>
        <v>24.080969530839798</v>
      </c>
      <c r="V3095" s="44"/>
      <c r="W3095" s="72"/>
      <c r="X3095" s="64">
        <f>X3093-X3094</f>
        <v>-14.863337873559349</v>
      </c>
      <c r="Y3095" s="44"/>
      <c r="Z3095" s="72"/>
      <c r="AA3095" s="64">
        <f>AA3093-AA3094</f>
        <v>-139.53496668929012</v>
      </c>
      <c r="AB3095" s="44"/>
      <c r="AC3095" s="72"/>
      <c r="AD3095" s="64">
        <f>AD3093-AD3094</f>
        <v>-432.41233081984575</v>
      </c>
      <c r="AE3095" s="44"/>
      <c r="AF3095" s="72"/>
      <c r="AG3095" s="64">
        <f>AG3093-AG3094</f>
        <v>-997.78546243815038</v>
      </c>
      <c r="AH3095" s="44"/>
      <c r="AI3095" s="72"/>
      <c r="AJ3095" s="64">
        <f>AJ3093-AJ3094</f>
        <v>-1802.1480880180566</v>
      </c>
      <c r="AK3095" s="44"/>
      <c r="AL3095" s="72"/>
      <c r="AM3095" s="64">
        <f>AM3093-AM3094</f>
        <v>-2698.9233677633424</v>
      </c>
      <c r="AN3095" s="44"/>
      <c r="AO3095" s="72"/>
      <c r="AP3095" s="64">
        <f>AP3093-AP3094</f>
        <v>-3648.9623213081768</v>
      </c>
      <c r="AQ3095" s="44"/>
      <c r="AR3095" s="72"/>
      <c r="AS3095" s="64">
        <f>AS3093-AS3094</f>
        <v>-4735.8662730033657</v>
      </c>
      <c r="AT3095" s="44"/>
      <c r="AU3095" s="72"/>
    </row>
    <row r="3096" spans="15:47" ht="13" x14ac:dyDescent="0.3">
      <c r="O3096" s="6" t="s">
        <v>75</v>
      </c>
      <c r="P3096" s="6">
        <v>3</v>
      </c>
      <c r="Q3096" s="65"/>
      <c r="R3096" s="85">
        <f>(F_LP_h/F_P_h)^2*(R3093-('Valve Sizing'!$V$4*'Valve Sizing'!$G$7))</f>
        <v>45.682496156751256</v>
      </c>
      <c r="S3096" s="58"/>
      <c r="T3096" s="73"/>
      <c r="U3096" s="53">
        <f>(U$29/U$27)^2*(U3093-('Valve Sizing'!$V$4*'Valve Sizing'!$G$7))</f>
        <v>41.110499837328248</v>
      </c>
      <c r="V3096" s="41"/>
      <c r="W3096" s="73"/>
      <c r="X3096" s="53">
        <f>(X$29/X$27)^2*(X3093-('Valve Sizing'!$V$4*'Valve Sizing'!$G$7))</f>
        <v>13.923235478447252</v>
      </c>
      <c r="Y3096" s="41"/>
      <c r="Z3096" s="73"/>
      <c r="AA3096" s="53">
        <f>(AA$29/AA$27)^2*(AA3093-('Valve Sizing'!$V$4*'Valve Sizing'!$G$7))</f>
        <v>-66.990594245090662</v>
      </c>
      <c r="AB3096" s="41"/>
      <c r="AC3096" s="73"/>
      <c r="AD3096" s="53">
        <f>(AD$29/AD$27)^2*(AD3093-('Valve Sizing'!$V$4*'Valve Sizing'!$G$7))</f>
        <v>-238.53297533274286</v>
      </c>
      <c r="AE3096" s="41"/>
      <c r="AF3096" s="73"/>
      <c r="AG3096" s="53">
        <f>(AG$29/AG$27)^2*(AG3093-('Valve Sizing'!$V$4*'Valve Sizing'!$G$7))</f>
        <v>-516.4553728641024</v>
      </c>
      <c r="AH3096" s="41"/>
      <c r="AI3096" s="73"/>
      <c r="AJ3096" s="53">
        <f>(AJ$29/AJ$27)^2*(AJ3093-('Valve Sizing'!$V$4*'Valve Sizing'!$G$7))</f>
        <v>-851.46612236189912</v>
      </c>
      <c r="AK3096" s="41"/>
      <c r="AL3096" s="73"/>
      <c r="AM3096" s="53">
        <f>(AM$29/AM$27)^2*(AM3093-('Valve Sizing'!$V$4*'Valve Sizing'!$G$7))</f>
        <v>-1061.9734956061702</v>
      </c>
      <c r="AN3096" s="41"/>
      <c r="AO3096" s="73"/>
      <c r="AP3096" s="53">
        <f>(AP$29/AP$27)^2*(AP3093-('Valve Sizing'!$V$4*'Valve Sizing'!$G$7))</f>
        <v>-1188.3037195202483</v>
      </c>
      <c r="AQ3096" s="41"/>
      <c r="AR3096" s="73"/>
      <c r="AS3096" s="53">
        <f>(AS$29/AS$27)^2*(AS3093-('Valve Sizing'!$V$4*'Valve Sizing'!$G$7))</f>
        <v>-1473.3291790389542</v>
      </c>
      <c r="AT3096" s="41"/>
      <c r="AU3096" s="73"/>
    </row>
    <row r="3097" spans="15:47" ht="13" x14ac:dyDescent="0.25">
      <c r="O3097" s="1" t="s">
        <v>69</v>
      </c>
      <c r="P3097" s="17">
        <v>7</v>
      </c>
      <c r="Q3097" s="65"/>
      <c r="R3097" s="53">
        <f>(R3091/(N_1*F_P_h))*SQRT('Valve Sizing'!$G$6/R3095)</f>
        <v>35.522217733101733</v>
      </c>
      <c r="S3097" s="58"/>
      <c r="T3097" s="73"/>
      <c r="U3097" s="64">
        <f>(U3091/(N_1*U$27))*SQRT('Valve Sizing'!$G$6/U3095)</f>
        <v>91.620256237624105</v>
      </c>
      <c r="V3097" s="41"/>
      <c r="W3097" s="73"/>
      <c r="X3097" s="64" t="e">
        <f>(X3091/(N_1*X$27))*SQRT('Valve Sizing'!$G$6/X3095)</f>
        <v>#NUM!</v>
      </c>
      <c r="Y3097" s="41"/>
      <c r="Z3097" s="73"/>
      <c r="AA3097" s="64" t="e">
        <f>(AA3091/(N_1*AA$27))*SQRT('Valve Sizing'!$G$6/AA3095)</f>
        <v>#NUM!</v>
      </c>
      <c r="AB3097" s="41"/>
      <c r="AC3097" s="73"/>
      <c r="AD3097" s="64" t="e">
        <f>(AD3091/(N_1*AD$27))*SQRT('Valve Sizing'!$G$6/AD3095)</f>
        <v>#NUM!</v>
      </c>
      <c r="AE3097" s="41"/>
      <c r="AF3097" s="73"/>
      <c r="AG3097" s="64" t="e">
        <f>(AG3091/(N_1*AG$27))*SQRT('Valve Sizing'!$G$6/AG3095)</f>
        <v>#NUM!</v>
      </c>
      <c r="AH3097" s="41"/>
      <c r="AI3097" s="73"/>
      <c r="AJ3097" s="64" t="e">
        <f>(AJ3091/(N_1*AJ$27))*SQRT('Valve Sizing'!$G$6/AJ3095)</f>
        <v>#NUM!</v>
      </c>
      <c r="AK3097" s="41"/>
      <c r="AL3097" s="73"/>
      <c r="AM3097" s="64" t="e">
        <f>(AM3091/(N_1*AM$27))*SQRT('Valve Sizing'!$G$6/AM3095)</f>
        <v>#NUM!</v>
      </c>
      <c r="AN3097" s="41"/>
      <c r="AO3097" s="73"/>
      <c r="AP3097" s="64" t="e">
        <f>(AP3091/(N_1*AP$27))*SQRT('Valve Sizing'!$G$6/AP3095)</f>
        <v>#NUM!</v>
      </c>
      <c r="AQ3097" s="41"/>
      <c r="AR3097" s="73"/>
      <c r="AS3097" s="64" t="e">
        <f>(AS3091/(N_1*AS$27))*SQRT('Valve Sizing'!$G$6/AS3095)</f>
        <v>#NUM!</v>
      </c>
      <c r="AT3097" s="41"/>
      <c r="AU3097" s="73"/>
    </row>
    <row r="3098" spans="15:47" ht="13" x14ac:dyDescent="0.3">
      <c r="O3098" s="1" t="s">
        <v>72</v>
      </c>
      <c r="P3098" s="17">
        <v>7</v>
      </c>
      <c r="Q3098" s="65"/>
      <c r="R3098" s="53">
        <f>(R3091/(N_1*F_P_h))*SQRT('Valve Sizing'!$G$6/R3096)</f>
        <v>29.115640761216614</v>
      </c>
      <c r="S3098" s="56"/>
      <c r="T3098" s="72"/>
      <c r="U3098" s="85">
        <f>(U3091/(N_1*U$27))*SQRT('Valve Sizing'!$G$6/U3096)</f>
        <v>70.121646908810078</v>
      </c>
      <c r="V3098" s="44"/>
      <c r="W3098" s="72"/>
      <c r="X3098" s="85">
        <f>(X3091/(N_1*X$27))*SQRT('Valve Sizing'!$G$6/X3096)</f>
        <v>289.87712285108461</v>
      </c>
      <c r="Y3098" s="44"/>
      <c r="Z3098" s="72"/>
      <c r="AA3098" s="85" t="e">
        <f>(AA3091/(N_1*AA$27))*SQRT('Valve Sizing'!$G$6/AA3096)</f>
        <v>#NUM!</v>
      </c>
      <c r="AB3098" s="44"/>
      <c r="AC3098" s="72"/>
      <c r="AD3098" s="85" t="e">
        <f>(AD3091/(N_1*AD$27))*SQRT('Valve Sizing'!$G$6/AD3096)</f>
        <v>#NUM!</v>
      </c>
      <c r="AE3098" s="44"/>
      <c r="AF3098" s="72"/>
      <c r="AG3098" s="85" t="e">
        <f>(AG3091/(N_1*AG$27))*SQRT('Valve Sizing'!$G$6/AG3096)</f>
        <v>#NUM!</v>
      </c>
      <c r="AH3098" s="44"/>
      <c r="AI3098" s="72"/>
      <c r="AJ3098" s="85" t="e">
        <f>(AJ3091/(N_1*AJ$27))*SQRT('Valve Sizing'!$G$6/AJ3096)</f>
        <v>#NUM!</v>
      </c>
      <c r="AK3098" s="44"/>
      <c r="AL3098" s="72"/>
      <c r="AM3098" s="85" t="e">
        <f>(AM3091/(N_1*AM$27))*SQRT('Valve Sizing'!$G$6/AM3096)</f>
        <v>#NUM!</v>
      </c>
      <c r="AN3098" s="44"/>
      <c r="AO3098" s="72"/>
      <c r="AP3098" s="85" t="e">
        <f>(AP3091/(N_1*AP$27))*SQRT('Valve Sizing'!$G$6/AP3096)</f>
        <v>#NUM!</v>
      </c>
      <c r="AQ3098" s="44"/>
      <c r="AR3098" s="72"/>
      <c r="AS3098" s="85" t="e">
        <f>(AS3091/(N_1*AS$27))*SQRT('Valve Sizing'!$G$6/AS3096)</f>
        <v>#NUM!</v>
      </c>
      <c r="AT3098" s="44"/>
      <c r="AU3098" s="72"/>
    </row>
    <row r="3099" spans="15:47" x14ac:dyDescent="0.25">
      <c r="O3099" s="1" t="s">
        <v>246</v>
      </c>
      <c r="P3099" s="18"/>
      <c r="Q3099" s="65"/>
      <c r="R3099" s="53">
        <f>IF(R3095&lt;R3096,R3097,R3098)</f>
        <v>35.522217733101733</v>
      </c>
      <c r="S3099" s="49"/>
      <c r="T3099" s="72"/>
      <c r="U3099" s="64">
        <f>IF(U3095&lt;U3096,U3097,U3098)</f>
        <v>91.620256237624105</v>
      </c>
      <c r="V3099" s="44"/>
      <c r="W3099" s="72"/>
      <c r="X3099" s="64" t="e">
        <f>IF(X3095&lt;X3096,X3097,X3098)</f>
        <v>#NUM!</v>
      </c>
      <c r="Y3099" s="44"/>
      <c r="Z3099" s="72"/>
      <c r="AA3099" s="64" t="e">
        <f>IF(AA3095&lt;AA3096,AA3097,AA3098)</f>
        <v>#NUM!</v>
      </c>
      <c r="AB3099" s="44"/>
      <c r="AC3099" s="72"/>
      <c r="AD3099" s="64" t="e">
        <f>IF(AD3095&lt;AD3096,AD3097,AD3098)</f>
        <v>#NUM!</v>
      </c>
      <c r="AE3099" s="44"/>
      <c r="AF3099" s="72"/>
      <c r="AG3099" s="64" t="e">
        <f>IF(AG3095&lt;AG3096,AG3097,AG3098)</f>
        <v>#NUM!</v>
      </c>
      <c r="AH3099" s="44"/>
      <c r="AI3099" s="72"/>
      <c r="AJ3099" s="64" t="e">
        <f>IF(AJ3095&lt;AJ3096,AJ3097,AJ3098)</f>
        <v>#NUM!</v>
      </c>
      <c r="AK3099" s="44"/>
      <c r="AL3099" s="72"/>
      <c r="AM3099" s="64" t="e">
        <f>IF(AM3095&lt;AM3096,AM3097,AM3098)</f>
        <v>#NUM!</v>
      </c>
      <c r="AN3099" s="44"/>
      <c r="AO3099" s="72"/>
      <c r="AP3099" s="64" t="e">
        <f>IF(AP3095&lt;AP3096,AP3097,AP3098)</f>
        <v>#NUM!</v>
      </c>
      <c r="AQ3099" s="44"/>
      <c r="AR3099" s="72"/>
      <c r="AS3099" s="64" t="e">
        <f>IF(AS3095&lt;AS3096,AS3097,AS3098)</f>
        <v>#NUM!</v>
      </c>
      <c r="AT3099" s="44"/>
      <c r="AU3099" s="72"/>
    </row>
    <row r="3100" spans="15:47" ht="13" x14ac:dyDescent="0.3">
      <c r="O3100" s="7" t="s">
        <v>264</v>
      </c>
      <c r="Q3100" s="61"/>
      <c r="R3100" s="53"/>
      <c r="S3100" s="69">
        <f>IFERROR(ABS(C_h-R3099),Q_max*10)</f>
        <v>30.522217733101733</v>
      </c>
      <c r="T3100" s="76">
        <f>R3091</f>
        <v>196.76041813445468</v>
      </c>
      <c r="U3100" s="61"/>
      <c r="V3100" s="69">
        <f>IFERROR(ABS(U$23-U3099),Q_max*10)</f>
        <v>79.620256237624105</v>
      </c>
      <c r="W3100" s="75">
        <f>U3091</f>
        <v>449.22386048219641</v>
      </c>
      <c r="X3100" s="61"/>
      <c r="Y3100" s="69">
        <f>IFERROR(ABS(X$23-X3099),Q_max*10)</f>
        <v>5500</v>
      </c>
      <c r="Z3100" s="75">
        <f>X3091</f>
        <v>1078.3101882251121</v>
      </c>
      <c r="AA3100" s="61"/>
      <c r="AB3100" s="69">
        <f>IFERROR(ABS(AA$23-AA3099),Q_max*10)</f>
        <v>5500</v>
      </c>
      <c r="AC3100" s="75">
        <f>AA3091</f>
        <v>2058.8893372540042</v>
      </c>
      <c r="AD3100" s="61"/>
      <c r="AE3100" s="69">
        <f>IFERROR(ABS(AD$23-AD3099),Q_max*10)</f>
        <v>5500</v>
      </c>
      <c r="AF3100" s="75">
        <f>AD3091</f>
        <v>3386.114921702997</v>
      </c>
      <c r="AG3100" s="61"/>
      <c r="AH3100" s="69">
        <f>IFERROR(ABS(AG$23-AG3099),Q_max*10)</f>
        <v>5500</v>
      </c>
      <c r="AI3100" s="75">
        <f>AG3091</f>
        <v>5041.4637046855114</v>
      </c>
      <c r="AJ3100" s="61"/>
      <c r="AK3100" s="69">
        <f>IFERROR(ABS(AJ$23-AJ3099),Q_max*10)</f>
        <v>5500</v>
      </c>
      <c r="AL3100" s="75">
        <f>AJ3091</f>
        <v>6727.8528574758193</v>
      </c>
      <c r="AM3100" s="61"/>
      <c r="AN3100" s="69">
        <f>IFERROR(ABS(AM$23-AM3099),Q_max*10)</f>
        <v>5500</v>
      </c>
      <c r="AO3100" s="75">
        <f>AM3091</f>
        <v>8209.2590469274674</v>
      </c>
      <c r="AP3100" s="61"/>
      <c r="AQ3100" s="69">
        <f>IFERROR(ABS(AP$23-AP3099),Q_max*10)</f>
        <v>5500</v>
      </c>
      <c r="AR3100" s="75">
        <f>AP3091</f>
        <v>9530.6949000730929</v>
      </c>
      <c r="AS3100" s="61"/>
      <c r="AT3100" s="69">
        <f>IFERROR(ABS(AS$23-AS3099),Q_max*10)</f>
        <v>5500</v>
      </c>
      <c r="AU3100" s="75">
        <f>AS3091</f>
        <v>10846.81982363301</v>
      </c>
    </row>
    <row r="3101" spans="15:47" ht="14.5" x14ac:dyDescent="0.35">
      <c r="O3101" s="6"/>
      <c r="P3101" s="6"/>
      <c r="Q3101" s="60"/>
      <c r="R3101" s="67"/>
      <c r="S3101" s="58"/>
      <c r="T3101" s="73"/>
      <c r="V3101" s="11"/>
      <c r="W3101" s="38"/>
      <c r="Y3101" s="11"/>
      <c r="Z3101" s="38"/>
      <c r="AB3101" s="11"/>
      <c r="AC3101" s="38"/>
      <c r="AE3101" s="11"/>
      <c r="AF3101" s="38"/>
      <c r="AH3101" s="11"/>
      <c r="AI3101" s="38"/>
      <c r="AK3101" s="11"/>
      <c r="AL3101" s="38"/>
      <c r="AN3101" s="11"/>
      <c r="AO3101" s="38"/>
      <c r="AQ3101" s="11"/>
      <c r="AR3101" s="38"/>
      <c r="AT3101" s="11"/>
      <c r="AU3101" s="38"/>
    </row>
    <row r="3102" spans="15:47" ht="14" x14ac:dyDescent="0.3">
      <c r="O3102" s="8" t="s">
        <v>235</v>
      </c>
      <c r="P3102" s="6"/>
      <c r="Q3102" s="60"/>
      <c r="R3102" s="53">
        <f>R3091*1.02</f>
        <v>200.69562649714379</v>
      </c>
      <c r="S3102" s="58" t="s">
        <v>238</v>
      </c>
      <c r="T3102" s="73" t="s">
        <v>241</v>
      </c>
      <c r="U3102" s="84">
        <f>U3091*1.01</f>
        <v>453.71609908701839</v>
      </c>
      <c r="V3102" s="58" t="s">
        <v>238</v>
      </c>
      <c r="W3102" s="73" t="s">
        <v>241</v>
      </c>
      <c r="X3102" s="84">
        <f>X3091*1.01</f>
        <v>1089.0932901073634</v>
      </c>
      <c r="Y3102" s="58" t="s">
        <v>238</v>
      </c>
      <c r="Z3102" s="73" t="s">
        <v>241</v>
      </c>
      <c r="AA3102" s="84">
        <f>AA3091*1.01</f>
        <v>2079.4782306265442</v>
      </c>
      <c r="AB3102" s="58" t="s">
        <v>238</v>
      </c>
      <c r="AC3102" s="73" t="s">
        <v>241</v>
      </c>
      <c r="AD3102" s="84">
        <f>AD3091*1.01</f>
        <v>3419.9760709200268</v>
      </c>
      <c r="AE3102" s="58" t="s">
        <v>238</v>
      </c>
      <c r="AF3102" s="73" t="s">
        <v>241</v>
      </c>
      <c r="AG3102" s="84">
        <f>AG3091*1.01</f>
        <v>5091.8783417323666</v>
      </c>
      <c r="AH3102" s="58" t="s">
        <v>238</v>
      </c>
      <c r="AI3102" s="73" t="s">
        <v>241</v>
      </c>
      <c r="AJ3102" s="84">
        <f>AJ3091*1.01</f>
        <v>6795.1313860505779</v>
      </c>
      <c r="AK3102" s="58" t="s">
        <v>238</v>
      </c>
      <c r="AL3102" s="73" t="s">
        <v>241</v>
      </c>
      <c r="AM3102" s="84">
        <f>AM3091*1.01</f>
        <v>8291.3516373967414</v>
      </c>
      <c r="AN3102" s="58" t="s">
        <v>238</v>
      </c>
      <c r="AO3102" s="73" t="s">
        <v>241</v>
      </c>
      <c r="AP3102" s="84">
        <f>AP3091*1.01</f>
        <v>9626.0018490738239</v>
      </c>
      <c r="AQ3102" s="58" t="s">
        <v>238</v>
      </c>
      <c r="AR3102" s="73" t="s">
        <v>241</v>
      </c>
      <c r="AS3102" s="84">
        <f>AS3091*1.01</f>
        <v>10955.288021869341</v>
      </c>
      <c r="AT3102" s="58" t="s">
        <v>238</v>
      </c>
      <c r="AU3102" s="73" t="s">
        <v>241</v>
      </c>
    </row>
    <row r="3103" spans="15:47" ht="13" x14ac:dyDescent="0.25">
      <c r="O3103" s="6"/>
      <c r="P3103" s="6"/>
      <c r="Q3103" s="60"/>
      <c r="R3103" s="70"/>
      <c r="S3103" s="63" t="s">
        <v>250</v>
      </c>
      <c r="T3103" s="71" t="s">
        <v>242</v>
      </c>
      <c r="U3103" s="61"/>
      <c r="V3103" s="63" t="s">
        <v>250</v>
      </c>
      <c r="W3103" s="71" t="s">
        <v>242</v>
      </c>
      <c r="X3103" s="61"/>
      <c r="Y3103" s="63" t="s">
        <v>250</v>
      </c>
      <c r="Z3103" s="71" t="s">
        <v>242</v>
      </c>
      <c r="AA3103" s="61"/>
      <c r="AB3103" s="63" t="s">
        <v>250</v>
      </c>
      <c r="AC3103" s="71" t="s">
        <v>242</v>
      </c>
      <c r="AD3103" s="61"/>
      <c r="AE3103" s="63" t="s">
        <v>250</v>
      </c>
      <c r="AF3103" s="71" t="s">
        <v>242</v>
      </c>
      <c r="AG3103" s="61"/>
      <c r="AH3103" s="63" t="s">
        <v>250</v>
      </c>
      <c r="AI3103" s="71" t="s">
        <v>242</v>
      </c>
      <c r="AJ3103" s="61"/>
      <c r="AK3103" s="63" t="s">
        <v>250</v>
      </c>
      <c r="AL3103" s="71" t="s">
        <v>242</v>
      </c>
      <c r="AM3103" s="61"/>
      <c r="AN3103" s="63" t="s">
        <v>250</v>
      </c>
      <c r="AO3103" s="71" t="s">
        <v>242</v>
      </c>
      <c r="AP3103" s="61"/>
      <c r="AQ3103" s="63" t="s">
        <v>250</v>
      </c>
      <c r="AR3103" s="71" t="s">
        <v>242</v>
      </c>
      <c r="AS3103" s="61"/>
      <c r="AT3103" s="63" t="s">
        <v>250</v>
      </c>
      <c r="AU3103" s="71" t="s">
        <v>242</v>
      </c>
    </row>
    <row r="3104" spans="15:47" ht="13" x14ac:dyDescent="0.3">
      <c r="O3104" s="6" t="s">
        <v>231</v>
      </c>
      <c r="P3104" s="6"/>
      <c r="Q3104" s="60"/>
      <c r="R3104" s="85">
        <f>P_1_minQ-(R3102^2*R_up)+dpup_minQ</f>
        <v>55.555834701280617</v>
      </c>
      <c r="S3104" s="56"/>
      <c r="T3104" s="72"/>
      <c r="U3104" s="53">
        <f>P_1_minQ-(U3102^2*R_up)+dpup_minQ</f>
        <v>49.963819703791252</v>
      </c>
      <c r="V3104" s="44"/>
      <c r="W3104" s="72"/>
      <c r="X3104" s="53">
        <f>P_1_minQ-(X3102^2*R_up)+dpup_minQ</f>
        <v>16.857913051101601</v>
      </c>
      <c r="Y3104" s="44"/>
      <c r="Z3104" s="72"/>
      <c r="AA3104" s="53">
        <f>P_1_minQ-(AA3102^2*R_up)+dpup_minQ</f>
        <v>-89.123360744670805</v>
      </c>
      <c r="AB3104" s="44"/>
      <c r="AC3104" s="72"/>
      <c r="AD3104" s="53">
        <f>P_1_minQ-(AD3102^2*R_up)+dpup_minQ</f>
        <v>-338.093526702654</v>
      </c>
      <c r="AE3104" s="44"/>
      <c r="AF3104" s="72"/>
      <c r="AG3104" s="53">
        <f>P_1_minQ-(AG3102^2*R_up)+dpup_minQ</f>
        <v>-818.70780300584795</v>
      </c>
      <c r="AH3104" s="44"/>
      <c r="AI3104" s="72"/>
      <c r="AJ3104" s="53">
        <f>P_1_minQ-(AJ3102^2*R_up)+dpup_minQ</f>
        <v>-1502.4830649675669</v>
      </c>
      <c r="AK3104" s="44"/>
      <c r="AL3104" s="72"/>
      <c r="AM3104" s="53">
        <f>P_1_minQ-(AM3102^2*R_up)+dpup_minQ</f>
        <v>-2264.8167840243714</v>
      </c>
      <c r="AN3104" s="44"/>
      <c r="AO3104" s="72"/>
      <c r="AP3104" s="53">
        <f>P_1_minQ-(AP3102^2*R_up)+dpup_minQ</f>
        <v>-3072.4290644502767</v>
      </c>
      <c r="AQ3104" s="44"/>
      <c r="AR3104" s="72"/>
      <c r="AS3104" s="53">
        <f>P_1_minQ-(AS3102^2*R_up)+dpup_minQ</f>
        <v>-3996.387998720495</v>
      </c>
      <c r="AT3104" s="44"/>
      <c r="AU3104" s="72"/>
    </row>
    <row r="3105" spans="15:47" ht="13" x14ac:dyDescent="0.3">
      <c r="O3105" s="6" t="s">
        <v>233</v>
      </c>
      <c r="P3105" s="6"/>
      <c r="Q3105" s="60"/>
      <c r="R3105" s="85">
        <f>P_2_minQ+(R3102^2*R_dn)-dpdn_minQ</f>
        <v>24.92883305974388</v>
      </c>
      <c r="S3105" s="66"/>
      <c r="T3105" s="74"/>
      <c r="U3105" s="53">
        <f>P_2_minQ+(U3102^2*R_dn)-dpdn_minQ</f>
        <v>26.047236059241751</v>
      </c>
      <c r="V3105" s="45"/>
      <c r="W3105" s="74"/>
      <c r="X3105" s="53">
        <f>P_2_minQ+(X3102^2*R_dn)-dpdn_minQ</f>
        <v>32.668417389779684</v>
      </c>
      <c r="Y3105" s="45"/>
      <c r="Z3105" s="74"/>
      <c r="AA3105" s="53">
        <f>P_2_minQ+(AA3102^2*R_dn)-dpdn_minQ</f>
        <v>53.864672148934169</v>
      </c>
      <c r="AB3105" s="45"/>
      <c r="AC3105" s="74"/>
      <c r="AD3105" s="53">
        <f>P_2_minQ+(AD3102^2*R_dn)-dpdn_minQ</f>
        <v>103.6587053405308</v>
      </c>
      <c r="AE3105" s="45"/>
      <c r="AF3105" s="74"/>
      <c r="AG3105" s="53">
        <f>P_2_minQ+(AG3102^2*R_dn)-dpdn_minQ</f>
        <v>199.78156060116956</v>
      </c>
      <c r="AH3105" s="45"/>
      <c r="AI3105" s="74"/>
      <c r="AJ3105" s="53">
        <f>P_2_minQ+(AJ3102^2*R_dn)-dpdn_minQ</f>
        <v>336.5366129935133</v>
      </c>
      <c r="AK3105" s="45"/>
      <c r="AL3105" s="74"/>
      <c r="AM3105" s="53">
        <f>P_2_minQ+(AM3102^2*R_dn)-dpdn_minQ</f>
        <v>489.00335680487416</v>
      </c>
      <c r="AN3105" s="45"/>
      <c r="AO3105" s="74"/>
      <c r="AP3105" s="53">
        <f>P_2_minQ+(AP3102^2*R_dn)-dpdn_minQ</f>
        <v>650.52581289005525</v>
      </c>
      <c r="AQ3105" s="45"/>
      <c r="AR3105" s="74"/>
      <c r="AS3105" s="53">
        <f>P_2_minQ+(AS3102^2*R_dn)-dpdn_minQ</f>
        <v>835.31759974409897</v>
      </c>
      <c r="AT3105" s="45"/>
      <c r="AU3105" s="74"/>
    </row>
    <row r="3106" spans="15:47" x14ac:dyDescent="0.25">
      <c r="O3106" s="6" t="s">
        <v>243</v>
      </c>
      <c r="Q3106" s="60"/>
      <c r="R3106" s="53">
        <f>R3104-R3105</f>
        <v>30.627001641536737</v>
      </c>
      <c r="S3106" s="56"/>
      <c r="T3106" s="72"/>
      <c r="U3106" s="64">
        <f>U3104-U3105</f>
        <v>23.916583644549501</v>
      </c>
      <c r="V3106" s="44"/>
      <c r="W3106" s="72"/>
      <c r="X3106" s="64">
        <f>X3104-X3105</f>
        <v>-15.810504338678083</v>
      </c>
      <c r="Y3106" s="44"/>
      <c r="Z3106" s="72"/>
      <c r="AA3106" s="64">
        <f>AA3104-AA3105</f>
        <v>-142.98803289360498</v>
      </c>
      <c r="AB3106" s="44"/>
      <c r="AC3106" s="72"/>
      <c r="AD3106" s="64">
        <f>AD3104-AD3105</f>
        <v>-441.75223204318479</v>
      </c>
      <c r="AE3106" s="44"/>
      <c r="AF3106" s="72"/>
      <c r="AG3106" s="64">
        <f>AG3104-AG3105</f>
        <v>-1018.4893636070175</v>
      </c>
      <c r="AH3106" s="44"/>
      <c r="AI3106" s="72"/>
      <c r="AJ3106" s="64">
        <f>AJ3104-AJ3105</f>
        <v>-1839.0196779610801</v>
      </c>
      <c r="AK3106" s="44"/>
      <c r="AL3106" s="72"/>
      <c r="AM3106" s="64">
        <f>AM3104-AM3105</f>
        <v>-2753.8201408292457</v>
      </c>
      <c r="AN3106" s="44"/>
      <c r="AO3106" s="72"/>
      <c r="AP3106" s="64">
        <f>AP3104-AP3105</f>
        <v>-3722.9548773403321</v>
      </c>
      <c r="AQ3106" s="44"/>
      <c r="AR3106" s="72"/>
      <c r="AS3106" s="64">
        <f>AS3104-AS3105</f>
        <v>-4831.705598464594</v>
      </c>
      <c r="AT3106" s="44"/>
      <c r="AU3106" s="72"/>
    </row>
    <row r="3107" spans="15:47" ht="13" x14ac:dyDescent="0.3">
      <c r="O3107" s="6" t="s">
        <v>75</v>
      </c>
      <c r="P3107" s="6">
        <v>3</v>
      </c>
      <c r="Q3107" s="65"/>
      <c r="R3107" s="85">
        <f>(F_LP_h/F_P_h)^2*(R3104-('Valve Sizing'!$V$4*'Valve Sizing'!$G$7))</f>
        <v>45.638756406518638</v>
      </c>
      <c r="S3107" s="58"/>
      <c r="T3107" s="73"/>
      <c r="U3107" s="53">
        <f>(U$29/U$27)^2*(U3104-('Valve Sizing'!$V$4*'Valve Sizing'!$G$7))</f>
        <v>40.997097302556654</v>
      </c>
      <c r="V3107" s="41"/>
      <c r="W3107" s="73"/>
      <c r="X3107" s="53">
        <f>(X$29/X$27)^2*(X3104-('Valve Sizing'!$V$4*'Valve Sizing'!$G$7))</f>
        <v>13.284566210285774</v>
      </c>
      <c r="Y3107" s="41"/>
      <c r="Z3107" s="73"/>
      <c r="AA3107" s="53">
        <f>(AA$29/AA$27)^2*(AA3104-('Valve Sizing'!$V$4*'Valve Sizing'!$G$7))</f>
        <v>-69.214360884960371</v>
      </c>
      <c r="AB3107" s="41"/>
      <c r="AC3107" s="73"/>
      <c r="AD3107" s="53">
        <f>(AD$29/AD$27)^2*(AD3104-('Valve Sizing'!$V$4*'Valve Sizing'!$G$7))</f>
        <v>-244.14615795485699</v>
      </c>
      <c r="AE3107" s="41"/>
      <c r="AF3107" s="73"/>
      <c r="AG3107" s="53">
        <f>(AG$29/AG$27)^2*(AG3104-('Valve Sizing'!$V$4*'Valve Sizing'!$G$7))</f>
        <v>-527.56722479218706</v>
      </c>
      <c r="AH3107" s="41"/>
      <c r="AI3107" s="73"/>
      <c r="AJ3107" s="53">
        <f>(AJ$29/AJ$27)^2*(AJ3104-('Valve Sizing'!$V$4*'Valve Sizing'!$G$7))</f>
        <v>-869.23713287008059</v>
      </c>
      <c r="AK3107" s="41"/>
      <c r="AL3107" s="73"/>
      <c r="AM3107" s="53">
        <f>(AM$29/AM$27)^2*(AM3104-('Valve Sizing'!$V$4*'Valve Sizing'!$G$7))</f>
        <v>-1083.8623097717746</v>
      </c>
      <c r="AN3107" s="41"/>
      <c r="AO3107" s="73"/>
      <c r="AP3107" s="53">
        <f>(AP$29/AP$27)^2*(AP3104-('Valve Sizing'!$V$4*'Valve Sizing'!$G$7))</f>
        <v>-1212.6365925495047</v>
      </c>
      <c r="AQ3107" s="41"/>
      <c r="AR3107" s="73"/>
      <c r="AS3107" s="53">
        <f>(AS$29/AS$27)^2*(AS3104-('Valve Sizing'!$V$4*'Valve Sizing'!$G$7))</f>
        <v>-1503.3700790267549</v>
      </c>
      <c r="AT3107" s="41"/>
      <c r="AU3107" s="73"/>
    </row>
    <row r="3108" spans="15:47" ht="13" x14ac:dyDescent="0.25">
      <c r="O3108" s="1" t="s">
        <v>69</v>
      </c>
      <c r="P3108" s="17">
        <v>7</v>
      </c>
      <c r="Q3108" s="65"/>
      <c r="R3108" s="53">
        <f>(R3102/(N_1*F_P_h))*SQRT('Valve Sizing'!$G$6/R3106)</f>
        <v>36.270137024581402</v>
      </c>
      <c r="S3108" s="58"/>
      <c r="T3108" s="73"/>
      <c r="U3108" s="64">
        <f>(U3102/(N_1*U$27))*SQRT('Valve Sizing'!$G$6/U3106)</f>
        <v>92.853929698780902</v>
      </c>
      <c r="V3108" s="41"/>
      <c r="W3108" s="73"/>
      <c r="X3108" s="64" t="e">
        <f>(X3102/(N_1*X$27))*SQRT('Valve Sizing'!$G$6/X3106)</f>
        <v>#NUM!</v>
      </c>
      <c r="Y3108" s="41"/>
      <c r="Z3108" s="73"/>
      <c r="AA3108" s="64" t="e">
        <f>(AA3102/(N_1*AA$27))*SQRT('Valve Sizing'!$G$6/AA3106)</f>
        <v>#NUM!</v>
      </c>
      <c r="AB3108" s="41"/>
      <c r="AC3108" s="73"/>
      <c r="AD3108" s="64" t="e">
        <f>(AD3102/(N_1*AD$27))*SQRT('Valve Sizing'!$G$6/AD3106)</f>
        <v>#NUM!</v>
      </c>
      <c r="AE3108" s="41"/>
      <c r="AF3108" s="73"/>
      <c r="AG3108" s="64" t="e">
        <f>(AG3102/(N_1*AG$27))*SQRT('Valve Sizing'!$G$6/AG3106)</f>
        <v>#NUM!</v>
      </c>
      <c r="AH3108" s="41"/>
      <c r="AI3108" s="73"/>
      <c r="AJ3108" s="64" t="e">
        <f>(AJ3102/(N_1*AJ$27))*SQRT('Valve Sizing'!$G$6/AJ3106)</f>
        <v>#NUM!</v>
      </c>
      <c r="AK3108" s="41"/>
      <c r="AL3108" s="73"/>
      <c r="AM3108" s="64" t="e">
        <f>(AM3102/(N_1*AM$27))*SQRT('Valve Sizing'!$G$6/AM3106)</f>
        <v>#NUM!</v>
      </c>
      <c r="AN3108" s="41"/>
      <c r="AO3108" s="73"/>
      <c r="AP3108" s="64" t="e">
        <f>(AP3102/(N_1*AP$27))*SQRT('Valve Sizing'!$G$6/AP3106)</f>
        <v>#NUM!</v>
      </c>
      <c r="AQ3108" s="41"/>
      <c r="AR3108" s="73"/>
      <c r="AS3108" s="64" t="e">
        <f>(AS3102/(N_1*AS$27))*SQRT('Valve Sizing'!$G$6/AS3106)</f>
        <v>#NUM!</v>
      </c>
      <c r="AT3108" s="41"/>
      <c r="AU3108" s="73"/>
    </row>
    <row r="3109" spans="15:47" ht="13" x14ac:dyDescent="0.3">
      <c r="O3109" s="1" t="s">
        <v>72</v>
      </c>
      <c r="P3109" s="17">
        <v>7</v>
      </c>
      <c r="Q3109" s="65"/>
      <c r="R3109" s="53">
        <f>(R3102/(N_1*F_P_h))*SQRT('Valve Sizing'!$G$6/R3107)</f>
        <v>29.712181286509995</v>
      </c>
      <c r="S3109" s="56"/>
      <c r="T3109" s="72"/>
      <c r="U3109" s="85">
        <f>(U3102/(N_1*U$27))*SQRT('Valve Sizing'!$G$6/U3107)</f>
        <v>70.920747696822758</v>
      </c>
      <c r="V3109" s="44"/>
      <c r="W3109" s="72"/>
      <c r="X3109" s="85">
        <f>(X3102/(N_1*X$27))*SQRT('Valve Sizing'!$G$6/X3107)</f>
        <v>299.73103350878586</v>
      </c>
      <c r="Y3109" s="44"/>
      <c r="Z3109" s="72"/>
      <c r="AA3109" s="85" t="e">
        <f>(AA3102/(N_1*AA$27))*SQRT('Valve Sizing'!$G$6/AA3107)</f>
        <v>#NUM!</v>
      </c>
      <c r="AB3109" s="44"/>
      <c r="AC3109" s="72"/>
      <c r="AD3109" s="85" t="e">
        <f>(AD3102/(N_1*AD$27))*SQRT('Valve Sizing'!$G$6/AD3107)</f>
        <v>#NUM!</v>
      </c>
      <c r="AE3109" s="44"/>
      <c r="AF3109" s="72"/>
      <c r="AG3109" s="85" t="e">
        <f>(AG3102/(N_1*AG$27))*SQRT('Valve Sizing'!$G$6/AG3107)</f>
        <v>#NUM!</v>
      </c>
      <c r="AH3109" s="44"/>
      <c r="AI3109" s="72"/>
      <c r="AJ3109" s="85" t="e">
        <f>(AJ3102/(N_1*AJ$27))*SQRT('Valve Sizing'!$G$6/AJ3107)</f>
        <v>#NUM!</v>
      </c>
      <c r="AK3109" s="44"/>
      <c r="AL3109" s="72"/>
      <c r="AM3109" s="85" t="e">
        <f>(AM3102/(N_1*AM$27))*SQRT('Valve Sizing'!$G$6/AM3107)</f>
        <v>#NUM!</v>
      </c>
      <c r="AN3109" s="44"/>
      <c r="AO3109" s="72"/>
      <c r="AP3109" s="85" t="e">
        <f>(AP3102/(N_1*AP$27))*SQRT('Valve Sizing'!$G$6/AP3107)</f>
        <v>#NUM!</v>
      </c>
      <c r="AQ3109" s="44"/>
      <c r="AR3109" s="72"/>
      <c r="AS3109" s="85" t="e">
        <f>(AS3102/(N_1*AS$27))*SQRT('Valve Sizing'!$G$6/AS3107)</f>
        <v>#NUM!</v>
      </c>
      <c r="AT3109" s="44"/>
      <c r="AU3109" s="72"/>
    </row>
    <row r="3110" spans="15:47" x14ac:dyDescent="0.25">
      <c r="O3110" s="1" t="s">
        <v>246</v>
      </c>
      <c r="P3110" s="18"/>
      <c r="Q3110" s="65"/>
      <c r="R3110" s="53">
        <f>IF(R3106&lt;R3107,R3108,R3109)</f>
        <v>36.270137024581402</v>
      </c>
      <c r="S3110" s="49"/>
      <c r="T3110" s="72"/>
      <c r="U3110" s="64">
        <f>IF(U3106&lt;U3107,U3108,U3109)</f>
        <v>92.853929698780902</v>
      </c>
      <c r="V3110" s="44"/>
      <c r="W3110" s="72"/>
      <c r="X3110" s="64" t="e">
        <f>IF(X3106&lt;X3107,X3108,X3109)</f>
        <v>#NUM!</v>
      </c>
      <c r="Y3110" s="44"/>
      <c r="Z3110" s="72"/>
      <c r="AA3110" s="64" t="e">
        <f>IF(AA3106&lt;AA3107,AA3108,AA3109)</f>
        <v>#NUM!</v>
      </c>
      <c r="AB3110" s="44"/>
      <c r="AC3110" s="72"/>
      <c r="AD3110" s="64" t="e">
        <f>IF(AD3106&lt;AD3107,AD3108,AD3109)</f>
        <v>#NUM!</v>
      </c>
      <c r="AE3110" s="44"/>
      <c r="AF3110" s="72"/>
      <c r="AG3110" s="64" t="e">
        <f>IF(AG3106&lt;AG3107,AG3108,AG3109)</f>
        <v>#NUM!</v>
      </c>
      <c r="AH3110" s="44"/>
      <c r="AI3110" s="72"/>
      <c r="AJ3110" s="64" t="e">
        <f>IF(AJ3106&lt;AJ3107,AJ3108,AJ3109)</f>
        <v>#NUM!</v>
      </c>
      <c r="AK3110" s="44"/>
      <c r="AL3110" s="72"/>
      <c r="AM3110" s="64" t="e">
        <f>IF(AM3106&lt;AM3107,AM3108,AM3109)</f>
        <v>#NUM!</v>
      </c>
      <c r="AN3110" s="44"/>
      <c r="AO3110" s="72"/>
      <c r="AP3110" s="64" t="e">
        <f>IF(AP3106&lt;AP3107,AP3108,AP3109)</f>
        <v>#NUM!</v>
      </c>
      <c r="AQ3110" s="44"/>
      <c r="AR3110" s="72"/>
      <c r="AS3110" s="64" t="e">
        <f>IF(AS3106&lt;AS3107,AS3108,AS3109)</f>
        <v>#NUM!</v>
      </c>
      <c r="AT3110" s="44"/>
      <c r="AU3110" s="72"/>
    </row>
    <row r="3111" spans="15:47" ht="13" x14ac:dyDescent="0.3">
      <c r="O3111" s="7" t="s">
        <v>264</v>
      </c>
      <c r="Q3111" s="61"/>
      <c r="R3111" s="53"/>
      <c r="S3111" s="69">
        <f>IFERROR(ABS(C_h-R3110),Q_max*10)</f>
        <v>31.270137024581402</v>
      </c>
      <c r="T3111" s="76">
        <f>R3102</f>
        <v>200.69562649714379</v>
      </c>
      <c r="U3111" s="61"/>
      <c r="V3111" s="69">
        <f>IFERROR(ABS(U$23-U3110),Q_max*10)</f>
        <v>80.853929698780902</v>
      </c>
      <c r="W3111" s="75">
        <f>U3102</f>
        <v>453.71609908701839</v>
      </c>
      <c r="X3111" s="61"/>
      <c r="Y3111" s="69">
        <f>IFERROR(ABS(X$23-X3110),Q_max*10)</f>
        <v>5500</v>
      </c>
      <c r="Z3111" s="75">
        <f>X3102</f>
        <v>1089.0932901073634</v>
      </c>
      <c r="AA3111" s="61"/>
      <c r="AB3111" s="69">
        <f>IFERROR(ABS(AA$23-AA3110),Q_max*10)</f>
        <v>5500</v>
      </c>
      <c r="AC3111" s="75">
        <f>AA3102</f>
        <v>2079.4782306265442</v>
      </c>
      <c r="AD3111" s="61"/>
      <c r="AE3111" s="69">
        <f>IFERROR(ABS(AD$23-AD3110),Q_max*10)</f>
        <v>5500</v>
      </c>
      <c r="AF3111" s="75">
        <f>AD3102</f>
        <v>3419.9760709200268</v>
      </c>
      <c r="AG3111" s="61"/>
      <c r="AH3111" s="69">
        <f>IFERROR(ABS(AG$23-AG3110),Q_max*10)</f>
        <v>5500</v>
      </c>
      <c r="AI3111" s="75">
        <f>AG3102</f>
        <v>5091.8783417323666</v>
      </c>
      <c r="AJ3111" s="61"/>
      <c r="AK3111" s="69">
        <f>IFERROR(ABS(AJ$23-AJ3110),Q_max*10)</f>
        <v>5500</v>
      </c>
      <c r="AL3111" s="75">
        <f>AJ3102</f>
        <v>6795.1313860505779</v>
      </c>
      <c r="AM3111" s="61"/>
      <c r="AN3111" s="69">
        <f>IFERROR(ABS(AM$23-AM3110),Q_max*10)</f>
        <v>5500</v>
      </c>
      <c r="AO3111" s="75">
        <f>AM3102</f>
        <v>8291.3516373967414</v>
      </c>
      <c r="AP3111" s="61"/>
      <c r="AQ3111" s="69">
        <f>IFERROR(ABS(AP$23-AP3110),Q_max*10)</f>
        <v>5500</v>
      </c>
      <c r="AR3111" s="75">
        <f>AP3102</f>
        <v>9626.0018490738239</v>
      </c>
      <c r="AS3111" s="61"/>
      <c r="AT3111" s="69">
        <f>IFERROR(ABS(AS$23-AS3110),Q_max*10)</f>
        <v>5500</v>
      </c>
      <c r="AU3111" s="75">
        <f>AS3102</f>
        <v>10955.288021869341</v>
      </c>
    </row>
    <row r="3112" spans="15:47" ht="14.5" x14ac:dyDescent="0.35">
      <c r="O3112" s="8"/>
      <c r="P3112" s="6"/>
      <c r="Q3112" s="60"/>
      <c r="R3112" s="67"/>
      <c r="S3112" s="56"/>
      <c r="T3112" s="72"/>
      <c r="V3112" s="11"/>
      <c r="W3112" s="38"/>
      <c r="Y3112" s="11"/>
      <c r="Z3112" s="38"/>
      <c r="AB3112" s="11"/>
      <c r="AC3112" s="38"/>
      <c r="AE3112" s="11"/>
      <c r="AF3112" s="38"/>
      <c r="AH3112" s="11"/>
      <c r="AI3112" s="38"/>
      <c r="AK3112" s="11"/>
      <c r="AL3112" s="38"/>
      <c r="AN3112" s="11"/>
      <c r="AO3112" s="38"/>
      <c r="AQ3112" s="11"/>
      <c r="AR3112" s="38"/>
      <c r="AT3112" s="11"/>
      <c r="AU3112" s="38"/>
    </row>
    <row r="3113" spans="15:47" ht="14" x14ac:dyDescent="0.3">
      <c r="O3113" s="8" t="s">
        <v>235</v>
      </c>
      <c r="P3113" s="6"/>
      <c r="Q3113" s="60"/>
      <c r="R3113" s="53">
        <f>R3102*1.02</f>
        <v>204.70953902708666</v>
      </c>
      <c r="S3113" s="58" t="s">
        <v>238</v>
      </c>
      <c r="T3113" s="73" t="s">
        <v>241</v>
      </c>
      <c r="U3113" s="84">
        <f>U3102*1.01</f>
        <v>458.25326007788857</v>
      </c>
      <c r="V3113" s="58" t="s">
        <v>238</v>
      </c>
      <c r="W3113" s="73" t="s">
        <v>241</v>
      </c>
      <c r="X3113" s="84">
        <f>X3102*1.01</f>
        <v>1099.9842230084371</v>
      </c>
      <c r="Y3113" s="58" t="s">
        <v>238</v>
      </c>
      <c r="Z3113" s="73" t="s">
        <v>241</v>
      </c>
      <c r="AA3113" s="84">
        <f>AA3102*1.01</f>
        <v>2100.2730129328097</v>
      </c>
      <c r="AB3113" s="58" t="s">
        <v>238</v>
      </c>
      <c r="AC3113" s="73" t="s">
        <v>241</v>
      </c>
      <c r="AD3113" s="84">
        <f>AD3102*1.01</f>
        <v>3454.1758316292271</v>
      </c>
      <c r="AE3113" s="58" t="s">
        <v>238</v>
      </c>
      <c r="AF3113" s="73" t="s">
        <v>241</v>
      </c>
      <c r="AG3113" s="84">
        <f>AG3102*1.01</f>
        <v>5142.7971251496901</v>
      </c>
      <c r="AH3113" s="58" t="s">
        <v>238</v>
      </c>
      <c r="AI3113" s="73" t="s">
        <v>241</v>
      </c>
      <c r="AJ3113" s="84">
        <f>AJ3102*1.01</f>
        <v>6863.0826999110841</v>
      </c>
      <c r="AK3113" s="58" t="s">
        <v>238</v>
      </c>
      <c r="AL3113" s="73" t="s">
        <v>241</v>
      </c>
      <c r="AM3113" s="84">
        <f>AM3102*1.01</f>
        <v>8374.2651537707097</v>
      </c>
      <c r="AN3113" s="58" t="s">
        <v>238</v>
      </c>
      <c r="AO3113" s="73" t="s">
        <v>241</v>
      </c>
      <c r="AP3113" s="84">
        <f>AP3102*1.01</f>
        <v>9722.2618675645626</v>
      </c>
      <c r="AQ3113" s="58" t="s">
        <v>238</v>
      </c>
      <c r="AR3113" s="73" t="s">
        <v>241</v>
      </c>
      <c r="AS3113" s="84">
        <f>AS3102*1.01</f>
        <v>11064.840902088034</v>
      </c>
      <c r="AT3113" s="58" t="s">
        <v>238</v>
      </c>
      <c r="AU3113" s="73" t="s">
        <v>241</v>
      </c>
    </row>
    <row r="3114" spans="15:47" ht="13" x14ac:dyDescent="0.25">
      <c r="O3114" s="6"/>
      <c r="P3114" s="6"/>
      <c r="Q3114" s="60"/>
      <c r="R3114" s="70"/>
      <c r="S3114" s="63" t="s">
        <v>250</v>
      </c>
      <c r="T3114" s="71" t="s">
        <v>242</v>
      </c>
      <c r="U3114" s="61"/>
      <c r="V3114" s="63" t="s">
        <v>250</v>
      </c>
      <c r="W3114" s="71" t="s">
        <v>242</v>
      </c>
      <c r="X3114" s="61"/>
      <c r="Y3114" s="63" t="s">
        <v>250</v>
      </c>
      <c r="Z3114" s="71" t="s">
        <v>242</v>
      </c>
      <c r="AA3114" s="61"/>
      <c r="AB3114" s="63" t="s">
        <v>250</v>
      </c>
      <c r="AC3114" s="71" t="s">
        <v>242</v>
      </c>
      <c r="AD3114" s="61"/>
      <c r="AE3114" s="63" t="s">
        <v>250</v>
      </c>
      <c r="AF3114" s="71" t="s">
        <v>242</v>
      </c>
      <c r="AG3114" s="61"/>
      <c r="AH3114" s="63" t="s">
        <v>250</v>
      </c>
      <c r="AI3114" s="71" t="s">
        <v>242</v>
      </c>
      <c r="AJ3114" s="61"/>
      <c r="AK3114" s="63" t="s">
        <v>250</v>
      </c>
      <c r="AL3114" s="71" t="s">
        <v>242</v>
      </c>
      <c r="AM3114" s="61"/>
      <c r="AN3114" s="63" t="s">
        <v>250</v>
      </c>
      <c r="AO3114" s="71" t="s">
        <v>242</v>
      </c>
      <c r="AP3114" s="61"/>
      <c r="AQ3114" s="63" t="s">
        <v>250</v>
      </c>
      <c r="AR3114" s="71" t="s">
        <v>242</v>
      </c>
      <c r="AS3114" s="61"/>
      <c r="AT3114" s="63" t="s">
        <v>250</v>
      </c>
      <c r="AU3114" s="71" t="s">
        <v>242</v>
      </c>
    </row>
    <row r="3115" spans="15:47" ht="13" x14ac:dyDescent="0.3">
      <c r="O3115" s="6" t="s">
        <v>231</v>
      </c>
      <c r="P3115" s="6"/>
      <c r="Q3115" s="60"/>
      <c r="R3115" s="85">
        <f>P_1_minQ-(R3113^2*R_up)+dpup_minQ</f>
        <v>55.500878238139741</v>
      </c>
      <c r="S3115" s="56"/>
      <c r="T3115" s="72"/>
      <c r="U3115" s="53">
        <f>P_1_minQ-(U3113^2*R_up)+dpup_minQ</f>
        <v>49.824078001620634</v>
      </c>
      <c r="V3115" s="44"/>
      <c r="W3115" s="72"/>
      <c r="X3115" s="53">
        <f>P_1_minQ-(X3113^2*R_up)+dpup_minQ</f>
        <v>16.052742625211916</v>
      </c>
      <c r="Y3115" s="44"/>
      <c r="Z3115" s="72"/>
      <c r="AA3115" s="53">
        <f>P_1_minQ-(AA3113^2*R_up)+dpup_minQ</f>
        <v>-92.058754773855526</v>
      </c>
      <c r="AB3115" s="44"/>
      <c r="AC3115" s="72"/>
      <c r="AD3115" s="53">
        <f>P_1_minQ-(AD3113^2*R_up)+dpup_minQ</f>
        <v>-346.03322106759413</v>
      </c>
      <c r="AE3115" s="44"/>
      <c r="AF3115" s="72"/>
      <c r="AG3115" s="53">
        <f>P_1_minQ-(AG3113^2*R_up)+dpup_minQ</f>
        <v>-836.30784432448218</v>
      </c>
      <c r="AH3115" s="44"/>
      <c r="AI3115" s="72"/>
      <c r="AJ3115" s="53">
        <f>P_1_minQ-(AJ3113^2*R_up)+dpup_minQ</f>
        <v>-1533.8269890516317</v>
      </c>
      <c r="AK3115" s="44"/>
      <c r="AL3115" s="72"/>
      <c r="AM3115" s="53">
        <f>P_1_minQ-(AM3113^2*R_up)+dpup_minQ</f>
        <v>-2311.4836158614785</v>
      </c>
      <c r="AN3115" s="44"/>
      <c r="AO3115" s="72"/>
      <c r="AP3115" s="53">
        <f>P_1_minQ-(AP3113^2*R_up)+dpup_minQ</f>
        <v>-3135.3289031239442</v>
      </c>
      <c r="AQ3115" s="44"/>
      <c r="AR3115" s="72"/>
      <c r="AS3115" s="53">
        <f>P_1_minQ-(AS3113^2*R_up)+dpup_minQ</f>
        <v>-4077.8594119729937</v>
      </c>
      <c r="AT3115" s="44"/>
      <c r="AU3115" s="72"/>
    </row>
    <row r="3116" spans="15:47" ht="13" x14ac:dyDescent="0.3">
      <c r="O3116" s="6" t="s">
        <v>233</v>
      </c>
      <c r="P3116" s="6"/>
      <c r="Q3116" s="60"/>
      <c r="R3116" s="85">
        <f>P_2_minQ+(R3113^2*R_dn)-dpdn_minQ</f>
        <v>24.939824352372053</v>
      </c>
      <c r="S3116" s="66"/>
      <c r="T3116" s="74"/>
      <c r="U3116" s="53">
        <f>P_2_minQ+(U3113^2*R_dn)-dpdn_minQ</f>
        <v>26.075184399675873</v>
      </c>
      <c r="V3116" s="45"/>
      <c r="W3116" s="74"/>
      <c r="X3116" s="53">
        <f>P_2_minQ+(X3113^2*R_dn)-dpdn_minQ</f>
        <v>32.829451474957622</v>
      </c>
      <c r="Y3116" s="45"/>
      <c r="Z3116" s="74"/>
      <c r="AA3116" s="53">
        <f>P_2_minQ+(AA3113^2*R_dn)-dpdn_minQ</f>
        <v>54.451750954771107</v>
      </c>
      <c r="AB3116" s="45"/>
      <c r="AC3116" s="74"/>
      <c r="AD3116" s="53">
        <f>P_2_minQ+(AD3113^2*R_dn)-dpdn_minQ</f>
        <v>105.24664421351883</v>
      </c>
      <c r="AE3116" s="45"/>
      <c r="AF3116" s="74"/>
      <c r="AG3116" s="53">
        <f>P_2_minQ+(AG3113^2*R_dn)-dpdn_minQ</f>
        <v>203.30156886489644</v>
      </c>
      <c r="AH3116" s="45"/>
      <c r="AI3116" s="74"/>
      <c r="AJ3116" s="53">
        <f>P_2_minQ+(AJ3113^2*R_dn)-dpdn_minQ</f>
        <v>342.80539781032627</v>
      </c>
      <c r="AK3116" s="45"/>
      <c r="AL3116" s="74"/>
      <c r="AM3116" s="53">
        <f>P_2_minQ+(AM3113^2*R_dn)-dpdn_minQ</f>
        <v>498.33672317229559</v>
      </c>
      <c r="AN3116" s="45"/>
      <c r="AO3116" s="74"/>
      <c r="AP3116" s="53">
        <f>P_2_minQ+(AP3113^2*R_dn)-dpdn_minQ</f>
        <v>663.10578062478874</v>
      </c>
      <c r="AQ3116" s="45"/>
      <c r="AR3116" s="74"/>
      <c r="AS3116" s="53">
        <f>P_2_minQ+(AS3113^2*R_dn)-dpdn_minQ</f>
        <v>851.61188239459864</v>
      </c>
      <c r="AT3116" s="45"/>
      <c r="AU3116" s="74"/>
    </row>
    <row r="3117" spans="15:47" x14ac:dyDescent="0.25">
      <c r="O3117" s="6" t="s">
        <v>243</v>
      </c>
      <c r="Q3117" s="60"/>
      <c r="R3117" s="53">
        <f>R3115-R3116</f>
        <v>30.561053885767688</v>
      </c>
      <c r="S3117" s="56"/>
      <c r="T3117" s="72"/>
      <c r="U3117" s="64">
        <f>U3115-U3116</f>
        <v>23.748893601944761</v>
      </c>
      <c r="V3117" s="44"/>
      <c r="W3117" s="72"/>
      <c r="X3117" s="64">
        <f>X3115-X3116</f>
        <v>-16.776708849745706</v>
      </c>
      <c r="Y3117" s="44"/>
      <c r="Z3117" s="72"/>
      <c r="AA3117" s="64">
        <f>AA3115-AA3116</f>
        <v>-146.51050572862664</v>
      </c>
      <c r="AB3117" s="44"/>
      <c r="AC3117" s="72"/>
      <c r="AD3117" s="64">
        <f>AD3115-AD3116</f>
        <v>-451.27986528111296</v>
      </c>
      <c r="AE3117" s="44"/>
      <c r="AF3117" s="72"/>
      <c r="AG3117" s="64">
        <f>AG3115-AG3116</f>
        <v>-1039.6094131893785</v>
      </c>
      <c r="AH3117" s="44"/>
      <c r="AI3117" s="72"/>
      <c r="AJ3117" s="64">
        <f>AJ3115-AJ3116</f>
        <v>-1876.6323868619579</v>
      </c>
      <c r="AK3117" s="44"/>
      <c r="AL3117" s="72"/>
      <c r="AM3117" s="64">
        <f>AM3115-AM3116</f>
        <v>-2809.820339033774</v>
      </c>
      <c r="AN3117" s="44"/>
      <c r="AO3117" s="72"/>
      <c r="AP3117" s="64">
        <f>AP3115-AP3116</f>
        <v>-3798.4346837487328</v>
      </c>
      <c r="AQ3117" s="44"/>
      <c r="AR3117" s="72"/>
      <c r="AS3117" s="64">
        <f>AS3115-AS3116</f>
        <v>-4929.4712943675922</v>
      </c>
      <c r="AT3117" s="44"/>
      <c r="AU3117" s="72"/>
    </row>
    <row r="3118" spans="15:47" ht="13" x14ac:dyDescent="0.3">
      <c r="O3118" s="6" t="s">
        <v>75</v>
      </c>
      <c r="P3118" s="6">
        <v>3</v>
      </c>
      <c r="Q3118" s="65"/>
      <c r="R3118" s="85">
        <f>(F_LP_h/F_P_h)^2*(R3115-('Valve Sizing'!$V$4*'Valve Sizing'!$G$7))</f>
        <v>45.593249570376614</v>
      </c>
      <c r="S3118" s="58"/>
      <c r="T3118" s="73"/>
      <c r="U3118" s="53">
        <f>(U$29/U$27)^2*(U3115-('Valve Sizing'!$V$4*'Valve Sizing'!$G$7))</f>
        <v>40.881415376836138</v>
      </c>
      <c r="V3118" s="41"/>
      <c r="W3118" s="73"/>
      <c r="X3118" s="53">
        <f>(X$29/X$27)^2*(X3115-('Valve Sizing'!$V$4*'Valve Sizing'!$G$7))</f>
        <v>12.633059689834251</v>
      </c>
      <c r="Y3118" s="41"/>
      <c r="Z3118" s="73"/>
      <c r="AA3118" s="53">
        <f>(AA$29/AA$27)^2*(AA3115-('Valve Sizing'!$V$4*'Valve Sizing'!$G$7))</f>
        <v>-71.482825234291496</v>
      </c>
      <c r="AB3118" s="41"/>
      <c r="AC3118" s="73"/>
      <c r="AD3118" s="53">
        <f>(AD$29/AD$27)^2*(AD3115-('Valve Sizing'!$V$4*'Valve Sizing'!$G$7))</f>
        <v>-249.87216554767559</v>
      </c>
      <c r="AE3118" s="41"/>
      <c r="AF3118" s="73"/>
      <c r="AG3118" s="53">
        <f>(AG$29/AG$27)^2*(AG3115-('Valve Sizing'!$V$4*'Valve Sizing'!$G$7))</f>
        <v>-538.90242494402605</v>
      </c>
      <c r="AH3118" s="41"/>
      <c r="AI3118" s="73"/>
      <c r="AJ3118" s="53">
        <f>(AJ$29/AJ$27)^2*(AJ3115-('Valve Sizing'!$V$4*'Valve Sizing'!$G$7))</f>
        <v>-887.36534068947617</v>
      </c>
      <c r="AK3118" s="41"/>
      <c r="AL3118" s="73"/>
      <c r="AM3118" s="53">
        <f>(AM$29/AM$27)^2*(AM3115-('Valve Sizing'!$V$4*'Valve Sizing'!$G$7))</f>
        <v>-1106.1910891021078</v>
      </c>
      <c r="AN3118" s="41"/>
      <c r="AO3118" s="73"/>
      <c r="AP3118" s="53">
        <f>(AP$29/AP$27)^2*(AP3115-('Valve Sizing'!$V$4*'Valve Sizing'!$G$7))</f>
        <v>-1237.4585563266494</v>
      </c>
      <c r="AQ3118" s="41"/>
      <c r="AR3118" s="73"/>
      <c r="AS3118" s="53">
        <f>(AS$29/AS$27)^2*(AS3115-('Valve Sizing'!$V$4*'Valve Sizing'!$G$7))</f>
        <v>-1534.0148011043102</v>
      </c>
      <c r="AT3118" s="41"/>
      <c r="AU3118" s="73"/>
    </row>
    <row r="3119" spans="15:47" ht="13" x14ac:dyDescent="0.25">
      <c r="O3119" s="1" t="s">
        <v>69</v>
      </c>
      <c r="P3119" s="17">
        <v>7</v>
      </c>
      <c r="Q3119" s="65"/>
      <c r="R3119" s="53">
        <f>(R3113/(N_1*F_P_h))*SQRT('Valve Sizing'!$G$6/R3117)</f>
        <v>37.035434626858461</v>
      </c>
      <c r="S3119" s="58"/>
      <c r="T3119" s="73"/>
      <c r="U3119" s="64">
        <f>(U3113/(N_1*U$27))*SQRT('Valve Sizing'!$G$6/U3117)</f>
        <v>94.11298382328637</v>
      </c>
      <c r="V3119" s="41"/>
      <c r="W3119" s="73"/>
      <c r="X3119" s="64" t="e">
        <f>(X3113/(N_1*X$27))*SQRT('Valve Sizing'!$G$6/X3117)</f>
        <v>#NUM!</v>
      </c>
      <c r="Y3119" s="41"/>
      <c r="Z3119" s="73"/>
      <c r="AA3119" s="64" t="e">
        <f>(AA3113/(N_1*AA$27))*SQRT('Valve Sizing'!$G$6/AA3117)</f>
        <v>#NUM!</v>
      </c>
      <c r="AB3119" s="41"/>
      <c r="AC3119" s="73"/>
      <c r="AD3119" s="64" t="e">
        <f>(AD3113/(N_1*AD$27))*SQRT('Valve Sizing'!$G$6/AD3117)</f>
        <v>#NUM!</v>
      </c>
      <c r="AE3119" s="41"/>
      <c r="AF3119" s="73"/>
      <c r="AG3119" s="64" t="e">
        <f>(AG3113/(N_1*AG$27))*SQRT('Valve Sizing'!$G$6/AG3117)</f>
        <v>#NUM!</v>
      </c>
      <c r="AH3119" s="41"/>
      <c r="AI3119" s="73"/>
      <c r="AJ3119" s="64" t="e">
        <f>(AJ3113/(N_1*AJ$27))*SQRT('Valve Sizing'!$G$6/AJ3117)</f>
        <v>#NUM!</v>
      </c>
      <c r="AK3119" s="41"/>
      <c r="AL3119" s="73"/>
      <c r="AM3119" s="64" t="e">
        <f>(AM3113/(N_1*AM$27))*SQRT('Valve Sizing'!$G$6/AM3117)</f>
        <v>#NUM!</v>
      </c>
      <c r="AN3119" s="41"/>
      <c r="AO3119" s="73"/>
      <c r="AP3119" s="64" t="e">
        <f>(AP3113/(N_1*AP$27))*SQRT('Valve Sizing'!$G$6/AP3117)</f>
        <v>#NUM!</v>
      </c>
      <c r="AQ3119" s="41"/>
      <c r="AR3119" s="73"/>
      <c r="AS3119" s="64" t="e">
        <f>(AS3113/(N_1*AS$27))*SQRT('Valve Sizing'!$G$6/AS3117)</f>
        <v>#NUM!</v>
      </c>
      <c r="AT3119" s="41"/>
      <c r="AU3119" s="73"/>
    </row>
    <row r="3120" spans="15:47" ht="13" x14ac:dyDescent="0.3">
      <c r="O3120" s="1" t="s">
        <v>72</v>
      </c>
      <c r="P3120" s="17">
        <v>7</v>
      </c>
      <c r="Q3120" s="65"/>
      <c r="R3120" s="53">
        <f>(R3113/(N_1*F_P_h))*SQRT('Valve Sizing'!$G$6/R3118)</f>
        <v>30.321545632557999</v>
      </c>
      <c r="S3120" s="56"/>
      <c r="T3120" s="72"/>
      <c r="U3120" s="85">
        <f>(U3113/(N_1*U$27))*SQRT('Valve Sizing'!$G$6/U3118)</f>
        <v>71.731229034271678</v>
      </c>
      <c r="V3120" s="44"/>
      <c r="W3120" s="72"/>
      <c r="X3120" s="85">
        <f>(X3113/(N_1*X$27))*SQRT('Valve Sizing'!$G$6/X3118)</f>
        <v>310.43630084195763</v>
      </c>
      <c r="Y3120" s="44"/>
      <c r="Z3120" s="72"/>
      <c r="AA3120" s="85" t="e">
        <f>(AA3113/(N_1*AA$27))*SQRT('Valve Sizing'!$G$6/AA3118)</f>
        <v>#NUM!</v>
      </c>
      <c r="AB3120" s="44"/>
      <c r="AC3120" s="72"/>
      <c r="AD3120" s="85" t="e">
        <f>(AD3113/(N_1*AD$27))*SQRT('Valve Sizing'!$G$6/AD3118)</f>
        <v>#NUM!</v>
      </c>
      <c r="AE3120" s="44"/>
      <c r="AF3120" s="72"/>
      <c r="AG3120" s="85" t="e">
        <f>(AG3113/(N_1*AG$27))*SQRT('Valve Sizing'!$G$6/AG3118)</f>
        <v>#NUM!</v>
      </c>
      <c r="AH3120" s="44"/>
      <c r="AI3120" s="72"/>
      <c r="AJ3120" s="85" t="e">
        <f>(AJ3113/(N_1*AJ$27))*SQRT('Valve Sizing'!$G$6/AJ3118)</f>
        <v>#NUM!</v>
      </c>
      <c r="AK3120" s="44"/>
      <c r="AL3120" s="72"/>
      <c r="AM3120" s="85" t="e">
        <f>(AM3113/(N_1*AM$27))*SQRT('Valve Sizing'!$G$6/AM3118)</f>
        <v>#NUM!</v>
      </c>
      <c r="AN3120" s="44"/>
      <c r="AO3120" s="72"/>
      <c r="AP3120" s="85" t="e">
        <f>(AP3113/(N_1*AP$27))*SQRT('Valve Sizing'!$G$6/AP3118)</f>
        <v>#NUM!</v>
      </c>
      <c r="AQ3120" s="44"/>
      <c r="AR3120" s="72"/>
      <c r="AS3120" s="85" t="e">
        <f>(AS3113/(N_1*AS$27))*SQRT('Valve Sizing'!$G$6/AS3118)</f>
        <v>#NUM!</v>
      </c>
      <c r="AT3120" s="44"/>
      <c r="AU3120" s="72"/>
    </row>
    <row r="3121" spans="15:47" x14ac:dyDescent="0.25">
      <c r="O3121" s="1" t="s">
        <v>246</v>
      </c>
      <c r="P3121" s="18"/>
      <c r="Q3121" s="65"/>
      <c r="R3121" s="53">
        <f>IF(R3117&lt;R3118,R3119,R3120)</f>
        <v>37.035434626858461</v>
      </c>
      <c r="S3121" s="49"/>
      <c r="T3121" s="72"/>
      <c r="U3121" s="64">
        <f>IF(U3117&lt;U3118,U3119,U3120)</f>
        <v>94.11298382328637</v>
      </c>
      <c r="V3121" s="44"/>
      <c r="W3121" s="72"/>
      <c r="X3121" s="64" t="e">
        <f>IF(X3117&lt;X3118,X3119,X3120)</f>
        <v>#NUM!</v>
      </c>
      <c r="Y3121" s="44"/>
      <c r="Z3121" s="72"/>
      <c r="AA3121" s="64" t="e">
        <f>IF(AA3117&lt;AA3118,AA3119,AA3120)</f>
        <v>#NUM!</v>
      </c>
      <c r="AB3121" s="44"/>
      <c r="AC3121" s="72"/>
      <c r="AD3121" s="64" t="e">
        <f>IF(AD3117&lt;AD3118,AD3119,AD3120)</f>
        <v>#NUM!</v>
      </c>
      <c r="AE3121" s="44"/>
      <c r="AF3121" s="72"/>
      <c r="AG3121" s="64" t="e">
        <f>IF(AG3117&lt;AG3118,AG3119,AG3120)</f>
        <v>#NUM!</v>
      </c>
      <c r="AH3121" s="44"/>
      <c r="AI3121" s="72"/>
      <c r="AJ3121" s="64" t="e">
        <f>IF(AJ3117&lt;AJ3118,AJ3119,AJ3120)</f>
        <v>#NUM!</v>
      </c>
      <c r="AK3121" s="44"/>
      <c r="AL3121" s="72"/>
      <c r="AM3121" s="64" t="e">
        <f>IF(AM3117&lt;AM3118,AM3119,AM3120)</f>
        <v>#NUM!</v>
      </c>
      <c r="AN3121" s="44"/>
      <c r="AO3121" s="72"/>
      <c r="AP3121" s="64" t="e">
        <f>IF(AP3117&lt;AP3118,AP3119,AP3120)</f>
        <v>#NUM!</v>
      </c>
      <c r="AQ3121" s="44"/>
      <c r="AR3121" s="72"/>
      <c r="AS3121" s="64" t="e">
        <f>IF(AS3117&lt;AS3118,AS3119,AS3120)</f>
        <v>#NUM!</v>
      </c>
      <c r="AT3121" s="44"/>
      <c r="AU3121" s="72"/>
    </row>
    <row r="3122" spans="15:47" ht="13" x14ac:dyDescent="0.3">
      <c r="O3122" s="7" t="s">
        <v>264</v>
      </c>
      <c r="Q3122" s="61"/>
      <c r="R3122" s="53"/>
      <c r="S3122" s="69">
        <f>IFERROR(ABS(C_h-R3121),Q_max*10)</f>
        <v>32.035434626858461</v>
      </c>
      <c r="T3122" s="76">
        <f>R3113</f>
        <v>204.70953902708666</v>
      </c>
      <c r="U3122" s="61"/>
      <c r="V3122" s="69">
        <f>IFERROR(ABS(U$23-U3121),Q_max*10)</f>
        <v>82.11298382328637</v>
      </c>
      <c r="W3122" s="75">
        <f>U3113</f>
        <v>458.25326007788857</v>
      </c>
      <c r="X3122" s="61"/>
      <c r="Y3122" s="69">
        <f>IFERROR(ABS(X$23-X3121),Q_max*10)</f>
        <v>5500</v>
      </c>
      <c r="Z3122" s="75">
        <f>X3113</f>
        <v>1099.9842230084371</v>
      </c>
      <c r="AA3122" s="61"/>
      <c r="AB3122" s="69">
        <f>IFERROR(ABS(AA$23-AA3121),Q_max*10)</f>
        <v>5500</v>
      </c>
      <c r="AC3122" s="75">
        <f>AA3113</f>
        <v>2100.2730129328097</v>
      </c>
      <c r="AD3122" s="61"/>
      <c r="AE3122" s="69">
        <f>IFERROR(ABS(AD$23-AD3121),Q_max*10)</f>
        <v>5500</v>
      </c>
      <c r="AF3122" s="75">
        <f>AD3113</f>
        <v>3454.1758316292271</v>
      </c>
      <c r="AG3122" s="61"/>
      <c r="AH3122" s="69">
        <f>IFERROR(ABS(AG$23-AG3121),Q_max*10)</f>
        <v>5500</v>
      </c>
      <c r="AI3122" s="75">
        <f>AG3113</f>
        <v>5142.7971251496901</v>
      </c>
      <c r="AJ3122" s="61"/>
      <c r="AK3122" s="69">
        <f>IFERROR(ABS(AJ$23-AJ3121),Q_max*10)</f>
        <v>5500</v>
      </c>
      <c r="AL3122" s="75">
        <f>AJ3113</f>
        <v>6863.0826999110841</v>
      </c>
      <c r="AM3122" s="61"/>
      <c r="AN3122" s="69">
        <f>IFERROR(ABS(AM$23-AM3121),Q_max*10)</f>
        <v>5500</v>
      </c>
      <c r="AO3122" s="75">
        <f>AM3113</f>
        <v>8374.2651537707097</v>
      </c>
      <c r="AP3122" s="61"/>
      <c r="AQ3122" s="69">
        <f>IFERROR(ABS(AP$23-AP3121),Q_max*10)</f>
        <v>5500</v>
      </c>
      <c r="AR3122" s="75">
        <f>AP3113</f>
        <v>9722.2618675645626</v>
      </c>
      <c r="AS3122" s="61"/>
      <c r="AT3122" s="69">
        <f>IFERROR(ABS(AS$23-AS3121),Q_max*10)</f>
        <v>5500</v>
      </c>
      <c r="AU3122" s="75">
        <f>AS3113</f>
        <v>11064.840902088034</v>
      </c>
    </row>
    <row r="3123" spans="15:47" ht="14.5" x14ac:dyDescent="0.35">
      <c r="O3123" s="19"/>
      <c r="P3123" s="13"/>
      <c r="Q3123" s="9"/>
      <c r="R3123" s="67"/>
      <c r="S3123" s="58"/>
      <c r="T3123" s="73"/>
      <c r="V3123" s="11"/>
      <c r="W3123" s="38"/>
      <c r="Y3123" s="11"/>
      <c r="Z3123" s="38"/>
      <c r="AB3123" s="11"/>
      <c r="AC3123" s="38"/>
      <c r="AE3123" s="11"/>
      <c r="AF3123" s="38"/>
      <c r="AH3123" s="11"/>
      <c r="AI3123" s="38"/>
      <c r="AK3123" s="11"/>
      <c r="AL3123" s="38"/>
      <c r="AN3123" s="11"/>
      <c r="AO3123" s="38"/>
      <c r="AQ3123" s="11"/>
      <c r="AR3123" s="38"/>
      <c r="AT3123" s="11"/>
      <c r="AU3123" s="38"/>
    </row>
    <row r="3124" spans="15:47" ht="14" x14ac:dyDescent="0.3">
      <c r="O3124" s="8" t="s">
        <v>235</v>
      </c>
      <c r="P3124" s="6"/>
      <c r="Q3124" s="60"/>
      <c r="R3124" s="53">
        <f>R3113*1.02</f>
        <v>208.8037298076284</v>
      </c>
      <c r="S3124" s="58" t="s">
        <v>238</v>
      </c>
      <c r="T3124" s="73" t="s">
        <v>241</v>
      </c>
      <c r="U3124" s="84">
        <f>U3113*1.01</f>
        <v>462.83579267866747</v>
      </c>
      <c r="V3124" s="58" t="s">
        <v>238</v>
      </c>
      <c r="W3124" s="73" t="s">
        <v>241</v>
      </c>
      <c r="X3124" s="84">
        <f>X3113*1.01</f>
        <v>1110.9840652385215</v>
      </c>
      <c r="Y3124" s="58" t="s">
        <v>238</v>
      </c>
      <c r="Z3124" s="73" t="s">
        <v>241</v>
      </c>
      <c r="AA3124" s="84">
        <f>AA3113*1.01</f>
        <v>2121.2757430621377</v>
      </c>
      <c r="AB3124" s="58" t="s">
        <v>238</v>
      </c>
      <c r="AC3124" s="73" t="s">
        <v>241</v>
      </c>
      <c r="AD3124" s="84">
        <f>AD3113*1.01</f>
        <v>3488.7175899455192</v>
      </c>
      <c r="AE3124" s="58" t="s">
        <v>238</v>
      </c>
      <c r="AF3124" s="73" t="s">
        <v>241</v>
      </c>
      <c r="AG3124" s="84">
        <f>AG3113*1.01</f>
        <v>5194.2250964011873</v>
      </c>
      <c r="AH3124" s="58" t="s">
        <v>238</v>
      </c>
      <c r="AI3124" s="73" t="s">
        <v>241</v>
      </c>
      <c r="AJ3124" s="84">
        <f>AJ3113*1.01</f>
        <v>6931.7135269101946</v>
      </c>
      <c r="AK3124" s="58" t="s">
        <v>238</v>
      </c>
      <c r="AL3124" s="73" t="s">
        <v>241</v>
      </c>
      <c r="AM3124" s="84">
        <f>AM3113*1.01</f>
        <v>8458.0078053084162</v>
      </c>
      <c r="AN3124" s="58" t="s">
        <v>238</v>
      </c>
      <c r="AO3124" s="73" t="s">
        <v>241</v>
      </c>
      <c r="AP3124" s="84">
        <f>AP3113*1.01</f>
        <v>9819.4844862402078</v>
      </c>
      <c r="AQ3124" s="58" t="s">
        <v>238</v>
      </c>
      <c r="AR3124" s="73" t="s">
        <v>241</v>
      </c>
      <c r="AS3124" s="84">
        <f>AS3113*1.01</f>
        <v>11175.489311108913</v>
      </c>
      <c r="AT3124" s="58" t="s">
        <v>238</v>
      </c>
      <c r="AU3124" s="73" t="s">
        <v>241</v>
      </c>
    </row>
    <row r="3125" spans="15:47" ht="13" x14ac:dyDescent="0.25">
      <c r="O3125" s="6"/>
      <c r="P3125" s="6"/>
      <c r="Q3125" s="60"/>
      <c r="R3125" s="70"/>
      <c r="S3125" s="63" t="s">
        <v>250</v>
      </c>
      <c r="T3125" s="71" t="s">
        <v>242</v>
      </c>
      <c r="U3125" s="61"/>
      <c r="V3125" s="63" t="s">
        <v>250</v>
      </c>
      <c r="W3125" s="71" t="s">
        <v>242</v>
      </c>
      <c r="X3125" s="61"/>
      <c r="Y3125" s="63" t="s">
        <v>250</v>
      </c>
      <c r="Z3125" s="71" t="s">
        <v>242</v>
      </c>
      <c r="AA3125" s="61"/>
      <c r="AB3125" s="63" t="s">
        <v>250</v>
      </c>
      <c r="AC3125" s="71" t="s">
        <v>242</v>
      </c>
      <c r="AD3125" s="61"/>
      <c r="AE3125" s="63" t="s">
        <v>250</v>
      </c>
      <c r="AF3125" s="71" t="s">
        <v>242</v>
      </c>
      <c r="AG3125" s="61"/>
      <c r="AH3125" s="63" t="s">
        <v>250</v>
      </c>
      <c r="AI3125" s="71" t="s">
        <v>242</v>
      </c>
      <c r="AJ3125" s="61"/>
      <c r="AK3125" s="63" t="s">
        <v>250</v>
      </c>
      <c r="AL3125" s="71" t="s">
        <v>242</v>
      </c>
      <c r="AM3125" s="61"/>
      <c r="AN3125" s="63" t="s">
        <v>250</v>
      </c>
      <c r="AO3125" s="71" t="s">
        <v>242</v>
      </c>
      <c r="AP3125" s="61"/>
      <c r="AQ3125" s="63" t="s">
        <v>250</v>
      </c>
      <c r="AR3125" s="71" t="s">
        <v>242</v>
      </c>
      <c r="AS3125" s="61"/>
      <c r="AT3125" s="63" t="s">
        <v>250</v>
      </c>
      <c r="AU3125" s="71" t="s">
        <v>242</v>
      </c>
    </row>
    <row r="3126" spans="15:47" ht="13" x14ac:dyDescent="0.3">
      <c r="O3126" s="6" t="s">
        <v>231</v>
      </c>
      <c r="P3126" s="6"/>
      <c r="Q3126" s="60"/>
      <c r="R3126" s="85">
        <f>P_1_minQ-(R3124^2*R_up)+dpup_minQ</f>
        <v>55.443701533887975</v>
      </c>
      <c r="S3126" s="56"/>
      <c r="T3126" s="72"/>
      <c r="U3126" s="53">
        <f>P_1_minQ-(U3124^2*R_up)+dpup_minQ</f>
        <v>49.681527491236388</v>
      </c>
      <c r="V3126" s="44"/>
      <c r="W3126" s="72"/>
      <c r="X3126" s="53">
        <f>P_1_minQ-(X3124^2*R_up)+dpup_minQ</f>
        <v>15.231388273761855</v>
      </c>
      <c r="Y3126" s="44"/>
      <c r="Z3126" s="72"/>
      <c r="AA3126" s="53">
        <f>P_1_minQ-(AA3124^2*R_up)+dpup_minQ</f>
        <v>-95.053150223026847</v>
      </c>
      <c r="AB3126" s="44"/>
      <c r="AC3126" s="72"/>
      <c r="AD3126" s="53">
        <f>P_1_minQ-(AD3124^2*R_up)+dpup_minQ</f>
        <v>-354.13250328926961</v>
      </c>
      <c r="AE3126" s="44"/>
      <c r="AF3126" s="72"/>
      <c r="AG3126" s="53">
        <f>P_1_minQ-(AG3124^2*R_up)+dpup_minQ</f>
        <v>-854.26164647362123</v>
      </c>
      <c r="AH3126" s="44"/>
      <c r="AI3126" s="72"/>
      <c r="AJ3126" s="53">
        <f>P_1_minQ-(AJ3124^2*R_up)+dpup_minQ</f>
        <v>-1565.8009260097863</v>
      </c>
      <c r="AK3126" s="44"/>
      <c r="AL3126" s="72"/>
      <c r="AM3126" s="53">
        <f>P_1_minQ-(AM3124^2*R_up)+dpup_minQ</f>
        <v>-2359.0884510185106</v>
      </c>
      <c r="AN3126" s="44"/>
      <c r="AO3126" s="72"/>
      <c r="AP3126" s="53">
        <f>P_1_minQ-(AP3124^2*R_up)+dpup_minQ</f>
        <v>-3199.4930285549517</v>
      </c>
      <c r="AQ3126" s="44"/>
      <c r="AR3126" s="72"/>
      <c r="AS3126" s="53">
        <f>P_1_minQ-(AS3124^2*R_up)+dpup_minQ</f>
        <v>-4160.9684006318676</v>
      </c>
      <c r="AT3126" s="44"/>
      <c r="AU3126" s="72"/>
    </row>
    <row r="3127" spans="15:47" ht="13" x14ac:dyDescent="0.3">
      <c r="O3127" s="6" t="s">
        <v>233</v>
      </c>
      <c r="P3127" s="6"/>
      <c r="Q3127" s="60"/>
      <c r="R3127" s="85">
        <f>P_2_minQ+(R3124^2*R_dn)-dpdn_minQ</f>
        <v>24.951259693222408</v>
      </c>
      <c r="S3127" s="66"/>
      <c r="T3127" s="74"/>
      <c r="U3127" s="53">
        <f>P_2_minQ+(U3124^2*R_dn)-dpdn_minQ</f>
        <v>26.103694501752724</v>
      </c>
      <c r="V3127" s="45"/>
      <c r="W3127" s="74"/>
      <c r="X3127" s="53">
        <f>P_2_minQ+(X3124^2*R_dn)-dpdn_minQ</f>
        <v>32.993722345247633</v>
      </c>
      <c r="Y3127" s="45"/>
      <c r="Z3127" s="74"/>
      <c r="AA3127" s="53">
        <f>P_2_minQ+(AA3124^2*R_dn)-dpdn_minQ</f>
        <v>55.05063004460537</v>
      </c>
      <c r="AB3127" s="45"/>
      <c r="AC3127" s="74"/>
      <c r="AD3127" s="53">
        <f>P_2_minQ+(AD3124^2*R_dn)-dpdn_minQ</f>
        <v>106.86650065785392</v>
      </c>
      <c r="AE3127" s="45"/>
      <c r="AF3127" s="74"/>
      <c r="AG3127" s="53">
        <f>P_2_minQ+(AG3124^2*R_dn)-dpdn_minQ</f>
        <v>206.89232929472425</v>
      </c>
      <c r="AH3127" s="45"/>
      <c r="AI3127" s="74"/>
      <c r="AJ3127" s="53">
        <f>P_2_minQ+(AJ3124^2*R_dn)-dpdn_minQ</f>
        <v>349.2001852019572</v>
      </c>
      <c r="AK3127" s="45"/>
      <c r="AL3127" s="74"/>
      <c r="AM3127" s="53">
        <f>P_2_minQ+(AM3124^2*R_dn)-dpdn_minQ</f>
        <v>507.85769020370202</v>
      </c>
      <c r="AN3127" s="45"/>
      <c r="AO3127" s="74"/>
      <c r="AP3127" s="53">
        <f>P_2_minQ+(AP3124^2*R_dn)-dpdn_minQ</f>
        <v>675.93860571099026</v>
      </c>
      <c r="AQ3127" s="45"/>
      <c r="AR3127" s="74"/>
      <c r="AS3127" s="53">
        <f>P_2_minQ+(AS3124^2*R_dn)-dpdn_minQ</f>
        <v>868.23368012637332</v>
      </c>
      <c r="AT3127" s="45"/>
      <c r="AU3127" s="74"/>
    </row>
    <row r="3128" spans="15:47" x14ac:dyDescent="0.25">
      <c r="O3128" s="6" t="s">
        <v>243</v>
      </c>
      <c r="Q3128" s="60"/>
      <c r="R3128" s="53">
        <f>R3126-R3127</f>
        <v>30.492441840665567</v>
      </c>
      <c r="S3128" s="56"/>
      <c r="T3128" s="72"/>
      <c r="U3128" s="64">
        <f>U3126-U3127</f>
        <v>23.577832989483664</v>
      </c>
      <c r="V3128" s="44"/>
      <c r="W3128" s="72"/>
      <c r="X3128" s="64">
        <f>X3126-X3127</f>
        <v>-17.762334071485778</v>
      </c>
      <c r="Y3128" s="44"/>
      <c r="Z3128" s="72"/>
      <c r="AA3128" s="64">
        <f>AA3126-AA3127</f>
        <v>-150.1037802676322</v>
      </c>
      <c r="AB3128" s="44"/>
      <c r="AC3128" s="72"/>
      <c r="AD3128" s="64">
        <f>AD3126-AD3127</f>
        <v>-460.99900394712353</v>
      </c>
      <c r="AE3128" s="44"/>
      <c r="AF3128" s="72"/>
      <c r="AG3128" s="64">
        <f>AG3126-AG3127</f>
        <v>-1061.1539757683454</v>
      </c>
      <c r="AH3128" s="44"/>
      <c r="AI3128" s="72"/>
      <c r="AJ3128" s="64">
        <f>AJ3126-AJ3127</f>
        <v>-1915.0011112117436</v>
      </c>
      <c r="AK3128" s="44"/>
      <c r="AL3128" s="72"/>
      <c r="AM3128" s="64">
        <f>AM3126-AM3127</f>
        <v>-2866.9461412222126</v>
      </c>
      <c r="AN3128" s="44"/>
      <c r="AO3128" s="72"/>
      <c r="AP3128" s="64">
        <f>AP3126-AP3127</f>
        <v>-3875.4316342659422</v>
      </c>
      <c r="AQ3128" s="44"/>
      <c r="AR3128" s="72"/>
      <c r="AS3128" s="64">
        <f>AS3126-AS3127</f>
        <v>-5029.2020807582412</v>
      </c>
      <c r="AT3128" s="44"/>
      <c r="AU3128" s="72"/>
    </row>
    <row r="3129" spans="15:47" ht="13" x14ac:dyDescent="0.3">
      <c r="O3129" s="6" t="s">
        <v>75</v>
      </c>
      <c r="P3129" s="6">
        <v>3</v>
      </c>
      <c r="Q3129" s="65"/>
      <c r="R3129" s="85">
        <f>(F_LP_h/F_P_h)^2*(R3126-('Valve Sizing'!$V$4*'Valve Sizing'!$G$7))</f>
        <v>45.545904258054449</v>
      </c>
      <c r="S3129" s="58"/>
      <c r="T3129" s="73"/>
      <c r="U3129" s="53">
        <f>(U$29/U$27)^2*(U3126-('Valve Sizing'!$V$4*'Valve Sizing'!$G$7))</f>
        <v>40.763408244408645</v>
      </c>
      <c r="V3129" s="41"/>
      <c r="W3129" s="73"/>
      <c r="X3129" s="53">
        <f>(X$29/X$27)^2*(X3126-('Valve Sizing'!$V$4*'Valve Sizing'!$G$7))</f>
        <v>11.968457888321655</v>
      </c>
      <c r="Y3129" s="41"/>
      <c r="Z3129" s="73"/>
      <c r="AA3129" s="53">
        <f>(AA$29/AA$27)^2*(AA3126-('Valve Sizing'!$V$4*'Valve Sizing'!$G$7))</f>
        <v>-73.796885717044191</v>
      </c>
      <c r="AB3129" s="41"/>
      <c r="AC3129" s="73"/>
      <c r="AD3129" s="53">
        <f>(AD$29/AD$27)^2*(AD3126-('Valve Sizing'!$V$4*'Valve Sizing'!$G$7))</f>
        <v>-255.71326589310991</v>
      </c>
      <c r="AE3129" s="41"/>
      <c r="AF3129" s="73"/>
      <c r="AG3129" s="53">
        <f>(AG$29/AG$27)^2*(AG3126-('Valve Sizing'!$V$4*'Valve Sizing'!$G$7))</f>
        <v>-550.46546261891729</v>
      </c>
      <c r="AH3129" s="41"/>
      <c r="AI3129" s="73"/>
      <c r="AJ3129" s="53">
        <f>(AJ$29/AJ$27)^2*(AJ3126-('Valve Sizing'!$V$4*'Valve Sizing'!$G$7))</f>
        <v>-905.85792548604172</v>
      </c>
      <c r="AK3129" s="41"/>
      <c r="AL3129" s="73"/>
      <c r="AM3129" s="53">
        <f>(AM$29/AM$27)^2*(AM3126-('Valve Sizing'!$V$4*'Valve Sizing'!$G$7))</f>
        <v>-1128.9686768969802</v>
      </c>
      <c r="AN3129" s="41"/>
      <c r="AO3129" s="73"/>
      <c r="AP3129" s="53">
        <f>(AP$29/AP$27)^2*(AP3126-('Valve Sizing'!$V$4*'Valve Sizing'!$G$7))</f>
        <v>-1262.7794415757141</v>
      </c>
      <c r="AQ3129" s="41"/>
      <c r="AR3129" s="73"/>
      <c r="AS3129" s="53">
        <f>(AS$29/AS$27)^2*(AS3126-('Valve Sizing'!$V$4*'Valve Sizing'!$G$7))</f>
        <v>-1565.2754820956241</v>
      </c>
      <c r="AT3129" s="41"/>
      <c r="AU3129" s="73"/>
    </row>
    <row r="3130" spans="15:47" ht="13" x14ac:dyDescent="0.25">
      <c r="O3130" s="1" t="s">
        <v>69</v>
      </c>
      <c r="P3130" s="17">
        <v>7</v>
      </c>
      <c r="Q3130" s="65"/>
      <c r="R3130" s="53">
        <f>(R3124/(N_1*F_P_h))*SQRT('Valve Sizing'!$G$6/R3128)</f>
        <v>37.818620108756491</v>
      </c>
      <c r="S3130" s="58"/>
      <c r="T3130" s="73"/>
      <c r="U3130" s="64">
        <f>(U3124/(N_1*U$27))*SQRT('Valve Sizing'!$G$6/U3128)</f>
        <v>95.398306217625731</v>
      </c>
      <c r="V3130" s="41"/>
      <c r="W3130" s="73"/>
      <c r="X3130" s="64" t="e">
        <f>(X3124/(N_1*X$27))*SQRT('Valve Sizing'!$G$6/X3128)</f>
        <v>#NUM!</v>
      </c>
      <c r="Y3130" s="41"/>
      <c r="Z3130" s="73"/>
      <c r="AA3130" s="64" t="e">
        <f>(AA3124/(N_1*AA$27))*SQRT('Valve Sizing'!$G$6/AA3128)</f>
        <v>#NUM!</v>
      </c>
      <c r="AB3130" s="41"/>
      <c r="AC3130" s="73"/>
      <c r="AD3130" s="64" t="e">
        <f>(AD3124/(N_1*AD$27))*SQRT('Valve Sizing'!$G$6/AD3128)</f>
        <v>#NUM!</v>
      </c>
      <c r="AE3130" s="41"/>
      <c r="AF3130" s="73"/>
      <c r="AG3130" s="64" t="e">
        <f>(AG3124/(N_1*AG$27))*SQRT('Valve Sizing'!$G$6/AG3128)</f>
        <v>#NUM!</v>
      </c>
      <c r="AH3130" s="41"/>
      <c r="AI3130" s="73"/>
      <c r="AJ3130" s="64" t="e">
        <f>(AJ3124/(N_1*AJ$27))*SQRT('Valve Sizing'!$G$6/AJ3128)</f>
        <v>#NUM!</v>
      </c>
      <c r="AK3130" s="41"/>
      <c r="AL3130" s="73"/>
      <c r="AM3130" s="64" t="e">
        <f>(AM3124/(N_1*AM$27))*SQRT('Valve Sizing'!$G$6/AM3128)</f>
        <v>#NUM!</v>
      </c>
      <c r="AN3130" s="41"/>
      <c r="AO3130" s="73"/>
      <c r="AP3130" s="64" t="e">
        <f>(AP3124/(N_1*AP$27))*SQRT('Valve Sizing'!$G$6/AP3128)</f>
        <v>#NUM!</v>
      </c>
      <c r="AQ3130" s="41"/>
      <c r="AR3130" s="73"/>
      <c r="AS3130" s="64" t="e">
        <f>(AS3124/(N_1*AS$27))*SQRT('Valve Sizing'!$G$6/AS3128)</f>
        <v>#NUM!</v>
      </c>
      <c r="AT3130" s="41"/>
      <c r="AU3130" s="73"/>
    </row>
    <row r="3131" spans="15:47" ht="13" x14ac:dyDescent="0.3">
      <c r="O3131" s="1" t="s">
        <v>72</v>
      </c>
      <c r="P3131" s="17">
        <v>7</v>
      </c>
      <c r="Q3131" s="65"/>
      <c r="R3131" s="53">
        <f>(R3124/(N_1*F_P_h))*SQRT('Valve Sizing'!$G$6/R3129)</f>
        <v>30.944047302768709</v>
      </c>
      <c r="S3131" s="56"/>
      <c r="T3131" s="72"/>
      <c r="U3131" s="85">
        <f>(U3124/(N_1*U$27))*SQRT('Valve Sizing'!$G$6/U3129)</f>
        <v>72.553332194803616</v>
      </c>
      <c r="V3131" s="44"/>
      <c r="W3131" s="72"/>
      <c r="X3131" s="85">
        <f>(X3124/(N_1*X$27))*SQRT('Valve Sizing'!$G$6/X3129)</f>
        <v>322.12842529349581</v>
      </c>
      <c r="Y3131" s="44"/>
      <c r="Z3131" s="72"/>
      <c r="AA3131" s="85" t="e">
        <f>(AA3124/(N_1*AA$27))*SQRT('Valve Sizing'!$G$6/AA3129)</f>
        <v>#NUM!</v>
      </c>
      <c r="AB3131" s="44"/>
      <c r="AC3131" s="72"/>
      <c r="AD3131" s="85" t="e">
        <f>(AD3124/(N_1*AD$27))*SQRT('Valve Sizing'!$G$6/AD3129)</f>
        <v>#NUM!</v>
      </c>
      <c r="AE3131" s="44"/>
      <c r="AF3131" s="72"/>
      <c r="AG3131" s="85" t="e">
        <f>(AG3124/(N_1*AG$27))*SQRT('Valve Sizing'!$G$6/AG3129)</f>
        <v>#NUM!</v>
      </c>
      <c r="AH3131" s="44"/>
      <c r="AI3131" s="72"/>
      <c r="AJ3131" s="85" t="e">
        <f>(AJ3124/(N_1*AJ$27))*SQRT('Valve Sizing'!$G$6/AJ3129)</f>
        <v>#NUM!</v>
      </c>
      <c r="AK3131" s="44"/>
      <c r="AL3131" s="72"/>
      <c r="AM3131" s="85" t="e">
        <f>(AM3124/(N_1*AM$27))*SQRT('Valve Sizing'!$G$6/AM3129)</f>
        <v>#NUM!</v>
      </c>
      <c r="AN3131" s="44"/>
      <c r="AO3131" s="72"/>
      <c r="AP3131" s="85" t="e">
        <f>(AP3124/(N_1*AP$27))*SQRT('Valve Sizing'!$G$6/AP3129)</f>
        <v>#NUM!</v>
      </c>
      <c r="AQ3131" s="44"/>
      <c r="AR3131" s="72"/>
      <c r="AS3131" s="85" t="e">
        <f>(AS3124/(N_1*AS$27))*SQRT('Valve Sizing'!$G$6/AS3129)</f>
        <v>#NUM!</v>
      </c>
      <c r="AT3131" s="44"/>
      <c r="AU3131" s="72"/>
    </row>
    <row r="3132" spans="15:47" x14ac:dyDescent="0.25">
      <c r="O3132" s="1" t="s">
        <v>246</v>
      </c>
      <c r="P3132" s="18"/>
      <c r="Q3132" s="65"/>
      <c r="R3132" s="53">
        <f>IF(R3128&lt;R3129,R3130,R3131)</f>
        <v>37.818620108756491</v>
      </c>
      <c r="S3132" s="49"/>
      <c r="T3132" s="72"/>
      <c r="U3132" s="64">
        <f>IF(U3128&lt;U3129,U3130,U3131)</f>
        <v>95.398306217625731</v>
      </c>
      <c r="V3132" s="44"/>
      <c r="W3132" s="72"/>
      <c r="X3132" s="64" t="e">
        <f>IF(X3128&lt;X3129,X3130,X3131)</f>
        <v>#NUM!</v>
      </c>
      <c r="Y3132" s="44"/>
      <c r="Z3132" s="72"/>
      <c r="AA3132" s="64" t="e">
        <f>IF(AA3128&lt;AA3129,AA3130,AA3131)</f>
        <v>#NUM!</v>
      </c>
      <c r="AB3132" s="44"/>
      <c r="AC3132" s="72"/>
      <c r="AD3132" s="64" t="e">
        <f>IF(AD3128&lt;AD3129,AD3130,AD3131)</f>
        <v>#NUM!</v>
      </c>
      <c r="AE3132" s="44"/>
      <c r="AF3132" s="72"/>
      <c r="AG3132" s="64" t="e">
        <f>IF(AG3128&lt;AG3129,AG3130,AG3131)</f>
        <v>#NUM!</v>
      </c>
      <c r="AH3132" s="44"/>
      <c r="AI3132" s="72"/>
      <c r="AJ3132" s="64" t="e">
        <f>IF(AJ3128&lt;AJ3129,AJ3130,AJ3131)</f>
        <v>#NUM!</v>
      </c>
      <c r="AK3132" s="44"/>
      <c r="AL3132" s="72"/>
      <c r="AM3132" s="64" t="e">
        <f>IF(AM3128&lt;AM3129,AM3130,AM3131)</f>
        <v>#NUM!</v>
      </c>
      <c r="AN3132" s="44"/>
      <c r="AO3132" s="72"/>
      <c r="AP3132" s="64" t="e">
        <f>IF(AP3128&lt;AP3129,AP3130,AP3131)</f>
        <v>#NUM!</v>
      </c>
      <c r="AQ3132" s="44"/>
      <c r="AR3132" s="72"/>
      <c r="AS3132" s="64" t="e">
        <f>IF(AS3128&lt;AS3129,AS3130,AS3131)</f>
        <v>#NUM!</v>
      </c>
      <c r="AT3132" s="44"/>
      <c r="AU3132" s="72"/>
    </row>
    <row r="3133" spans="15:47" ht="13" x14ac:dyDescent="0.3">
      <c r="O3133" s="7" t="s">
        <v>264</v>
      </c>
      <c r="Q3133" s="61"/>
      <c r="R3133" s="53"/>
      <c r="S3133" s="69">
        <f>IFERROR(ABS(C_h-R3132),Q_max*10)</f>
        <v>32.818620108756491</v>
      </c>
      <c r="T3133" s="76">
        <f>R3124</f>
        <v>208.8037298076284</v>
      </c>
      <c r="U3133" s="61"/>
      <c r="V3133" s="69">
        <f>IFERROR(ABS(U$23-U3132),Q_max*10)</f>
        <v>83.398306217625731</v>
      </c>
      <c r="W3133" s="75">
        <f>U3124</f>
        <v>462.83579267866747</v>
      </c>
      <c r="X3133" s="61"/>
      <c r="Y3133" s="69">
        <f>IFERROR(ABS(X$23-X3132),Q_max*10)</f>
        <v>5500</v>
      </c>
      <c r="Z3133" s="75">
        <f>X3124</f>
        <v>1110.9840652385215</v>
      </c>
      <c r="AA3133" s="61"/>
      <c r="AB3133" s="69">
        <f>IFERROR(ABS(AA$23-AA3132),Q_max*10)</f>
        <v>5500</v>
      </c>
      <c r="AC3133" s="75">
        <f>AA3124</f>
        <v>2121.2757430621377</v>
      </c>
      <c r="AD3133" s="61"/>
      <c r="AE3133" s="69">
        <f>IFERROR(ABS(AD$23-AD3132),Q_max*10)</f>
        <v>5500</v>
      </c>
      <c r="AF3133" s="75">
        <f>AD3124</f>
        <v>3488.7175899455192</v>
      </c>
      <c r="AG3133" s="61"/>
      <c r="AH3133" s="69">
        <f>IFERROR(ABS(AG$23-AG3132),Q_max*10)</f>
        <v>5500</v>
      </c>
      <c r="AI3133" s="75">
        <f>AG3124</f>
        <v>5194.2250964011873</v>
      </c>
      <c r="AJ3133" s="61"/>
      <c r="AK3133" s="69">
        <f>IFERROR(ABS(AJ$23-AJ3132),Q_max*10)</f>
        <v>5500</v>
      </c>
      <c r="AL3133" s="75">
        <f>AJ3124</f>
        <v>6931.7135269101946</v>
      </c>
      <c r="AM3133" s="61"/>
      <c r="AN3133" s="69">
        <f>IFERROR(ABS(AM$23-AM3132),Q_max*10)</f>
        <v>5500</v>
      </c>
      <c r="AO3133" s="75">
        <f>AM3124</f>
        <v>8458.0078053084162</v>
      </c>
      <c r="AP3133" s="61"/>
      <c r="AQ3133" s="69">
        <f>IFERROR(ABS(AP$23-AP3132),Q_max*10)</f>
        <v>5500</v>
      </c>
      <c r="AR3133" s="75">
        <f>AP3124</f>
        <v>9819.4844862402078</v>
      </c>
      <c r="AS3133" s="61"/>
      <c r="AT3133" s="69">
        <f>IFERROR(ABS(AS$23-AS3132),Q_max*10)</f>
        <v>5500</v>
      </c>
      <c r="AU3133" s="75">
        <f>AS3124</f>
        <v>11175.489311108913</v>
      </c>
    </row>
    <row r="3134" spans="15:47" ht="14.5" x14ac:dyDescent="0.35">
      <c r="O3134" s="6"/>
      <c r="P3134" s="6"/>
      <c r="Q3134" s="60"/>
      <c r="R3134" s="67"/>
      <c r="S3134" s="58"/>
      <c r="T3134" s="73"/>
      <c r="V3134" s="11"/>
      <c r="W3134" s="38"/>
      <c r="Y3134" s="11"/>
      <c r="Z3134" s="38"/>
      <c r="AB3134" s="11"/>
      <c r="AC3134" s="38"/>
      <c r="AE3134" s="11"/>
      <c r="AF3134" s="38"/>
      <c r="AH3134" s="11"/>
      <c r="AI3134" s="38"/>
      <c r="AK3134" s="11"/>
      <c r="AL3134" s="38"/>
      <c r="AN3134" s="11"/>
      <c r="AO3134" s="38"/>
      <c r="AQ3134" s="11"/>
      <c r="AR3134" s="38"/>
      <c r="AT3134" s="11"/>
      <c r="AU3134" s="38"/>
    </row>
    <row r="3135" spans="15:47" ht="14" x14ac:dyDescent="0.3">
      <c r="O3135" s="8" t="s">
        <v>235</v>
      </c>
      <c r="P3135" s="6"/>
      <c r="Q3135" s="60"/>
      <c r="R3135" s="53">
        <f>R3124*1.02</f>
        <v>212.97980440378097</v>
      </c>
      <c r="S3135" s="58" t="s">
        <v>238</v>
      </c>
      <c r="T3135" s="73" t="s">
        <v>241</v>
      </c>
      <c r="U3135" s="84">
        <f>U3124*1.01</f>
        <v>467.46415060545417</v>
      </c>
      <c r="V3135" s="58" t="s">
        <v>238</v>
      </c>
      <c r="W3135" s="73" t="s">
        <v>241</v>
      </c>
      <c r="X3135" s="84">
        <f>X3124*1.01</f>
        <v>1122.0939058909066</v>
      </c>
      <c r="Y3135" s="58" t="s">
        <v>238</v>
      </c>
      <c r="Z3135" s="73" t="s">
        <v>241</v>
      </c>
      <c r="AA3135" s="84">
        <f>AA3124*1.01</f>
        <v>2142.4885004927592</v>
      </c>
      <c r="AB3135" s="58" t="s">
        <v>238</v>
      </c>
      <c r="AC3135" s="73" t="s">
        <v>241</v>
      </c>
      <c r="AD3135" s="84">
        <f>AD3124*1.01</f>
        <v>3523.6047658449743</v>
      </c>
      <c r="AE3135" s="58" t="s">
        <v>238</v>
      </c>
      <c r="AF3135" s="73" t="s">
        <v>241</v>
      </c>
      <c r="AG3135" s="84">
        <f>AG3124*1.01</f>
        <v>5246.167347365199</v>
      </c>
      <c r="AH3135" s="58" t="s">
        <v>238</v>
      </c>
      <c r="AI3135" s="73" t="s">
        <v>241</v>
      </c>
      <c r="AJ3135" s="84">
        <f>AJ3124*1.01</f>
        <v>7001.030662179297</v>
      </c>
      <c r="AK3135" s="58" t="s">
        <v>238</v>
      </c>
      <c r="AL3135" s="73" t="s">
        <v>241</v>
      </c>
      <c r="AM3135" s="84">
        <f>AM3124*1.01</f>
        <v>8542.5878833615006</v>
      </c>
      <c r="AN3135" s="58" t="s">
        <v>238</v>
      </c>
      <c r="AO3135" s="73" t="s">
        <v>241</v>
      </c>
      <c r="AP3135" s="84">
        <f>AP3124*1.01</f>
        <v>9917.6793311026104</v>
      </c>
      <c r="AQ3135" s="58" t="s">
        <v>238</v>
      </c>
      <c r="AR3135" s="73" t="s">
        <v>241</v>
      </c>
      <c r="AS3135" s="84">
        <f>AS3124*1.01</f>
        <v>11287.244204220002</v>
      </c>
      <c r="AT3135" s="58" t="s">
        <v>238</v>
      </c>
      <c r="AU3135" s="73" t="s">
        <v>241</v>
      </c>
    </row>
    <row r="3136" spans="15:47" ht="13" x14ac:dyDescent="0.25">
      <c r="O3136" s="6"/>
      <c r="P3136" s="6"/>
      <c r="Q3136" s="60"/>
      <c r="R3136" s="70"/>
      <c r="S3136" s="63" t="s">
        <v>250</v>
      </c>
      <c r="T3136" s="71" t="s">
        <v>242</v>
      </c>
      <c r="U3136" s="61"/>
      <c r="V3136" s="63" t="s">
        <v>250</v>
      </c>
      <c r="W3136" s="71" t="s">
        <v>242</v>
      </c>
      <c r="X3136" s="61"/>
      <c r="Y3136" s="63" t="s">
        <v>250</v>
      </c>
      <c r="Z3136" s="71" t="s">
        <v>242</v>
      </c>
      <c r="AA3136" s="61"/>
      <c r="AB3136" s="63" t="s">
        <v>250</v>
      </c>
      <c r="AC3136" s="71" t="s">
        <v>242</v>
      </c>
      <c r="AD3136" s="61"/>
      <c r="AE3136" s="63" t="s">
        <v>250</v>
      </c>
      <c r="AF3136" s="71" t="s">
        <v>242</v>
      </c>
      <c r="AG3136" s="61"/>
      <c r="AH3136" s="63" t="s">
        <v>250</v>
      </c>
      <c r="AI3136" s="71" t="s">
        <v>242</v>
      </c>
      <c r="AJ3136" s="61"/>
      <c r="AK3136" s="63" t="s">
        <v>250</v>
      </c>
      <c r="AL3136" s="71" t="s">
        <v>242</v>
      </c>
      <c r="AM3136" s="61"/>
      <c r="AN3136" s="63" t="s">
        <v>250</v>
      </c>
      <c r="AO3136" s="71" t="s">
        <v>242</v>
      </c>
      <c r="AP3136" s="61"/>
      <c r="AQ3136" s="63" t="s">
        <v>250</v>
      </c>
      <c r="AR3136" s="71" t="s">
        <v>242</v>
      </c>
      <c r="AS3136" s="61"/>
      <c r="AT3136" s="63" t="s">
        <v>250</v>
      </c>
      <c r="AU3136" s="71" t="s">
        <v>242</v>
      </c>
    </row>
    <row r="3137" spans="15:47" ht="13" x14ac:dyDescent="0.3">
      <c r="O3137" s="6" t="s">
        <v>231</v>
      </c>
      <c r="P3137" s="6"/>
      <c r="Q3137" s="60"/>
      <c r="R3137" s="85">
        <f>P_1_minQ-(R3135^2*R_up)+dpup_minQ</f>
        <v>55.384214890784435</v>
      </c>
      <c r="S3137" s="56"/>
      <c r="T3137" s="72"/>
      <c r="U3137" s="53">
        <f>P_1_minQ-(U3135^2*R_up)+dpup_minQ</f>
        <v>49.536111715593421</v>
      </c>
      <c r="V3137" s="44"/>
      <c r="W3137" s="72"/>
      <c r="X3137" s="53">
        <f>P_1_minQ-(X3135^2*R_up)+dpup_minQ</f>
        <v>14.393524699847664</v>
      </c>
      <c r="Y3137" s="44"/>
      <c r="Z3137" s="72"/>
      <c r="AA3137" s="53">
        <f>P_1_minQ-(AA3135^2*R_up)+dpup_minQ</f>
        <v>-98.107733020726499</v>
      </c>
      <c r="AB3137" s="44"/>
      <c r="AC3137" s="72"/>
      <c r="AD3137" s="53">
        <f>P_1_minQ-(AD3135^2*R_up)+dpup_minQ</f>
        <v>-362.39458108360071</v>
      </c>
      <c r="AE3137" s="44"/>
      <c r="AF3137" s="72"/>
      <c r="AG3137" s="53">
        <f>P_1_minQ-(AG3135^2*R_up)+dpup_minQ</f>
        <v>-872.57632004595769</v>
      </c>
      <c r="AH3137" s="44"/>
      <c r="AI3137" s="72"/>
      <c r="AJ3137" s="53">
        <f>P_1_minQ-(AJ3135^2*R_up)+dpup_minQ</f>
        <v>-1598.4175391008</v>
      </c>
      <c r="AK3137" s="44"/>
      <c r="AL3137" s="72"/>
      <c r="AM3137" s="53">
        <f>P_1_minQ-(AM3135^2*R_up)+dpup_minQ</f>
        <v>-2407.6501433621997</v>
      </c>
      <c r="AN3137" s="44"/>
      <c r="AO3137" s="72"/>
      <c r="AP3137" s="53">
        <f>P_1_minQ-(AP3135^2*R_up)+dpup_minQ</f>
        <v>-3264.9468529071237</v>
      </c>
      <c r="AQ3137" s="44"/>
      <c r="AR3137" s="72"/>
      <c r="AS3137" s="53">
        <f>P_1_minQ-(AS3135^2*R_up)+dpup_minQ</f>
        <v>-4245.7478799627843</v>
      </c>
      <c r="AT3137" s="44"/>
      <c r="AU3137" s="72"/>
    </row>
    <row r="3138" spans="15:47" ht="13" x14ac:dyDescent="0.3">
      <c r="O3138" s="6" t="s">
        <v>233</v>
      </c>
      <c r="P3138" s="6"/>
      <c r="Q3138" s="60"/>
      <c r="R3138" s="85">
        <f>P_2_minQ+(R3135^2*R_dn)-dpdn_minQ</f>
        <v>24.963157021843113</v>
      </c>
      <c r="S3138" s="66"/>
      <c r="T3138" s="74"/>
      <c r="U3138" s="53">
        <f>P_2_minQ+(U3135^2*R_dn)-dpdn_minQ</f>
        <v>26.132777656881316</v>
      </c>
      <c r="V3138" s="45"/>
      <c r="W3138" s="74"/>
      <c r="X3138" s="53">
        <f>P_2_minQ+(X3135^2*R_dn)-dpdn_minQ</f>
        <v>33.161295060030469</v>
      </c>
      <c r="Y3138" s="45"/>
      <c r="Z3138" s="74"/>
      <c r="AA3138" s="53">
        <f>P_2_minQ+(AA3135^2*R_dn)-dpdn_minQ</f>
        <v>55.6615466041453</v>
      </c>
      <c r="AB3138" s="45"/>
      <c r="AC3138" s="74"/>
      <c r="AD3138" s="53">
        <f>P_2_minQ+(AD3135^2*R_dn)-dpdn_minQ</f>
        <v>108.51891621672013</v>
      </c>
      <c r="AE3138" s="45"/>
      <c r="AF3138" s="74"/>
      <c r="AG3138" s="53">
        <f>P_2_minQ+(AG3135^2*R_dn)-dpdn_minQ</f>
        <v>210.55526400919152</v>
      </c>
      <c r="AH3138" s="45"/>
      <c r="AI3138" s="74"/>
      <c r="AJ3138" s="53">
        <f>P_2_minQ+(AJ3135^2*R_dn)-dpdn_minQ</f>
        <v>355.72350782015991</v>
      </c>
      <c r="AK3138" s="45"/>
      <c r="AL3138" s="74"/>
      <c r="AM3138" s="53">
        <f>P_2_minQ+(AM3135^2*R_dn)-dpdn_minQ</f>
        <v>517.57002867243978</v>
      </c>
      <c r="AN3138" s="45"/>
      <c r="AO3138" s="74"/>
      <c r="AP3138" s="53">
        <f>P_2_minQ+(AP3135^2*R_dn)-dpdn_minQ</f>
        <v>689.0293705814247</v>
      </c>
      <c r="AQ3138" s="45"/>
      <c r="AR3138" s="74"/>
      <c r="AS3138" s="53">
        <f>P_2_minQ+(AS3135^2*R_dn)-dpdn_minQ</f>
        <v>885.18957599255668</v>
      </c>
      <c r="AT3138" s="45"/>
      <c r="AU3138" s="74"/>
    </row>
    <row r="3139" spans="15:47" x14ac:dyDescent="0.25">
      <c r="O3139" s="6" t="s">
        <v>243</v>
      </c>
      <c r="Q3139" s="60"/>
      <c r="R3139" s="53">
        <f>R3137-R3138</f>
        <v>30.421057868941322</v>
      </c>
      <c r="S3139" s="56"/>
      <c r="T3139" s="72"/>
      <c r="U3139" s="64">
        <f>U3137-U3138</f>
        <v>23.403334058712105</v>
      </c>
      <c r="V3139" s="44"/>
      <c r="W3139" s="72"/>
      <c r="X3139" s="64">
        <f>X3137-X3138</f>
        <v>-18.767770360182805</v>
      </c>
      <c r="Y3139" s="44"/>
      <c r="Z3139" s="72"/>
      <c r="AA3139" s="64">
        <f>AA3137-AA3138</f>
        <v>-153.76927962487179</v>
      </c>
      <c r="AB3139" s="44"/>
      <c r="AC3139" s="72"/>
      <c r="AD3139" s="64">
        <f>AD3137-AD3138</f>
        <v>-470.91349730032084</v>
      </c>
      <c r="AE3139" s="44"/>
      <c r="AF3139" s="72"/>
      <c r="AG3139" s="64">
        <f>AG3137-AG3138</f>
        <v>-1083.1315840551492</v>
      </c>
      <c r="AH3139" s="44"/>
      <c r="AI3139" s="72"/>
      <c r="AJ3139" s="64">
        <f>AJ3137-AJ3138</f>
        <v>-1954.14104692096</v>
      </c>
      <c r="AK3139" s="44"/>
      <c r="AL3139" s="72"/>
      <c r="AM3139" s="64">
        <f>AM3137-AM3138</f>
        <v>-2925.2201720346393</v>
      </c>
      <c r="AN3139" s="44"/>
      <c r="AO3139" s="72"/>
      <c r="AP3139" s="64">
        <f>AP3137-AP3138</f>
        <v>-3953.9762234885484</v>
      </c>
      <c r="AQ3139" s="44"/>
      <c r="AR3139" s="72"/>
      <c r="AS3139" s="64">
        <f>AS3137-AS3138</f>
        <v>-5130.9374559553407</v>
      </c>
      <c r="AT3139" s="44"/>
      <c r="AU3139" s="72"/>
    </row>
    <row r="3140" spans="15:47" ht="13" x14ac:dyDescent="0.3">
      <c r="O3140" s="6" t="s">
        <v>75</v>
      </c>
      <c r="P3140" s="6">
        <v>3</v>
      </c>
      <c r="Q3140" s="65"/>
      <c r="R3140" s="85">
        <f>(F_LP_h/F_P_h)^2*(R3137-('Valve Sizing'!$V$4*'Valve Sizing'!$G$7))</f>
        <v>45.496646195114465</v>
      </c>
      <c r="S3140" s="58"/>
      <c r="T3140" s="73"/>
      <c r="U3140" s="53">
        <f>(U$29/U$27)^2*(U3137-('Valve Sizing'!$V$4*'Valve Sizing'!$G$7))</f>
        <v>40.643029168619364</v>
      </c>
      <c r="V3140" s="41"/>
      <c r="W3140" s="73"/>
      <c r="X3140" s="53">
        <f>(X$29/X$27)^2*(X3137-('Valve Sizing'!$V$4*'Valve Sizing'!$G$7))</f>
        <v>11.290497590598669</v>
      </c>
      <c r="Y3140" s="41"/>
      <c r="Z3140" s="73"/>
      <c r="AA3140" s="53">
        <f>(AA$29/AA$27)^2*(AA3137-('Valve Sizing'!$V$4*'Valve Sizing'!$G$7))</f>
        <v>-76.157458815500192</v>
      </c>
      <c r="AB3140" s="41"/>
      <c r="AC3140" s="73"/>
      <c r="AD3140" s="53">
        <f>(AD$29/AD$27)^2*(AD3137-('Valve Sizing'!$V$4*'Valve Sizing'!$G$7))</f>
        <v>-261.67177235548741</v>
      </c>
      <c r="AE3140" s="41"/>
      <c r="AF3140" s="73"/>
      <c r="AG3140" s="53">
        <f>(AG$29/AG$27)^2*(AG3137-('Valve Sizing'!$V$4*'Valve Sizing'!$G$7))</f>
        <v>-562.26091735107354</v>
      </c>
      <c r="AH3140" s="41"/>
      <c r="AI3140" s="73"/>
      <c r="AJ3140" s="53">
        <f>(AJ$29/AJ$27)^2*(AJ3137-('Valve Sizing'!$V$4*'Valve Sizing'!$G$7))</f>
        <v>-924.72221123701831</v>
      </c>
      <c r="AK3140" s="41"/>
      <c r="AL3140" s="73"/>
      <c r="AM3140" s="53">
        <f>(AM$29/AM$27)^2*(AM3137-('Valve Sizing'!$V$4*'Valve Sizing'!$G$7))</f>
        <v>-1152.20409420653</v>
      </c>
      <c r="AN3140" s="41"/>
      <c r="AO3140" s="73"/>
      <c r="AP3140" s="53">
        <f>(AP$29/AP$27)^2*(AP3137-('Valve Sizing'!$V$4*'Valve Sizing'!$G$7))</f>
        <v>-1288.6092766182858</v>
      </c>
      <c r="AQ3140" s="41"/>
      <c r="AR3140" s="73"/>
      <c r="AS3140" s="53">
        <f>(AS$29/AS$27)^2*(AS3137-('Valve Sizing'!$V$4*'Valve Sizing'!$G$7))</f>
        <v>-1597.1645027748634</v>
      </c>
      <c r="AT3140" s="41"/>
      <c r="AU3140" s="73"/>
    </row>
    <row r="3141" spans="15:47" ht="13" x14ac:dyDescent="0.25">
      <c r="O3141" s="1" t="s">
        <v>69</v>
      </c>
      <c r="P3141" s="17">
        <v>7</v>
      </c>
      <c r="Q3141" s="65"/>
      <c r="R3141" s="53">
        <f>(R3135/(N_1*F_P_h))*SQRT('Valve Sizing'!$G$6/R3139)</f>
        <v>38.620224710046379</v>
      </c>
      <c r="S3141" s="58"/>
      <c r="T3141" s="73"/>
      <c r="U3141" s="64">
        <f>(U3135/(N_1*U$27))*SQRT('Valve Sizing'!$G$6/U3139)</f>
        <v>96.710831078375307</v>
      </c>
      <c r="V3141" s="41"/>
      <c r="W3141" s="73"/>
      <c r="X3141" s="64" t="e">
        <f>(X3135/(N_1*X$27))*SQRT('Valve Sizing'!$G$6/X3139)</f>
        <v>#NUM!</v>
      </c>
      <c r="Y3141" s="41"/>
      <c r="Z3141" s="73"/>
      <c r="AA3141" s="64" t="e">
        <f>(AA3135/(N_1*AA$27))*SQRT('Valve Sizing'!$G$6/AA3139)</f>
        <v>#NUM!</v>
      </c>
      <c r="AB3141" s="41"/>
      <c r="AC3141" s="73"/>
      <c r="AD3141" s="64" t="e">
        <f>(AD3135/(N_1*AD$27))*SQRT('Valve Sizing'!$G$6/AD3139)</f>
        <v>#NUM!</v>
      </c>
      <c r="AE3141" s="41"/>
      <c r="AF3141" s="73"/>
      <c r="AG3141" s="64" t="e">
        <f>(AG3135/(N_1*AG$27))*SQRT('Valve Sizing'!$G$6/AG3139)</f>
        <v>#NUM!</v>
      </c>
      <c r="AH3141" s="41"/>
      <c r="AI3141" s="73"/>
      <c r="AJ3141" s="64" t="e">
        <f>(AJ3135/(N_1*AJ$27))*SQRT('Valve Sizing'!$G$6/AJ3139)</f>
        <v>#NUM!</v>
      </c>
      <c r="AK3141" s="41"/>
      <c r="AL3141" s="73"/>
      <c r="AM3141" s="64" t="e">
        <f>(AM3135/(N_1*AM$27))*SQRT('Valve Sizing'!$G$6/AM3139)</f>
        <v>#NUM!</v>
      </c>
      <c r="AN3141" s="41"/>
      <c r="AO3141" s="73"/>
      <c r="AP3141" s="64" t="e">
        <f>(AP3135/(N_1*AP$27))*SQRT('Valve Sizing'!$G$6/AP3139)</f>
        <v>#NUM!</v>
      </c>
      <c r="AQ3141" s="41"/>
      <c r="AR3141" s="73"/>
      <c r="AS3141" s="64" t="e">
        <f>(AS3135/(N_1*AS$27))*SQRT('Valve Sizing'!$G$6/AS3139)</f>
        <v>#NUM!</v>
      </c>
      <c r="AT3141" s="41"/>
      <c r="AU3141" s="73"/>
    </row>
    <row r="3142" spans="15:47" ht="13" x14ac:dyDescent="0.3">
      <c r="O3142" s="1" t="s">
        <v>72</v>
      </c>
      <c r="P3142" s="17">
        <v>7</v>
      </c>
      <c r="Q3142" s="65"/>
      <c r="R3142" s="53">
        <f>(R3135/(N_1*F_P_h))*SQRT('Valve Sizing'!$G$6/R3140)</f>
        <v>31.580009816890847</v>
      </c>
      <c r="S3142" s="56"/>
      <c r="T3142" s="72"/>
      <c r="U3142" s="85">
        <f>(U3135/(N_1*U$27))*SQRT('Valve Sizing'!$G$6/U3140)</f>
        <v>73.387306252029404</v>
      </c>
      <c r="V3142" s="44"/>
      <c r="W3142" s="72"/>
      <c r="X3142" s="85">
        <f>(X3135/(N_1*X$27))*SQRT('Valve Sizing'!$G$6/X3140)</f>
        <v>334.97545073826456</v>
      </c>
      <c r="Y3142" s="44"/>
      <c r="Z3142" s="72"/>
      <c r="AA3142" s="85" t="e">
        <f>(AA3135/(N_1*AA$27))*SQRT('Valve Sizing'!$G$6/AA3140)</f>
        <v>#NUM!</v>
      </c>
      <c r="AB3142" s="44"/>
      <c r="AC3142" s="72"/>
      <c r="AD3142" s="85" t="e">
        <f>(AD3135/(N_1*AD$27))*SQRT('Valve Sizing'!$G$6/AD3140)</f>
        <v>#NUM!</v>
      </c>
      <c r="AE3142" s="44"/>
      <c r="AF3142" s="72"/>
      <c r="AG3142" s="85" t="e">
        <f>(AG3135/(N_1*AG$27))*SQRT('Valve Sizing'!$G$6/AG3140)</f>
        <v>#NUM!</v>
      </c>
      <c r="AH3142" s="44"/>
      <c r="AI3142" s="72"/>
      <c r="AJ3142" s="85" t="e">
        <f>(AJ3135/(N_1*AJ$27))*SQRT('Valve Sizing'!$G$6/AJ3140)</f>
        <v>#NUM!</v>
      </c>
      <c r="AK3142" s="44"/>
      <c r="AL3142" s="72"/>
      <c r="AM3142" s="85" t="e">
        <f>(AM3135/(N_1*AM$27))*SQRT('Valve Sizing'!$G$6/AM3140)</f>
        <v>#NUM!</v>
      </c>
      <c r="AN3142" s="44"/>
      <c r="AO3142" s="72"/>
      <c r="AP3142" s="85" t="e">
        <f>(AP3135/(N_1*AP$27))*SQRT('Valve Sizing'!$G$6/AP3140)</f>
        <v>#NUM!</v>
      </c>
      <c r="AQ3142" s="44"/>
      <c r="AR3142" s="72"/>
      <c r="AS3142" s="85" t="e">
        <f>(AS3135/(N_1*AS$27))*SQRT('Valve Sizing'!$G$6/AS3140)</f>
        <v>#NUM!</v>
      </c>
      <c r="AT3142" s="44"/>
      <c r="AU3142" s="72"/>
    </row>
    <row r="3143" spans="15:47" x14ac:dyDescent="0.25">
      <c r="O3143" s="1" t="s">
        <v>246</v>
      </c>
      <c r="P3143" s="18"/>
      <c r="Q3143" s="65"/>
      <c r="R3143" s="53">
        <f>IF(R3139&lt;R3140,R3141,R3142)</f>
        <v>38.620224710046379</v>
      </c>
      <c r="S3143" s="49"/>
      <c r="T3143" s="72"/>
      <c r="U3143" s="64">
        <f>IF(U3139&lt;U3140,U3141,U3142)</f>
        <v>96.710831078375307</v>
      </c>
      <c r="V3143" s="44"/>
      <c r="W3143" s="72"/>
      <c r="X3143" s="64" t="e">
        <f>IF(X3139&lt;X3140,X3141,X3142)</f>
        <v>#NUM!</v>
      </c>
      <c r="Y3143" s="44"/>
      <c r="Z3143" s="72"/>
      <c r="AA3143" s="64" t="e">
        <f>IF(AA3139&lt;AA3140,AA3141,AA3142)</f>
        <v>#NUM!</v>
      </c>
      <c r="AB3143" s="44"/>
      <c r="AC3143" s="72"/>
      <c r="AD3143" s="64" t="e">
        <f>IF(AD3139&lt;AD3140,AD3141,AD3142)</f>
        <v>#NUM!</v>
      </c>
      <c r="AE3143" s="44"/>
      <c r="AF3143" s="72"/>
      <c r="AG3143" s="64" t="e">
        <f>IF(AG3139&lt;AG3140,AG3141,AG3142)</f>
        <v>#NUM!</v>
      </c>
      <c r="AH3143" s="44"/>
      <c r="AI3143" s="72"/>
      <c r="AJ3143" s="64" t="e">
        <f>IF(AJ3139&lt;AJ3140,AJ3141,AJ3142)</f>
        <v>#NUM!</v>
      </c>
      <c r="AK3143" s="44"/>
      <c r="AL3143" s="72"/>
      <c r="AM3143" s="64" t="e">
        <f>IF(AM3139&lt;AM3140,AM3141,AM3142)</f>
        <v>#NUM!</v>
      </c>
      <c r="AN3143" s="44"/>
      <c r="AO3143" s="72"/>
      <c r="AP3143" s="64" t="e">
        <f>IF(AP3139&lt;AP3140,AP3141,AP3142)</f>
        <v>#NUM!</v>
      </c>
      <c r="AQ3143" s="44"/>
      <c r="AR3143" s="72"/>
      <c r="AS3143" s="64" t="e">
        <f>IF(AS3139&lt;AS3140,AS3141,AS3142)</f>
        <v>#NUM!</v>
      </c>
      <c r="AT3143" s="44"/>
      <c r="AU3143" s="72"/>
    </row>
    <row r="3144" spans="15:47" ht="13" x14ac:dyDescent="0.3">
      <c r="O3144" s="7" t="s">
        <v>264</v>
      </c>
      <c r="Q3144" s="61"/>
      <c r="R3144" s="53"/>
      <c r="S3144" s="69">
        <f>IFERROR(ABS(C_h-R3143),Q_max*10)</f>
        <v>33.620224710046379</v>
      </c>
      <c r="T3144" s="76">
        <f>R3135</f>
        <v>212.97980440378097</v>
      </c>
      <c r="U3144" s="61"/>
      <c r="V3144" s="69">
        <f>IFERROR(ABS(U$23-U3143),Q_max*10)</f>
        <v>84.710831078375307</v>
      </c>
      <c r="W3144" s="75">
        <f>U3135</f>
        <v>467.46415060545417</v>
      </c>
      <c r="X3144" s="61"/>
      <c r="Y3144" s="69">
        <f>IFERROR(ABS(X$23-X3143),Q_max*10)</f>
        <v>5500</v>
      </c>
      <c r="Z3144" s="75">
        <f>X3135</f>
        <v>1122.0939058909066</v>
      </c>
      <c r="AA3144" s="61"/>
      <c r="AB3144" s="69">
        <f>IFERROR(ABS(AA$23-AA3143),Q_max*10)</f>
        <v>5500</v>
      </c>
      <c r="AC3144" s="75">
        <f>AA3135</f>
        <v>2142.4885004927592</v>
      </c>
      <c r="AD3144" s="61"/>
      <c r="AE3144" s="69">
        <f>IFERROR(ABS(AD$23-AD3143),Q_max*10)</f>
        <v>5500</v>
      </c>
      <c r="AF3144" s="75">
        <f>AD3135</f>
        <v>3523.6047658449743</v>
      </c>
      <c r="AG3144" s="61"/>
      <c r="AH3144" s="69">
        <f>IFERROR(ABS(AG$23-AG3143),Q_max*10)</f>
        <v>5500</v>
      </c>
      <c r="AI3144" s="75">
        <f>AG3135</f>
        <v>5246.167347365199</v>
      </c>
      <c r="AJ3144" s="61"/>
      <c r="AK3144" s="69">
        <f>IFERROR(ABS(AJ$23-AJ3143),Q_max*10)</f>
        <v>5500</v>
      </c>
      <c r="AL3144" s="75">
        <f>AJ3135</f>
        <v>7001.030662179297</v>
      </c>
      <c r="AM3144" s="61"/>
      <c r="AN3144" s="69">
        <f>IFERROR(ABS(AM$23-AM3143),Q_max*10)</f>
        <v>5500</v>
      </c>
      <c r="AO3144" s="75">
        <f>AM3135</f>
        <v>8542.5878833615006</v>
      </c>
      <c r="AP3144" s="61"/>
      <c r="AQ3144" s="69">
        <f>IFERROR(ABS(AP$23-AP3143),Q_max*10)</f>
        <v>5500</v>
      </c>
      <c r="AR3144" s="75">
        <f>AP3135</f>
        <v>9917.6793311026104</v>
      </c>
      <c r="AS3144" s="61"/>
      <c r="AT3144" s="69">
        <f>IFERROR(ABS(AS$23-AS3143),Q_max*10)</f>
        <v>5500</v>
      </c>
      <c r="AU3144" s="75">
        <f>AS3135</f>
        <v>11287.244204220002</v>
      </c>
    </row>
    <row r="3145" spans="15:47" ht="14.5" x14ac:dyDescent="0.35">
      <c r="O3145" s="8"/>
      <c r="P3145" s="6"/>
      <c r="Q3145" s="60"/>
      <c r="R3145" s="67"/>
      <c r="S3145" s="56"/>
      <c r="T3145" s="72"/>
      <c r="V3145" s="11"/>
      <c r="W3145" s="38"/>
      <c r="Y3145" s="11"/>
      <c r="Z3145" s="38"/>
      <c r="AB3145" s="11"/>
      <c r="AC3145" s="38"/>
      <c r="AE3145" s="11"/>
      <c r="AF3145" s="38"/>
      <c r="AH3145" s="11"/>
      <c r="AI3145" s="38"/>
      <c r="AK3145" s="11"/>
      <c r="AL3145" s="38"/>
      <c r="AN3145" s="11"/>
      <c r="AO3145" s="38"/>
      <c r="AQ3145" s="11"/>
      <c r="AR3145" s="38"/>
      <c r="AT3145" s="11"/>
      <c r="AU3145" s="38"/>
    </row>
    <row r="3146" spans="15:47" ht="14" x14ac:dyDescent="0.3">
      <c r="O3146" s="8" t="s">
        <v>235</v>
      </c>
      <c r="P3146" s="6"/>
      <c r="Q3146" s="60"/>
      <c r="R3146" s="53">
        <f>R3135*1.02</f>
        <v>217.2394004918566</v>
      </c>
      <c r="S3146" s="58" t="s">
        <v>238</v>
      </c>
      <c r="T3146" s="73" t="s">
        <v>241</v>
      </c>
      <c r="U3146" s="84">
        <f>U3135*1.01</f>
        <v>472.13879211150874</v>
      </c>
      <c r="V3146" s="58" t="s">
        <v>238</v>
      </c>
      <c r="W3146" s="73" t="s">
        <v>241</v>
      </c>
      <c r="X3146" s="84">
        <f>X3135*1.01</f>
        <v>1133.3148449498158</v>
      </c>
      <c r="Y3146" s="58" t="s">
        <v>238</v>
      </c>
      <c r="Z3146" s="73" t="s">
        <v>241</v>
      </c>
      <c r="AA3146" s="84">
        <f>AA3135*1.01</f>
        <v>2163.9133854976867</v>
      </c>
      <c r="AB3146" s="58" t="s">
        <v>238</v>
      </c>
      <c r="AC3146" s="73" t="s">
        <v>241</v>
      </c>
      <c r="AD3146" s="84">
        <f>AD3135*1.01</f>
        <v>3558.8408135034242</v>
      </c>
      <c r="AE3146" s="58" t="s">
        <v>238</v>
      </c>
      <c r="AF3146" s="73" t="s">
        <v>241</v>
      </c>
      <c r="AG3146" s="84">
        <f>AG3135*1.01</f>
        <v>5298.6290208388509</v>
      </c>
      <c r="AH3146" s="58" t="s">
        <v>238</v>
      </c>
      <c r="AI3146" s="73" t="s">
        <v>241</v>
      </c>
      <c r="AJ3146" s="84">
        <f>AJ3135*1.01</f>
        <v>7071.0409688010905</v>
      </c>
      <c r="AK3146" s="58" t="s">
        <v>238</v>
      </c>
      <c r="AL3146" s="73" t="s">
        <v>241</v>
      </c>
      <c r="AM3146" s="84">
        <f>AM3135*1.01</f>
        <v>8628.0137621951162</v>
      </c>
      <c r="AN3146" s="58" t="s">
        <v>238</v>
      </c>
      <c r="AO3146" s="73" t="s">
        <v>241</v>
      </c>
      <c r="AP3146" s="84">
        <f>AP3135*1.01</f>
        <v>10016.856124413636</v>
      </c>
      <c r="AQ3146" s="58" t="s">
        <v>238</v>
      </c>
      <c r="AR3146" s="73" t="s">
        <v>241</v>
      </c>
      <c r="AS3146" s="84">
        <f>AS3135*1.01</f>
        <v>11400.116646262202</v>
      </c>
      <c r="AT3146" s="58" t="s">
        <v>238</v>
      </c>
      <c r="AU3146" s="73" t="s">
        <v>241</v>
      </c>
    </row>
    <row r="3147" spans="15:47" ht="13" x14ac:dyDescent="0.25">
      <c r="O3147" s="6"/>
      <c r="P3147" s="6"/>
      <c r="Q3147" s="60"/>
      <c r="R3147" s="70"/>
      <c r="S3147" s="63" t="s">
        <v>250</v>
      </c>
      <c r="T3147" s="71" t="s">
        <v>242</v>
      </c>
      <c r="U3147" s="61"/>
      <c r="V3147" s="63" t="s">
        <v>250</v>
      </c>
      <c r="W3147" s="71" t="s">
        <v>242</v>
      </c>
      <c r="X3147" s="61"/>
      <c r="Y3147" s="63" t="s">
        <v>250</v>
      </c>
      <c r="Z3147" s="71" t="s">
        <v>242</v>
      </c>
      <c r="AA3147" s="61"/>
      <c r="AB3147" s="63" t="s">
        <v>250</v>
      </c>
      <c r="AC3147" s="71" t="s">
        <v>242</v>
      </c>
      <c r="AD3147" s="61"/>
      <c r="AE3147" s="63" t="s">
        <v>250</v>
      </c>
      <c r="AF3147" s="71" t="s">
        <v>242</v>
      </c>
      <c r="AG3147" s="61"/>
      <c r="AH3147" s="63" t="s">
        <v>250</v>
      </c>
      <c r="AI3147" s="71" t="s">
        <v>242</v>
      </c>
      <c r="AJ3147" s="61"/>
      <c r="AK3147" s="63" t="s">
        <v>250</v>
      </c>
      <c r="AL3147" s="71" t="s">
        <v>242</v>
      </c>
      <c r="AM3147" s="61"/>
      <c r="AN3147" s="63" t="s">
        <v>250</v>
      </c>
      <c r="AO3147" s="71" t="s">
        <v>242</v>
      </c>
      <c r="AP3147" s="61"/>
      <c r="AQ3147" s="63" t="s">
        <v>250</v>
      </c>
      <c r="AR3147" s="71" t="s">
        <v>242</v>
      </c>
      <c r="AS3147" s="61"/>
      <c r="AT3147" s="63" t="s">
        <v>250</v>
      </c>
      <c r="AU3147" s="71" t="s">
        <v>242</v>
      </c>
    </row>
    <row r="3148" spans="15:47" ht="13" x14ac:dyDescent="0.3">
      <c r="O3148" s="6" t="s">
        <v>231</v>
      </c>
      <c r="P3148" s="6"/>
      <c r="Q3148" s="60"/>
      <c r="R3148" s="85">
        <f>P_1_minQ-(R3146^2*R_up)+dpup_minQ</f>
        <v>55.322324987299517</v>
      </c>
      <c r="S3148" s="56"/>
      <c r="T3148" s="72"/>
      <c r="U3148" s="53">
        <f>P_1_minQ-(U3146^2*R_up)+dpup_minQ</f>
        <v>49.387773082860029</v>
      </c>
      <c r="V3148" s="44"/>
      <c r="W3148" s="72"/>
      <c r="X3148" s="53">
        <f>P_1_minQ-(X3146^2*R_up)+dpup_minQ</f>
        <v>13.538820068097767</v>
      </c>
      <c r="Y3148" s="44"/>
      <c r="Z3148" s="72"/>
      <c r="AA3148" s="53">
        <f>P_1_minQ-(AA3146^2*R_up)+dpup_minQ</f>
        <v>-101.22371293265991</v>
      </c>
      <c r="AB3148" s="44"/>
      <c r="AC3148" s="72"/>
      <c r="AD3148" s="53">
        <f>P_1_minQ-(AD3146^2*R_up)+dpup_minQ</f>
        <v>-370.82272664159797</v>
      </c>
      <c r="AE3148" s="44"/>
      <c r="AF3148" s="72"/>
      <c r="AG3148" s="53">
        <f>P_1_minQ-(AG3146^2*R_up)+dpup_minQ</f>
        <v>-891.25911855709819</v>
      </c>
      <c r="AH3148" s="44"/>
      <c r="AI3148" s="72"/>
      <c r="AJ3148" s="53">
        <f>P_1_minQ-(AJ3146^2*R_up)+dpup_minQ</f>
        <v>-1631.6897461149431</v>
      </c>
      <c r="AK3148" s="44"/>
      <c r="AL3148" s="72"/>
      <c r="AM3148" s="53">
        <f>P_1_minQ-(AM3146^2*R_up)+dpup_minQ</f>
        <v>-2457.1879257219971</v>
      </c>
      <c r="AN3148" s="44"/>
      <c r="AO3148" s="72"/>
      <c r="AP3148" s="53">
        <f>P_1_minQ-(AP3146^2*R_up)+dpup_minQ</f>
        <v>-3331.7162991287732</v>
      </c>
      <c r="AQ3148" s="44"/>
      <c r="AR3148" s="72"/>
      <c r="AS3148" s="53">
        <f>P_1_minQ-(AS3146^2*R_up)+dpup_minQ</f>
        <v>-4332.2314268282535</v>
      </c>
      <c r="AT3148" s="44"/>
      <c r="AU3148" s="72"/>
    </row>
    <row r="3149" spans="15:47" ht="13" x14ac:dyDescent="0.3">
      <c r="O3149" s="6" t="s">
        <v>233</v>
      </c>
      <c r="P3149" s="6"/>
      <c r="Q3149" s="60"/>
      <c r="R3149" s="85">
        <f>P_2_minQ+(R3146^2*R_dn)-dpdn_minQ</f>
        <v>24.975535002540099</v>
      </c>
      <c r="S3149" s="66"/>
      <c r="T3149" s="74"/>
      <c r="U3149" s="53">
        <f>P_2_minQ+(U3146^2*R_dn)-dpdn_minQ</f>
        <v>26.162445383427993</v>
      </c>
      <c r="V3149" s="45"/>
      <c r="W3149" s="74"/>
      <c r="X3149" s="53">
        <f>P_2_minQ+(X3146^2*R_dn)-dpdn_minQ</f>
        <v>33.332235986380454</v>
      </c>
      <c r="Y3149" s="45"/>
      <c r="Z3149" s="74"/>
      <c r="AA3149" s="53">
        <f>P_2_minQ+(AA3146^2*R_dn)-dpdn_minQ</f>
        <v>56.284742586531983</v>
      </c>
      <c r="AB3149" s="45"/>
      <c r="AC3149" s="74"/>
      <c r="AD3149" s="53">
        <f>P_2_minQ+(AD3146^2*R_dn)-dpdn_minQ</f>
        <v>110.2045453283196</v>
      </c>
      <c r="AE3149" s="45"/>
      <c r="AF3149" s="74"/>
      <c r="AG3149" s="53">
        <f>P_2_minQ+(AG3146^2*R_dn)-dpdn_minQ</f>
        <v>214.29182371141965</v>
      </c>
      <c r="AH3149" s="45"/>
      <c r="AI3149" s="74"/>
      <c r="AJ3149" s="53">
        <f>P_2_minQ+(AJ3146^2*R_dn)-dpdn_minQ</f>
        <v>362.37794922298855</v>
      </c>
      <c r="AK3149" s="45"/>
      <c r="AL3149" s="74"/>
      <c r="AM3149" s="53">
        <f>P_2_minQ+(AM3146^2*R_dn)-dpdn_minQ</f>
        <v>527.47758514439931</v>
      </c>
      <c r="AN3149" s="45"/>
      <c r="AO3149" s="74"/>
      <c r="AP3149" s="53">
        <f>P_2_minQ+(AP3146^2*R_dn)-dpdn_minQ</f>
        <v>702.38325982575464</v>
      </c>
      <c r="AQ3149" s="45"/>
      <c r="AR3149" s="74"/>
      <c r="AS3149" s="53">
        <f>P_2_minQ+(AS3146^2*R_dn)-dpdn_minQ</f>
        <v>902.48628536565047</v>
      </c>
      <c r="AT3149" s="45"/>
      <c r="AU3149" s="74"/>
    </row>
    <row r="3150" spans="15:47" x14ac:dyDescent="0.25">
      <c r="O3150" s="6" t="s">
        <v>243</v>
      </c>
      <c r="Q3150" s="60"/>
      <c r="R3150" s="53">
        <f>R3148-R3149</f>
        <v>30.346789984759418</v>
      </c>
      <c r="S3150" s="56"/>
      <c r="T3150" s="72"/>
      <c r="U3150" s="64">
        <f>U3148-U3149</f>
        <v>23.225327699432036</v>
      </c>
      <c r="V3150" s="44"/>
      <c r="W3150" s="72"/>
      <c r="X3150" s="64">
        <f>X3148-X3149</f>
        <v>-19.793415918282687</v>
      </c>
      <c r="Y3150" s="44"/>
      <c r="Z3150" s="72"/>
      <c r="AA3150" s="64">
        <f>AA3148-AA3149</f>
        <v>-157.5084555191919</v>
      </c>
      <c r="AB3150" s="44"/>
      <c r="AC3150" s="72"/>
      <c r="AD3150" s="64">
        <f>AD3148-AD3149</f>
        <v>-481.02727196991759</v>
      </c>
      <c r="AE3150" s="44"/>
      <c r="AF3150" s="72"/>
      <c r="AG3150" s="64">
        <f>AG3148-AG3149</f>
        <v>-1105.5509422685179</v>
      </c>
      <c r="AH3150" s="44"/>
      <c r="AI3150" s="72"/>
      <c r="AJ3150" s="64">
        <f>AJ3148-AJ3149</f>
        <v>-1994.0676953379316</v>
      </c>
      <c r="AK3150" s="44"/>
      <c r="AL3150" s="72"/>
      <c r="AM3150" s="64">
        <f>AM3148-AM3149</f>
        <v>-2984.6655108663963</v>
      </c>
      <c r="AN3150" s="44"/>
      <c r="AO3150" s="72"/>
      <c r="AP3150" s="64">
        <f>AP3148-AP3149</f>
        <v>-4034.0995589545278</v>
      </c>
      <c r="AQ3150" s="44"/>
      <c r="AR3150" s="72"/>
      <c r="AS3150" s="64">
        <f>AS3148-AS3149</f>
        <v>-5234.7177121939039</v>
      </c>
      <c r="AT3150" s="44"/>
      <c r="AU3150" s="72"/>
    </row>
    <row r="3151" spans="15:47" ht="13" x14ac:dyDescent="0.3">
      <c r="O3151" s="6" t="s">
        <v>75</v>
      </c>
      <c r="P3151" s="6">
        <v>3</v>
      </c>
      <c r="Q3151" s="65"/>
      <c r="R3151" s="85">
        <f>(F_LP_h/F_P_h)^2*(R3148-('Valve Sizing'!$V$4*'Valve Sizing'!$G$7))</f>
        <v>45.445398106431718</v>
      </c>
      <c r="S3151" s="58"/>
      <c r="T3151" s="73"/>
      <c r="U3151" s="53">
        <f>(U$29/U$27)^2*(U3148-('Valve Sizing'!$V$4*'Valve Sizing'!$G$7))</f>
        <v>40.520230473406713</v>
      </c>
      <c r="V3151" s="41"/>
      <c r="W3151" s="73"/>
      <c r="X3151" s="53">
        <f>(X$29/X$27)^2*(X3148-('Valve Sizing'!$V$4*'Valve Sizing'!$G$7))</f>
        <v>10.598910290891427</v>
      </c>
      <c r="Y3151" s="41"/>
      <c r="Z3151" s="73"/>
      <c r="AA3151" s="53">
        <f>(AA$29/AA$27)^2*(AA3148-('Valve Sizing'!$V$4*'Valve Sizing'!$G$7))</f>
        <v>-78.565479433235154</v>
      </c>
      <c r="AB3151" s="41"/>
      <c r="AC3151" s="73"/>
      <c r="AD3151" s="53">
        <f>(AD$29/AD$27)^2*(AD3148-('Valve Sizing'!$V$4*'Valve Sizing'!$G$7))</f>
        <v>-267.75004479775873</v>
      </c>
      <c r="AE3151" s="41"/>
      <c r="AF3151" s="73"/>
      <c r="AG3151" s="53">
        <f>(AG$29/AG$27)^2*(AG3148-('Valve Sizing'!$V$4*'Valve Sizing'!$G$7))</f>
        <v>-574.29346072334624</v>
      </c>
      <c r="AH3151" s="41"/>
      <c r="AI3151" s="73"/>
      <c r="AJ3151" s="53">
        <f>(AJ$29/AJ$27)^2*(AJ3148-('Valve Sizing'!$V$4*'Valve Sizing'!$G$7))</f>
        <v>-943.96566913158961</v>
      </c>
      <c r="AK3151" s="41"/>
      <c r="AL3151" s="73"/>
      <c r="AM3151" s="53">
        <f>(AM$29/AM$27)^2*(AM3148-('Valve Sizing'!$V$4*'Valve Sizing'!$G$7))</f>
        <v>-1175.9065434040017</v>
      </c>
      <c r="AN3151" s="41"/>
      <c r="AO3151" s="73"/>
      <c r="AP3151" s="53">
        <f>(AP$29/AP$27)^2*(AP3148-('Valve Sizing'!$V$4*'Valve Sizing'!$G$7))</f>
        <v>-1314.9582913452127</v>
      </c>
      <c r="AQ3151" s="41"/>
      <c r="AR3151" s="73"/>
      <c r="AS3151" s="53">
        <f>(AS$29/AS$27)^2*(AS3148-('Valve Sizing'!$V$4*'Valve Sizing'!$G$7))</f>
        <v>-1629.6944927697559</v>
      </c>
      <c r="AT3151" s="41"/>
      <c r="AU3151" s="73"/>
    </row>
    <row r="3152" spans="15:47" ht="13" x14ac:dyDescent="0.25">
      <c r="O3152" s="1" t="s">
        <v>69</v>
      </c>
      <c r="P3152" s="17">
        <v>7</v>
      </c>
      <c r="Q3152" s="65"/>
      <c r="R3152" s="53">
        <f>(R3146/(N_1*F_P_h))*SQRT('Valve Sizing'!$G$6/R3150)</f>
        <v>39.440802659292814</v>
      </c>
      <c r="S3152" s="58"/>
      <c r="T3152" s="73"/>
      <c r="U3152" s="64">
        <f>(U3146/(N_1*U$27))*SQRT('Valve Sizing'!$G$6/U3150)</f>
        <v>98.051542427383879</v>
      </c>
      <c r="V3152" s="41"/>
      <c r="W3152" s="73"/>
      <c r="X3152" s="64" t="e">
        <f>(X3146/(N_1*X$27))*SQRT('Valve Sizing'!$G$6/X3150)</f>
        <v>#NUM!</v>
      </c>
      <c r="Y3152" s="41"/>
      <c r="Z3152" s="73"/>
      <c r="AA3152" s="64" t="e">
        <f>(AA3146/(N_1*AA$27))*SQRT('Valve Sizing'!$G$6/AA3150)</f>
        <v>#NUM!</v>
      </c>
      <c r="AB3152" s="41"/>
      <c r="AC3152" s="73"/>
      <c r="AD3152" s="64" t="e">
        <f>(AD3146/(N_1*AD$27))*SQRT('Valve Sizing'!$G$6/AD3150)</f>
        <v>#NUM!</v>
      </c>
      <c r="AE3152" s="41"/>
      <c r="AF3152" s="73"/>
      <c r="AG3152" s="64" t="e">
        <f>(AG3146/(N_1*AG$27))*SQRT('Valve Sizing'!$G$6/AG3150)</f>
        <v>#NUM!</v>
      </c>
      <c r="AH3152" s="41"/>
      <c r="AI3152" s="73"/>
      <c r="AJ3152" s="64" t="e">
        <f>(AJ3146/(N_1*AJ$27))*SQRT('Valve Sizing'!$G$6/AJ3150)</f>
        <v>#NUM!</v>
      </c>
      <c r="AK3152" s="41"/>
      <c r="AL3152" s="73"/>
      <c r="AM3152" s="64" t="e">
        <f>(AM3146/(N_1*AM$27))*SQRT('Valve Sizing'!$G$6/AM3150)</f>
        <v>#NUM!</v>
      </c>
      <c r="AN3152" s="41"/>
      <c r="AO3152" s="73"/>
      <c r="AP3152" s="64" t="e">
        <f>(AP3146/(N_1*AP$27))*SQRT('Valve Sizing'!$G$6/AP3150)</f>
        <v>#NUM!</v>
      </c>
      <c r="AQ3152" s="41"/>
      <c r="AR3152" s="73"/>
      <c r="AS3152" s="64" t="e">
        <f>(AS3146/(N_1*AS$27))*SQRT('Valve Sizing'!$G$6/AS3150)</f>
        <v>#NUM!</v>
      </c>
      <c r="AT3152" s="41"/>
      <c r="AU3152" s="73"/>
    </row>
    <row r="3153" spans="15:47" ht="13" x14ac:dyDescent="0.3">
      <c r="O3153" s="1" t="s">
        <v>72</v>
      </c>
      <c r="P3153" s="17">
        <v>7</v>
      </c>
      <c r="Q3153" s="65"/>
      <c r="R3153" s="53">
        <f>(R3146/(N_1*F_P_h))*SQRT('Valve Sizing'!$G$6/R3151)</f>
        <v>32.229767168701734</v>
      </c>
      <c r="S3153" s="56"/>
      <c r="T3153" s="72"/>
      <c r="U3153" s="85">
        <f>(U3146/(N_1*U$27))*SQRT('Valve Sizing'!$G$6/U3151)</f>
        <v>74.233408421098446</v>
      </c>
      <c r="V3153" s="44"/>
      <c r="W3153" s="72"/>
      <c r="X3153" s="85">
        <f>(X3146/(N_1*X$27))*SQRT('Valve Sizing'!$G$6/X3151)</f>
        <v>349.18878509321712</v>
      </c>
      <c r="Y3153" s="44"/>
      <c r="Z3153" s="72"/>
      <c r="AA3153" s="85" t="e">
        <f>(AA3146/(N_1*AA$27))*SQRT('Valve Sizing'!$G$6/AA3151)</f>
        <v>#NUM!</v>
      </c>
      <c r="AB3153" s="44"/>
      <c r="AC3153" s="72"/>
      <c r="AD3153" s="85" t="e">
        <f>(AD3146/(N_1*AD$27))*SQRT('Valve Sizing'!$G$6/AD3151)</f>
        <v>#NUM!</v>
      </c>
      <c r="AE3153" s="44"/>
      <c r="AF3153" s="72"/>
      <c r="AG3153" s="85" t="e">
        <f>(AG3146/(N_1*AG$27))*SQRT('Valve Sizing'!$G$6/AG3151)</f>
        <v>#NUM!</v>
      </c>
      <c r="AH3153" s="44"/>
      <c r="AI3153" s="72"/>
      <c r="AJ3153" s="85" t="e">
        <f>(AJ3146/(N_1*AJ$27))*SQRT('Valve Sizing'!$G$6/AJ3151)</f>
        <v>#NUM!</v>
      </c>
      <c r="AK3153" s="44"/>
      <c r="AL3153" s="72"/>
      <c r="AM3153" s="85" t="e">
        <f>(AM3146/(N_1*AM$27))*SQRT('Valve Sizing'!$G$6/AM3151)</f>
        <v>#NUM!</v>
      </c>
      <c r="AN3153" s="44"/>
      <c r="AO3153" s="72"/>
      <c r="AP3153" s="85" t="e">
        <f>(AP3146/(N_1*AP$27))*SQRT('Valve Sizing'!$G$6/AP3151)</f>
        <v>#NUM!</v>
      </c>
      <c r="AQ3153" s="44"/>
      <c r="AR3153" s="72"/>
      <c r="AS3153" s="85" t="e">
        <f>(AS3146/(N_1*AS$27))*SQRT('Valve Sizing'!$G$6/AS3151)</f>
        <v>#NUM!</v>
      </c>
      <c r="AT3153" s="44"/>
      <c r="AU3153" s="72"/>
    </row>
    <row r="3154" spans="15:47" x14ac:dyDescent="0.25">
      <c r="O3154" s="1" t="s">
        <v>246</v>
      </c>
      <c r="P3154" s="18"/>
      <c r="Q3154" s="65"/>
      <c r="R3154" s="53">
        <f>IF(R3150&lt;R3151,R3152,R3153)</f>
        <v>39.440802659292814</v>
      </c>
      <c r="S3154" s="49"/>
      <c r="T3154" s="72"/>
      <c r="U3154" s="64">
        <f>IF(U3150&lt;U3151,U3152,U3153)</f>
        <v>98.051542427383879</v>
      </c>
      <c r="V3154" s="44"/>
      <c r="W3154" s="72"/>
      <c r="X3154" s="64" t="e">
        <f>IF(X3150&lt;X3151,X3152,X3153)</f>
        <v>#NUM!</v>
      </c>
      <c r="Y3154" s="44"/>
      <c r="Z3154" s="72"/>
      <c r="AA3154" s="64" t="e">
        <f>IF(AA3150&lt;AA3151,AA3152,AA3153)</f>
        <v>#NUM!</v>
      </c>
      <c r="AB3154" s="44"/>
      <c r="AC3154" s="72"/>
      <c r="AD3154" s="64" t="e">
        <f>IF(AD3150&lt;AD3151,AD3152,AD3153)</f>
        <v>#NUM!</v>
      </c>
      <c r="AE3154" s="44"/>
      <c r="AF3154" s="72"/>
      <c r="AG3154" s="64" t="e">
        <f>IF(AG3150&lt;AG3151,AG3152,AG3153)</f>
        <v>#NUM!</v>
      </c>
      <c r="AH3154" s="44"/>
      <c r="AI3154" s="72"/>
      <c r="AJ3154" s="64" t="e">
        <f>IF(AJ3150&lt;AJ3151,AJ3152,AJ3153)</f>
        <v>#NUM!</v>
      </c>
      <c r="AK3154" s="44"/>
      <c r="AL3154" s="72"/>
      <c r="AM3154" s="64" t="e">
        <f>IF(AM3150&lt;AM3151,AM3152,AM3153)</f>
        <v>#NUM!</v>
      </c>
      <c r="AN3154" s="44"/>
      <c r="AO3154" s="72"/>
      <c r="AP3154" s="64" t="e">
        <f>IF(AP3150&lt;AP3151,AP3152,AP3153)</f>
        <v>#NUM!</v>
      </c>
      <c r="AQ3154" s="44"/>
      <c r="AR3154" s="72"/>
      <c r="AS3154" s="64" t="e">
        <f>IF(AS3150&lt;AS3151,AS3152,AS3153)</f>
        <v>#NUM!</v>
      </c>
      <c r="AT3154" s="44"/>
      <c r="AU3154" s="72"/>
    </row>
    <row r="3155" spans="15:47" ht="13" x14ac:dyDescent="0.3">
      <c r="O3155" s="7" t="s">
        <v>264</v>
      </c>
      <c r="Q3155" s="61"/>
      <c r="R3155" s="53"/>
      <c r="S3155" s="69">
        <f>IFERROR(ABS(C_h-R3154),Q_max*10)</f>
        <v>34.440802659292814</v>
      </c>
      <c r="T3155" s="76">
        <f>R3146</f>
        <v>217.2394004918566</v>
      </c>
      <c r="U3155" s="61"/>
      <c r="V3155" s="69">
        <f>IFERROR(ABS(U$23-U3154),Q_max*10)</f>
        <v>86.051542427383879</v>
      </c>
      <c r="W3155" s="75">
        <f>U3146</f>
        <v>472.13879211150874</v>
      </c>
      <c r="X3155" s="61"/>
      <c r="Y3155" s="69">
        <f>IFERROR(ABS(X$23-X3154),Q_max*10)</f>
        <v>5500</v>
      </c>
      <c r="Z3155" s="75">
        <f>X3146</f>
        <v>1133.3148449498158</v>
      </c>
      <c r="AA3155" s="61"/>
      <c r="AB3155" s="69">
        <f>IFERROR(ABS(AA$23-AA3154),Q_max*10)</f>
        <v>5500</v>
      </c>
      <c r="AC3155" s="75">
        <f>AA3146</f>
        <v>2163.9133854976867</v>
      </c>
      <c r="AD3155" s="61"/>
      <c r="AE3155" s="69">
        <f>IFERROR(ABS(AD$23-AD3154),Q_max*10)</f>
        <v>5500</v>
      </c>
      <c r="AF3155" s="75">
        <f>AD3146</f>
        <v>3558.8408135034242</v>
      </c>
      <c r="AG3155" s="61"/>
      <c r="AH3155" s="69">
        <f>IFERROR(ABS(AG$23-AG3154),Q_max*10)</f>
        <v>5500</v>
      </c>
      <c r="AI3155" s="75">
        <f>AG3146</f>
        <v>5298.6290208388509</v>
      </c>
      <c r="AJ3155" s="61"/>
      <c r="AK3155" s="69">
        <f>IFERROR(ABS(AJ$23-AJ3154),Q_max*10)</f>
        <v>5500</v>
      </c>
      <c r="AL3155" s="75">
        <f>AJ3146</f>
        <v>7071.0409688010905</v>
      </c>
      <c r="AM3155" s="61"/>
      <c r="AN3155" s="69">
        <f>IFERROR(ABS(AM$23-AM3154),Q_max*10)</f>
        <v>5500</v>
      </c>
      <c r="AO3155" s="75">
        <f>AM3146</f>
        <v>8628.0137621951162</v>
      </c>
      <c r="AP3155" s="61"/>
      <c r="AQ3155" s="69">
        <f>IFERROR(ABS(AP$23-AP3154),Q_max*10)</f>
        <v>5500</v>
      </c>
      <c r="AR3155" s="75">
        <f>AP3146</f>
        <v>10016.856124413636</v>
      </c>
      <c r="AS3155" s="61"/>
      <c r="AT3155" s="69">
        <f>IFERROR(ABS(AS$23-AS3154),Q_max*10)</f>
        <v>5500</v>
      </c>
      <c r="AU3155" s="75">
        <f>AS3146</f>
        <v>11400.116646262202</v>
      </c>
    </row>
    <row r="3156" spans="15:47" ht="14.5" x14ac:dyDescent="0.35">
      <c r="O3156" s="6"/>
      <c r="P3156" s="6"/>
      <c r="Q3156" s="60"/>
      <c r="R3156" s="67"/>
      <c r="S3156" s="66"/>
      <c r="T3156" s="74"/>
      <c r="V3156" s="11"/>
      <c r="W3156" s="38"/>
      <c r="Y3156" s="11"/>
      <c r="Z3156" s="38"/>
      <c r="AB3156" s="11"/>
      <c r="AC3156" s="38"/>
      <c r="AE3156" s="11"/>
      <c r="AF3156" s="38"/>
      <c r="AH3156" s="11"/>
      <c r="AI3156" s="38"/>
      <c r="AK3156" s="11"/>
      <c r="AL3156" s="38"/>
      <c r="AN3156" s="11"/>
      <c r="AO3156" s="38"/>
      <c r="AQ3156" s="11"/>
      <c r="AR3156" s="38"/>
      <c r="AT3156" s="11"/>
      <c r="AU3156" s="38"/>
    </row>
    <row r="3157" spans="15:47" ht="14" x14ac:dyDescent="0.3">
      <c r="O3157" s="8" t="s">
        <v>235</v>
      </c>
      <c r="P3157" s="6"/>
      <c r="Q3157" s="60"/>
      <c r="R3157" s="53">
        <f>R3146*1.02</f>
        <v>221.58418850169375</v>
      </c>
      <c r="S3157" s="58" t="s">
        <v>238</v>
      </c>
      <c r="T3157" s="73" t="s">
        <v>241</v>
      </c>
      <c r="U3157" s="84">
        <f>U3146*1.01</f>
        <v>476.86018003262382</v>
      </c>
      <c r="V3157" s="58" t="s">
        <v>238</v>
      </c>
      <c r="W3157" s="73" t="s">
        <v>241</v>
      </c>
      <c r="X3157" s="84">
        <f>X3146*1.01</f>
        <v>1144.6479933993139</v>
      </c>
      <c r="Y3157" s="58" t="s">
        <v>238</v>
      </c>
      <c r="Z3157" s="73" t="s">
        <v>241</v>
      </c>
      <c r="AA3157" s="84">
        <f>AA3146*1.01</f>
        <v>2185.5525193526637</v>
      </c>
      <c r="AB3157" s="58" t="s">
        <v>238</v>
      </c>
      <c r="AC3157" s="73" t="s">
        <v>241</v>
      </c>
      <c r="AD3157" s="84">
        <f>AD3146*1.01</f>
        <v>3594.4292216384583</v>
      </c>
      <c r="AE3157" s="58" t="s">
        <v>238</v>
      </c>
      <c r="AF3157" s="73" t="s">
        <v>241</v>
      </c>
      <c r="AG3157" s="84">
        <f>AG3146*1.01</f>
        <v>5351.6153110472396</v>
      </c>
      <c r="AH3157" s="58" t="s">
        <v>238</v>
      </c>
      <c r="AI3157" s="73" t="s">
        <v>241</v>
      </c>
      <c r="AJ3157" s="84">
        <f>AJ3146*1.01</f>
        <v>7141.7513784891016</v>
      </c>
      <c r="AK3157" s="58" t="s">
        <v>238</v>
      </c>
      <c r="AL3157" s="73" t="s">
        <v>241</v>
      </c>
      <c r="AM3157" s="84">
        <f>AM3146*1.01</f>
        <v>8714.2938998170666</v>
      </c>
      <c r="AN3157" s="58" t="s">
        <v>238</v>
      </c>
      <c r="AO3157" s="73" t="s">
        <v>241</v>
      </c>
      <c r="AP3157" s="84">
        <f>AP3146*1.01</f>
        <v>10117.024685657772</v>
      </c>
      <c r="AQ3157" s="58" t="s">
        <v>238</v>
      </c>
      <c r="AR3157" s="73" t="s">
        <v>241</v>
      </c>
      <c r="AS3157" s="84">
        <f>AS3146*1.01</f>
        <v>11514.117812724824</v>
      </c>
      <c r="AT3157" s="58" t="s">
        <v>238</v>
      </c>
      <c r="AU3157" s="73" t="s">
        <v>241</v>
      </c>
    </row>
    <row r="3158" spans="15:47" ht="13" x14ac:dyDescent="0.25">
      <c r="O3158" s="6"/>
      <c r="P3158" s="6"/>
      <c r="Q3158" s="60"/>
      <c r="R3158" s="70"/>
      <c r="S3158" s="63" t="s">
        <v>250</v>
      </c>
      <c r="T3158" s="71" t="s">
        <v>242</v>
      </c>
      <c r="U3158" s="61"/>
      <c r="V3158" s="63" t="s">
        <v>250</v>
      </c>
      <c r="W3158" s="71" t="s">
        <v>242</v>
      </c>
      <c r="X3158" s="61"/>
      <c r="Y3158" s="63" t="s">
        <v>250</v>
      </c>
      <c r="Z3158" s="71" t="s">
        <v>242</v>
      </c>
      <c r="AA3158" s="61"/>
      <c r="AB3158" s="63" t="s">
        <v>250</v>
      </c>
      <c r="AC3158" s="71" t="s">
        <v>242</v>
      </c>
      <c r="AD3158" s="61"/>
      <c r="AE3158" s="63" t="s">
        <v>250</v>
      </c>
      <c r="AF3158" s="71" t="s">
        <v>242</v>
      </c>
      <c r="AG3158" s="61"/>
      <c r="AH3158" s="63" t="s">
        <v>250</v>
      </c>
      <c r="AI3158" s="71" t="s">
        <v>242</v>
      </c>
      <c r="AJ3158" s="61"/>
      <c r="AK3158" s="63" t="s">
        <v>250</v>
      </c>
      <c r="AL3158" s="71" t="s">
        <v>242</v>
      </c>
      <c r="AM3158" s="61"/>
      <c r="AN3158" s="63" t="s">
        <v>250</v>
      </c>
      <c r="AO3158" s="71" t="s">
        <v>242</v>
      </c>
      <c r="AP3158" s="61"/>
      <c r="AQ3158" s="63" t="s">
        <v>250</v>
      </c>
      <c r="AR3158" s="71" t="s">
        <v>242</v>
      </c>
      <c r="AS3158" s="61"/>
      <c r="AT3158" s="63" t="s">
        <v>250</v>
      </c>
      <c r="AU3158" s="71" t="s">
        <v>242</v>
      </c>
    </row>
    <row r="3159" spans="15:47" ht="13" x14ac:dyDescent="0.3">
      <c r="O3159" s="6" t="s">
        <v>231</v>
      </c>
      <c r="P3159" s="6"/>
      <c r="Q3159" s="60"/>
      <c r="R3159" s="85">
        <f>P_1_minQ-(R3157^2*R_up)+dpup_minQ</f>
        <v>55.25793473171381</v>
      </c>
      <c r="S3159" s="56"/>
      <c r="T3159" s="72"/>
      <c r="U3159" s="53">
        <f>P_1_minQ-(U3157^2*R_up)+dpup_minQ</f>
        <v>49.236452843608696</v>
      </c>
      <c r="V3159" s="44"/>
      <c r="W3159" s="72"/>
      <c r="X3159" s="53">
        <f>P_1_minQ-(X3157^2*R_up)+dpup_minQ</f>
        <v>12.666935873249717</v>
      </c>
      <c r="Y3159" s="44"/>
      <c r="Z3159" s="72"/>
      <c r="AA3159" s="53">
        <f>P_1_minQ-(AA3157^2*R_up)+dpup_minQ</f>
        <v>-104.4023240408232</v>
      </c>
      <c r="AB3159" s="44"/>
      <c r="AC3159" s="72"/>
      <c r="AD3159" s="53">
        <f>P_1_minQ-(AD3157^2*R_up)+dpup_minQ</f>
        <v>-379.42027792531081</v>
      </c>
      <c r="AE3159" s="44"/>
      <c r="AF3159" s="72"/>
      <c r="AG3159" s="53">
        <f>P_1_minQ-(AG3157^2*R_up)+dpup_minQ</f>
        <v>-910.31744131831283</v>
      </c>
      <c r="AH3159" s="44"/>
      <c r="AI3159" s="72"/>
      <c r="AJ3159" s="53">
        <f>P_1_minQ-(AJ3157^2*R_up)+dpup_minQ</f>
        <v>-1665.6307244900704</v>
      </c>
      <c r="AK3159" s="44"/>
      <c r="AL3159" s="72"/>
      <c r="AM3159" s="53">
        <f>P_1_minQ-(AM3157^2*R_up)+dpup_minQ</f>
        <v>-2507.7214175072259</v>
      </c>
      <c r="AN3159" s="44"/>
      <c r="AO3159" s="72"/>
      <c r="AP3159" s="53">
        <f>P_1_minQ-(AP3157^2*R_up)+dpup_minQ</f>
        <v>-3399.8278112194785</v>
      </c>
      <c r="AQ3159" s="44"/>
      <c r="AR3159" s="72"/>
      <c r="AS3159" s="53">
        <f>P_1_minQ-(AS3157^2*R_up)+dpup_minQ</f>
        <v>-4420.4532929857187</v>
      </c>
      <c r="AT3159" s="44"/>
      <c r="AU3159" s="72"/>
    </row>
    <row r="3160" spans="15:47" ht="13" x14ac:dyDescent="0.3">
      <c r="O3160" s="6" t="s">
        <v>233</v>
      </c>
      <c r="P3160" s="6"/>
      <c r="Q3160" s="60"/>
      <c r="R3160" s="85">
        <f>P_2_minQ+(R3157^2*R_dn)-dpdn_minQ</f>
        <v>24.98841305365724</v>
      </c>
      <c r="S3160" s="66"/>
      <c r="T3160" s="74"/>
      <c r="U3160" s="53">
        <f>P_2_minQ+(U3157^2*R_dn)-dpdn_minQ</f>
        <v>26.19270943127826</v>
      </c>
      <c r="V3160" s="45"/>
      <c r="W3160" s="74"/>
      <c r="X3160" s="53">
        <f>P_2_minQ+(X3157^2*R_dn)-dpdn_minQ</f>
        <v>33.506612825350061</v>
      </c>
      <c r="Y3160" s="45"/>
      <c r="Z3160" s="74"/>
      <c r="AA3160" s="53">
        <f>P_2_minQ+(AA3157^2*R_dn)-dpdn_minQ</f>
        <v>56.920464808164645</v>
      </c>
      <c r="AB3160" s="45"/>
      <c r="AC3160" s="74"/>
      <c r="AD3160" s="53">
        <f>P_2_minQ+(AD3157^2*R_dn)-dpdn_minQ</f>
        <v>111.92405558506216</v>
      </c>
      <c r="AE3160" s="45"/>
      <c r="AF3160" s="74"/>
      <c r="AG3160" s="53">
        <f>P_2_minQ+(AG3157^2*R_dn)-dpdn_minQ</f>
        <v>218.10348826366257</v>
      </c>
      <c r="AH3160" s="45"/>
      <c r="AI3160" s="74"/>
      <c r="AJ3160" s="53">
        <f>P_2_minQ+(AJ3157^2*R_dn)-dpdn_minQ</f>
        <v>369.16614489801401</v>
      </c>
      <c r="AK3160" s="45"/>
      <c r="AL3160" s="74"/>
      <c r="AM3160" s="53">
        <f>P_2_minQ+(AM3157^2*R_dn)-dpdn_minQ</f>
        <v>537.58428350144504</v>
      </c>
      <c r="AN3160" s="45"/>
      <c r="AO3160" s="74"/>
      <c r="AP3160" s="53">
        <f>P_2_minQ+(AP3157^2*R_dn)-dpdn_minQ</f>
        <v>716.00556224389561</v>
      </c>
      <c r="AQ3160" s="45"/>
      <c r="AR3160" s="74"/>
      <c r="AS3160" s="53">
        <f>P_2_minQ+(AS3157^2*R_dn)-dpdn_minQ</f>
        <v>920.13065859714345</v>
      </c>
      <c r="AT3160" s="45"/>
      <c r="AU3160" s="74"/>
    </row>
    <row r="3161" spans="15:47" x14ac:dyDescent="0.25">
      <c r="O3161" s="6" t="s">
        <v>243</v>
      </c>
      <c r="Q3161" s="60"/>
      <c r="R3161" s="53">
        <f>R3159-R3160</f>
        <v>30.26952167805657</v>
      </c>
      <c r="S3161" s="56"/>
      <c r="T3161" s="72"/>
      <c r="U3161" s="64">
        <f>U3159-U3160</f>
        <v>23.043743412330436</v>
      </c>
      <c r="V3161" s="44"/>
      <c r="W3161" s="72"/>
      <c r="X3161" s="64">
        <f>X3159-X3160</f>
        <v>-20.839676952100344</v>
      </c>
      <c r="Y3161" s="44"/>
      <c r="Z3161" s="72"/>
      <c r="AA3161" s="64">
        <f>AA3159-AA3160</f>
        <v>-161.32278884898784</v>
      </c>
      <c r="AB3161" s="44"/>
      <c r="AC3161" s="72"/>
      <c r="AD3161" s="64">
        <f>AD3159-AD3160</f>
        <v>-491.34433351037296</v>
      </c>
      <c r="AE3161" s="44"/>
      <c r="AF3161" s="72"/>
      <c r="AG3161" s="64">
        <f>AG3159-AG3160</f>
        <v>-1128.4209295819753</v>
      </c>
      <c r="AH3161" s="44"/>
      <c r="AI3161" s="72"/>
      <c r="AJ3161" s="64">
        <f>AJ3159-AJ3160</f>
        <v>-2034.7968693880844</v>
      </c>
      <c r="AK3161" s="44"/>
      <c r="AL3161" s="72"/>
      <c r="AM3161" s="64">
        <f>AM3159-AM3160</f>
        <v>-3045.3057010086709</v>
      </c>
      <c r="AN3161" s="44"/>
      <c r="AO3161" s="72"/>
      <c r="AP3161" s="64">
        <f>AP3159-AP3160</f>
        <v>-4115.8333734633743</v>
      </c>
      <c r="AQ3161" s="44"/>
      <c r="AR3161" s="72"/>
      <c r="AS3161" s="64">
        <f>AS3159-AS3160</f>
        <v>-5340.583951582862</v>
      </c>
      <c r="AT3161" s="44"/>
      <c r="AU3161" s="72"/>
    </row>
    <row r="3162" spans="15:47" ht="13" x14ac:dyDescent="0.3">
      <c r="O3162" s="6" t="s">
        <v>75</v>
      </c>
      <c r="P3162" s="6">
        <v>3</v>
      </c>
      <c r="Q3162" s="65"/>
      <c r="R3162" s="85">
        <f>(F_LP_h/F_P_h)^2*(R3159-('Valve Sizing'!$V$4*'Valve Sizing'!$G$7))</f>
        <v>45.392079594966184</v>
      </c>
      <c r="S3162" s="58"/>
      <c r="T3162" s="73"/>
      <c r="U3162" s="53">
        <f>(U$29/U$27)^2*(U3159-('Valve Sizing'!$V$4*'Valve Sizing'!$G$7))</f>
        <v>40.394963524420284</v>
      </c>
      <c r="V3162" s="41"/>
      <c r="W3162" s="73"/>
      <c r="X3162" s="53">
        <f>(X$29/X$27)^2*(X3159-('Valve Sizing'!$V$4*'Valve Sizing'!$G$7))</f>
        <v>9.8934220864600846</v>
      </c>
      <c r="Y3162" s="41"/>
      <c r="Z3162" s="73"/>
      <c r="AA3162" s="53">
        <f>(AA$29/AA$27)^2*(AA3159-('Valve Sizing'!$V$4*'Valve Sizing'!$G$7))</f>
        <v>-81.021901265386603</v>
      </c>
      <c r="AB3162" s="41"/>
      <c r="AC3162" s="73"/>
      <c r="AD3162" s="53">
        <f>(AD$29/AD$27)^2*(AD3159-('Valve Sizing'!$V$4*'Valve Sizing'!$G$7))</f>
        <v>-273.95049051611966</v>
      </c>
      <c r="AE3162" s="41"/>
      <c r="AF3162" s="73"/>
      <c r="AG3162" s="53">
        <f>(AG$29/AG$27)^2*(AG3159-('Valve Sizing'!$V$4*'Valve Sizing'!$G$7))</f>
        <v>-586.56785821740175</v>
      </c>
      <c r="AH3162" s="41"/>
      <c r="AI3162" s="73"/>
      <c r="AJ3162" s="53">
        <f>(AJ$29/AJ$27)^2*(AJ3159-('Valve Sizing'!$V$4*'Valve Sizing'!$G$7))</f>
        <v>-963.59592052984169</v>
      </c>
      <c r="AK3162" s="41"/>
      <c r="AL3162" s="73"/>
      <c r="AM3162" s="53">
        <f>(AM$29/AM$27)^2*(AM3159-('Valve Sizing'!$V$4*'Valve Sizing'!$G$7))</f>
        <v>-1200.0854118303423</v>
      </c>
      <c r="AN3162" s="41"/>
      <c r="AO3162" s="73"/>
      <c r="AP3162" s="53">
        <f>(AP$29/AP$27)^2*(AP3159-('Valve Sizing'!$V$4*'Valve Sizing'!$G$7))</f>
        <v>-1341.8369212681509</v>
      </c>
      <c r="AQ3162" s="41"/>
      <c r="AR3162" s="73"/>
      <c r="AS3162" s="53">
        <f>(AS$29/AS$27)^2*(AS3159-('Valve Sizing'!$V$4*'Valve Sizing'!$G$7))</f>
        <v>-1662.8783355635458</v>
      </c>
      <c r="AT3162" s="41"/>
      <c r="AU3162" s="73"/>
    </row>
    <row r="3163" spans="15:47" ht="13" x14ac:dyDescent="0.25">
      <c r="O3163" s="1" t="s">
        <v>69</v>
      </c>
      <c r="P3163" s="17">
        <v>7</v>
      </c>
      <c r="Q3163" s="65"/>
      <c r="R3163" s="53">
        <f>(R3157/(N_1*F_P_h))*SQRT('Valve Sizing'!$G$6/R3161)</f>
        <v>40.280932594234329</v>
      </c>
      <c r="S3163" s="58"/>
      <c r="T3163" s="73"/>
      <c r="U3163" s="64">
        <f>(U3157/(N_1*U$27))*SQRT('Valve Sizing'!$G$6/U3161)</f>
        <v>99.421477626616422</v>
      </c>
      <c r="V3163" s="41"/>
      <c r="W3163" s="73"/>
      <c r="X3163" s="64" t="e">
        <f>(X3157/(N_1*X$27))*SQRT('Valve Sizing'!$G$6/X3161)</f>
        <v>#NUM!</v>
      </c>
      <c r="Y3163" s="41"/>
      <c r="Z3163" s="73"/>
      <c r="AA3163" s="64" t="e">
        <f>(AA3157/(N_1*AA$27))*SQRT('Valve Sizing'!$G$6/AA3161)</f>
        <v>#NUM!</v>
      </c>
      <c r="AB3163" s="41"/>
      <c r="AC3163" s="73"/>
      <c r="AD3163" s="64" t="e">
        <f>(AD3157/(N_1*AD$27))*SQRT('Valve Sizing'!$G$6/AD3161)</f>
        <v>#NUM!</v>
      </c>
      <c r="AE3163" s="41"/>
      <c r="AF3163" s="73"/>
      <c r="AG3163" s="64" t="e">
        <f>(AG3157/(N_1*AG$27))*SQRT('Valve Sizing'!$G$6/AG3161)</f>
        <v>#NUM!</v>
      </c>
      <c r="AH3163" s="41"/>
      <c r="AI3163" s="73"/>
      <c r="AJ3163" s="64" t="e">
        <f>(AJ3157/(N_1*AJ$27))*SQRT('Valve Sizing'!$G$6/AJ3161)</f>
        <v>#NUM!</v>
      </c>
      <c r="AK3163" s="41"/>
      <c r="AL3163" s="73"/>
      <c r="AM3163" s="64" t="e">
        <f>(AM3157/(N_1*AM$27))*SQRT('Valve Sizing'!$G$6/AM3161)</f>
        <v>#NUM!</v>
      </c>
      <c r="AN3163" s="41"/>
      <c r="AO3163" s="73"/>
      <c r="AP3163" s="64" t="e">
        <f>(AP3157/(N_1*AP$27))*SQRT('Valve Sizing'!$G$6/AP3161)</f>
        <v>#NUM!</v>
      </c>
      <c r="AQ3163" s="41"/>
      <c r="AR3163" s="73"/>
      <c r="AS3163" s="64" t="e">
        <f>(AS3157/(N_1*AS$27))*SQRT('Valve Sizing'!$G$6/AS3161)</f>
        <v>#NUM!</v>
      </c>
      <c r="AT3163" s="41"/>
      <c r="AU3163" s="73"/>
    </row>
    <row r="3164" spans="15:47" ht="13" x14ac:dyDescent="0.3">
      <c r="O3164" s="1" t="s">
        <v>72</v>
      </c>
      <c r="P3164" s="17">
        <v>7</v>
      </c>
      <c r="Q3164" s="65"/>
      <c r="R3164" s="53">
        <f>(R3157/(N_1*F_P_h))*SQRT('Valve Sizing'!$G$6/R3162)</f>
        <v>32.893664311746136</v>
      </c>
      <c r="S3164" s="56"/>
      <c r="T3164" s="72"/>
      <c r="U3164" s="85">
        <f>(U3157/(N_1*U$27))*SQRT('Valve Sizing'!$G$6/U3162)</f>
        <v>75.091904418829998</v>
      </c>
      <c r="V3164" s="44"/>
      <c r="W3164" s="72"/>
      <c r="X3164" s="85">
        <f>(X3157/(N_1*X$27))*SQRT('Valve Sizing'!$G$6/X3162)</f>
        <v>365.03877636296966</v>
      </c>
      <c r="Y3164" s="44"/>
      <c r="Z3164" s="72"/>
      <c r="AA3164" s="85" t="e">
        <f>(AA3157/(N_1*AA$27))*SQRT('Valve Sizing'!$G$6/AA3162)</f>
        <v>#NUM!</v>
      </c>
      <c r="AB3164" s="44"/>
      <c r="AC3164" s="72"/>
      <c r="AD3164" s="85" t="e">
        <f>(AD3157/(N_1*AD$27))*SQRT('Valve Sizing'!$G$6/AD3162)</f>
        <v>#NUM!</v>
      </c>
      <c r="AE3164" s="44"/>
      <c r="AF3164" s="72"/>
      <c r="AG3164" s="85" t="e">
        <f>(AG3157/(N_1*AG$27))*SQRT('Valve Sizing'!$G$6/AG3162)</f>
        <v>#NUM!</v>
      </c>
      <c r="AH3164" s="44"/>
      <c r="AI3164" s="72"/>
      <c r="AJ3164" s="85" t="e">
        <f>(AJ3157/(N_1*AJ$27))*SQRT('Valve Sizing'!$G$6/AJ3162)</f>
        <v>#NUM!</v>
      </c>
      <c r="AK3164" s="44"/>
      <c r="AL3164" s="72"/>
      <c r="AM3164" s="85" t="e">
        <f>(AM3157/(N_1*AM$27))*SQRT('Valve Sizing'!$G$6/AM3162)</f>
        <v>#NUM!</v>
      </c>
      <c r="AN3164" s="44"/>
      <c r="AO3164" s="72"/>
      <c r="AP3164" s="85" t="e">
        <f>(AP3157/(N_1*AP$27))*SQRT('Valve Sizing'!$G$6/AP3162)</f>
        <v>#NUM!</v>
      </c>
      <c r="AQ3164" s="44"/>
      <c r="AR3164" s="72"/>
      <c r="AS3164" s="85" t="e">
        <f>(AS3157/(N_1*AS$27))*SQRT('Valve Sizing'!$G$6/AS3162)</f>
        <v>#NUM!</v>
      </c>
      <c r="AT3164" s="44"/>
      <c r="AU3164" s="72"/>
    </row>
    <row r="3165" spans="15:47" x14ac:dyDescent="0.25">
      <c r="O3165" s="1" t="s">
        <v>246</v>
      </c>
      <c r="P3165" s="18"/>
      <c r="Q3165" s="65"/>
      <c r="R3165" s="53">
        <f>IF(R3161&lt;R3162,R3163,R3164)</f>
        <v>40.280932594234329</v>
      </c>
      <c r="S3165" s="49"/>
      <c r="T3165" s="72"/>
      <c r="U3165" s="64">
        <f>IF(U3161&lt;U3162,U3163,U3164)</f>
        <v>99.421477626616422</v>
      </c>
      <c r="V3165" s="44"/>
      <c r="W3165" s="72"/>
      <c r="X3165" s="64" t="e">
        <f>IF(X3161&lt;X3162,X3163,X3164)</f>
        <v>#NUM!</v>
      </c>
      <c r="Y3165" s="44"/>
      <c r="Z3165" s="72"/>
      <c r="AA3165" s="64" t="e">
        <f>IF(AA3161&lt;AA3162,AA3163,AA3164)</f>
        <v>#NUM!</v>
      </c>
      <c r="AB3165" s="44"/>
      <c r="AC3165" s="72"/>
      <c r="AD3165" s="64" t="e">
        <f>IF(AD3161&lt;AD3162,AD3163,AD3164)</f>
        <v>#NUM!</v>
      </c>
      <c r="AE3165" s="44"/>
      <c r="AF3165" s="72"/>
      <c r="AG3165" s="64" t="e">
        <f>IF(AG3161&lt;AG3162,AG3163,AG3164)</f>
        <v>#NUM!</v>
      </c>
      <c r="AH3165" s="44"/>
      <c r="AI3165" s="72"/>
      <c r="AJ3165" s="64" t="e">
        <f>IF(AJ3161&lt;AJ3162,AJ3163,AJ3164)</f>
        <v>#NUM!</v>
      </c>
      <c r="AK3165" s="44"/>
      <c r="AL3165" s="72"/>
      <c r="AM3165" s="64" t="e">
        <f>IF(AM3161&lt;AM3162,AM3163,AM3164)</f>
        <v>#NUM!</v>
      </c>
      <c r="AN3165" s="44"/>
      <c r="AO3165" s="72"/>
      <c r="AP3165" s="64" t="e">
        <f>IF(AP3161&lt;AP3162,AP3163,AP3164)</f>
        <v>#NUM!</v>
      </c>
      <c r="AQ3165" s="44"/>
      <c r="AR3165" s="72"/>
      <c r="AS3165" s="64" t="e">
        <f>IF(AS3161&lt;AS3162,AS3163,AS3164)</f>
        <v>#NUM!</v>
      </c>
      <c r="AT3165" s="44"/>
      <c r="AU3165" s="72"/>
    </row>
    <row r="3166" spans="15:47" ht="13" x14ac:dyDescent="0.3">
      <c r="O3166" s="7" t="s">
        <v>264</v>
      </c>
      <c r="Q3166" s="61"/>
      <c r="R3166" s="53"/>
      <c r="S3166" s="69">
        <f>IFERROR(ABS(C_h-R3165),Q_max*10)</f>
        <v>35.280932594234329</v>
      </c>
      <c r="T3166" s="76">
        <f>R3157</f>
        <v>221.58418850169375</v>
      </c>
      <c r="U3166" s="61"/>
      <c r="V3166" s="69">
        <f>IFERROR(ABS(U$23-U3165),Q_max*10)</f>
        <v>87.421477626616422</v>
      </c>
      <c r="W3166" s="75">
        <f>U3157</f>
        <v>476.86018003262382</v>
      </c>
      <c r="X3166" s="61"/>
      <c r="Y3166" s="69">
        <f>IFERROR(ABS(X$23-X3165),Q_max*10)</f>
        <v>5500</v>
      </c>
      <c r="Z3166" s="75">
        <f>X3157</f>
        <v>1144.6479933993139</v>
      </c>
      <c r="AA3166" s="61"/>
      <c r="AB3166" s="69">
        <f>IFERROR(ABS(AA$23-AA3165),Q_max*10)</f>
        <v>5500</v>
      </c>
      <c r="AC3166" s="75">
        <f>AA3157</f>
        <v>2185.5525193526637</v>
      </c>
      <c r="AD3166" s="61"/>
      <c r="AE3166" s="69">
        <f>IFERROR(ABS(AD$23-AD3165),Q_max*10)</f>
        <v>5500</v>
      </c>
      <c r="AF3166" s="75">
        <f>AD3157</f>
        <v>3594.4292216384583</v>
      </c>
      <c r="AG3166" s="61"/>
      <c r="AH3166" s="69">
        <f>IFERROR(ABS(AG$23-AG3165),Q_max*10)</f>
        <v>5500</v>
      </c>
      <c r="AI3166" s="75">
        <f>AG3157</f>
        <v>5351.6153110472396</v>
      </c>
      <c r="AJ3166" s="61"/>
      <c r="AK3166" s="69">
        <f>IFERROR(ABS(AJ$23-AJ3165),Q_max*10)</f>
        <v>5500</v>
      </c>
      <c r="AL3166" s="75">
        <f>AJ3157</f>
        <v>7141.7513784891016</v>
      </c>
      <c r="AM3166" s="61"/>
      <c r="AN3166" s="69">
        <f>IFERROR(ABS(AM$23-AM3165),Q_max*10)</f>
        <v>5500</v>
      </c>
      <c r="AO3166" s="75">
        <f>AM3157</f>
        <v>8714.2938998170666</v>
      </c>
      <c r="AP3166" s="61"/>
      <c r="AQ3166" s="69">
        <f>IFERROR(ABS(AP$23-AP3165),Q_max*10)</f>
        <v>5500</v>
      </c>
      <c r="AR3166" s="75">
        <f>AP3157</f>
        <v>10117.024685657772</v>
      </c>
      <c r="AS3166" s="61"/>
      <c r="AT3166" s="69">
        <f>IFERROR(ABS(AS$23-AS3165),Q_max*10)</f>
        <v>5500</v>
      </c>
      <c r="AU3166" s="75">
        <f>AS3157</f>
        <v>11514.117812724824</v>
      </c>
    </row>
    <row r="3167" spans="15:47" ht="14.5" x14ac:dyDescent="0.35">
      <c r="O3167" s="8"/>
      <c r="P3167" s="6"/>
      <c r="Q3167" s="60"/>
      <c r="R3167" s="67"/>
      <c r="S3167" s="56"/>
      <c r="T3167" s="72"/>
      <c r="V3167" s="11"/>
      <c r="W3167" s="38"/>
      <c r="Y3167" s="11"/>
      <c r="Z3167" s="38"/>
      <c r="AB3167" s="11"/>
      <c r="AC3167" s="38"/>
      <c r="AE3167" s="11"/>
      <c r="AF3167" s="38"/>
      <c r="AH3167" s="11"/>
      <c r="AI3167" s="38"/>
      <c r="AK3167" s="11"/>
      <c r="AL3167" s="38"/>
      <c r="AN3167" s="11"/>
      <c r="AO3167" s="38"/>
      <c r="AQ3167" s="11"/>
      <c r="AR3167" s="38"/>
      <c r="AT3167" s="11"/>
      <c r="AU3167" s="38"/>
    </row>
    <row r="3168" spans="15:47" ht="14" x14ac:dyDescent="0.3">
      <c r="O3168" s="8" t="s">
        <v>235</v>
      </c>
      <c r="P3168" s="6"/>
      <c r="Q3168" s="60"/>
      <c r="R3168" s="53">
        <f>R3157*1.02</f>
        <v>226.01587227172763</v>
      </c>
      <c r="S3168" s="58" t="s">
        <v>238</v>
      </c>
      <c r="T3168" s="73" t="s">
        <v>241</v>
      </c>
      <c r="U3168" s="84">
        <f>U3157*1.01</f>
        <v>481.62878183295004</v>
      </c>
      <c r="V3168" s="58" t="s">
        <v>238</v>
      </c>
      <c r="W3168" s="73" t="s">
        <v>241</v>
      </c>
      <c r="X3168" s="84">
        <f>X3157*1.01</f>
        <v>1156.0944733333072</v>
      </c>
      <c r="Y3168" s="58" t="s">
        <v>238</v>
      </c>
      <c r="Z3168" s="73" t="s">
        <v>241</v>
      </c>
      <c r="AA3168" s="84">
        <f>AA3157*1.01</f>
        <v>2207.4080445461905</v>
      </c>
      <c r="AB3168" s="58" t="s">
        <v>238</v>
      </c>
      <c r="AC3168" s="73" t="s">
        <v>241</v>
      </c>
      <c r="AD3168" s="84">
        <f>AD3157*1.01</f>
        <v>3630.3735138548432</v>
      </c>
      <c r="AE3168" s="58" t="s">
        <v>238</v>
      </c>
      <c r="AF3168" s="73" t="s">
        <v>241</v>
      </c>
      <c r="AG3168" s="84">
        <f>AG3157*1.01</f>
        <v>5405.1314641577119</v>
      </c>
      <c r="AH3168" s="58" t="s">
        <v>238</v>
      </c>
      <c r="AI3168" s="73" t="s">
        <v>241</v>
      </c>
      <c r="AJ3168" s="84">
        <f>AJ3157*1.01</f>
        <v>7213.1688922739932</v>
      </c>
      <c r="AK3168" s="58" t="s">
        <v>238</v>
      </c>
      <c r="AL3168" s="73" t="s">
        <v>241</v>
      </c>
      <c r="AM3168" s="84">
        <f>AM3157*1.01</f>
        <v>8801.4368388152379</v>
      </c>
      <c r="AN3168" s="58" t="s">
        <v>238</v>
      </c>
      <c r="AO3168" s="73" t="s">
        <v>241</v>
      </c>
      <c r="AP3168" s="84">
        <f>AP3157*1.01</f>
        <v>10218.194932514351</v>
      </c>
      <c r="AQ3168" s="58" t="s">
        <v>238</v>
      </c>
      <c r="AR3168" s="73" t="s">
        <v>241</v>
      </c>
      <c r="AS3168" s="84">
        <f>AS3157*1.01</f>
        <v>11629.258990852073</v>
      </c>
      <c r="AT3168" s="58" t="s">
        <v>238</v>
      </c>
      <c r="AU3168" s="73" t="s">
        <v>241</v>
      </c>
    </row>
    <row r="3169" spans="15:47" ht="13" x14ac:dyDescent="0.25">
      <c r="O3169" s="6"/>
      <c r="P3169" s="6"/>
      <c r="Q3169" s="60"/>
      <c r="R3169" s="70"/>
      <c r="S3169" s="63" t="s">
        <v>250</v>
      </c>
      <c r="T3169" s="71" t="s">
        <v>242</v>
      </c>
      <c r="U3169" s="61"/>
      <c r="V3169" s="63" t="s">
        <v>250</v>
      </c>
      <c r="W3169" s="71" t="s">
        <v>242</v>
      </c>
      <c r="X3169" s="61"/>
      <c r="Y3169" s="63" t="s">
        <v>250</v>
      </c>
      <c r="Z3169" s="71" t="s">
        <v>242</v>
      </c>
      <c r="AA3169" s="61"/>
      <c r="AB3169" s="63" t="s">
        <v>250</v>
      </c>
      <c r="AC3169" s="71" t="s">
        <v>242</v>
      </c>
      <c r="AD3169" s="61"/>
      <c r="AE3169" s="63" t="s">
        <v>250</v>
      </c>
      <c r="AF3169" s="71" t="s">
        <v>242</v>
      </c>
      <c r="AG3169" s="61"/>
      <c r="AH3169" s="63" t="s">
        <v>250</v>
      </c>
      <c r="AI3169" s="71" t="s">
        <v>242</v>
      </c>
      <c r="AJ3169" s="61"/>
      <c r="AK3169" s="63" t="s">
        <v>250</v>
      </c>
      <c r="AL3169" s="71" t="s">
        <v>242</v>
      </c>
      <c r="AM3169" s="61"/>
      <c r="AN3169" s="63" t="s">
        <v>250</v>
      </c>
      <c r="AO3169" s="71" t="s">
        <v>242</v>
      </c>
      <c r="AP3169" s="61"/>
      <c r="AQ3169" s="63" t="s">
        <v>250</v>
      </c>
      <c r="AR3169" s="71" t="s">
        <v>242</v>
      </c>
      <c r="AS3169" s="61"/>
      <c r="AT3169" s="63" t="s">
        <v>250</v>
      </c>
      <c r="AU3169" s="71" t="s">
        <v>242</v>
      </c>
    </row>
    <row r="3170" spans="15:47" ht="13" x14ac:dyDescent="0.3">
      <c r="O3170" s="6" t="s">
        <v>231</v>
      </c>
      <c r="P3170" s="6"/>
      <c r="Q3170" s="60"/>
      <c r="R3170" s="85">
        <f>P_1_minQ-(R3168^2*R_up)+dpup_minQ</f>
        <v>55.190943109802433</v>
      </c>
      <c r="S3170" s="56"/>
      <c r="T3170" s="72"/>
      <c r="U3170" s="53">
        <f>P_1_minQ-(U3168^2*R_up)+dpup_minQ</f>
        <v>49.082091067548419</v>
      </c>
      <c r="V3170" s="44"/>
      <c r="W3170" s="72"/>
      <c r="X3170" s="53">
        <f>P_1_minQ-(X3168^2*R_up)+dpup_minQ</f>
        <v>11.777526806085216</v>
      </c>
      <c r="Y3170" s="44"/>
      <c r="Z3170" s="72"/>
      <c r="AA3170" s="53">
        <f>P_1_minQ-(AA3168^2*R_up)+dpup_minQ</f>
        <v>-107.64482523226062</v>
      </c>
      <c r="AB3170" s="44"/>
      <c r="AC3170" s="72"/>
      <c r="AD3170" s="53">
        <f>P_1_minQ-(AD3168^2*R_up)+dpup_minQ</f>
        <v>-388.19063998982648</v>
      </c>
      <c r="AE3170" s="44"/>
      <c r="AF3170" s="72"/>
      <c r="AG3170" s="53">
        <f>P_1_minQ-(AG3168^2*R_up)+dpup_minQ</f>
        <v>-929.7588363670277</v>
      </c>
      <c r="AH3170" s="44"/>
      <c r="AI3170" s="72"/>
      <c r="AJ3170" s="53">
        <f>P_1_minQ-(AJ3168^2*R_up)+dpup_minQ</f>
        <v>-1700.2539165305379</v>
      </c>
      <c r="AK3170" s="44"/>
      <c r="AL3170" s="72"/>
      <c r="AM3170" s="53">
        <f>P_1_minQ-(AM3168^2*R_up)+dpup_minQ</f>
        <v>-2559.270632477338</v>
      </c>
      <c r="AN3170" s="44"/>
      <c r="AO3170" s="72"/>
      <c r="AP3170" s="53">
        <f>P_1_minQ-(AP3168^2*R_up)+dpup_minQ</f>
        <v>-3469.3083647032067</v>
      </c>
      <c r="AQ3170" s="44"/>
      <c r="AR3170" s="72"/>
      <c r="AS3170" s="53">
        <f>P_1_minQ-(AS3168^2*R_up)+dpup_minQ</f>
        <v>-4510.4484186529489</v>
      </c>
      <c r="AT3170" s="44"/>
      <c r="AU3170" s="72"/>
    </row>
    <row r="3171" spans="15:47" ht="13" x14ac:dyDescent="0.3">
      <c r="O3171" s="6" t="s">
        <v>233</v>
      </c>
      <c r="P3171" s="6"/>
      <c r="Q3171" s="60"/>
      <c r="R3171" s="85">
        <f>P_2_minQ+(R3168^2*R_dn)-dpdn_minQ</f>
        <v>25.001811378039513</v>
      </c>
      <c r="S3171" s="66"/>
      <c r="T3171" s="74"/>
      <c r="U3171" s="53">
        <f>P_2_minQ+(U3168^2*R_dn)-dpdn_minQ</f>
        <v>26.223581786490318</v>
      </c>
      <c r="V3171" s="45"/>
      <c r="W3171" s="74"/>
      <c r="X3171" s="53">
        <f>P_2_minQ+(X3168^2*R_dn)-dpdn_minQ</f>
        <v>33.684494638782965</v>
      </c>
      <c r="Y3171" s="45"/>
      <c r="Z3171" s="74"/>
      <c r="AA3171" s="53">
        <f>P_2_minQ+(AA3168^2*R_dn)-dpdn_minQ</f>
        <v>57.568965046452128</v>
      </c>
      <c r="AB3171" s="45"/>
      <c r="AC3171" s="74"/>
      <c r="AD3171" s="53">
        <f>P_2_minQ+(AD3168^2*R_dn)-dpdn_minQ</f>
        <v>113.67812799796529</v>
      </c>
      <c r="AE3171" s="45"/>
      <c r="AF3171" s="74"/>
      <c r="AG3171" s="53">
        <f>P_2_minQ+(AG3168^2*R_dn)-dpdn_minQ</f>
        <v>221.99176727340554</v>
      </c>
      <c r="AH3171" s="45"/>
      <c r="AI3171" s="74"/>
      <c r="AJ3171" s="53">
        <f>P_2_minQ+(AJ3168^2*R_dn)-dpdn_minQ</f>
        <v>376.09078330610754</v>
      </c>
      <c r="AK3171" s="45"/>
      <c r="AL3171" s="74"/>
      <c r="AM3171" s="53">
        <f>P_2_minQ+(AM3168^2*R_dn)-dpdn_minQ</f>
        <v>547.8941264954675</v>
      </c>
      <c r="AN3171" s="45"/>
      <c r="AO3171" s="74"/>
      <c r="AP3171" s="53">
        <f>P_2_minQ+(AP3168^2*R_dn)-dpdn_minQ</f>
        <v>729.90167294064133</v>
      </c>
      <c r="AQ3171" s="45"/>
      <c r="AR3171" s="74"/>
      <c r="AS3171" s="53">
        <f>P_2_minQ+(AS3168^2*R_dn)-dpdn_minQ</f>
        <v>938.12968373058959</v>
      </c>
      <c r="AT3171" s="45"/>
      <c r="AU3171" s="74"/>
    </row>
    <row r="3172" spans="15:47" x14ac:dyDescent="0.25">
      <c r="O3172" s="6" t="s">
        <v>243</v>
      </c>
      <c r="Q3172" s="60"/>
      <c r="R3172" s="53">
        <f>R3170-R3171</f>
        <v>30.18913173176292</v>
      </c>
      <c r="S3172" s="56"/>
      <c r="T3172" s="72"/>
      <c r="U3172" s="64">
        <f>U3170-U3171</f>
        <v>22.858509281058101</v>
      </c>
      <c r="V3172" s="44"/>
      <c r="W3172" s="72"/>
      <c r="X3172" s="64">
        <f>X3170-X3171</f>
        <v>-21.906967832697749</v>
      </c>
      <c r="Y3172" s="44"/>
      <c r="Z3172" s="72"/>
      <c r="AA3172" s="64">
        <f>AA3170-AA3171</f>
        <v>-165.21379027871274</v>
      </c>
      <c r="AB3172" s="44"/>
      <c r="AC3172" s="72"/>
      <c r="AD3172" s="64">
        <f>AD3170-AD3171</f>
        <v>-501.86876798779178</v>
      </c>
      <c r="AE3172" s="44"/>
      <c r="AF3172" s="72"/>
      <c r="AG3172" s="64">
        <f>AG3170-AG3171</f>
        <v>-1151.7506036404332</v>
      </c>
      <c r="AH3172" s="44"/>
      <c r="AI3172" s="72"/>
      <c r="AJ3172" s="64">
        <f>AJ3170-AJ3171</f>
        <v>-2076.3446998366453</v>
      </c>
      <c r="AK3172" s="44"/>
      <c r="AL3172" s="72"/>
      <c r="AM3172" s="64">
        <f>AM3170-AM3171</f>
        <v>-3107.1647589728054</v>
      </c>
      <c r="AN3172" s="44"/>
      <c r="AO3172" s="72"/>
      <c r="AP3172" s="64">
        <f>AP3170-AP3171</f>
        <v>-4199.2100376438484</v>
      </c>
      <c r="AQ3172" s="44"/>
      <c r="AR3172" s="72"/>
      <c r="AS3172" s="64">
        <f>AS3170-AS3171</f>
        <v>-5448.5781023835389</v>
      </c>
      <c r="AT3172" s="44"/>
      <c r="AU3172" s="72"/>
    </row>
    <row r="3173" spans="15:47" ht="13" x14ac:dyDescent="0.3">
      <c r="O3173" s="6" t="s">
        <v>75</v>
      </c>
      <c r="P3173" s="6">
        <v>3</v>
      </c>
      <c r="Q3173" s="65"/>
      <c r="R3173" s="85">
        <f>(F_LP_h/F_P_h)^2*(R3170-('Valve Sizing'!$V$4*'Valve Sizing'!$G$7))</f>
        <v>45.336607015637433</v>
      </c>
      <c r="S3173" s="58"/>
      <c r="T3173" s="73"/>
      <c r="U3173" s="53">
        <f>(U$29/U$27)^2*(U3170-('Valve Sizing'!$V$4*'Valve Sizing'!$G$7))</f>
        <v>40.267178709759243</v>
      </c>
      <c r="V3173" s="41"/>
      <c r="W3173" s="73"/>
      <c r="X3173" s="53">
        <f>(X$29/X$27)^2*(X3170-('Valve Sizing'!$V$4*'Valve Sizing'!$G$7))</f>
        <v>9.1737535691196701</v>
      </c>
      <c r="Y3173" s="41"/>
      <c r="Z3173" s="73"/>
      <c r="AA3173" s="53">
        <f>(AA$29/AA$27)^2*(AA3170-('Valve Sizing'!$V$4*'Valve Sizing'!$G$7))</f>
        <v>-83.527697176364342</v>
      </c>
      <c r="AB3173" s="41"/>
      <c r="AC3173" s="73"/>
      <c r="AD3173" s="53">
        <f>(AD$29/AD$27)^2*(AD3170-('Valve Sizing'!$V$4*'Valve Sizing'!$G$7))</f>
        <v>-280.27556519341977</v>
      </c>
      <c r="AE3173" s="41"/>
      <c r="AF3173" s="73"/>
      <c r="AG3173" s="53">
        <f>(AG$29/AG$27)^2*(AG3170-('Valve Sizing'!$V$4*'Valve Sizing'!$G$7))</f>
        <v>-599.08897110108762</v>
      </c>
      <c r="AH3173" s="41"/>
      <c r="AI3173" s="73"/>
      <c r="AJ3173" s="53">
        <f>(AJ$29/AJ$27)^2*(AJ3170-('Valve Sizing'!$V$4*'Valve Sizing'!$G$7))</f>
        <v>-983.62073998119865</v>
      </c>
      <c r="AK3173" s="41"/>
      <c r="AL3173" s="73"/>
      <c r="AM3173" s="53">
        <f>(AM$29/AM$27)^2*(AM3170-('Valve Sizing'!$V$4*'Valve Sizing'!$G$7))</f>
        <v>-1224.7502755120527</v>
      </c>
      <c r="AN3173" s="41"/>
      <c r="AO3173" s="73"/>
      <c r="AP3173" s="53">
        <f>(AP$29/AP$27)^2*(AP3170-('Valve Sizing'!$V$4*'Valve Sizing'!$G$7))</f>
        <v>-1369.2558116525402</v>
      </c>
      <c r="AQ3173" s="41"/>
      <c r="AR3173" s="73"/>
      <c r="AS3173" s="53">
        <f>(AS$29/AS$27)^2*(AS3170-('Valve Sizing'!$V$4*'Valve Sizing'!$G$7))</f>
        <v>-1696.7291735974909</v>
      </c>
      <c r="AT3173" s="41"/>
      <c r="AU3173" s="73"/>
    </row>
    <row r="3174" spans="15:47" ht="13" x14ac:dyDescent="0.25">
      <c r="O3174" s="1" t="s">
        <v>69</v>
      </c>
      <c r="P3174" s="17">
        <v>7</v>
      </c>
      <c r="Q3174" s="65"/>
      <c r="R3174" s="53">
        <f>(R3168/(N_1*F_P_h))*SQRT('Valve Sizing'!$G$6/R3172)</f>
        <v>41.141219094230649</v>
      </c>
      <c r="S3174" s="58"/>
      <c r="T3174" s="73"/>
      <c r="U3174" s="64">
        <f>(U3168/(N_1*U$27))*SQRT('Valve Sizing'!$G$6/U3172)</f>
        <v>100.8217312017449</v>
      </c>
      <c r="V3174" s="41"/>
      <c r="W3174" s="73"/>
      <c r="X3174" s="64" t="e">
        <f>(X3168/(N_1*X$27))*SQRT('Valve Sizing'!$G$6/X3172)</f>
        <v>#NUM!</v>
      </c>
      <c r="Y3174" s="41"/>
      <c r="Z3174" s="73"/>
      <c r="AA3174" s="64" t="e">
        <f>(AA3168/(N_1*AA$27))*SQRT('Valve Sizing'!$G$6/AA3172)</f>
        <v>#NUM!</v>
      </c>
      <c r="AB3174" s="41"/>
      <c r="AC3174" s="73"/>
      <c r="AD3174" s="64" t="e">
        <f>(AD3168/(N_1*AD$27))*SQRT('Valve Sizing'!$G$6/AD3172)</f>
        <v>#NUM!</v>
      </c>
      <c r="AE3174" s="41"/>
      <c r="AF3174" s="73"/>
      <c r="AG3174" s="64" t="e">
        <f>(AG3168/(N_1*AG$27))*SQRT('Valve Sizing'!$G$6/AG3172)</f>
        <v>#NUM!</v>
      </c>
      <c r="AH3174" s="41"/>
      <c r="AI3174" s="73"/>
      <c r="AJ3174" s="64" t="e">
        <f>(AJ3168/(N_1*AJ$27))*SQRT('Valve Sizing'!$G$6/AJ3172)</f>
        <v>#NUM!</v>
      </c>
      <c r="AK3174" s="41"/>
      <c r="AL3174" s="73"/>
      <c r="AM3174" s="64" t="e">
        <f>(AM3168/(N_1*AM$27))*SQRT('Valve Sizing'!$G$6/AM3172)</f>
        <v>#NUM!</v>
      </c>
      <c r="AN3174" s="41"/>
      <c r="AO3174" s="73"/>
      <c r="AP3174" s="64" t="e">
        <f>(AP3168/(N_1*AP$27))*SQRT('Valve Sizing'!$G$6/AP3172)</f>
        <v>#NUM!</v>
      </c>
      <c r="AQ3174" s="41"/>
      <c r="AR3174" s="73"/>
      <c r="AS3174" s="64" t="e">
        <f>(AS3168/(N_1*AS$27))*SQRT('Valve Sizing'!$G$6/AS3172)</f>
        <v>#NUM!</v>
      </c>
      <c r="AT3174" s="41"/>
      <c r="AU3174" s="73"/>
    </row>
    <row r="3175" spans="15:47" ht="13" x14ac:dyDescent="0.3">
      <c r="O3175" s="1" t="s">
        <v>72</v>
      </c>
      <c r="P3175" s="17">
        <v>7</v>
      </c>
      <c r="Q3175" s="65"/>
      <c r="R3175" s="53">
        <f>(R3168/(N_1*F_P_h))*SQRT('Valve Sizing'!$G$6/R3173)</f>
        <v>33.572057675206409</v>
      </c>
      <c r="S3175" s="56"/>
      <c r="T3175" s="72"/>
      <c r="U3175" s="85">
        <f>(U3168/(N_1*U$27))*SQRT('Valve Sizing'!$G$6/U3173)</f>
        <v>75.963068843605697</v>
      </c>
      <c r="V3175" s="44"/>
      <c r="W3175" s="72"/>
      <c r="X3175" s="85">
        <f>(X3168/(N_1*X$27))*SQRT('Valve Sizing'!$G$6/X3173)</f>
        <v>382.87773127938522</v>
      </c>
      <c r="Y3175" s="44"/>
      <c r="Z3175" s="72"/>
      <c r="AA3175" s="85" t="e">
        <f>(AA3168/(N_1*AA$27))*SQRT('Valve Sizing'!$G$6/AA3173)</f>
        <v>#NUM!</v>
      </c>
      <c r="AB3175" s="44"/>
      <c r="AC3175" s="72"/>
      <c r="AD3175" s="85" t="e">
        <f>(AD3168/(N_1*AD$27))*SQRT('Valve Sizing'!$G$6/AD3173)</f>
        <v>#NUM!</v>
      </c>
      <c r="AE3175" s="44"/>
      <c r="AF3175" s="72"/>
      <c r="AG3175" s="85" t="e">
        <f>(AG3168/(N_1*AG$27))*SQRT('Valve Sizing'!$G$6/AG3173)</f>
        <v>#NUM!</v>
      </c>
      <c r="AH3175" s="44"/>
      <c r="AI3175" s="72"/>
      <c r="AJ3175" s="85" t="e">
        <f>(AJ3168/(N_1*AJ$27))*SQRT('Valve Sizing'!$G$6/AJ3173)</f>
        <v>#NUM!</v>
      </c>
      <c r="AK3175" s="44"/>
      <c r="AL3175" s="72"/>
      <c r="AM3175" s="85" t="e">
        <f>(AM3168/(N_1*AM$27))*SQRT('Valve Sizing'!$G$6/AM3173)</f>
        <v>#NUM!</v>
      </c>
      <c r="AN3175" s="44"/>
      <c r="AO3175" s="72"/>
      <c r="AP3175" s="85" t="e">
        <f>(AP3168/(N_1*AP$27))*SQRT('Valve Sizing'!$G$6/AP3173)</f>
        <v>#NUM!</v>
      </c>
      <c r="AQ3175" s="44"/>
      <c r="AR3175" s="72"/>
      <c r="AS3175" s="85" t="e">
        <f>(AS3168/(N_1*AS$27))*SQRT('Valve Sizing'!$G$6/AS3173)</f>
        <v>#NUM!</v>
      </c>
      <c r="AT3175" s="44"/>
      <c r="AU3175" s="72"/>
    </row>
    <row r="3176" spans="15:47" x14ac:dyDescent="0.25">
      <c r="O3176" s="1" t="s">
        <v>246</v>
      </c>
      <c r="P3176" s="18"/>
      <c r="Q3176" s="65"/>
      <c r="R3176" s="53">
        <f>IF(R3172&lt;R3173,R3174,R3175)</f>
        <v>41.141219094230649</v>
      </c>
      <c r="S3176" s="49"/>
      <c r="T3176" s="72"/>
      <c r="U3176" s="64">
        <f>IF(U3172&lt;U3173,U3174,U3175)</f>
        <v>100.8217312017449</v>
      </c>
      <c r="V3176" s="44"/>
      <c r="W3176" s="72"/>
      <c r="X3176" s="64" t="e">
        <f>IF(X3172&lt;X3173,X3174,X3175)</f>
        <v>#NUM!</v>
      </c>
      <c r="Y3176" s="44"/>
      <c r="Z3176" s="72"/>
      <c r="AA3176" s="64" t="e">
        <f>IF(AA3172&lt;AA3173,AA3174,AA3175)</f>
        <v>#NUM!</v>
      </c>
      <c r="AB3176" s="44"/>
      <c r="AC3176" s="72"/>
      <c r="AD3176" s="64" t="e">
        <f>IF(AD3172&lt;AD3173,AD3174,AD3175)</f>
        <v>#NUM!</v>
      </c>
      <c r="AE3176" s="44"/>
      <c r="AF3176" s="72"/>
      <c r="AG3176" s="64" t="e">
        <f>IF(AG3172&lt;AG3173,AG3174,AG3175)</f>
        <v>#NUM!</v>
      </c>
      <c r="AH3176" s="44"/>
      <c r="AI3176" s="72"/>
      <c r="AJ3176" s="64" t="e">
        <f>IF(AJ3172&lt;AJ3173,AJ3174,AJ3175)</f>
        <v>#NUM!</v>
      </c>
      <c r="AK3176" s="44"/>
      <c r="AL3176" s="72"/>
      <c r="AM3176" s="64" t="e">
        <f>IF(AM3172&lt;AM3173,AM3174,AM3175)</f>
        <v>#NUM!</v>
      </c>
      <c r="AN3176" s="44"/>
      <c r="AO3176" s="72"/>
      <c r="AP3176" s="64" t="e">
        <f>IF(AP3172&lt;AP3173,AP3174,AP3175)</f>
        <v>#NUM!</v>
      </c>
      <c r="AQ3176" s="44"/>
      <c r="AR3176" s="72"/>
      <c r="AS3176" s="64" t="e">
        <f>IF(AS3172&lt;AS3173,AS3174,AS3175)</f>
        <v>#NUM!</v>
      </c>
      <c r="AT3176" s="44"/>
      <c r="AU3176" s="72"/>
    </row>
    <row r="3177" spans="15:47" ht="13" x14ac:dyDescent="0.3">
      <c r="O3177" s="7" t="s">
        <v>264</v>
      </c>
      <c r="Q3177" s="61"/>
      <c r="R3177" s="53"/>
      <c r="S3177" s="69">
        <f>IFERROR(ABS(C_h-R3176),Q_max*10)</f>
        <v>36.141219094230649</v>
      </c>
      <c r="T3177" s="76">
        <f>R3168</f>
        <v>226.01587227172763</v>
      </c>
      <c r="U3177" s="61"/>
      <c r="V3177" s="69">
        <f>IFERROR(ABS(U$23-U3176),Q_max*10)</f>
        <v>88.821731201744896</v>
      </c>
      <c r="W3177" s="75">
        <f>U3168</f>
        <v>481.62878183295004</v>
      </c>
      <c r="X3177" s="61"/>
      <c r="Y3177" s="69">
        <f>IFERROR(ABS(X$23-X3176),Q_max*10)</f>
        <v>5500</v>
      </c>
      <c r="Z3177" s="75">
        <f>X3168</f>
        <v>1156.0944733333072</v>
      </c>
      <c r="AA3177" s="61"/>
      <c r="AB3177" s="69">
        <f>IFERROR(ABS(AA$23-AA3176),Q_max*10)</f>
        <v>5500</v>
      </c>
      <c r="AC3177" s="75">
        <f>AA3168</f>
        <v>2207.4080445461905</v>
      </c>
      <c r="AD3177" s="61"/>
      <c r="AE3177" s="69">
        <f>IFERROR(ABS(AD$23-AD3176),Q_max*10)</f>
        <v>5500</v>
      </c>
      <c r="AF3177" s="75">
        <f>AD3168</f>
        <v>3630.3735138548432</v>
      </c>
      <c r="AG3177" s="61"/>
      <c r="AH3177" s="69">
        <f>IFERROR(ABS(AG$23-AG3176),Q_max*10)</f>
        <v>5500</v>
      </c>
      <c r="AI3177" s="75">
        <f>AG3168</f>
        <v>5405.1314641577119</v>
      </c>
      <c r="AJ3177" s="61"/>
      <c r="AK3177" s="69">
        <f>IFERROR(ABS(AJ$23-AJ3176),Q_max*10)</f>
        <v>5500</v>
      </c>
      <c r="AL3177" s="75">
        <f>AJ3168</f>
        <v>7213.1688922739932</v>
      </c>
      <c r="AM3177" s="61"/>
      <c r="AN3177" s="69">
        <f>IFERROR(ABS(AM$23-AM3176),Q_max*10)</f>
        <v>5500</v>
      </c>
      <c r="AO3177" s="75">
        <f>AM3168</f>
        <v>8801.4368388152379</v>
      </c>
      <c r="AP3177" s="61"/>
      <c r="AQ3177" s="69">
        <f>IFERROR(ABS(AP$23-AP3176),Q_max*10)</f>
        <v>5500</v>
      </c>
      <c r="AR3177" s="75">
        <f>AP3168</f>
        <v>10218.194932514351</v>
      </c>
      <c r="AS3177" s="61"/>
      <c r="AT3177" s="69">
        <f>IFERROR(ABS(AS$23-AS3176),Q_max*10)</f>
        <v>5500</v>
      </c>
      <c r="AU3177" s="75">
        <f>AS3168</f>
        <v>11629.258990852073</v>
      </c>
    </row>
    <row r="3178" spans="15:47" ht="14.5" x14ac:dyDescent="0.35">
      <c r="O3178" s="6"/>
      <c r="P3178" s="6"/>
      <c r="Q3178" s="60"/>
      <c r="R3178" s="67"/>
      <c r="S3178" s="58"/>
      <c r="T3178" s="73"/>
      <c r="V3178" s="11"/>
      <c r="W3178" s="38"/>
      <c r="Y3178" s="11"/>
      <c r="Z3178" s="38"/>
      <c r="AB3178" s="11"/>
      <c r="AC3178" s="38"/>
      <c r="AE3178" s="11"/>
      <c r="AF3178" s="38"/>
      <c r="AH3178" s="11"/>
      <c r="AI3178" s="38"/>
      <c r="AK3178" s="11"/>
      <c r="AL3178" s="38"/>
      <c r="AN3178" s="11"/>
      <c r="AO3178" s="38"/>
      <c r="AQ3178" s="11"/>
      <c r="AR3178" s="38"/>
      <c r="AT3178" s="11"/>
      <c r="AU3178" s="38"/>
    </row>
    <row r="3179" spans="15:47" ht="14" x14ac:dyDescent="0.3">
      <c r="O3179" s="8" t="s">
        <v>235</v>
      </c>
      <c r="P3179" s="6"/>
      <c r="Q3179" s="60"/>
      <c r="R3179" s="53">
        <f>R3168*1.02</f>
        <v>230.53618971716219</v>
      </c>
      <c r="S3179" s="58" t="s">
        <v>238</v>
      </c>
      <c r="T3179" s="73" t="s">
        <v>241</v>
      </c>
      <c r="U3179" s="84">
        <f>U3168*1.01</f>
        <v>486.44506965127954</v>
      </c>
      <c r="V3179" s="58" t="s">
        <v>238</v>
      </c>
      <c r="W3179" s="73" t="s">
        <v>241</v>
      </c>
      <c r="X3179" s="84">
        <f>X3168*1.01</f>
        <v>1167.6554180666403</v>
      </c>
      <c r="Y3179" s="58" t="s">
        <v>238</v>
      </c>
      <c r="Z3179" s="73" t="s">
        <v>241</v>
      </c>
      <c r="AA3179" s="84">
        <f>AA3168*1.01</f>
        <v>2229.4821249916522</v>
      </c>
      <c r="AB3179" s="58" t="s">
        <v>238</v>
      </c>
      <c r="AC3179" s="73" t="s">
        <v>241</v>
      </c>
      <c r="AD3179" s="84">
        <f>AD3168*1.01</f>
        <v>3666.6772489933915</v>
      </c>
      <c r="AE3179" s="58" t="s">
        <v>238</v>
      </c>
      <c r="AF3179" s="73" t="s">
        <v>241</v>
      </c>
      <c r="AG3179" s="84">
        <f>AG3168*1.01</f>
        <v>5459.1827787992888</v>
      </c>
      <c r="AH3179" s="58" t="s">
        <v>238</v>
      </c>
      <c r="AI3179" s="73" t="s">
        <v>241</v>
      </c>
      <c r="AJ3179" s="84">
        <f>AJ3168*1.01</f>
        <v>7285.3005811967332</v>
      </c>
      <c r="AK3179" s="58" t="s">
        <v>238</v>
      </c>
      <c r="AL3179" s="73" t="s">
        <v>241</v>
      </c>
      <c r="AM3179" s="84">
        <f>AM3168*1.01</f>
        <v>8889.4512072033904</v>
      </c>
      <c r="AN3179" s="58" t="s">
        <v>238</v>
      </c>
      <c r="AO3179" s="73" t="s">
        <v>241</v>
      </c>
      <c r="AP3179" s="84">
        <f>AP3168*1.01</f>
        <v>10320.376881839495</v>
      </c>
      <c r="AQ3179" s="58" t="s">
        <v>238</v>
      </c>
      <c r="AR3179" s="73" t="s">
        <v>241</v>
      </c>
      <c r="AS3179" s="84">
        <f>AS3168*1.01</f>
        <v>11745.551580760593</v>
      </c>
      <c r="AT3179" s="58" t="s">
        <v>238</v>
      </c>
      <c r="AU3179" s="73" t="s">
        <v>241</v>
      </c>
    </row>
    <row r="3180" spans="15:47" ht="13" x14ac:dyDescent="0.25">
      <c r="O3180" s="6"/>
      <c r="P3180" s="6"/>
      <c r="Q3180" s="60"/>
      <c r="R3180" s="70"/>
      <c r="S3180" s="63" t="s">
        <v>250</v>
      </c>
      <c r="T3180" s="71" t="s">
        <v>242</v>
      </c>
      <c r="U3180" s="61"/>
      <c r="V3180" s="63" t="s">
        <v>250</v>
      </c>
      <c r="W3180" s="71" t="s">
        <v>242</v>
      </c>
      <c r="X3180" s="61"/>
      <c r="Y3180" s="63" t="s">
        <v>250</v>
      </c>
      <c r="Z3180" s="71" t="s">
        <v>242</v>
      </c>
      <c r="AA3180" s="61"/>
      <c r="AB3180" s="63" t="s">
        <v>250</v>
      </c>
      <c r="AC3180" s="71" t="s">
        <v>242</v>
      </c>
      <c r="AD3180" s="61"/>
      <c r="AE3180" s="63" t="s">
        <v>250</v>
      </c>
      <c r="AF3180" s="71" t="s">
        <v>242</v>
      </c>
      <c r="AG3180" s="61"/>
      <c r="AH3180" s="63" t="s">
        <v>250</v>
      </c>
      <c r="AI3180" s="71" t="s">
        <v>242</v>
      </c>
      <c r="AJ3180" s="61"/>
      <c r="AK3180" s="63" t="s">
        <v>250</v>
      </c>
      <c r="AL3180" s="71" t="s">
        <v>242</v>
      </c>
      <c r="AM3180" s="61"/>
      <c r="AN3180" s="63" t="s">
        <v>250</v>
      </c>
      <c r="AO3180" s="71" t="s">
        <v>242</v>
      </c>
      <c r="AP3180" s="61"/>
      <c r="AQ3180" s="63" t="s">
        <v>250</v>
      </c>
      <c r="AR3180" s="71" t="s">
        <v>242</v>
      </c>
      <c r="AS3180" s="61"/>
      <c r="AT3180" s="63" t="s">
        <v>250</v>
      </c>
      <c r="AU3180" s="71" t="s">
        <v>242</v>
      </c>
    </row>
    <row r="3181" spans="15:47" ht="13" x14ac:dyDescent="0.3">
      <c r="O3181" s="6" t="s">
        <v>231</v>
      </c>
      <c r="P3181" s="6"/>
      <c r="Q3181" s="60"/>
      <c r="R3181" s="85">
        <f>P_1_minQ-(R3179^2*R_up)+dpup_minQ</f>
        <v>55.121245026365841</v>
      </c>
      <c r="S3181" s="56"/>
      <c r="T3181" s="72"/>
      <c r="U3181" s="53">
        <f>P_1_minQ-(U3179^2*R_up)+dpup_minQ</f>
        <v>48.924626619789322</v>
      </c>
      <c r="V3181" s="44"/>
      <c r="W3181" s="72"/>
      <c r="X3181" s="53">
        <f>P_1_minQ-(X3179^2*R_up)+dpup_minQ</f>
        <v>10.870240616670703</v>
      </c>
      <c r="Y3181" s="44"/>
      <c r="Z3181" s="72"/>
      <c r="AA3181" s="53">
        <f>P_1_minQ-(AA3179^2*R_up)+dpup_minQ</f>
        <v>-110.95250069764583</v>
      </c>
      <c r="AB3181" s="44"/>
      <c r="AC3181" s="72"/>
      <c r="AD3181" s="53">
        <f>P_1_minQ-(AD3179^2*R_up)+dpup_minQ</f>
        <v>-397.13728633183877</v>
      </c>
      <c r="AE3181" s="44"/>
      <c r="AF3181" s="72"/>
      <c r="AG3181" s="53">
        <f>P_1_minQ-(AG3179^2*R_up)+dpup_minQ</f>
        <v>-949.59100345622176</v>
      </c>
      <c r="AH3181" s="44"/>
      <c r="AI3181" s="72"/>
      <c r="AJ3181" s="53">
        <f>P_1_minQ-(AJ3179^2*R_up)+dpup_minQ</f>
        <v>-1735.5730347310187</v>
      </c>
      <c r="AK3181" s="44"/>
      <c r="AL3181" s="72"/>
      <c r="AM3181" s="53">
        <f>P_1_minQ-(AM3179^2*R_up)+dpup_minQ</f>
        <v>-2611.8559866683495</v>
      </c>
      <c r="AN3181" s="44"/>
      <c r="AO3181" s="72"/>
      <c r="AP3181" s="53">
        <f>P_1_minQ-(AP3179^2*R_up)+dpup_minQ</f>
        <v>-3540.1854773119589</v>
      </c>
      <c r="AQ3181" s="44"/>
      <c r="AR3181" s="72"/>
      <c r="AS3181" s="53">
        <f>P_1_minQ-(AS3179^2*R_up)+dpup_minQ</f>
        <v>-4602.2524463460886</v>
      </c>
      <c r="AT3181" s="44"/>
      <c r="AU3181" s="72"/>
    </row>
    <row r="3182" spans="15:47" ht="13" x14ac:dyDescent="0.3">
      <c r="O3182" s="6" t="s">
        <v>233</v>
      </c>
      <c r="P3182" s="6"/>
      <c r="Q3182" s="60"/>
      <c r="R3182" s="85">
        <f>P_2_minQ+(R3179^2*R_dn)-dpdn_minQ</f>
        <v>25.015750994726833</v>
      </c>
      <c r="S3182" s="66"/>
      <c r="T3182" s="74"/>
      <c r="U3182" s="53">
        <f>P_2_minQ+(U3179^2*R_dn)-dpdn_minQ</f>
        <v>26.255074676042138</v>
      </c>
      <c r="V3182" s="45"/>
      <c r="W3182" s="74"/>
      <c r="X3182" s="53">
        <f>P_2_minQ+(X3179^2*R_dn)-dpdn_minQ</f>
        <v>33.865951876665861</v>
      </c>
      <c r="Y3182" s="45"/>
      <c r="Z3182" s="74"/>
      <c r="AA3182" s="53">
        <f>P_2_minQ+(AA3179^2*R_dn)-dpdn_minQ</f>
        <v>58.23050013952917</v>
      </c>
      <c r="AB3182" s="45"/>
      <c r="AC3182" s="74"/>
      <c r="AD3182" s="53">
        <f>P_2_minQ+(AD3179^2*R_dn)-dpdn_minQ</f>
        <v>115.46745726636775</v>
      </c>
      <c r="AE3182" s="45"/>
      <c r="AF3182" s="74"/>
      <c r="AG3182" s="53">
        <f>P_2_minQ+(AG3179^2*R_dn)-dpdn_minQ</f>
        <v>225.95820069124434</v>
      </c>
      <c r="AH3182" s="45"/>
      <c r="AI3182" s="74"/>
      <c r="AJ3182" s="53">
        <f>P_2_minQ+(AJ3179^2*R_dn)-dpdn_minQ</f>
        <v>383.15460694620367</v>
      </c>
      <c r="AK3182" s="45"/>
      <c r="AL3182" s="74"/>
      <c r="AM3182" s="53">
        <f>P_2_minQ+(AM3179^2*R_dn)-dpdn_minQ</f>
        <v>558.41119733366986</v>
      </c>
      <c r="AN3182" s="45"/>
      <c r="AO3182" s="74"/>
      <c r="AP3182" s="53">
        <f>P_2_minQ+(AP3179^2*R_dn)-dpdn_minQ</f>
        <v>744.07709546239175</v>
      </c>
      <c r="AQ3182" s="45"/>
      <c r="AR3182" s="74"/>
      <c r="AS3182" s="53">
        <f>P_2_minQ+(AS3179^2*R_dn)-dpdn_minQ</f>
        <v>956.49048926921762</v>
      </c>
      <c r="AT3182" s="45"/>
      <c r="AU3182" s="74"/>
    </row>
    <row r="3183" spans="15:47" x14ac:dyDescent="0.25">
      <c r="O3183" s="6" t="s">
        <v>243</v>
      </c>
      <c r="Q3183" s="60"/>
      <c r="R3183" s="53">
        <f>R3181-R3182</f>
        <v>30.105494031639008</v>
      </c>
      <c r="S3183" s="56"/>
      <c r="T3183" s="72"/>
      <c r="U3183" s="64">
        <f>U3181-U3182</f>
        <v>22.669551943747184</v>
      </c>
      <c r="V3183" s="44"/>
      <c r="W3183" s="72"/>
      <c r="X3183" s="64">
        <f>X3181-X3182</f>
        <v>-22.995711259995158</v>
      </c>
      <c r="Y3183" s="44"/>
      <c r="Z3183" s="72"/>
      <c r="AA3183" s="64">
        <f>AA3181-AA3182</f>
        <v>-169.183000837175</v>
      </c>
      <c r="AB3183" s="44"/>
      <c r="AC3183" s="72"/>
      <c r="AD3183" s="64">
        <f>AD3181-AD3182</f>
        <v>-512.60474359820648</v>
      </c>
      <c r="AE3183" s="44"/>
      <c r="AF3183" s="72"/>
      <c r="AG3183" s="64">
        <f>AG3181-AG3182</f>
        <v>-1175.5492041474661</v>
      </c>
      <c r="AH3183" s="44"/>
      <c r="AI3183" s="72"/>
      <c r="AJ3183" s="64">
        <f>AJ3181-AJ3182</f>
        <v>-2118.7276416772224</v>
      </c>
      <c r="AK3183" s="44"/>
      <c r="AL3183" s="72"/>
      <c r="AM3183" s="64">
        <f>AM3181-AM3182</f>
        <v>-3170.2671840020193</v>
      </c>
      <c r="AN3183" s="44"/>
      <c r="AO3183" s="72"/>
      <c r="AP3183" s="64">
        <f>AP3181-AP3182</f>
        <v>-4284.2625727743507</v>
      </c>
      <c r="AQ3183" s="44"/>
      <c r="AR3183" s="72"/>
      <c r="AS3183" s="64">
        <f>AS3181-AS3182</f>
        <v>-5558.7429356153061</v>
      </c>
      <c r="AT3183" s="44"/>
      <c r="AU3183" s="72"/>
    </row>
    <row r="3184" spans="15:47" ht="13" x14ac:dyDescent="0.3">
      <c r="O3184" s="6" t="s">
        <v>75</v>
      </c>
      <c r="P3184" s="6">
        <v>3</v>
      </c>
      <c r="Q3184" s="65"/>
      <c r="R3184" s="85">
        <f>(F_LP_h/F_P_h)^2*(R3181-('Valve Sizing'!$V$4*'Valve Sizing'!$G$7))</f>
        <v>45.278893344103814</v>
      </c>
      <c r="S3184" s="58"/>
      <c r="T3184" s="73"/>
      <c r="U3184" s="53">
        <f>(U$29/U$27)^2*(U3181-('Valve Sizing'!$V$4*'Valve Sizing'!$G$7))</f>
        <v>40.136825420323504</v>
      </c>
      <c r="V3184" s="41"/>
      <c r="W3184" s="73"/>
      <c r="X3184" s="53">
        <f>(X$29/X$27)^2*(X3181-('Valve Sizing'!$V$4*'Valve Sizing'!$G$7))</f>
        <v>8.4396197145807061</v>
      </c>
      <c r="Y3184" s="41"/>
      <c r="Z3184" s="73"/>
      <c r="AA3184" s="53">
        <f>(AA$29/AA$27)^2*(AA3181-('Valve Sizing'!$V$4*'Valve Sizing'!$G$7))</f>
        <v>-86.083859585152652</v>
      </c>
      <c r="AB3184" s="41"/>
      <c r="AC3184" s="73"/>
      <c r="AD3184" s="53">
        <f>(AD$29/AD$27)^2*(AD3181-('Valve Sizing'!$V$4*'Valve Sizing'!$G$7))</f>
        <v>-286.72777387173346</v>
      </c>
      <c r="AE3184" s="41"/>
      <c r="AF3184" s="73"/>
      <c r="AG3184" s="53">
        <f>(AG$29/AG$27)^2*(AG3181-('Valve Sizing'!$V$4*'Valve Sizing'!$G$7))</f>
        <v>-611.86175835373558</v>
      </c>
      <c r="AH3184" s="41"/>
      <c r="AI3184" s="73"/>
      <c r="AJ3184" s="53">
        <f>(AJ$29/AJ$27)^2*(AJ3181-('Valve Sizing'!$V$4*'Valve Sizing'!$G$7))</f>
        <v>-1004.0480583035279</v>
      </c>
      <c r="AK3184" s="41"/>
      <c r="AL3184" s="73"/>
      <c r="AM3184" s="53">
        <f>(AM$29/AM$27)^2*(AM3181-('Valve Sizing'!$V$4*'Valve Sizing'!$G$7))</f>
        <v>-1249.9109029537653</v>
      </c>
      <c r="AN3184" s="41"/>
      <c r="AO3184" s="73"/>
      <c r="AP3184" s="53">
        <f>(AP$29/AP$27)^2*(AP3181-('Valve Sizing'!$V$4*'Valve Sizing'!$G$7))</f>
        <v>-1397.2258217336562</v>
      </c>
      <c r="AQ3184" s="41"/>
      <c r="AR3184" s="73"/>
      <c r="AS3184" s="53">
        <f>(AS$29/AS$27)^2*(AS3181-('Valve Sizing'!$V$4*'Valve Sizing'!$G$7))</f>
        <v>-1731.2604134759174</v>
      </c>
      <c r="AT3184" s="41"/>
      <c r="AU3184" s="73"/>
    </row>
    <row r="3185" spans="15:47" ht="13" x14ac:dyDescent="0.25">
      <c r="O3185" s="1" t="s">
        <v>69</v>
      </c>
      <c r="P3185" s="17">
        <v>7</v>
      </c>
      <c r="Q3185" s="65"/>
      <c r="R3185" s="53">
        <f>(R3179/(N_1*F_P_h))*SQRT('Valve Sizing'!$G$6/R3183)</f>
        <v>42.022294335346253</v>
      </c>
      <c r="S3185" s="58"/>
      <c r="T3185" s="73"/>
      <c r="U3185" s="64">
        <f>(U3179/(N_1*U$27))*SQRT('Valve Sizing'!$G$6/U3183)</f>
        <v>102.2534590071203</v>
      </c>
      <c r="V3185" s="41"/>
      <c r="W3185" s="73"/>
      <c r="X3185" s="64" t="e">
        <f>(X3179/(N_1*X$27))*SQRT('Valve Sizing'!$G$6/X3183)</f>
        <v>#NUM!</v>
      </c>
      <c r="Y3185" s="41"/>
      <c r="Z3185" s="73"/>
      <c r="AA3185" s="64" t="e">
        <f>(AA3179/(N_1*AA$27))*SQRT('Valve Sizing'!$G$6/AA3183)</f>
        <v>#NUM!</v>
      </c>
      <c r="AB3185" s="41"/>
      <c r="AC3185" s="73"/>
      <c r="AD3185" s="64" t="e">
        <f>(AD3179/(N_1*AD$27))*SQRT('Valve Sizing'!$G$6/AD3183)</f>
        <v>#NUM!</v>
      </c>
      <c r="AE3185" s="41"/>
      <c r="AF3185" s="73"/>
      <c r="AG3185" s="64" t="e">
        <f>(AG3179/(N_1*AG$27))*SQRT('Valve Sizing'!$G$6/AG3183)</f>
        <v>#NUM!</v>
      </c>
      <c r="AH3185" s="41"/>
      <c r="AI3185" s="73"/>
      <c r="AJ3185" s="64" t="e">
        <f>(AJ3179/(N_1*AJ$27))*SQRT('Valve Sizing'!$G$6/AJ3183)</f>
        <v>#NUM!</v>
      </c>
      <c r="AK3185" s="41"/>
      <c r="AL3185" s="73"/>
      <c r="AM3185" s="64" t="e">
        <f>(AM3179/(N_1*AM$27))*SQRT('Valve Sizing'!$G$6/AM3183)</f>
        <v>#NUM!</v>
      </c>
      <c r="AN3185" s="41"/>
      <c r="AO3185" s="73"/>
      <c r="AP3185" s="64" t="e">
        <f>(AP3179/(N_1*AP$27))*SQRT('Valve Sizing'!$G$6/AP3183)</f>
        <v>#NUM!</v>
      </c>
      <c r="AQ3185" s="41"/>
      <c r="AR3185" s="73"/>
      <c r="AS3185" s="64" t="e">
        <f>(AS3179/(N_1*AS$27))*SQRT('Valve Sizing'!$G$6/AS3183)</f>
        <v>#NUM!</v>
      </c>
      <c r="AT3185" s="41"/>
      <c r="AU3185" s="73"/>
    </row>
    <row r="3186" spans="15:47" ht="13" x14ac:dyDescent="0.3">
      <c r="O3186" s="1" t="s">
        <v>72</v>
      </c>
      <c r="P3186" s="17">
        <v>7</v>
      </c>
      <c r="Q3186" s="65"/>
      <c r="R3186" s="53">
        <f>(R3179/(N_1*F_P_h))*SQRT('Valve Sizing'!$G$6/R3184)</f>
        <v>34.26531571216232</v>
      </c>
      <c r="S3186" s="56"/>
      <c r="T3186" s="72"/>
      <c r="U3186" s="85">
        <f>(U3179/(N_1*U$27))*SQRT('Valve Sizing'!$G$6/U3184)</f>
        <v>76.84718557631723</v>
      </c>
      <c r="V3186" s="44"/>
      <c r="W3186" s="72"/>
      <c r="X3186" s="85">
        <f>(X3179/(N_1*X$27))*SQRT('Valve Sizing'!$G$6/X3184)</f>
        <v>403.17498413434396</v>
      </c>
      <c r="Y3186" s="44"/>
      <c r="Z3186" s="72"/>
      <c r="AA3186" s="85" t="e">
        <f>(AA3179/(N_1*AA$27))*SQRT('Valve Sizing'!$G$6/AA3184)</f>
        <v>#NUM!</v>
      </c>
      <c r="AB3186" s="44"/>
      <c r="AC3186" s="72"/>
      <c r="AD3186" s="85" t="e">
        <f>(AD3179/(N_1*AD$27))*SQRT('Valve Sizing'!$G$6/AD3184)</f>
        <v>#NUM!</v>
      </c>
      <c r="AE3186" s="44"/>
      <c r="AF3186" s="72"/>
      <c r="AG3186" s="85" t="e">
        <f>(AG3179/(N_1*AG$27))*SQRT('Valve Sizing'!$G$6/AG3184)</f>
        <v>#NUM!</v>
      </c>
      <c r="AH3186" s="44"/>
      <c r="AI3186" s="72"/>
      <c r="AJ3186" s="85" t="e">
        <f>(AJ3179/(N_1*AJ$27))*SQRT('Valve Sizing'!$G$6/AJ3184)</f>
        <v>#NUM!</v>
      </c>
      <c r="AK3186" s="44"/>
      <c r="AL3186" s="72"/>
      <c r="AM3186" s="85" t="e">
        <f>(AM3179/(N_1*AM$27))*SQRT('Valve Sizing'!$G$6/AM3184)</f>
        <v>#NUM!</v>
      </c>
      <c r="AN3186" s="44"/>
      <c r="AO3186" s="72"/>
      <c r="AP3186" s="85" t="e">
        <f>(AP3179/(N_1*AP$27))*SQRT('Valve Sizing'!$G$6/AP3184)</f>
        <v>#NUM!</v>
      </c>
      <c r="AQ3186" s="44"/>
      <c r="AR3186" s="72"/>
      <c r="AS3186" s="85" t="e">
        <f>(AS3179/(N_1*AS$27))*SQRT('Valve Sizing'!$G$6/AS3184)</f>
        <v>#NUM!</v>
      </c>
      <c r="AT3186" s="44"/>
      <c r="AU3186" s="72"/>
    </row>
    <row r="3187" spans="15:47" x14ac:dyDescent="0.25">
      <c r="O3187" s="1" t="s">
        <v>246</v>
      </c>
      <c r="P3187" s="18"/>
      <c r="Q3187" s="65"/>
      <c r="R3187" s="53">
        <f>IF(R3183&lt;R3184,R3185,R3186)</f>
        <v>42.022294335346253</v>
      </c>
      <c r="S3187" s="49"/>
      <c r="T3187" s="72"/>
      <c r="U3187" s="64">
        <f>IF(U3183&lt;U3184,U3185,U3186)</f>
        <v>102.2534590071203</v>
      </c>
      <c r="V3187" s="44"/>
      <c r="W3187" s="72"/>
      <c r="X3187" s="64" t="e">
        <f>IF(X3183&lt;X3184,X3185,X3186)</f>
        <v>#NUM!</v>
      </c>
      <c r="Y3187" s="44"/>
      <c r="Z3187" s="72"/>
      <c r="AA3187" s="64" t="e">
        <f>IF(AA3183&lt;AA3184,AA3185,AA3186)</f>
        <v>#NUM!</v>
      </c>
      <c r="AB3187" s="44"/>
      <c r="AC3187" s="72"/>
      <c r="AD3187" s="64" t="e">
        <f>IF(AD3183&lt;AD3184,AD3185,AD3186)</f>
        <v>#NUM!</v>
      </c>
      <c r="AE3187" s="44"/>
      <c r="AF3187" s="72"/>
      <c r="AG3187" s="64" t="e">
        <f>IF(AG3183&lt;AG3184,AG3185,AG3186)</f>
        <v>#NUM!</v>
      </c>
      <c r="AH3187" s="44"/>
      <c r="AI3187" s="72"/>
      <c r="AJ3187" s="64" t="e">
        <f>IF(AJ3183&lt;AJ3184,AJ3185,AJ3186)</f>
        <v>#NUM!</v>
      </c>
      <c r="AK3187" s="44"/>
      <c r="AL3187" s="72"/>
      <c r="AM3187" s="64" t="e">
        <f>IF(AM3183&lt;AM3184,AM3185,AM3186)</f>
        <v>#NUM!</v>
      </c>
      <c r="AN3187" s="44"/>
      <c r="AO3187" s="72"/>
      <c r="AP3187" s="64" t="e">
        <f>IF(AP3183&lt;AP3184,AP3185,AP3186)</f>
        <v>#NUM!</v>
      </c>
      <c r="AQ3187" s="44"/>
      <c r="AR3187" s="72"/>
      <c r="AS3187" s="64" t="e">
        <f>IF(AS3183&lt;AS3184,AS3185,AS3186)</f>
        <v>#NUM!</v>
      </c>
      <c r="AT3187" s="44"/>
      <c r="AU3187" s="72"/>
    </row>
    <row r="3188" spans="15:47" ht="13" x14ac:dyDescent="0.3">
      <c r="O3188" s="7" t="s">
        <v>264</v>
      </c>
      <c r="Q3188" s="61"/>
      <c r="R3188" s="53"/>
      <c r="S3188" s="69">
        <f>IFERROR(ABS(C_h-R3187),Q_max*10)</f>
        <v>37.022294335346253</v>
      </c>
      <c r="T3188" s="76">
        <f>R3179</f>
        <v>230.53618971716219</v>
      </c>
      <c r="U3188" s="61"/>
      <c r="V3188" s="69">
        <f>IFERROR(ABS(U$23-U3187),Q_max*10)</f>
        <v>90.253459007120298</v>
      </c>
      <c r="W3188" s="75">
        <f>U3179</f>
        <v>486.44506965127954</v>
      </c>
      <c r="X3188" s="61"/>
      <c r="Y3188" s="69">
        <f>IFERROR(ABS(X$23-X3187),Q_max*10)</f>
        <v>5500</v>
      </c>
      <c r="Z3188" s="75">
        <f>X3179</f>
        <v>1167.6554180666403</v>
      </c>
      <c r="AA3188" s="61"/>
      <c r="AB3188" s="69">
        <f>IFERROR(ABS(AA$23-AA3187),Q_max*10)</f>
        <v>5500</v>
      </c>
      <c r="AC3188" s="75">
        <f>AA3179</f>
        <v>2229.4821249916522</v>
      </c>
      <c r="AD3188" s="61"/>
      <c r="AE3188" s="69">
        <f>IFERROR(ABS(AD$23-AD3187),Q_max*10)</f>
        <v>5500</v>
      </c>
      <c r="AF3188" s="75">
        <f>AD3179</f>
        <v>3666.6772489933915</v>
      </c>
      <c r="AG3188" s="61"/>
      <c r="AH3188" s="69">
        <f>IFERROR(ABS(AG$23-AG3187),Q_max*10)</f>
        <v>5500</v>
      </c>
      <c r="AI3188" s="75">
        <f>AG3179</f>
        <v>5459.1827787992888</v>
      </c>
      <c r="AJ3188" s="61"/>
      <c r="AK3188" s="69">
        <f>IFERROR(ABS(AJ$23-AJ3187),Q_max*10)</f>
        <v>5500</v>
      </c>
      <c r="AL3188" s="75">
        <f>AJ3179</f>
        <v>7285.3005811967332</v>
      </c>
      <c r="AM3188" s="61"/>
      <c r="AN3188" s="69">
        <f>IFERROR(ABS(AM$23-AM3187),Q_max*10)</f>
        <v>5500</v>
      </c>
      <c r="AO3188" s="75">
        <f>AM3179</f>
        <v>8889.4512072033904</v>
      </c>
      <c r="AP3188" s="61"/>
      <c r="AQ3188" s="69">
        <f>IFERROR(ABS(AP$23-AP3187),Q_max*10)</f>
        <v>5500</v>
      </c>
      <c r="AR3188" s="75">
        <f>AP3179</f>
        <v>10320.376881839495</v>
      </c>
      <c r="AS3188" s="61"/>
      <c r="AT3188" s="69">
        <f>IFERROR(ABS(AS$23-AS3187),Q_max*10)</f>
        <v>5500</v>
      </c>
      <c r="AU3188" s="75">
        <f>AS3179</f>
        <v>11745.551580760593</v>
      </c>
    </row>
    <row r="3189" spans="15:47" ht="14.5" x14ac:dyDescent="0.35">
      <c r="O3189" s="8"/>
      <c r="P3189" s="6"/>
      <c r="Q3189" s="60"/>
      <c r="R3189" s="67"/>
      <c r="S3189" s="56"/>
      <c r="T3189" s="72"/>
      <c r="V3189" s="11"/>
      <c r="W3189" s="38"/>
      <c r="Y3189" s="11"/>
      <c r="Z3189" s="38"/>
      <c r="AB3189" s="11"/>
      <c r="AC3189" s="38"/>
      <c r="AE3189" s="11"/>
      <c r="AF3189" s="38"/>
      <c r="AH3189" s="11"/>
      <c r="AI3189" s="38"/>
      <c r="AK3189" s="11"/>
      <c r="AL3189" s="38"/>
      <c r="AN3189" s="11"/>
      <c r="AO3189" s="38"/>
      <c r="AQ3189" s="11"/>
      <c r="AR3189" s="38"/>
      <c r="AT3189" s="11"/>
      <c r="AU3189" s="38"/>
    </row>
    <row r="3190" spans="15:47" ht="14" x14ac:dyDescent="0.3">
      <c r="O3190" s="8" t="s">
        <v>235</v>
      </c>
      <c r="P3190" s="6"/>
      <c r="Q3190" s="60"/>
      <c r="R3190" s="53">
        <f>R3179*1.02</f>
        <v>235.14691351150543</v>
      </c>
      <c r="S3190" s="58" t="s">
        <v>238</v>
      </c>
      <c r="T3190" s="73" t="s">
        <v>241</v>
      </c>
      <c r="U3190" s="84">
        <f>U3179*1.01</f>
        <v>491.30952034779233</v>
      </c>
      <c r="V3190" s="58" t="s">
        <v>238</v>
      </c>
      <c r="W3190" s="73" t="s">
        <v>241</v>
      </c>
      <c r="X3190" s="84">
        <f>X3179*1.01</f>
        <v>1179.3319722473068</v>
      </c>
      <c r="Y3190" s="58" t="s">
        <v>238</v>
      </c>
      <c r="Z3190" s="73" t="s">
        <v>241</v>
      </c>
      <c r="AA3190" s="84">
        <f>AA3179*1.01</f>
        <v>2251.7769462415686</v>
      </c>
      <c r="AB3190" s="58" t="s">
        <v>238</v>
      </c>
      <c r="AC3190" s="73" t="s">
        <v>241</v>
      </c>
      <c r="AD3190" s="84">
        <f>AD3179*1.01</f>
        <v>3703.3440214833254</v>
      </c>
      <c r="AE3190" s="58" t="s">
        <v>238</v>
      </c>
      <c r="AF3190" s="73" t="s">
        <v>241</v>
      </c>
      <c r="AG3190" s="84">
        <f>AG3179*1.01</f>
        <v>5513.7746065872816</v>
      </c>
      <c r="AH3190" s="58" t="s">
        <v>238</v>
      </c>
      <c r="AI3190" s="73" t="s">
        <v>241</v>
      </c>
      <c r="AJ3190" s="84">
        <f>AJ3179*1.01</f>
        <v>7358.1535870087009</v>
      </c>
      <c r="AK3190" s="58" t="s">
        <v>238</v>
      </c>
      <c r="AL3190" s="73" t="s">
        <v>241</v>
      </c>
      <c r="AM3190" s="84">
        <f>AM3179*1.01</f>
        <v>8978.3457192754249</v>
      </c>
      <c r="AN3190" s="58" t="s">
        <v>238</v>
      </c>
      <c r="AO3190" s="73" t="s">
        <v>241</v>
      </c>
      <c r="AP3190" s="84">
        <f>AP3179*1.01</f>
        <v>10423.58065065789</v>
      </c>
      <c r="AQ3190" s="58" t="s">
        <v>238</v>
      </c>
      <c r="AR3190" s="73" t="s">
        <v>241</v>
      </c>
      <c r="AS3190" s="84">
        <f>AS3179*1.01</f>
        <v>11863.007096568199</v>
      </c>
      <c r="AT3190" s="58" t="s">
        <v>238</v>
      </c>
      <c r="AU3190" s="73" t="s">
        <v>241</v>
      </c>
    </row>
    <row r="3191" spans="15:47" ht="13" x14ac:dyDescent="0.25">
      <c r="O3191" s="6"/>
      <c r="P3191" s="6"/>
      <c r="Q3191" s="60"/>
      <c r="R3191" s="70"/>
      <c r="S3191" s="63" t="s">
        <v>250</v>
      </c>
      <c r="T3191" s="71" t="s">
        <v>242</v>
      </c>
      <c r="U3191" s="61"/>
      <c r="V3191" s="63" t="s">
        <v>250</v>
      </c>
      <c r="W3191" s="71" t="s">
        <v>242</v>
      </c>
      <c r="X3191" s="61"/>
      <c r="Y3191" s="63" t="s">
        <v>250</v>
      </c>
      <c r="Z3191" s="71" t="s">
        <v>242</v>
      </c>
      <c r="AA3191" s="61"/>
      <c r="AB3191" s="63" t="s">
        <v>250</v>
      </c>
      <c r="AC3191" s="71" t="s">
        <v>242</v>
      </c>
      <c r="AD3191" s="61"/>
      <c r="AE3191" s="63" t="s">
        <v>250</v>
      </c>
      <c r="AF3191" s="71" t="s">
        <v>242</v>
      </c>
      <c r="AG3191" s="61"/>
      <c r="AH3191" s="63" t="s">
        <v>250</v>
      </c>
      <c r="AI3191" s="71" t="s">
        <v>242</v>
      </c>
      <c r="AJ3191" s="61"/>
      <c r="AK3191" s="63" t="s">
        <v>250</v>
      </c>
      <c r="AL3191" s="71" t="s">
        <v>242</v>
      </c>
      <c r="AM3191" s="61"/>
      <c r="AN3191" s="63" t="s">
        <v>250</v>
      </c>
      <c r="AO3191" s="71" t="s">
        <v>242</v>
      </c>
      <c r="AP3191" s="61"/>
      <c r="AQ3191" s="63" t="s">
        <v>250</v>
      </c>
      <c r="AR3191" s="71" t="s">
        <v>242</v>
      </c>
      <c r="AS3191" s="61"/>
      <c r="AT3191" s="63" t="s">
        <v>250</v>
      </c>
      <c r="AU3191" s="71" t="s">
        <v>242</v>
      </c>
    </row>
    <row r="3192" spans="15:47" ht="13" x14ac:dyDescent="0.3">
      <c r="O3192" s="6" t="s">
        <v>231</v>
      </c>
      <c r="P3192" s="6"/>
      <c r="Q3192" s="60"/>
      <c r="R3192" s="85">
        <f>P_1_minQ-(R3190^2*R_up)+dpup_minQ</f>
        <v>55.048731140358413</v>
      </c>
      <c r="S3192" s="56"/>
      <c r="T3192" s="72"/>
      <c r="U3192" s="53">
        <f>P_1_minQ-(U3190^2*R_up)+dpup_minQ</f>
        <v>48.763997136630266</v>
      </c>
      <c r="V3192" s="44"/>
      <c r="W3192" s="72"/>
      <c r="X3192" s="53">
        <f>P_1_minQ-(X3190^2*R_up)+dpup_minQ</f>
        <v>9.9447179748489596</v>
      </c>
      <c r="Y3192" s="44"/>
      <c r="Z3192" s="72"/>
      <c r="AA3192" s="53">
        <f>P_1_minQ-(AA3190^2*R_up)+dpup_minQ</f>
        <v>-114.32666043988533</v>
      </c>
      <c r="AB3192" s="44"/>
      <c r="AC3192" s="72"/>
      <c r="AD3192" s="53">
        <f>P_1_minQ-(AD3190^2*R_up)+dpup_minQ</f>
        <v>-406.26376026532552</v>
      </c>
      <c r="AE3192" s="44"/>
      <c r="AF3192" s="72"/>
      <c r="AG3192" s="53">
        <f>P_1_minQ-(AG3190^2*R_up)+dpup_minQ</f>
        <v>-969.82179710390847</v>
      </c>
      <c r="AH3192" s="44"/>
      <c r="AI3192" s="72"/>
      <c r="AJ3192" s="53">
        <f>P_1_minQ-(AJ3190^2*R_up)+dpup_minQ</f>
        <v>-1771.6020672073289</v>
      </c>
      <c r="AK3192" s="44"/>
      <c r="AL3192" s="72"/>
      <c r="AM3192" s="53">
        <f>P_1_minQ-(AM3190^2*R_up)+dpup_minQ</f>
        <v>-2665.4983064786006</v>
      </c>
      <c r="AN3192" s="44"/>
      <c r="AO3192" s="72"/>
      <c r="AP3192" s="53">
        <f>P_1_minQ-(AP3190^2*R_up)+dpup_minQ</f>
        <v>-3612.4872198841467</v>
      </c>
      <c r="AQ3192" s="44"/>
      <c r="AR3192" s="72"/>
      <c r="AS3192" s="53">
        <f>P_1_minQ-(AS3190^2*R_up)+dpup_minQ</f>
        <v>-4695.9017349958622</v>
      </c>
      <c r="AT3192" s="44"/>
      <c r="AU3192" s="72"/>
    </row>
    <row r="3193" spans="15:47" ht="13" x14ac:dyDescent="0.3">
      <c r="O3193" s="6" t="s">
        <v>233</v>
      </c>
      <c r="P3193" s="6"/>
      <c r="Q3193" s="60"/>
      <c r="R3193" s="85">
        <f>P_2_minQ+(R3190^2*R_dn)-dpdn_minQ</f>
        <v>25.030253771928319</v>
      </c>
      <c r="S3193" s="66"/>
      <c r="T3193" s="74"/>
      <c r="U3193" s="53">
        <f>P_2_minQ+(U3190^2*R_dn)-dpdn_minQ</f>
        <v>26.287200572673949</v>
      </c>
      <c r="V3193" s="45"/>
      <c r="W3193" s="74"/>
      <c r="X3193" s="53">
        <f>P_2_minQ+(X3190^2*R_dn)-dpdn_minQ</f>
        <v>34.051056405030209</v>
      </c>
      <c r="Y3193" s="45"/>
      <c r="Z3193" s="74"/>
      <c r="AA3193" s="53">
        <f>P_2_minQ+(AA3190^2*R_dn)-dpdn_minQ</f>
        <v>58.905332087977065</v>
      </c>
      <c r="AB3193" s="45"/>
      <c r="AC3193" s="74"/>
      <c r="AD3193" s="53">
        <f>P_2_minQ+(AD3190^2*R_dn)-dpdn_minQ</f>
        <v>117.2927520530651</v>
      </c>
      <c r="AE3193" s="45"/>
      <c r="AF3193" s="74"/>
      <c r="AG3193" s="53">
        <f>P_2_minQ+(AG3190^2*R_dn)-dpdn_minQ</f>
        <v>230.0043594207817</v>
      </c>
      <c r="AH3193" s="45"/>
      <c r="AI3193" s="74"/>
      <c r="AJ3193" s="53">
        <f>P_2_minQ+(AJ3190^2*R_dn)-dpdn_minQ</f>
        <v>390.36041344146571</v>
      </c>
      <c r="AK3193" s="45"/>
      <c r="AL3193" s="74"/>
      <c r="AM3193" s="53">
        <f>P_2_minQ+(AM3190^2*R_dn)-dpdn_minQ</f>
        <v>569.13966129572009</v>
      </c>
      <c r="AN3193" s="45"/>
      <c r="AO3193" s="74"/>
      <c r="AP3193" s="53">
        <f>P_2_minQ+(AP3190^2*R_dn)-dpdn_minQ</f>
        <v>758.53744397682919</v>
      </c>
      <c r="AQ3193" s="45"/>
      <c r="AR3193" s="74"/>
      <c r="AS3193" s="53">
        <f>P_2_minQ+(AS3190^2*R_dn)-dpdn_minQ</f>
        <v>975.22034699917219</v>
      </c>
      <c r="AT3193" s="45"/>
      <c r="AU3193" s="74"/>
    </row>
    <row r="3194" spans="15:47" x14ac:dyDescent="0.25">
      <c r="O3194" s="6" t="s">
        <v>243</v>
      </c>
      <c r="Q3194" s="60"/>
      <c r="R3194" s="53">
        <f>R3192-R3193</f>
        <v>30.018477368430094</v>
      </c>
      <c r="S3194" s="56"/>
      <c r="T3194" s="72"/>
      <c r="U3194" s="64">
        <f>U3192-U3193</f>
        <v>22.476796563956317</v>
      </c>
      <c r="V3194" s="44"/>
      <c r="W3194" s="72"/>
      <c r="X3194" s="64">
        <f>X3192-X3193</f>
        <v>-24.10633843018125</v>
      </c>
      <c r="Y3194" s="44"/>
      <c r="Z3194" s="72"/>
      <c r="AA3194" s="64">
        <f>AA3192-AA3193</f>
        <v>-173.23199252786239</v>
      </c>
      <c r="AB3194" s="44"/>
      <c r="AC3194" s="72"/>
      <c r="AD3194" s="64">
        <f>AD3192-AD3193</f>
        <v>-523.55651231839056</v>
      </c>
      <c r="AE3194" s="44"/>
      <c r="AF3194" s="72"/>
      <c r="AG3194" s="64">
        <f>AG3192-AG3193</f>
        <v>-1199.8261565246901</v>
      </c>
      <c r="AH3194" s="44"/>
      <c r="AI3194" s="72"/>
      <c r="AJ3194" s="64">
        <f>AJ3192-AJ3193</f>
        <v>-2161.9624806487946</v>
      </c>
      <c r="AK3194" s="44"/>
      <c r="AL3194" s="72"/>
      <c r="AM3194" s="64">
        <f>AM3192-AM3193</f>
        <v>-3234.6379677743207</v>
      </c>
      <c r="AN3194" s="44"/>
      <c r="AO3194" s="72"/>
      <c r="AP3194" s="64">
        <f>AP3192-AP3193</f>
        <v>-4371.024663860976</v>
      </c>
      <c r="AQ3194" s="44"/>
      <c r="AR3194" s="72"/>
      <c r="AS3194" s="64">
        <f>AS3192-AS3193</f>
        <v>-5671.122081995034</v>
      </c>
      <c r="AT3194" s="44"/>
      <c r="AU3194" s="72"/>
    </row>
    <row r="3195" spans="15:47" ht="13" x14ac:dyDescent="0.3">
      <c r="O3195" s="6" t="s">
        <v>75</v>
      </c>
      <c r="P3195" s="6">
        <v>3</v>
      </c>
      <c r="Q3195" s="65"/>
      <c r="R3195" s="85">
        <f>(F_LP_h/F_P_h)^2*(R3192-('Valve Sizing'!$V$4*'Valve Sizing'!$G$7))</f>
        <v>45.218848040240232</v>
      </c>
      <c r="S3195" s="58"/>
      <c r="T3195" s="73"/>
      <c r="U3195" s="53">
        <f>(U$29/U$27)^2*(U3192-('Valve Sizing'!$V$4*'Valve Sizing'!$G$7))</f>
        <v>40.003852029770101</v>
      </c>
      <c r="V3195" s="41"/>
      <c r="W3195" s="73"/>
      <c r="X3195" s="53">
        <f>(X$29/X$27)^2*(X3192-('Valve Sizing'!$V$4*'Valve Sizing'!$G$7))</f>
        <v>7.6907297695655119</v>
      </c>
      <c r="Y3195" s="41"/>
      <c r="Z3195" s="73"/>
      <c r="AA3195" s="53">
        <f>(AA$29/AA$27)^2*(AA3192-('Valve Sizing'!$V$4*'Valve Sizing'!$G$7))</f>
        <v>-88.691400858357639</v>
      </c>
      <c r="AB3195" s="41"/>
      <c r="AC3195" s="73"/>
      <c r="AD3195" s="53">
        <f>(AD$29/AD$27)^2*(AD3192-('Valve Sizing'!$V$4*'Valve Sizing'!$G$7))</f>
        <v>-293.30967194448129</v>
      </c>
      <c r="AE3195" s="41"/>
      <c r="AF3195" s="73"/>
      <c r="AG3195" s="53">
        <f>(AG$29/AG$27)^2*(AG3192-('Valve Sizing'!$V$4*'Valve Sizing'!$G$7))</f>
        <v>-624.89127863016165</v>
      </c>
      <c r="AH3195" s="41"/>
      <c r="AI3195" s="73"/>
      <c r="AJ3195" s="53">
        <f>(AJ$29/AJ$27)^2*(AJ3192-('Valve Sizing'!$V$4*'Valve Sizing'!$G$7))</f>
        <v>-1024.8859657241358</v>
      </c>
      <c r="AK3195" s="41"/>
      <c r="AL3195" s="73"/>
      <c r="AM3195" s="53">
        <f>(AM$29/AM$27)^2*(AM3192-('Valve Sizing'!$V$4*'Valve Sizing'!$G$7))</f>
        <v>-1275.5772590070565</v>
      </c>
      <c r="AN3195" s="41"/>
      <c r="AO3195" s="73"/>
      <c r="AP3195" s="53">
        <f>(AP$29/AP$27)^2*(AP3192-('Valve Sizing'!$V$4*'Valve Sizing'!$G$7))</f>
        <v>-1425.7580290174024</v>
      </c>
      <c r="AQ3195" s="41"/>
      <c r="AR3195" s="73"/>
      <c r="AS3195" s="53">
        <f>(AS$29/AS$27)^2*(AS3192-('Valve Sizing'!$V$4*'Valve Sizing'!$G$7))</f>
        <v>-1766.4857312759011</v>
      </c>
      <c r="AT3195" s="41"/>
      <c r="AU3195" s="73"/>
    </row>
    <row r="3196" spans="15:47" ht="13" x14ac:dyDescent="0.25">
      <c r="O3196" s="1" t="s">
        <v>69</v>
      </c>
      <c r="P3196" s="17">
        <v>7</v>
      </c>
      <c r="Q3196" s="65"/>
      <c r="R3196" s="53">
        <f>(R3190/(N_1*F_P_h))*SQRT('Valve Sizing'!$G$6/R3194)</f>
        <v>42.924819879801703</v>
      </c>
      <c r="S3196" s="58"/>
      <c r="T3196" s="73"/>
      <c r="U3196" s="64">
        <f>(U3190/(N_1*U$27))*SQRT('Valve Sizing'!$G$6/U3194)</f>
        <v>103.71788276881267</v>
      </c>
      <c r="V3196" s="41"/>
      <c r="W3196" s="73"/>
      <c r="X3196" s="64" t="e">
        <f>(X3190/(N_1*X$27))*SQRT('Valve Sizing'!$G$6/X3194)</f>
        <v>#NUM!</v>
      </c>
      <c r="Y3196" s="41"/>
      <c r="Z3196" s="73"/>
      <c r="AA3196" s="64" t="e">
        <f>(AA3190/(N_1*AA$27))*SQRT('Valve Sizing'!$G$6/AA3194)</f>
        <v>#NUM!</v>
      </c>
      <c r="AB3196" s="41"/>
      <c r="AC3196" s="73"/>
      <c r="AD3196" s="64" t="e">
        <f>(AD3190/(N_1*AD$27))*SQRT('Valve Sizing'!$G$6/AD3194)</f>
        <v>#NUM!</v>
      </c>
      <c r="AE3196" s="41"/>
      <c r="AF3196" s="73"/>
      <c r="AG3196" s="64" t="e">
        <f>(AG3190/(N_1*AG$27))*SQRT('Valve Sizing'!$G$6/AG3194)</f>
        <v>#NUM!</v>
      </c>
      <c r="AH3196" s="41"/>
      <c r="AI3196" s="73"/>
      <c r="AJ3196" s="64" t="e">
        <f>(AJ3190/(N_1*AJ$27))*SQRT('Valve Sizing'!$G$6/AJ3194)</f>
        <v>#NUM!</v>
      </c>
      <c r="AK3196" s="41"/>
      <c r="AL3196" s="73"/>
      <c r="AM3196" s="64" t="e">
        <f>(AM3190/(N_1*AM$27))*SQRT('Valve Sizing'!$G$6/AM3194)</f>
        <v>#NUM!</v>
      </c>
      <c r="AN3196" s="41"/>
      <c r="AO3196" s="73"/>
      <c r="AP3196" s="64" t="e">
        <f>(AP3190/(N_1*AP$27))*SQRT('Valve Sizing'!$G$6/AP3194)</f>
        <v>#NUM!</v>
      </c>
      <c r="AQ3196" s="41"/>
      <c r="AR3196" s="73"/>
      <c r="AS3196" s="64" t="e">
        <f>(AS3190/(N_1*AS$27))*SQRT('Valve Sizing'!$G$6/AS3194)</f>
        <v>#NUM!</v>
      </c>
      <c r="AT3196" s="41"/>
      <c r="AU3196" s="73"/>
    </row>
    <row r="3197" spans="15:47" ht="13" x14ac:dyDescent="0.3">
      <c r="O3197" s="1" t="s">
        <v>72</v>
      </c>
      <c r="P3197" s="17">
        <v>7</v>
      </c>
      <c r="Q3197" s="65"/>
      <c r="R3197" s="53">
        <f>(R3190/(N_1*F_P_h))*SQRT('Valve Sizing'!$G$6/R3195)</f>
        <v>34.973819482694374</v>
      </c>
      <c r="S3197" s="56"/>
      <c r="T3197" s="72"/>
      <c r="U3197" s="85">
        <f>(U3190/(N_1*U$27))*SQRT('Valve Sizing'!$G$6/U3195)</f>
        <v>77.744548203763244</v>
      </c>
      <c r="V3197" s="44"/>
      <c r="W3197" s="72"/>
      <c r="X3197" s="85">
        <f>(X3190/(N_1*X$27))*SQRT('Valve Sizing'!$G$6/X3195)</f>
        <v>426.57226448137271</v>
      </c>
      <c r="Y3197" s="44"/>
      <c r="Z3197" s="72"/>
      <c r="AA3197" s="85" t="e">
        <f>(AA3190/(N_1*AA$27))*SQRT('Valve Sizing'!$G$6/AA3195)</f>
        <v>#NUM!</v>
      </c>
      <c r="AB3197" s="44"/>
      <c r="AC3197" s="72"/>
      <c r="AD3197" s="85" t="e">
        <f>(AD3190/(N_1*AD$27))*SQRT('Valve Sizing'!$G$6/AD3195)</f>
        <v>#NUM!</v>
      </c>
      <c r="AE3197" s="44"/>
      <c r="AF3197" s="72"/>
      <c r="AG3197" s="85" t="e">
        <f>(AG3190/(N_1*AG$27))*SQRT('Valve Sizing'!$G$6/AG3195)</f>
        <v>#NUM!</v>
      </c>
      <c r="AH3197" s="44"/>
      <c r="AI3197" s="72"/>
      <c r="AJ3197" s="85" t="e">
        <f>(AJ3190/(N_1*AJ$27))*SQRT('Valve Sizing'!$G$6/AJ3195)</f>
        <v>#NUM!</v>
      </c>
      <c r="AK3197" s="44"/>
      <c r="AL3197" s="72"/>
      <c r="AM3197" s="85" t="e">
        <f>(AM3190/(N_1*AM$27))*SQRT('Valve Sizing'!$G$6/AM3195)</f>
        <v>#NUM!</v>
      </c>
      <c r="AN3197" s="44"/>
      <c r="AO3197" s="72"/>
      <c r="AP3197" s="85" t="e">
        <f>(AP3190/(N_1*AP$27))*SQRT('Valve Sizing'!$G$6/AP3195)</f>
        <v>#NUM!</v>
      </c>
      <c r="AQ3197" s="44"/>
      <c r="AR3197" s="72"/>
      <c r="AS3197" s="85" t="e">
        <f>(AS3190/(N_1*AS$27))*SQRT('Valve Sizing'!$G$6/AS3195)</f>
        <v>#NUM!</v>
      </c>
      <c r="AT3197" s="44"/>
      <c r="AU3197" s="72"/>
    </row>
    <row r="3198" spans="15:47" x14ac:dyDescent="0.25">
      <c r="O3198" s="1" t="s">
        <v>246</v>
      </c>
      <c r="P3198" s="18"/>
      <c r="Q3198" s="65"/>
      <c r="R3198" s="53">
        <f>IF(R3194&lt;R3195,R3196,R3197)</f>
        <v>42.924819879801703</v>
      </c>
      <c r="S3198" s="49"/>
      <c r="T3198" s="72"/>
      <c r="U3198" s="64">
        <f>IF(U3194&lt;U3195,U3196,U3197)</f>
        <v>103.71788276881267</v>
      </c>
      <c r="V3198" s="44"/>
      <c r="W3198" s="72"/>
      <c r="X3198" s="64" t="e">
        <f>IF(X3194&lt;X3195,X3196,X3197)</f>
        <v>#NUM!</v>
      </c>
      <c r="Y3198" s="44"/>
      <c r="Z3198" s="72"/>
      <c r="AA3198" s="64" t="e">
        <f>IF(AA3194&lt;AA3195,AA3196,AA3197)</f>
        <v>#NUM!</v>
      </c>
      <c r="AB3198" s="44"/>
      <c r="AC3198" s="72"/>
      <c r="AD3198" s="64" t="e">
        <f>IF(AD3194&lt;AD3195,AD3196,AD3197)</f>
        <v>#NUM!</v>
      </c>
      <c r="AE3198" s="44"/>
      <c r="AF3198" s="72"/>
      <c r="AG3198" s="64" t="e">
        <f>IF(AG3194&lt;AG3195,AG3196,AG3197)</f>
        <v>#NUM!</v>
      </c>
      <c r="AH3198" s="44"/>
      <c r="AI3198" s="72"/>
      <c r="AJ3198" s="64" t="e">
        <f>IF(AJ3194&lt;AJ3195,AJ3196,AJ3197)</f>
        <v>#NUM!</v>
      </c>
      <c r="AK3198" s="44"/>
      <c r="AL3198" s="72"/>
      <c r="AM3198" s="64" t="e">
        <f>IF(AM3194&lt;AM3195,AM3196,AM3197)</f>
        <v>#NUM!</v>
      </c>
      <c r="AN3198" s="44"/>
      <c r="AO3198" s="72"/>
      <c r="AP3198" s="64" t="e">
        <f>IF(AP3194&lt;AP3195,AP3196,AP3197)</f>
        <v>#NUM!</v>
      </c>
      <c r="AQ3198" s="44"/>
      <c r="AR3198" s="72"/>
      <c r="AS3198" s="64" t="e">
        <f>IF(AS3194&lt;AS3195,AS3196,AS3197)</f>
        <v>#NUM!</v>
      </c>
      <c r="AT3198" s="44"/>
      <c r="AU3198" s="72"/>
    </row>
    <row r="3199" spans="15:47" ht="13" x14ac:dyDescent="0.3">
      <c r="O3199" s="7" t="s">
        <v>264</v>
      </c>
      <c r="Q3199" s="61"/>
      <c r="R3199" s="53"/>
      <c r="S3199" s="69">
        <f>IFERROR(ABS(C_h-R3198),Q_max*10)</f>
        <v>37.924819879801703</v>
      </c>
      <c r="T3199" s="76">
        <f>R3190</f>
        <v>235.14691351150543</v>
      </c>
      <c r="U3199" s="61"/>
      <c r="V3199" s="69">
        <f>IFERROR(ABS(U$23-U3198),Q_max*10)</f>
        <v>91.717882768812672</v>
      </c>
      <c r="W3199" s="75">
        <f>U3190</f>
        <v>491.30952034779233</v>
      </c>
      <c r="X3199" s="61"/>
      <c r="Y3199" s="69">
        <f>IFERROR(ABS(X$23-X3198),Q_max*10)</f>
        <v>5500</v>
      </c>
      <c r="Z3199" s="75">
        <f>X3190</f>
        <v>1179.3319722473068</v>
      </c>
      <c r="AA3199" s="61"/>
      <c r="AB3199" s="69">
        <f>IFERROR(ABS(AA$23-AA3198),Q_max*10)</f>
        <v>5500</v>
      </c>
      <c r="AC3199" s="75">
        <f>AA3190</f>
        <v>2251.7769462415686</v>
      </c>
      <c r="AD3199" s="61"/>
      <c r="AE3199" s="69">
        <f>IFERROR(ABS(AD$23-AD3198),Q_max*10)</f>
        <v>5500</v>
      </c>
      <c r="AF3199" s="75">
        <f>AD3190</f>
        <v>3703.3440214833254</v>
      </c>
      <c r="AG3199" s="61"/>
      <c r="AH3199" s="69">
        <f>IFERROR(ABS(AG$23-AG3198),Q_max*10)</f>
        <v>5500</v>
      </c>
      <c r="AI3199" s="75">
        <f>AG3190</f>
        <v>5513.7746065872816</v>
      </c>
      <c r="AJ3199" s="61"/>
      <c r="AK3199" s="69">
        <f>IFERROR(ABS(AJ$23-AJ3198),Q_max*10)</f>
        <v>5500</v>
      </c>
      <c r="AL3199" s="75">
        <f>AJ3190</f>
        <v>7358.1535870087009</v>
      </c>
      <c r="AM3199" s="61"/>
      <c r="AN3199" s="69">
        <f>IFERROR(ABS(AM$23-AM3198),Q_max*10)</f>
        <v>5500</v>
      </c>
      <c r="AO3199" s="75">
        <f>AM3190</f>
        <v>8978.3457192754249</v>
      </c>
      <c r="AP3199" s="61"/>
      <c r="AQ3199" s="69">
        <f>IFERROR(ABS(AP$23-AP3198),Q_max*10)</f>
        <v>5500</v>
      </c>
      <c r="AR3199" s="75">
        <f>AP3190</f>
        <v>10423.58065065789</v>
      </c>
      <c r="AS3199" s="61"/>
      <c r="AT3199" s="69">
        <f>IFERROR(ABS(AS$23-AS3198),Q_max*10)</f>
        <v>5500</v>
      </c>
      <c r="AU3199" s="75">
        <f>AS3190</f>
        <v>11863.007096568199</v>
      </c>
    </row>
    <row r="3200" spans="15:47" ht="14.5" x14ac:dyDescent="0.35">
      <c r="O3200" s="6"/>
      <c r="P3200" s="6"/>
      <c r="Q3200" s="60"/>
      <c r="R3200" s="67"/>
      <c r="S3200" s="56"/>
      <c r="T3200" s="72"/>
      <c r="V3200" s="11"/>
      <c r="W3200" s="38"/>
      <c r="Y3200" s="11"/>
      <c r="Z3200" s="38"/>
      <c r="AB3200" s="11"/>
      <c r="AC3200" s="38"/>
      <c r="AE3200" s="11"/>
      <c r="AF3200" s="38"/>
      <c r="AH3200" s="11"/>
      <c r="AI3200" s="38"/>
      <c r="AK3200" s="11"/>
      <c r="AL3200" s="38"/>
      <c r="AN3200" s="11"/>
      <c r="AO3200" s="38"/>
      <c r="AQ3200" s="11"/>
      <c r="AR3200" s="38"/>
      <c r="AT3200" s="11"/>
      <c r="AU3200" s="38"/>
    </row>
    <row r="3201" spans="15:47" ht="14" x14ac:dyDescent="0.3">
      <c r="O3201" s="8" t="s">
        <v>235</v>
      </c>
      <c r="P3201" s="6"/>
      <c r="Q3201" s="60"/>
      <c r="R3201" s="53">
        <f>R3190*1.02</f>
        <v>239.84985178173554</v>
      </c>
      <c r="S3201" s="58" t="s">
        <v>238</v>
      </c>
      <c r="T3201" s="73" t="s">
        <v>241</v>
      </c>
      <c r="U3201" s="84">
        <f>U3190*1.01</f>
        <v>496.22261555127028</v>
      </c>
      <c r="V3201" s="58" t="s">
        <v>238</v>
      </c>
      <c r="W3201" s="73" t="s">
        <v>241</v>
      </c>
      <c r="X3201" s="84">
        <f>X3190*1.01</f>
        <v>1191.1252919697799</v>
      </c>
      <c r="Y3201" s="58" t="s">
        <v>238</v>
      </c>
      <c r="Z3201" s="73" t="s">
        <v>241</v>
      </c>
      <c r="AA3201" s="84">
        <f>AA3190*1.01</f>
        <v>2274.2947157039844</v>
      </c>
      <c r="AB3201" s="58" t="s">
        <v>238</v>
      </c>
      <c r="AC3201" s="73" t="s">
        <v>241</v>
      </c>
      <c r="AD3201" s="84">
        <f>AD3190*1.01</f>
        <v>3740.3774616981586</v>
      </c>
      <c r="AE3201" s="58" t="s">
        <v>238</v>
      </c>
      <c r="AF3201" s="73" t="s">
        <v>241</v>
      </c>
      <c r="AG3201" s="84">
        <f>AG3190*1.01</f>
        <v>5568.9123526531548</v>
      </c>
      <c r="AH3201" s="58" t="s">
        <v>238</v>
      </c>
      <c r="AI3201" s="73" t="s">
        <v>241</v>
      </c>
      <c r="AJ3201" s="84">
        <f>AJ3190*1.01</f>
        <v>7431.7351228787884</v>
      </c>
      <c r="AK3201" s="58" t="s">
        <v>238</v>
      </c>
      <c r="AL3201" s="73" t="s">
        <v>241</v>
      </c>
      <c r="AM3201" s="84">
        <f>AM3190*1.01</f>
        <v>9068.1291764681791</v>
      </c>
      <c r="AN3201" s="58" t="s">
        <v>238</v>
      </c>
      <c r="AO3201" s="73" t="s">
        <v>241</v>
      </c>
      <c r="AP3201" s="84">
        <f>AP3190*1.01</f>
        <v>10527.816457164468</v>
      </c>
      <c r="AQ3201" s="58" t="s">
        <v>238</v>
      </c>
      <c r="AR3201" s="73" t="s">
        <v>241</v>
      </c>
      <c r="AS3201" s="84">
        <f>AS3190*1.01</f>
        <v>11981.637167533881</v>
      </c>
      <c r="AT3201" s="58" t="s">
        <v>238</v>
      </c>
      <c r="AU3201" s="73" t="s">
        <v>241</v>
      </c>
    </row>
    <row r="3202" spans="15:47" ht="13" x14ac:dyDescent="0.25">
      <c r="O3202" s="6"/>
      <c r="P3202" s="6"/>
      <c r="Q3202" s="60"/>
      <c r="R3202" s="70"/>
      <c r="S3202" s="63" t="s">
        <v>250</v>
      </c>
      <c r="T3202" s="71" t="s">
        <v>242</v>
      </c>
      <c r="U3202" s="61"/>
      <c r="V3202" s="63" t="s">
        <v>250</v>
      </c>
      <c r="W3202" s="71" t="s">
        <v>242</v>
      </c>
      <c r="X3202" s="61"/>
      <c r="Y3202" s="63" t="s">
        <v>250</v>
      </c>
      <c r="Z3202" s="71" t="s">
        <v>242</v>
      </c>
      <c r="AA3202" s="61"/>
      <c r="AB3202" s="63" t="s">
        <v>250</v>
      </c>
      <c r="AC3202" s="71" t="s">
        <v>242</v>
      </c>
      <c r="AD3202" s="61"/>
      <c r="AE3202" s="63" t="s">
        <v>250</v>
      </c>
      <c r="AF3202" s="71" t="s">
        <v>242</v>
      </c>
      <c r="AG3202" s="61"/>
      <c r="AH3202" s="63" t="s">
        <v>250</v>
      </c>
      <c r="AI3202" s="71" t="s">
        <v>242</v>
      </c>
      <c r="AJ3202" s="61"/>
      <c r="AK3202" s="63" t="s">
        <v>250</v>
      </c>
      <c r="AL3202" s="71" t="s">
        <v>242</v>
      </c>
      <c r="AM3202" s="61"/>
      <c r="AN3202" s="63" t="s">
        <v>250</v>
      </c>
      <c r="AO3202" s="71" t="s">
        <v>242</v>
      </c>
      <c r="AP3202" s="61"/>
      <c r="AQ3202" s="63" t="s">
        <v>250</v>
      </c>
      <c r="AR3202" s="71" t="s">
        <v>242</v>
      </c>
      <c r="AS3202" s="61"/>
      <c r="AT3202" s="63" t="s">
        <v>250</v>
      </c>
      <c r="AU3202" s="71" t="s">
        <v>242</v>
      </c>
    </row>
    <row r="3203" spans="15:47" ht="13" x14ac:dyDescent="0.3">
      <c r="O3203" s="6" t="s">
        <v>231</v>
      </c>
      <c r="P3203" s="6"/>
      <c r="Q3203" s="60"/>
      <c r="R3203" s="85">
        <f>P_1_minQ-(R3201^2*R_up)+dpup_minQ</f>
        <v>54.973287693356284</v>
      </c>
      <c r="S3203" s="56"/>
      <c r="T3203" s="72"/>
      <c r="U3203" s="53">
        <f>P_1_minQ-(U3201^2*R_up)+dpup_minQ</f>
        <v>48.60013900085972</v>
      </c>
      <c r="V3203" s="44"/>
      <c r="W3203" s="72"/>
      <c r="X3203" s="53">
        <f>P_1_minQ-(X3201^2*R_up)+dpup_minQ</f>
        <v>9.0005923279266007</v>
      </c>
      <c r="Y3203" s="44"/>
      <c r="Z3203" s="72"/>
      <c r="AA3203" s="53">
        <f>P_1_minQ-(AA3201^2*R_up)+dpup_minQ</f>
        <v>-117.76864079294384</v>
      </c>
      <c r="AB3203" s="44"/>
      <c r="AC3203" s="72"/>
      <c r="AD3203" s="53">
        <f>P_1_minQ-(AD3201^2*R_up)+dpup_minQ</f>
        <v>-415.57367632487546</v>
      </c>
      <c r="AE3203" s="44"/>
      <c r="AF3203" s="72"/>
      <c r="AG3203" s="53">
        <f>P_1_minQ-(AG3201^2*R_up)+dpup_minQ</f>
        <v>-990.45922970391416</v>
      </c>
      <c r="AH3203" s="44"/>
      <c r="AI3203" s="72"/>
      <c r="AJ3203" s="53">
        <f>P_1_minQ-(AJ3201^2*R_up)+dpup_minQ</f>
        <v>-1808.3552832364132</v>
      </c>
      <c r="AK3203" s="44"/>
      <c r="AL3203" s="72"/>
      <c r="AM3203" s="53">
        <f>P_1_minQ-(AM3201^2*R_up)+dpup_minQ</f>
        <v>-2720.2188369170367</v>
      </c>
      <c r="AN3203" s="44"/>
      <c r="AO3203" s="72"/>
      <c r="AP3203" s="53">
        <f>P_1_minQ-(AP3201^2*R_up)+dpup_minQ</f>
        <v>-3686.2422274820342</v>
      </c>
      <c r="AQ3203" s="44"/>
      <c r="AR3203" s="72"/>
      <c r="AS3203" s="53">
        <f>P_1_minQ-(AS3201^2*R_up)+dpup_minQ</f>
        <v>-4791.4333743474954</v>
      </c>
      <c r="AT3203" s="44"/>
      <c r="AU3203" s="72"/>
    </row>
    <row r="3204" spans="15:47" ht="13" x14ac:dyDescent="0.3">
      <c r="O3204" s="6" t="s">
        <v>233</v>
      </c>
      <c r="P3204" s="6"/>
      <c r="Q3204" s="60"/>
      <c r="R3204" s="85">
        <f>P_2_minQ+(R3201^2*R_dn)-dpdn_minQ</f>
        <v>25.045342461328744</v>
      </c>
      <c r="S3204" s="66"/>
      <c r="T3204" s="74"/>
      <c r="U3204" s="53">
        <f>P_2_minQ+(U3201^2*R_dn)-dpdn_minQ</f>
        <v>26.319972199828058</v>
      </c>
      <c r="V3204" s="45"/>
      <c r="W3204" s="74"/>
      <c r="X3204" s="53">
        <f>P_2_minQ+(X3201^2*R_dn)-dpdn_minQ</f>
        <v>34.239881534414685</v>
      </c>
      <c r="Y3204" s="45"/>
      <c r="Z3204" s="74"/>
      <c r="AA3204" s="53">
        <f>P_2_minQ+(AA3201^2*R_dn)-dpdn_minQ</f>
        <v>59.593728158588767</v>
      </c>
      <c r="AB3204" s="45"/>
      <c r="AC3204" s="74"/>
      <c r="AD3204" s="53">
        <f>P_2_minQ+(AD3201^2*R_dn)-dpdn_minQ</f>
        <v>119.15473526497509</v>
      </c>
      <c r="AE3204" s="45"/>
      <c r="AF3204" s="74"/>
      <c r="AG3204" s="53">
        <f>P_2_minQ+(AG3201^2*R_dn)-dpdn_minQ</f>
        <v>234.13184594078282</v>
      </c>
      <c r="AH3204" s="45"/>
      <c r="AI3204" s="74"/>
      <c r="AJ3204" s="53">
        <f>P_2_minQ+(AJ3201^2*R_dn)-dpdn_minQ</f>
        <v>397.71105664728259</v>
      </c>
      <c r="AK3204" s="45"/>
      <c r="AL3204" s="74"/>
      <c r="AM3204" s="53">
        <f>P_2_minQ+(AM3201^2*R_dn)-dpdn_minQ</f>
        <v>580.08376738340735</v>
      </c>
      <c r="AN3204" s="45"/>
      <c r="AO3204" s="74"/>
      <c r="AP3204" s="53">
        <f>P_2_minQ+(AP3201^2*R_dn)-dpdn_minQ</f>
        <v>773.28844549640678</v>
      </c>
      <c r="AQ3204" s="45"/>
      <c r="AR3204" s="74"/>
      <c r="AS3204" s="53">
        <f>P_2_minQ+(AS3201^2*R_dn)-dpdn_minQ</f>
        <v>994.3266748694989</v>
      </c>
      <c r="AT3204" s="45"/>
      <c r="AU3204" s="74"/>
    </row>
    <row r="3205" spans="15:47" x14ac:dyDescent="0.25">
      <c r="O3205" s="6" t="s">
        <v>243</v>
      </c>
      <c r="Q3205" s="60"/>
      <c r="R3205" s="53">
        <f>R3203-R3204</f>
        <v>29.92794523202754</v>
      </c>
      <c r="S3205" s="56"/>
      <c r="T3205" s="72"/>
      <c r="U3205" s="64">
        <f>U3203-U3204</f>
        <v>22.280166801031662</v>
      </c>
      <c r="V3205" s="44"/>
      <c r="W3205" s="72"/>
      <c r="X3205" s="64">
        <f>X3203-X3204</f>
        <v>-25.239289206488085</v>
      </c>
      <c r="Y3205" s="44"/>
      <c r="Z3205" s="72"/>
      <c r="AA3205" s="64">
        <f>AA3203-AA3204</f>
        <v>-177.3623689515326</v>
      </c>
      <c r="AB3205" s="44"/>
      <c r="AC3205" s="72"/>
      <c r="AD3205" s="64">
        <f>AD3203-AD3204</f>
        <v>-534.72841158985057</v>
      </c>
      <c r="AE3205" s="44"/>
      <c r="AF3205" s="72"/>
      <c r="AG3205" s="64">
        <f>AG3203-AG3204</f>
        <v>-1224.591075644697</v>
      </c>
      <c r="AH3205" s="44"/>
      <c r="AI3205" s="72"/>
      <c r="AJ3205" s="64">
        <f>AJ3203-AJ3204</f>
        <v>-2206.0663398836959</v>
      </c>
      <c r="AK3205" s="44"/>
      <c r="AL3205" s="72"/>
      <c r="AM3205" s="64">
        <f>AM3203-AM3204</f>
        <v>-3300.3026043004438</v>
      </c>
      <c r="AN3205" s="44"/>
      <c r="AO3205" s="72"/>
      <c r="AP3205" s="64">
        <f>AP3203-AP3204</f>
        <v>-4459.5306729784406</v>
      </c>
      <c r="AQ3205" s="44"/>
      <c r="AR3205" s="72"/>
      <c r="AS3205" s="64">
        <f>AS3203-AS3204</f>
        <v>-5785.760049216994</v>
      </c>
      <c r="AT3205" s="44"/>
      <c r="AU3205" s="72"/>
    </row>
    <row r="3206" spans="15:47" ht="13" x14ac:dyDescent="0.3">
      <c r="O3206" s="6" t="s">
        <v>75</v>
      </c>
      <c r="P3206" s="6">
        <v>3</v>
      </c>
      <c r="Q3206" s="65"/>
      <c r="R3206" s="85">
        <f>(F_LP_h/F_P_h)^2*(R3203-('Valve Sizing'!$V$4*'Valve Sizing'!$G$7))</f>
        <v>45.156376906100562</v>
      </c>
      <c r="S3206" s="58"/>
      <c r="T3206" s="73"/>
      <c r="U3206" s="53">
        <f>(U$29/U$27)^2*(U3203-('Valve Sizing'!$V$4*'Valve Sizing'!$G$7))</f>
        <v>39.868205874066589</v>
      </c>
      <c r="V3206" s="41"/>
      <c r="W3206" s="73"/>
      <c r="X3206" s="53">
        <f>(X$29/X$27)^2*(X3203-('Valve Sizing'!$V$4*'Valve Sizing'!$G$7))</f>
        <v>6.9267871366555127</v>
      </c>
      <c r="Y3206" s="41"/>
      <c r="Z3206" s="73"/>
      <c r="AA3206" s="53">
        <f>(AA$29/AA$27)^2*(AA3203-('Valve Sizing'!$V$4*'Valve Sizing'!$G$7))</f>
        <v>-91.351353711154047</v>
      </c>
      <c r="AB3206" s="41"/>
      <c r="AC3206" s="73"/>
      <c r="AD3206" s="53">
        <f>(AD$29/AD$27)^2*(AD3203-('Valve Sizing'!$V$4*'Valve Sizing'!$G$7))</f>
        <v>-300.02386616849145</v>
      </c>
      <c r="AE3206" s="41"/>
      <c r="AF3206" s="73"/>
      <c r="AG3206" s="53">
        <f>(AG$29/AG$27)^2*(AG3203-('Valve Sizing'!$V$4*'Valve Sizing'!$G$7))</f>
        <v>-638.18269226414429</v>
      </c>
      <c r="AH3206" s="41"/>
      <c r="AI3206" s="73"/>
      <c r="AJ3206" s="53">
        <f>(AJ$29/AJ$27)^2*(AJ3203-('Valve Sizing'!$V$4*'Valve Sizing'!$G$7))</f>
        <v>-1046.1427150838981</v>
      </c>
      <c r="AK3206" s="41"/>
      <c r="AL3206" s="73"/>
      <c r="AM3206" s="53">
        <f>(AM$29/AM$27)^2*(AM3203-('Valve Sizing'!$V$4*'Valve Sizing'!$G$7))</f>
        <v>-1301.7595088170185</v>
      </c>
      <c r="AN3206" s="41"/>
      <c r="AO3206" s="73"/>
      <c r="AP3206" s="53">
        <f>(AP$29/AP$27)^2*(AP3203-('Valve Sizing'!$V$4*'Valve Sizing'!$G$7))</f>
        <v>-1454.8637336675513</v>
      </c>
      <c r="AQ3206" s="41"/>
      <c r="AR3206" s="73"/>
      <c r="AS3206" s="53">
        <f>(AS$29/AS$27)^2*(AS3203-('Valve Sizing'!$V$4*'Valve Sizing'!$G$7))</f>
        <v>-1802.419077963664</v>
      </c>
      <c r="AT3206" s="41"/>
      <c r="AU3206" s="73"/>
    </row>
    <row r="3207" spans="15:47" ht="13" x14ac:dyDescent="0.25">
      <c r="O3207" s="1" t="s">
        <v>69</v>
      </c>
      <c r="P3207" s="17">
        <v>7</v>
      </c>
      <c r="Q3207" s="65"/>
      <c r="R3207" s="53">
        <f>(R3201/(N_1*F_P_h))*SQRT('Valve Sizing'!$G$6/R3205)</f>
        <v>43.849488612836247</v>
      </c>
      <c r="S3207" s="58"/>
      <c r="T3207" s="73"/>
      <c r="U3207" s="64">
        <f>(U3201/(N_1*U$27))*SQRT('Valve Sizing'!$G$6/U3205)</f>
        <v>105.21629504703803</v>
      </c>
      <c r="V3207" s="41"/>
      <c r="W3207" s="73"/>
      <c r="X3207" s="64" t="e">
        <f>(X3201/(N_1*X$27))*SQRT('Valve Sizing'!$G$6/X3205)</f>
        <v>#NUM!</v>
      </c>
      <c r="Y3207" s="41"/>
      <c r="Z3207" s="73"/>
      <c r="AA3207" s="64" t="e">
        <f>(AA3201/(N_1*AA$27))*SQRT('Valve Sizing'!$G$6/AA3205)</f>
        <v>#NUM!</v>
      </c>
      <c r="AB3207" s="41"/>
      <c r="AC3207" s="73"/>
      <c r="AD3207" s="64" t="e">
        <f>(AD3201/(N_1*AD$27))*SQRT('Valve Sizing'!$G$6/AD3205)</f>
        <v>#NUM!</v>
      </c>
      <c r="AE3207" s="41"/>
      <c r="AF3207" s="73"/>
      <c r="AG3207" s="64" t="e">
        <f>(AG3201/(N_1*AG$27))*SQRT('Valve Sizing'!$G$6/AG3205)</f>
        <v>#NUM!</v>
      </c>
      <c r="AH3207" s="41"/>
      <c r="AI3207" s="73"/>
      <c r="AJ3207" s="64" t="e">
        <f>(AJ3201/(N_1*AJ$27))*SQRT('Valve Sizing'!$G$6/AJ3205)</f>
        <v>#NUM!</v>
      </c>
      <c r="AK3207" s="41"/>
      <c r="AL3207" s="73"/>
      <c r="AM3207" s="64" t="e">
        <f>(AM3201/(N_1*AM$27))*SQRT('Valve Sizing'!$G$6/AM3205)</f>
        <v>#NUM!</v>
      </c>
      <c r="AN3207" s="41"/>
      <c r="AO3207" s="73"/>
      <c r="AP3207" s="64" t="e">
        <f>(AP3201/(N_1*AP$27))*SQRT('Valve Sizing'!$G$6/AP3205)</f>
        <v>#NUM!</v>
      </c>
      <c r="AQ3207" s="41"/>
      <c r="AR3207" s="73"/>
      <c r="AS3207" s="64" t="e">
        <f>(AS3201/(N_1*AS$27))*SQRT('Valve Sizing'!$G$6/AS3205)</f>
        <v>#NUM!</v>
      </c>
      <c r="AT3207" s="41"/>
      <c r="AU3207" s="73"/>
    </row>
    <row r="3208" spans="15:47" ht="13" x14ac:dyDescent="0.3">
      <c r="O3208" s="1" t="s">
        <v>72</v>
      </c>
      <c r="P3208" s="17">
        <v>7</v>
      </c>
      <c r="Q3208" s="65"/>
      <c r="R3208" s="53">
        <f>(R3201/(N_1*F_P_h))*SQRT('Valve Sizing'!$G$6/R3206)</f>
        <v>35.697963274499287</v>
      </c>
      <c r="S3208" s="56"/>
      <c r="T3208" s="72"/>
      <c r="U3208" s="85">
        <f>(U3201/(N_1*U$27))*SQRT('Valve Sizing'!$G$6/U3206)</f>
        <v>78.655460465997038</v>
      </c>
      <c r="V3208" s="44"/>
      <c r="W3208" s="72"/>
      <c r="X3208" s="85">
        <f>(X3201/(N_1*X$27))*SQRT('Valve Sizing'!$G$6/X3206)</f>
        <v>453.97490161795076</v>
      </c>
      <c r="Y3208" s="44"/>
      <c r="Z3208" s="72"/>
      <c r="AA3208" s="85" t="e">
        <f>(AA3201/(N_1*AA$27))*SQRT('Valve Sizing'!$G$6/AA3206)</f>
        <v>#NUM!</v>
      </c>
      <c r="AB3208" s="44"/>
      <c r="AC3208" s="72"/>
      <c r="AD3208" s="85" t="e">
        <f>(AD3201/(N_1*AD$27))*SQRT('Valve Sizing'!$G$6/AD3206)</f>
        <v>#NUM!</v>
      </c>
      <c r="AE3208" s="44"/>
      <c r="AF3208" s="72"/>
      <c r="AG3208" s="85" t="e">
        <f>(AG3201/(N_1*AG$27))*SQRT('Valve Sizing'!$G$6/AG3206)</f>
        <v>#NUM!</v>
      </c>
      <c r="AH3208" s="44"/>
      <c r="AI3208" s="72"/>
      <c r="AJ3208" s="85" t="e">
        <f>(AJ3201/(N_1*AJ$27))*SQRT('Valve Sizing'!$G$6/AJ3206)</f>
        <v>#NUM!</v>
      </c>
      <c r="AK3208" s="44"/>
      <c r="AL3208" s="72"/>
      <c r="AM3208" s="85" t="e">
        <f>(AM3201/(N_1*AM$27))*SQRT('Valve Sizing'!$G$6/AM3206)</f>
        <v>#NUM!</v>
      </c>
      <c r="AN3208" s="44"/>
      <c r="AO3208" s="72"/>
      <c r="AP3208" s="85" t="e">
        <f>(AP3201/(N_1*AP$27))*SQRT('Valve Sizing'!$G$6/AP3206)</f>
        <v>#NUM!</v>
      </c>
      <c r="AQ3208" s="44"/>
      <c r="AR3208" s="72"/>
      <c r="AS3208" s="85" t="e">
        <f>(AS3201/(N_1*AS$27))*SQRT('Valve Sizing'!$G$6/AS3206)</f>
        <v>#NUM!</v>
      </c>
      <c r="AT3208" s="44"/>
      <c r="AU3208" s="72"/>
    </row>
    <row r="3209" spans="15:47" x14ac:dyDescent="0.25">
      <c r="O3209" s="1" t="s">
        <v>246</v>
      </c>
      <c r="P3209" s="18"/>
      <c r="Q3209" s="65"/>
      <c r="R3209" s="53">
        <f>IF(R3205&lt;R3206,R3207,R3208)</f>
        <v>43.849488612836247</v>
      </c>
      <c r="S3209" s="49"/>
      <c r="T3209" s="72"/>
      <c r="U3209" s="64">
        <f>IF(U3205&lt;U3206,U3207,U3208)</f>
        <v>105.21629504703803</v>
      </c>
      <c r="V3209" s="44"/>
      <c r="W3209" s="72"/>
      <c r="X3209" s="64" t="e">
        <f>IF(X3205&lt;X3206,X3207,X3208)</f>
        <v>#NUM!</v>
      </c>
      <c r="Y3209" s="44"/>
      <c r="Z3209" s="72"/>
      <c r="AA3209" s="64" t="e">
        <f>IF(AA3205&lt;AA3206,AA3207,AA3208)</f>
        <v>#NUM!</v>
      </c>
      <c r="AB3209" s="44"/>
      <c r="AC3209" s="72"/>
      <c r="AD3209" s="64" t="e">
        <f>IF(AD3205&lt;AD3206,AD3207,AD3208)</f>
        <v>#NUM!</v>
      </c>
      <c r="AE3209" s="44"/>
      <c r="AF3209" s="72"/>
      <c r="AG3209" s="64" t="e">
        <f>IF(AG3205&lt;AG3206,AG3207,AG3208)</f>
        <v>#NUM!</v>
      </c>
      <c r="AH3209" s="44"/>
      <c r="AI3209" s="72"/>
      <c r="AJ3209" s="64" t="e">
        <f>IF(AJ3205&lt;AJ3206,AJ3207,AJ3208)</f>
        <v>#NUM!</v>
      </c>
      <c r="AK3209" s="44"/>
      <c r="AL3209" s="72"/>
      <c r="AM3209" s="64" t="e">
        <f>IF(AM3205&lt;AM3206,AM3207,AM3208)</f>
        <v>#NUM!</v>
      </c>
      <c r="AN3209" s="44"/>
      <c r="AO3209" s="72"/>
      <c r="AP3209" s="64" t="e">
        <f>IF(AP3205&lt;AP3206,AP3207,AP3208)</f>
        <v>#NUM!</v>
      </c>
      <c r="AQ3209" s="44"/>
      <c r="AR3209" s="72"/>
      <c r="AS3209" s="64" t="e">
        <f>IF(AS3205&lt;AS3206,AS3207,AS3208)</f>
        <v>#NUM!</v>
      </c>
      <c r="AT3209" s="44"/>
      <c r="AU3209" s="72"/>
    </row>
    <row r="3210" spans="15:47" ht="13" x14ac:dyDescent="0.3">
      <c r="O3210" s="7" t="s">
        <v>264</v>
      </c>
      <c r="Q3210" s="61"/>
      <c r="R3210" s="53"/>
      <c r="S3210" s="69">
        <f>IFERROR(ABS(C_h-R3209),Q_max*10)</f>
        <v>38.849488612836247</v>
      </c>
      <c r="T3210" s="76">
        <f>R3201</f>
        <v>239.84985178173554</v>
      </c>
      <c r="U3210" s="61"/>
      <c r="V3210" s="69">
        <f>IFERROR(ABS(U$23-U3209),Q_max*10)</f>
        <v>93.216295047038031</v>
      </c>
      <c r="W3210" s="75">
        <f>U3201</f>
        <v>496.22261555127028</v>
      </c>
      <c r="X3210" s="61"/>
      <c r="Y3210" s="69">
        <f>IFERROR(ABS(X$23-X3209),Q_max*10)</f>
        <v>5500</v>
      </c>
      <c r="Z3210" s="75">
        <f>X3201</f>
        <v>1191.1252919697799</v>
      </c>
      <c r="AA3210" s="61"/>
      <c r="AB3210" s="69">
        <f>IFERROR(ABS(AA$23-AA3209),Q_max*10)</f>
        <v>5500</v>
      </c>
      <c r="AC3210" s="75">
        <f>AA3201</f>
        <v>2274.2947157039844</v>
      </c>
      <c r="AD3210" s="61"/>
      <c r="AE3210" s="69">
        <f>IFERROR(ABS(AD$23-AD3209),Q_max*10)</f>
        <v>5500</v>
      </c>
      <c r="AF3210" s="75">
        <f>AD3201</f>
        <v>3740.3774616981586</v>
      </c>
      <c r="AG3210" s="61"/>
      <c r="AH3210" s="69">
        <f>IFERROR(ABS(AG$23-AG3209),Q_max*10)</f>
        <v>5500</v>
      </c>
      <c r="AI3210" s="75">
        <f>AG3201</f>
        <v>5568.9123526531548</v>
      </c>
      <c r="AJ3210" s="61"/>
      <c r="AK3210" s="69">
        <f>IFERROR(ABS(AJ$23-AJ3209),Q_max*10)</f>
        <v>5500</v>
      </c>
      <c r="AL3210" s="75">
        <f>AJ3201</f>
        <v>7431.7351228787884</v>
      </c>
      <c r="AM3210" s="61"/>
      <c r="AN3210" s="69">
        <f>IFERROR(ABS(AM$23-AM3209),Q_max*10)</f>
        <v>5500</v>
      </c>
      <c r="AO3210" s="75">
        <f>AM3201</f>
        <v>9068.1291764681791</v>
      </c>
      <c r="AP3210" s="61"/>
      <c r="AQ3210" s="69">
        <f>IFERROR(ABS(AP$23-AP3209),Q_max*10)</f>
        <v>5500</v>
      </c>
      <c r="AR3210" s="75">
        <f>AP3201</f>
        <v>10527.816457164468</v>
      </c>
      <c r="AS3210" s="61"/>
      <c r="AT3210" s="69">
        <f>IFERROR(ABS(AS$23-AS3209),Q_max*10)</f>
        <v>5500</v>
      </c>
      <c r="AU3210" s="75">
        <f>AS3201</f>
        <v>11981.637167533881</v>
      </c>
    </row>
    <row r="3211" spans="15:47" ht="14.5" x14ac:dyDescent="0.35">
      <c r="O3211" s="6"/>
      <c r="P3211" s="6"/>
      <c r="Q3211" s="60"/>
      <c r="R3211" s="67"/>
      <c r="S3211" s="56"/>
      <c r="T3211" s="72"/>
      <c r="V3211" s="11"/>
      <c r="W3211" s="38"/>
      <c r="Y3211" s="11"/>
      <c r="Z3211" s="38"/>
      <c r="AB3211" s="11"/>
      <c r="AC3211" s="38"/>
      <c r="AE3211" s="11"/>
      <c r="AF3211" s="38"/>
      <c r="AH3211" s="11"/>
      <c r="AI3211" s="38"/>
      <c r="AK3211" s="11"/>
      <c r="AL3211" s="38"/>
      <c r="AN3211" s="11"/>
      <c r="AO3211" s="38"/>
      <c r="AQ3211" s="11"/>
      <c r="AR3211" s="38"/>
      <c r="AT3211" s="11"/>
      <c r="AU3211" s="38"/>
    </row>
    <row r="3212" spans="15:47" ht="14" x14ac:dyDescent="0.3">
      <c r="O3212" s="8" t="s">
        <v>235</v>
      </c>
      <c r="P3212" s="6"/>
      <c r="Q3212" s="60"/>
      <c r="R3212" s="53">
        <f>R3201*1.02</f>
        <v>244.64684881737026</v>
      </c>
      <c r="S3212" s="58" t="s">
        <v>238</v>
      </c>
      <c r="T3212" s="73" t="s">
        <v>241</v>
      </c>
      <c r="U3212" s="84">
        <f>U3201*1.01</f>
        <v>501.184841706783</v>
      </c>
      <c r="V3212" s="58" t="s">
        <v>238</v>
      </c>
      <c r="W3212" s="73" t="s">
        <v>241</v>
      </c>
      <c r="X3212" s="84">
        <f>X3201*1.01</f>
        <v>1203.0365448894777</v>
      </c>
      <c r="Y3212" s="58" t="s">
        <v>238</v>
      </c>
      <c r="Z3212" s="73" t="s">
        <v>241</v>
      </c>
      <c r="AA3212" s="84">
        <f>AA3201*1.01</f>
        <v>2297.0376628610243</v>
      </c>
      <c r="AB3212" s="58" t="s">
        <v>238</v>
      </c>
      <c r="AC3212" s="73" t="s">
        <v>241</v>
      </c>
      <c r="AD3212" s="84">
        <f>AD3201*1.01</f>
        <v>3777.7812363151402</v>
      </c>
      <c r="AE3212" s="58" t="s">
        <v>238</v>
      </c>
      <c r="AF3212" s="73" t="s">
        <v>241</v>
      </c>
      <c r="AG3212" s="84">
        <f>AG3201*1.01</f>
        <v>5624.601476179686</v>
      </c>
      <c r="AH3212" s="58" t="s">
        <v>238</v>
      </c>
      <c r="AI3212" s="73" t="s">
        <v>241</v>
      </c>
      <c r="AJ3212" s="84">
        <f>AJ3201*1.01</f>
        <v>7506.052474107576</v>
      </c>
      <c r="AK3212" s="58" t="s">
        <v>238</v>
      </c>
      <c r="AL3212" s="73" t="s">
        <v>241</v>
      </c>
      <c r="AM3212" s="84">
        <f>AM3201*1.01</f>
        <v>9158.8104682328612</v>
      </c>
      <c r="AN3212" s="58" t="s">
        <v>238</v>
      </c>
      <c r="AO3212" s="73" t="s">
        <v>241</v>
      </c>
      <c r="AP3212" s="84">
        <f>AP3201*1.01</f>
        <v>10633.094621736112</v>
      </c>
      <c r="AQ3212" s="58" t="s">
        <v>238</v>
      </c>
      <c r="AR3212" s="73" t="s">
        <v>241</v>
      </c>
      <c r="AS3212" s="84">
        <f>AS3201*1.01</f>
        <v>12101.45353920922</v>
      </c>
      <c r="AT3212" s="58" t="s">
        <v>238</v>
      </c>
      <c r="AU3212" s="73" t="s">
        <v>241</v>
      </c>
    </row>
    <row r="3213" spans="15:47" ht="13" x14ac:dyDescent="0.25">
      <c r="O3213" s="6"/>
      <c r="P3213" s="6"/>
      <c r="Q3213" s="60"/>
      <c r="R3213" s="70"/>
      <c r="S3213" s="63" t="s">
        <v>250</v>
      </c>
      <c r="T3213" s="71" t="s">
        <v>242</v>
      </c>
      <c r="U3213" s="61"/>
      <c r="V3213" s="63" t="s">
        <v>250</v>
      </c>
      <c r="W3213" s="71" t="s">
        <v>242</v>
      </c>
      <c r="X3213" s="61"/>
      <c r="Y3213" s="63" t="s">
        <v>250</v>
      </c>
      <c r="Z3213" s="71" t="s">
        <v>242</v>
      </c>
      <c r="AA3213" s="61"/>
      <c r="AB3213" s="63" t="s">
        <v>250</v>
      </c>
      <c r="AC3213" s="71" t="s">
        <v>242</v>
      </c>
      <c r="AD3213" s="61"/>
      <c r="AE3213" s="63" t="s">
        <v>250</v>
      </c>
      <c r="AF3213" s="71" t="s">
        <v>242</v>
      </c>
      <c r="AG3213" s="61"/>
      <c r="AH3213" s="63" t="s">
        <v>250</v>
      </c>
      <c r="AI3213" s="71" t="s">
        <v>242</v>
      </c>
      <c r="AJ3213" s="61"/>
      <c r="AK3213" s="63" t="s">
        <v>250</v>
      </c>
      <c r="AL3213" s="71" t="s">
        <v>242</v>
      </c>
      <c r="AM3213" s="61"/>
      <c r="AN3213" s="63" t="s">
        <v>250</v>
      </c>
      <c r="AO3213" s="71" t="s">
        <v>242</v>
      </c>
      <c r="AP3213" s="61"/>
      <c r="AQ3213" s="63" t="s">
        <v>250</v>
      </c>
      <c r="AR3213" s="71" t="s">
        <v>242</v>
      </c>
      <c r="AS3213" s="61"/>
      <c r="AT3213" s="63" t="s">
        <v>250</v>
      </c>
      <c r="AU3213" s="71" t="s">
        <v>242</v>
      </c>
    </row>
    <row r="3214" spans="15:47" ht="13" x14ac:dyDescent="0.3">
      <c r="O3214" s="6" t="s">
        <v>231</v>
      </c>
      <c r="P3214" s="6"/>
      <c r="Q3214" s="60"/>
      <c r="R3214" s="85">
        <f>P_1_minQ-(R3212^2*R_up)+dpup_minQ</f>
        <v>54.894796331095264</v>
      </c>
      <c r="S3214" s="56"/>
      <c r="T3214" s="72"/>
      <c r="U3214" s="53">
        <f>P_1_minQ-(U3212^2*R_up)+dpup_minQ</f>
        <v>48.43298731656018</v>
      </c>
      <c r="V3214" s="44"/>
      <c r="W3214" s="72"/>
      <c r="X3214" s="53">
        <f>P_1_minQ-(X3212^2*R_up)+dpup_minQ</f>
        <v>8.0374897555011096</v>
      </c>
      <c r="Y3214" s="44"/>
      <c r="Z3214" s="72"/>
      <c r="AA3214" s="53">
        <f>P_1_minQ-(AA3212^2*R_up)+dpup_minQ</f>
        <v>-121.27980495109887</v>
      </c>
      <c r="AB3214" s="44"/>
      <c r="AC3214" s="72"/>
      <c r="AD3214" s="53">
        <f>P_1_minQ-(AD3212^2*R_up)+dpup_minQ</f>
        <v>-425.07072169722221</v>
      </c>
      <c r="AE3214" s="44"/>
      <c r="AF3214" s="72"/>
      <c r="AG3214" s="53">
        <f>P_1_minQ-(AG3212^2*R_up)+dpup_minQ</f>
        <v>-1011.5114746991794</v>
      </c>
      <c r="AH3214" s="44"/>
      <c r="AI3214" s="72"/>
      <c r="AJ3214" s="53">
        <f>P_1_minQ-(AJ3212^2*R_up)+dpup_minQ</f>
        <v>-1845.8472389076821</v>
      </c>
      <c r="AK3214" s="44"/>
      <c r="AL3214" s="72"/>
      <c r="AM3214" s="53">
        <f>P_1_minQ-(AM3212^2*R_up)+dpup_minQ</f>
        <v>-2776.0392500172866</v>
      </c>
      <c r="AN3214" s="44"/>
      <c r="AO3214" s="72"/>
      <c r="AP3214" s="53">
        <f>P_1_minQ-(AP3212^2*R_up)+dpup_minQ</f>
        <v>-3761.4797107326394</v>
      </c>
      <c r="AQ3214" s="44"/>
      <c r="AR3214" s="72"/>
      <c r="AS3214" s="53">
        <f>P_1_minQ-(AS3212^2*R_up)+dpup_minQ</f>
        <v>-4888.8851996500971</v>
      </c>
      <c r="AT3214" s="44"/>
      <c r="AU3214" s="72"/>
    </row>
    <row r="3215" spans="15:47" ht="13" x14ac:dyDescent="0.3">
      <c r="O3215" s="6" t="s">
        <v>233</v>
      </c>
      <c r="P3215" s="6"/>
      <c r="Q3215" s="60"/>
      <c r="R3215" s="85">
        <f>P_2_minQ+(R3212^2*R_dn)-dpdn_minQ</f>
        <v>25.061040733780949</v>
      </c>
      <c r="S3215" s="66"/>
      <c r="T3215" s="74"/>
      <c r="U3215" s="53">
        <f>P_2_minQ+(U3212^2*R_dn)-dpdn_minQ</f>
        <v>26.353402536687966</v>
      </c>
      <c r="V3215" s="45"/>
      <c r="W3215" s="74"/>
      <c r="X3215" s="53">
        <f>P_2_minQ+(X3212^2*R_dn)-dpdn_minQ</f>
        <v>34.432502048899785</v>
      </c>
      <c r="Y3215" s="45"/>
      <c r="Z3215" s="74"/>
      <c r="AA3215" s="53">
        <f>P_2_minQ+(AA3212^2*R_dn)-dpdn_minQ</f>
        <v>60.295960990219776</v>
      </c>
      <c r="AB3215" s="45"/>
      <c r="AC3215" s="74"/>
      <c r="AD3215" s="53">
        <f>P_2_minQ+(AD3212^2*R_dn)-dpdn_minQ</f>
        <v>121.05414433944443</v>
      </c>
      <c r="AE3215" s="45"/>
      <c r="AF3215" s="74"/>
      <c r="AG3215" s="53">
        <f>P_2_minQ+(AG3212^2*R_dn)-dpdn_minQ</f>
        <v>238.34229493983585</v>
      </c>
      <c r="AH3215" s="45"/>
      <c r="AI3215" s="74"/>
      <c r="AJ3215" s="53">
        <f>P_2_minQ+(AJ3212^2*R_dn)-dpdn_minQ</f>
        <v>405.20944778153637</v>
      </c>
      <c r="AK3215" s="45"/>
      <c r="AL3215" s="74"/>
      <c r="AM3215" s="53">
        <f>P_2_minQ+(AM3212^2*R_dn)-dpdn_minQ</f>
        <v>591.2478500034573</v>
      </c>
      <c r="AN3215" s="45"/>
      <c r="AO3215" s="74"/>
      <c r="AP3215" s="53">
        <f>P_2_minQ+(AP3212^2*R_dn)-dpdn_minQ</f>
        <v>788.33594214652783</v>
      </c>
      <c r="AQ3215" s="45"/>
      <c r="AR3215" s="74"/>
      <c r="AS3215" s="53">
        <f>P_2_minQ+(AS3212^2*R_dn)-dpdn_minQ</f>
        <v>1013.8170399300193</v>
      </c>
      <c r="AT3215" s="45"/>
      <c r="AU3215" s="74"/>
    </row>
    <row r="3216" spans="15:47" x14ac:dyDescent="0.25">
      <c r="O3216" s="6" t="s">
        <v>243</v>
      </c>
      <c r="Q3216" s="60"/>
      <c r="R3216" s="53">
        <f>R3214-R3215</f>
        <v>29.833755597314315</v>
      </c>
      <c r="S3216" s="56"/>
      <c r="T3216" s="72"/>
      <c r="U3216" s="64">
        <f>U3214-U3215</f>
        <v>22.079584779872214</v>
      </c>
      <c r="V3216" s="44"/>
      <c r="W3216" s="72"/>
      <c r="X3216" s="64">
        <f>X3214-X3215</f>
        <v>-26.395012293398675</v>
      </c>
      <c r="Y3216" s="44"/>
      <c r="Z3216" s="72"/>
      <c r="AA3216" s="64">
        <f>AA3214-AA3215</f>
        <v>-181.57576594131865</v>
      </c>
      <c r="AB3216" s="44"/>
      <c r="AC3216" s="72"/>
      <c r="AD3216" s="64">
        <f>AD3214-AD3215</f>
        <v>-546.12486603666662</v>
      </c>
      <c r="AE3216" s="44"/>
      <c r="AF3216" s="72"/>
      <c r="AG3216" s="64">
        <f>AG3214-AG3215</f>
        <v>-1249.8537696390154</v>
      </c>
      <c r="AH3216" s="44"/>
      <c r="AI3216" s="72"/>
      <c r="AJ3216" s="64">
        <f>AJ3214-AJ3215</f>
        <v>-2251.0566866892186</v>
      </c>
      <c r="AK3216" s="44"/>
      <c r="AL3216" s="72"/>
      <c r="AM3216" s="64">
        <f>AM3214-AM3215</f>
        <v>-3367.2871000207438</v>
      </c>
      <c r="AN3216" s="44"/>
      <c r="AO3216" s="72"/>
      <c r="AP3216" s="64">
        <f>AP3214-AP3215</f>
        <v>-4549.8156528791669</v>
      </c>
      <c r="AQ3216" s="44"/>
      <c r="AR3216" s="72"/>
      <c r="AS3216" s="64">
        <f>AS3214-AS3215</f>
        <v>-5902.7022395801159</v>
      </c>
      <c r="AT3216" s="44"/>
      <c r="AU3216" s="72"/>
    </row>
    <row r="3217" spans="15:47" ht="13" x14ac:dyDescent="0.3">
      <c r="O3217" s="6" t="s">
        <v>75</v>
      </c>
      <c r="P3217" s="6">
        <v>3</v>
      </c>
      <c r="Q3217" s="65"/>
      <c r="R3217" s="85">
        <f>(F_LP_h/F_P_h)^2*(R3214-('Valve Sizing'!$V$4*'Valve Sizing'!$G$7))</f>
        <v>45.091381938141645</v>
      </c>
      <c r="S3217" s="58"/>
      <c r="T3217" s="73"/>
      <c r="U3217" s="53">
        <f>(U$29/U$27)^2*(U3214-('Valve Sizing'!$V$4*'Valve Sizing'!$G$7))</f>
        <v>39.729833230633425</v>
      </c>
      <c r="V3217" s="41"/>
      <c r="W3217" s="73"/>
      <c r="X3217" s="53">
        <f>(X$29/X$27)^2*(X3214-('Valve Sizing'!$V$4*'Valve Sizing'!$G$7))</f>
        <v>6.147489256824028</v>
      </c>
      <c r="Y3217" s="41"/>
      <c r="Z3217" s="73"/>
      <c r="AA3217" s="53">
        <f>(AA$29/AA$27)^2*(AA3214-('Valve Sizing'!$V$4*'Valve Sizing'!$G$7))</f>
        <v>-94.064771616291694</v>
      </c>
      <c r="AB3217" s="41"/>
      <c r="AC3217" s="73"/>
      <c r="AD3217" s="53">
        <f>(AD$29/AD$27)^2*(AD3214-('Valve Sizing'!$V$4*'Valve Sizing'!$G$7))</f>
        <v>-306.87301569640408</v>
      </c>
      <c r="AE3217" s="41"/>
      <c r="AF3217" s="73"/>
      <c r="AG3217" s="53">
        <f>(AG$29/AG$27)^2*(AG3214-('Valve Sizing'!$V$4*'Valve Sizing'!$G$7))</f>
        <v>-651.74126331216962</v>
      </c>
      <c r="AH3217" s="41"/>
      <c r="AI3217" s="73"/>
      <c r="AJ3217" s="53">
        <f>(AJ$29/AJ$27)^2*(AJ3214-('Valve Sizing'!$V$4*'Valve Sizing'!$G$7))</f>
        <v>-1067.8267251057916</v>
      </c>
      <c r="AK3217" s="41"/>
      <c r="AL3217" s="73"/>
      <c r="AM3217" s="53">
        <f>(AM$29/AM$27)^2*(AM3214-('Valve Sizing'!$V$4*'Valve Sizing'!$G$7))</f>
        <v>-1328.468021848161</v>
      </c>
      <c r="AN3217" s="41"/>
      <c r="AO3217" s="73"/>
      <c r="AP3217" s="53">
        <f>(AP$29/AP$27)^2*(AP3214-('Valve Sizing'!$V$4*'Valve Sizing'!$G$7))</f>
        <v>-1484.5544629811684</v>
      </c>
      <c r="AQ3217" s="41"/>
      <c r="AR3217" s="73"/>
      <c r="AS3217" s="53">
        <f>(AS$29/AS$27)^2*(AS3214-('Valve Sizing'!$V$4*'Valve Sizing'!$G$7))</f>
        <v>-1839.0746849198513</v>
      </c>
      <c r="AT3217" s="41"/>
      <c r="AU3217" s="73"/>
    </row>
    <row r="3218" spans="15:47" ht="13" x14ac:dyDescent="0.25">
      <c r="O3218" s="1" t="s">
        <v>69</v>
      </c>
      <c r="P3218" s="17">
        <v>7</v>
      </c>
      <c r="Q3218" s="65"/>
      <c r="R3218" s="53">
        <f>(R3212/(N_1*F_P_h))*SQRT('Valve Sizing'!$G$6/R3216)</f>
        <v>44.797026841504199</v>
      </c>
      <c r="S3218" s="58"/>
      <c r="T3218" s="73"/>
      <c r="U3218" s="64">
        <f>(U3212/(N_1*U$27))*SQRT('Valve Sizing'!$G$6/U3216)</f>
        <v>106.75006466459658</v>
      </c>
      <c r="V3218" s="41"/>
      <c r="W3218" s="73"/>
      <c r="X3218" s="64" t="e">
        <f>(X3212/(N_1*X$27))*SQRT('Valve Sizing'!$G$6/X3216)</f>
        <v>#NUM!</v>
      </c>
      <c r="Y3218" s="41"/>
      <c r="Z3218" s="73"/>
      <c r="AA3218" s="64" t="e">
        <f>(AA3212/(N_1*AA$27))*SQRT('Valve Sizing'!$G$6/AA3216)</f>
        <v>#NUM!</v>
      </c>
      <c r="AB3218" s="41"/>
      <c r="AC3218" s="73"/>
      <c r="AD3218" s="64" t="e">
        <f>(AD3212/(N_1*AD$27))*SQRT('Valve Sizing'!$G$6/AD3216)</f>
        <v>#NUM!</v>
      </c>
      <c r="AE3218" s="41"/>
      <c r="AF3218" s="73"/>
      <c r="AG3218" s="64" t="e">
        <f>(AG3212/(N_1*AG$27))*SQRT('Valve Sizing'!$G$6/AG3216)</f>
        <v>#NUM!</v>
      </c>
      <c r="AH3218" s="41"/>
      <c r="AI3218" s="73"/>
      <c r="AJ3218" s="64" t="e">
        <f>(AJ3212/(N_1*AJ$27))*SQRT('Valve Sizing'!$G$6/AJ3216)</f>
        <v>#NUM!</v>
      </c>
      <c r="AK3218" s="41"/>
      <c r="AL3218" s="73"/>
      <c r="AM3218" s="64" t="e">
        <f>(AM3212/(N_1*AM$27))*SQRT('Valve Sizing'!$G$6/AM3216)</f>
        <v>#NUM!</v>
      </c>
      <c r="AN3218" s="41"/>
      <c r="AO3218" s="73"/>
      <c r="AP3218" s="64" t="e">
        <f>(AP3212/(N_1*AP$27))*SQRT('Valve Sizing'!$G$6/AP3216)</f>
        <v>#NUM!</v>
      </c>
      <c r="AQ3218" s="41"/>
      <c r="AR3218" s="73"/>
      <c r="AS3218" s="64" t="e">
        <f>(AS3212/(N_1*AS$27))*SQRT('Valve Sizing'!$G$6/AS3216)</f>
        <v>#NUM!</v>
      </c>
      <c r="AT3218" s="41"/>
      <c r="AU3218" s="73"/>
    </row>
    <row r="3219" spans="15:47" ht="13" x14ac:dyDescent="0.3">
      <c r="O3219" s="1" t="s">
        <v>72</v>
      </c>
      <c r="P3219" s="17">
        <v>7</v>
      </c>
      <c r="Q3219" s="65"/>
      <c r="R3219" s="53">
        <f>(R3212/(N_1*F_P_h))*SQRT('Valve Sizing'!$G$6/R3217)</f>
        <v>36.438155263922049</v>
      </c>
      <c r="S3219" s="56"/>
      <c r="T3219" s="72"/>
      <c r="U3219" s="85">
        <f>(U3212/(N_1*U$27))*SQRT('Valve Sizing'!$G$6/U3217)</f>
        <v>79.580236729243651</v>
      </c>
      <c r="V3219" s="44"/>
      <c r="W3219" s="72"/>
      <c r="X3219" s="85">
        <f>(X3212/(N_1*X$27))*SQRT('Valve Sizing'!$G$6/X3217)</f>
        <v>486.70997672463238</v>
      </c>
      <c r="Y3219" s="44"/>
      <c r="Z3219" s="72"/>
      <c r="AA3219" s="85" t="e">
        <f>(AA3212/(N_1*AA$27))*SQRT('Valve Sizing'!$G$6/AA3217)</f>
        <v>#NUM!</v>
      </c>
      <c r="AB3219" s="44"/>
      <c r="AC3219" s="72"/>
      <c r="AD3219" s="85" t="e">
        <f>(AD3212/(N_1*AD$27))*SQRT('Valve Sizing'!$G$6/AD3217)</f>
        <v>#NUM!</v>
      </c>
      <c r="AE3219" s="44"/>
      <c r="AF3219" s="72"/>
      <c r="AG3219" s="85" t="e">
        <f>(AG3212/(N_1*AG$27))*SQRT('Valve Sizing'!$G$6/AG3217)</f>
        <v>#NUM!</v>
      </c>
      <c r="AH3219" s="44"/>
      <c r="AI3219" s="72"/>
      <c r="AJ3219" s="85" t="e">
        <f>(AJ3212/(N_1*AJ$27))*SQRT('Valve Sizing'!$G$6/AJ3217)</f>
        <v>#NUM!</v>
      </c>
      <c r="AK3219" s="44"/>
      <c r="AL3219" s="72"/>
      <c r="AM3219" s="85" t="e">
        <f>(AM3212/(N_1*AM$27))*SQRT('Valve Sizing'!$G$6/AM3217)</f>
        <v>#NUM!</v>
      </c>
      <c r="AN3219" s="44"/>
      <c r="AO3219" s="72"/>
      <c r="AP3219" s="85" t="e">
        <f>(AP3212/(N_1*AP$27))*SQRT('Valve Sizing'!$G$6/AP3217)</f>
        <v>#NUM!</v>
      </c>
      <c r="AQ3219" s="44"/>
      <c r="AR3219" s="72"/>
      <c r="AS3219" s="85" t="e">
        <f>(AS3212/(N_1*AS$27))*SQRT('Valve Sizing'!$G$6/AS3217)</f>
        <v>#NUM!</v>
      </c>
      <c r="AT3219" s="44"/>
      <c r="AU3219" s="72"/>
    </row>
    <row r="3220" spans="15:47" x14ac:dyDescent="0.25">
      <c r="O3220" s="1" t="s">
        <v>246</v>
      </c>
      <c r="P3220" s="18"/>
      <c r="Q3220" s="65"/>
      <c r="R3220" s="53">
        <f>IF(R3216&lt;R3217,R3218,R3219)</f>
        <v>44.797026841504199</v>
      </c>
      <c r="S3220" s="49"/>
      <c r="T3220" s="72"/>
      <c r="U3220" s="64">
        <f>IF(U3216&lt;U3217,U3218,U3219)</f>
        <v>106.75006466459658</v>
      </c>
      <c r="V3220" s="44"/>
      <c r="W3220" s="72"/>
      <c r="X3220" s="64" t="e">
        <f>IF(X3216&lt;X3217,X3218,X3219)</f>
        <v>#NUM!</v>
      </c>
      <c r="Y3220" s="44"/>
      <c r="Z3220" s="72"/>
      <c r="AA3220" s="64" t="e">
        <f>IF(AA3216&lt;AA3217,AA3218,AA3219)</f>
        <v>#NUM!</v>
      </c>
      <c r="AB3220" s="44"/>
      <c r="AC3220" s="72"/>
      <c r="AD3220" s="64" t="e">
        <f>IF(AD3216&lt;AD3217,AD3218,AD3219)</f>
        <v>#NUM!</v>
      </c>
      <c r="AE3220" s="44"/>
      <c r="AF3220" s="72"/>
      <c r="AG3220" s="64" t="e">
        <f>IF(AG3216&lt;AG3217,AG3218,AG3219)</f>
        <v>#NUM!</v>
      </c>
      <c r="AH3220" s="44"/>
      <c r="AI3220" s="72"/>
      <c r="AJ3220" s="64" t="e">
        <f>IF(AJ3216&lt;AJ3217,AJ3218,AJ3219)</f>
        <v>#NUM!</v>
      </c>
      <c r="AK3220" s="44"/>
      <c r="AL3220" s="72"/>
      <c r="AM3220" s="64" t="e">
        <f>IF(AM3216&lt;AM3217,AM3218,AM3219)</f>
        <v>#NUM!</v>
      </c>
      <c r="AN3220" s="44"/>
      <c r="AO3220" s="72"/>
      <c r="AP3220" s="64" t="e">
        <f>IF(AP3216&lt;AP3217,AP3218,AP3219)</f>
        <v>#NUM!</v>
      </c>
      <c r="AQ3220" s="44"/>
      <c r="AR3220" s="72"/>
      <c r="AS3220" s="64" t="e">
        <f>IF(AS3216&lt;AS3217,AS3218,AS3219)</f>
        <v>#NUM!</v>
      </c>
      <c r="AT3220" s="44"/>
      <c r="AU3220" s="72"/>
    </row>
    <row r="3221" spans="15:47" ht="13" x14ac:dyDescent="0.3">
      <c r="O3221" s="7" t="s">
        <v>264</v>
      </c>
      <c r="Q3221" s="61"/>
      <c r="R3221" s="53"/>
      <c r="S3221" s="69">
        <f>IFERROR(ABS(C_h-R3220),Q_max*10)</f>
        <v>39.797026841504199</v>
      </c>
      <c r="T3221" s="76">
        <f>R3212</f>
        <v>244.64684881737026</v>
      </c>
      <c r="U3221" s="61"/>
      <c r="V3221" s="69">
        <f>IFERROR(ABS(U$23-U3220),Q_max*10)</f>
        <v>94.750064664596579</v>
      </c>
      <c r="W3221" s="75">
        <f>U3212</f>
        <v>501.184841706783</v>
      </c>
      <c r="X3221" s="61"/>
      <c r="Y3221" s="69">
        <f>IFERROR(ABS(X$23-X3220),Q_max*10)</f>
        <v>5500</v>
      </c>
      <c r="Z3221" s="75">
        <f>X3212</f>
        <v>1203.0365448894777</v>
      </c>
      <c r="AA3221" s="61"/>
      <c r="AB3221" s="69">
        <f>IFERROR(ABS(AA$23-AA3220),Q_max*10)</f>
        <v>5500</v>
      </c>
      <c r="AC3221" s="75">
        <f>AA3212</f>
        <v>2297.0376628610243</v>
      </c>
      <c r="AD3221" s="61"/>
      <c r="AE3221" s="69">
        <f>IFERROR(ABS(AD$23-AD3220),Q_max*10)</f>
        <v>5500</v>
      </c>
      <c r="AF3221" s="75">
        <f>AD3212</f>
        <v>3777.7812363151402</v>
      </c>
      <c r="AG3221" s="61"/>
      <c r="AH3221" s="69">
        <f>IFERROR(ABS(AG$23-AG3220),Q_max*10)</f>
        <v>5500</v>
      </c>
      <c r="AI3221" s="75">
        <f>AG3212</f>
        <v>5624.601476179686</v>
      </c>
      <c r="AJ3221" s="61"/>
      <c r="AK3221" s="69">
        <f>IFERROR(ABS(AJ$23-AJ3220),Q_max*10)</f>
        <v>5500</v>
      </c>
      <c r="AL3221" s="75">
        <f>AJ3212</f>
        <v>7506.052474107576</v>
      </c>
      <c r="AM3221" s="61"/>
      <c r="AN3221" s="69">
        <f>IFERROR(ABS(AM$23-AM3220),Q_max*10)</f>
        <v>5500</v>
      </c>
      <c r="AO3221" s="75">
        <f>AM3212</f>
        <v>9158.8104682328612</v>
      </c>
      <c r="AP3221" s="61"/>
      <c r="AQ3221" s="69">
        <f>IFERROR(ABS(AP$23-AP3220),Q_max*10)</f>
        <v>5500</v>
      </c>
      <c r="AR3221" s="75">
        <f>AP3212</f>
        <v>10633.094621736112</v>
      </c>
      <c r="AS3221" s="61"/>
      <c r="AT3221" s="69">
        <f>IFERROR(ABS(AS$23-AS3220),Q_max*10)</f>
        <v>5500</v>
      </c>
      <c r="AU3221" s="75">
        <f>AS3212</f>
        <v>12101.45353920922</v>
      </c>
    </row>
    <row r="3222" spans="15:47" ht="14.5" x14ac:dyDescent="0.35">
      <c r="O3222" s="6"/>
      <c r="P3222" s="6"/>
      <c r="Q3222" s="60"/>
      <c r="R3222" s="67"/>
      <c r="S3222" s="58"/>
      <c r="T3222" s="73"/>
      <c r="V3222" s="11"/>
      <c r="W3222" s="38"/>
      <c r="Y3222" s="11"/>
      <c r="Z3222" s="38"/>
      <c r="AB3222" s="11"/>
      <c r="AC3222" s="38"/>
      <c r="AE3222" s="11"/>
      <c r="AF3222" s="38"/>
      <c r="AH3222" s="11"/>
      <c r="AI3222" s="38"/>
      <c r="AK3222" s="11"/>
      <c r="AL3222" s="38"/>
      <c r="AN3222" s="11"/>
      <c r="AO3222" s="38"/>
      <c r="AQ3222" s="11"/>
      <c r="AR3222" s="38"/>
      <c r="AT3222" s="11"/>
      <c r="AU3222" s="38"/>
    </row>
    <row r="3223" spans="15:47" ht="14" x14ac:dyDescent="0.3">
      <c r="O3223" s="8" t="s">
        <v>235</v>
      </c>
      <c r="P3223" s="6"/>
      <c r="Q3223" s="60"/>
      <c r="R3223" s="53">
        <f>R3212*1.02</f>
        <v>249.53978579371767</v>
      </c>
      <c r="S3223" s="58" t="s">
        <v>238</v>
      </c>
      <c r="T3223" s="73" t="s">
        <v>241</v>
      </c>
      <c r="U3223" s="84">
        <f>U3212*1.01</f>
        <v>506.19669012385083</v>
      </c>
      <c r="V3223" s="58" t="s">
        <v>238</v>
      </c>
      <c r="W3223" s="73" t="s">
        <v>241</v>
      </c>
      <c r="X3223" s="84">
        <f>X3212*1.01</f>
        <v>1215.0669103383725</v>
      </c>
      <c r="Y3223" s="58" t="s">
        <v>238</v>
      </c>
      <c r="Z3223" s="73" t="s">
        <v>241</v>
      </c>
      <c r="AA3223" s="84">
        <f>AA3212*1.01</f>
        <v>2320.0080394896345</v>
      </c>
      <c r="AB3223" s="58" t="s">
        <v>238</v>
      </c>
      <c r="AC3223" s="73" t="s">
        <v>241</v>
      </c>
      <c r="AD3223" s="84">
        <f>AD3212*1.01</f>
        <v>3815.5590486782917</v>
      </c>
      <c r="AE3223" s="58" t="s">
        <v>238</v>
      </c>
      <c r="AF3223" s="73" t="s">
        <v>241</v>
      </c>
      <c r="AG3223" s="84">
        <f>AG3212*1.01</f>
        <v>5680.8474909414826</v>
      </c>
      <c r="AH3223" s="58" t="s">
        <v>238</v>
      </c>
      <c r="AI3223" s="73" t="s">
        <v>241</v>
      </c>
      <c r="AJ3223" s="84">
        <f>AJ3212*1.01</f>
        <v>7581.1129988486518</v>
      </c>
      <c r="AK3223" s="58" t="s">
        <v>238</v>
      </c>
      <c r="AL3223" s="73" t="s">
        <v>241</v>
      </c>
      <c r="AM3223" s="84">
        <f>AM3212*1.01</f>
        <v>9250.39857291519</v>
      </c>
      <c r="AN3223" s="58" t="s">
        <v>238</v>
      </c>
      <c r="AO3223" s="73" t="s">
        <v>241</v>
      </c>
      <c r="AP3223" s="84">
        <f>AP3212*1.01</f>
        <v>10739.425567953474</v>
      </c>
      <c r="AQ3223" s="58" t="s">
        <v>238</v>
      </c>
      <c r="AR3223" s="73" t="s">
        <v>241</v>
      </c>
      <c r="AS3223" s="84">
        <f>AS3212*1.01</f>
        <v>12222.468074601313</v>
      </c>
      <c r="AT3223" s="58" t="s">
        <v>238</v>
      </c>
      <c r="AU3223" s="73" t="s">
        <v>241</v>
      </c>
    </row>
    <row r="3224" spans="15:47" ht="13" x14ac:dyDescent="0.25">
      <c r="O3224" s="6"/>
      <c r="P3224" s="6"/>
      <c r="Q3224" s="60"/>
      <c r="R3224" s="70"/>
      <c r="S3224" s="63" t="s">
        <v>250</v>
      </c>
      <c r="T3224" s="71" t="s">
        <v>242</v>
      </c>
      <c r="U3224" s="61"/>
      <c r="V3224" s="63" t="s">
        <v>250</v>
      </c>
      <c r="W3224" s="71" t="s">
        <v>242</v>
      </c>
      <c r="X3224" s="61"/>
      <c r="Y3224" s="63" t="s">
        <v>250</v>
      </c>
      <c r="Z3224" s="71" t="s">
        <v>242</v>
      </c>
      <c r="AA3224" s="61"/>
      <c r="AB3224" s="63" t="s">
        <v>250</v>
      </c>
      <c r="AC3224" s="71" t="s">
        <v>242</v>
      </c>
      <c r="AD3224" s="61"/>
      <c r="AE3224" s="63" t="s">
        <v>250</v>
      </c>
      <c r="AF3224" s="71" t="s">
        <v>242</v>
      </c>
      <c r="AG3224" s="61"/>
      <c r="AH3224" s="63" t="s">
        <v>250</v>
      </c>
      <c r="AI3224" s="71" t="s">
        <v>242</v>
      </c>
      <c r="AJ3224" s="61"/>
      <c r="AK3224" s="63" t="s">
        <v>250</v>
      </c>
      <c r="AL3224" s="71" t="s">
        <v>242</v>
      </c>
      <c r="AM3224" s="61"/>
      <c r="AN3224" s="63" t="s">
        <v>250</v>
      </c>
      <c r="AO3224" s="71" t="s">
        <v>242</v>
      </c>
      <c r="AP3224" s="61"/>
      <c r="AQ3224" s="63" t="s">
        <v>250</v>
      </c>
      <c r="AR3224" s="71" t="s">
        <v>242</v>
      </c>
      <c r="AS3224" s="61"/>
      <c r="AT3224" s="63" t="s">
        <v>250</v>
      </c>
      <c r="AU3224" s="71" t="s">
        <v>242</v>
      </c>
    </row>
    <row r="3225" spans="15:47" ht="13" x14ac:dyDescent="0.3">
      <c r="O3225" s="6" t="s">
        <v>231</v>
      </c>
      <c r="P3225" s="6"/>
      <c r="Q3225" s="60"/>
      <c r="R3225" s="85">
        <f>P_1_minQ-(R3223^2*R_up)+dpup_minQ</f>
        <v>54.813133917798901</v>
      </c>
      <c r="S3225" s="56"/>
      <c r="T3225" s="72"/>
      <c r="U3225" s="53">
        <f>P_1_minQ-(U3223^2*R_up)+dpup_minQ</f>
        <v>48.262475883406218</v>
      </c>
      <c r="V3225" s="44"/>
      <c r="W3225" s="72"/>
      <c r="X3225" s="53">
        <f>P_1_minQ-(X3223^2*R_up)+dpup_minQ</f>
        <v>7.0550288213698478</v>
      </c>
      <c r="Y3225" s="44"/>
      <c r="Z3225" s="72"/>
      <c r="AA3225" s="53">
        <f>P_1_minQ-(AA3223^2*R_up)+dpup_minQ</f>
        <v>-124.86154350883274</v>
      </c>
      <c r="AB3225" s="44"/>
      <c r="AC3225" s="72"/>
      <c r="AD3225" s="53">
        <f>P_1_minQ-(AD3223^2*R_up)+dpup_minQ</f>
        <v>-434.75865768155325</v>
      </c>
      <c r="AE3225" s="44"/>
      <c r="AF3225" s="72"/>
      <c r="AG3225" s="53">
        <f>P_1_minQ-(AG3223^2*R_up)+dpup_minQ</f>
        <v>-1032.9868698188498</v>
      </c>
      <c r="AH3225" s="44"/>
      <c r="AI3225" s="72"/>
      <c r="AJ3225" s="53">
        <f>P_1_minQ-(AJ3223^2*R_up)+dpup_minQ</f>
        <v>-1884.0927828879433</v>
      </c>
      <c r="AK3225" s="44"/>
      <c r="AL3225" s="72"/>
      <c r="AM3225" s="53">
        <f>P_1_minQ-(AM3223^2*R_up)+dpup_minQ</f>
        <v>-2832.9816534208508</v>
      </c>
      <c r="AN3225" s="44"/>
      <c r="AO3225" s="72"/>
      <c r="AP3225" s="53">
        <f>P_1_minQ-(AP3223^2*R_up)+dpup_minQ</f>
        <v>-3838.229467396583</v>
      </c>
      <c r="AQ3225" s="44"/>
      <c r="AR3225" s="72"/>
      <c r="AS3225" s="53">
        <f>P_1_minQ-(AS3223^2*R_up)+dpup_minQ</f>
        <v>-4988.2958066412812</v>
      </c>
      <c r="AT3225" s="44"/>
      <c r="AU3225" s="72"/>
    </row>
    <row r="3226" spans="15:47" ht="13" x14ac:dyDescent="0.3">
      <c r="O3226" s="6" t="s">
        <v>233</v>
      </c>
      <c r="P3226" s="6"/>
      <c r="Q3226" s="60"/>
      <c r="R3226" s="85">
        <f>P_2_minQ+(R3223^2*R_dn)-dpdn_minQ</f>
        <v>25.077373216440222</v>
      </c>
      <c r="S3226" s="66"/>
      <c r="T3226" s="74"/>
      <c r="U3226" s="53">
        <f>P_2_minQ+(U3223^2*R_dn)-dpdn_minQ</f>
        <v>26.387504823318757</v>
      </c>
      <c r="V3226" s="45"/>
      <c r="W3226" s="74"/>
      <c r="X3226" s="53">
        <f>P_2_minQ+(X3223^2*R_dn)-dpdn_minQ</f>
        <v>34.628994235726033</v>
      </c>
      <c r="Y3226" s="45"/>
      <c r="Z3226" s="74"/>
      <c r="AA3226" s="53">
        <f>P_2_minQ+(AA3223^2*R_dn)-dpdn_minQ</f>
        <v>61.01230870176655</v>
      </c>
      <c r="AB3226" s="45"/>
      <c r="AC3226" s="74"/>
      <c r="AD3226" s="53">
        <f>P_2_minQ+(AD3223^2*R_dn)-dpdn_minQ</f>
        <v>122.99173153631065</v>
      </c>
      <c r="AE3226" s="45"/>
      <c r="AF3226" s="74"/>
      <c r="AG3226" s="53">
        <f>P_2_minQ+(AG3223^2*R_dn)-dpdn_minQ</f>
        <v>242.63737396376993</v>
      </c>
      <c r="AH3226" s="45"/>
      <c r="AI3226" s="74"/>
      <c r="AJ3226" s="53">
        <f>P_2_minQ+(AJ3223^2*R_dn)-dpdn_minQ</f>
        <v>412.85855657758862</v>
      </c>
      <c r="AK3226" s="45"/>
      <c r="AL3226" s="74"/>
      <c r="AM3226" s="53">
        <f>P_2_minQ+(AM3223^2*R_dn)-dpdn_minQ</f>
        <v>602.63633068417016</v>
      </c>
      <c r="AN3226" s="45"/>
      <c r="AO3226" s="74"/>
      <c r="AP3226" s="53">
        <f>P_2_minQ+(AP3223^2*R_dn)-dpdn_minQ</f>
        <v>803.68589347931652</v>
      </c>
      <c r="AQ3226" s="45"/>
      <c r="AR3226" s="74"/>
      <c r="AS3226" s="53">
        <f>P_2_minQ+(AS3223^2*R_dn)-dpdn_minQ</f>
        <v>1033.6991613282562</v>
      </c>
      <c r="AT3226" s="45"/>
      <c r="AU3226" s="74"/>
    </row>
    <row r="3227" spans="15:47" x14ac:dyDescent="0.25">
      <c r="O3227" s="6" t="s">
        <v>243</v>
      </c>
      <c r="Q3227" s="60"/>
      <c r="R3227" s="53">
        <f>R3225-R3226</f>
        <v>29.735760701358679</v>
      </c>
      <c r="S3227" s="56"/>
      <c r="T3227" s="72"/>
      <c r="U3227" s="64">
        <f>U3225-U3226</f>
        <v>21.874971060087461</v>
      </c>
      <c r="V3227" s="44"/>
      <c r="W3227" s="72"/>
      <c r="X3227" s="64">
        <f>X3225-X3226</f>
        <v>-27.573965414356184</v>
      </c>
      <c r="Y3227" s="44"/>
      <c r="Z3227" s="72"/>
      <c r="AA3227" s="64">
        <f>AA3225-AA3226</f>
        <v>-185.8738522105993</v>
      </c>
      <c r="AB3227" s="44"/>
      <c r="AC3227" s="72"/>
      <c r="AD3227" s="64">
        <f>AD3225-AD3226</f>
        <v>-557.75038921786393</v>
      </c>
      <c r="AE3227" s="44"/>
      <c r="AF3227" s="72"/>
      <c r="AG3227" s="64">
        <f>AG3225-AG3226</f>
        <v>-1275.6242437826197</v>
      </c>
      <c r="AH3227" s="44"/>
      <c r="AI3227" s="72"/>
      <c r="AJ3227" s="64">
        <f>AJ3225-AJ3226</f>
        <v>-2296.9513394655319</v>
      </c>
      <c r="AK3227" s="44"/>
      <c r="AL3227" s="72"/>
      <c r="AM3227" s="64">
        <f>AM3225-AM3226</f>
        <v>-3435.6179841050207</v>
      </c>
      <c r="AN3227" s="44"/>
      <c r="AO3227" s="72"/>
      <c r="AP3227" s="64">
        <f>AP3225-AP3226</f>
        <v>-4641.9153608758998</v>
      </c>
      <c r="AQ3227" s="44"/>
      <c r="AR3227" s="72"/>
      <c r="AS3227" s="64">
        <f>AS3225-AS3226</f>
        <v>-6021.9949679695374</v>
      </c>
      <c r="AT3227" s="44"/>
      <c r="AU3227" s="72"/>
    </row>
    <row r="3228" spans="15:47" ht="13" x14ac:dyDescent="0.3">
      <c r="O3228" s="6" t="s">
        <v>75</v>
      </c>
      <c r="P3228" s="6">
        <v>3</v>
      </c>
      <c r="Q3228" s="65"/>
      <c r="R3228" s="85">
        <f>(F_LP_h/F_P_h)^2*(R3225-('Valve Sizing'!$V$4*'Valve Sizing'!$G$7))</f>
        <v>45.02376117347719</v>
      </c>
      <c r="S3228" s="58"/>
      <c r="T3228" s="73"/>
      <c r="U3228" s="53">
        <f>(U$29/U$27)^2*(U3225-('Valve Sizing'!$V$4*'Valve Sizing'!$G$7))</f>
        <v>39.588679297067259</v>
      </c>
      <c r="V3228" s="41"/>
      <c r="W3228" s="73"/>
      <c r="X3228" s="53">
        <f>(X$29/X$27)^2*(X3225-('Valve Sizing'!$V$4*'Valve Sizing'!$G$7))</f>
        <v>5.3525274896079162</v>
      </c>
      <c r="Y3228" s="41"/>
      <c r="Z3228" s="73"/>
      <c r="AA3228" s="53">
        <f>(AA$29/AA$27)^2*(AA3225-('Valve Sizing'!$V$4*'Valve Sizing'!$G$7))</f>
        <v>-96.832729221322538</v>
      </c>
      <c r="AB3228" s="41"/>
      <c r="AC3228" s="73"/>
      <c r="AD3228" s="53">
        <f>(AD$29/AD$27)^2*(AD3225-('Valve Sizing'!$V$4*'Valve Sizing'!$G$7))</f>
        <v>-313.85983312982785</v>
      </c>
      <c r="AE3228" s="41"/>
      <c r="AF3228" s="73"/>
      <c r="AG3228" s="53">
        <f>(AG$29/AG$27)^2*(AG3225-('Valve Sizing'!$V$4*'Valve Sizing'!$G$7))</f>
        <v>-665.5723616382603</v>
      </c>
      <c r="AH3228" s="41"/>
      <c r="AI3228" s="73"/>
      <c r="AJ3228" s="53">
        <f>(AJ$29/AJ$27)^2*(AJ3225-('Valve Sizing'!$V$4*'Valve Sizing'!$G$7))</f>
        <v>-1089.946583729125</v>
      </c>
      <c r="AK3228" s="41"/>
      <c r="AL3228" s="73"/>
      <c r="AM3228" s="53">
        <f>(AM$29/AM$27)^2*(AM3225-('Valve Sizing'!$V$4*'Valve Sizing'!$G$7))</f>
        <v>-1355.7133759912294</v>
      </c>
      <c r="AN3228" s="41"/>
      <c r="AO3228" s="73"/>
      <c r="AP3228" s="53">
        <f>(AP$29/AP$27)^2*(AP3225-('Valve Sizing'!$V$4*'Valve Sizing'!$G$7))</f>
        <v>-1514.8419759539895</v>
      </c>
      <c r="AQ3228" s="41"/>
      <c r="AR3228" s="73"/>
      <c r="AS3228" s="53">
        <f>(AS$29/AS$27)^2*(AS3225-('Valve Sizing'!$V$4*'Valve Sizing'!$G$7))</f>
        <v>-1876.467069575858</v>
      </c>
      <c r="AT3228" s="41"/>
      <c r="AU3228" s="73"/>
    </row>
    <row r="3229" spans="15:47" ht="13" x14ac:dyDescent="0.25">
      <c r="O3229" s="1" t="s">
        <v>69</v>
      </c>
      <c r="P3229" s="17">
        <v>7</v>
      </c>
      <c r="Q3229" s="65"/>
      <c r="R3229" s="53">
        <f>(R3223/(N_1*F_P_h))*SQRT('Valve Sizing'!$G$6/R3227)</f>
        <v>45.768196571601891</v>
      </c>
      <c r="S3229" s="58"/>
      <c r="T3229" s="73"/>
      <c r="U3229" s="64">
        <f>(U3223/(N_1*U$27))*SQRT('Valve Sizing'!$G$6/U3227)</f>
        <v>108.32064265403994</v>
      </c>
      <c r="V3229" s="41"/>
      <c r="W3229" s="73"/>
      <c r="X3229" s="64" t="e">
        <f>(X3223/(N_1*X$27))*SQRT('Valve Sizing'!$G$6/X3227)</f>
        <v>#NUM!</v>
      </c>
      <c r="Y3229" s="41"/>
      <c r="Z3229" s="73"/>
      <c r="AA3229" s="64" t="e">
        <f>(AA3223/(N_1*AA$27))*SQRT('Valve Sizing'!$G$6/AA3227)</f>
        <v>#NUM!</v>
      </c>
      <c r="AB3229" s="41"/>
      <c r="AC3229" s="73"/>
      <c r="AD3229" s="64" t="e">
        <f>(AD3223/(N_1*AD$27))*SQRT('Valve Sizing'!$G$6/AD3227)</f>
        <v>#NUM!</v>
      </c>
      <c r="AE3229" s="41"/>
      <c r="AF3229" s="73"/>
      <c r="AG3229" s="64" t="e">
        <f>(AG3223/(N_1*AG$27))*SQRT('Valve Sizing'!$G$6/AG3227)</f>
        <v>#NUM!</v>
      </c>
      <c r="AH3229" s="41"/>
      <c r="AI3229" s="73"/>
      <c r="AJ3229" s="64" t="e">
        <f>(AJ3223/(N_1*AJ$27))*SQRT('Valve Sizing'!$G$6/AJ3227)</f>
        <v>#NUM!</v>
      </c>
      <c r="AK3229" s="41"/>
      <c r="AL3229" s="73"/>
      <c r="AM3229" s="64" t="e">
        <f>(AM3223/(N_1*AM$27))*SQRT('Valve Sizing'!$G$6/AM3227)</f>
        <v>#NUM!</v>
      </c>
      <c r="AN3229" s="41"/>
      <c r="AO3229" s="73"/>
      <c r="AP3229" s="64" t="e">
        <f>(AP3223/(N_1*AP$27))*SQRT('Valve Sizing'!$G$6/AP3227)</f>
        <v>#NUM!</v>
      </c>
      <c r="AQ3229" s="41"/>
      <c r="AR3229" s="73"/>
      <c r="AS3229" s="64" t="e">
        <f>(AS3223/(N_1*AS$27))*SQRT('Valve Sizing'!$G$6/AS3227)</f>
        <v>#NUM!</v>
      </c>
      <c r="AT3229" s="41"/>
      <c r="AU3229" s="73"/>
    </row>
    <row r="3230" spans="15:47" ht="13" x14ac:dyDescent="0.3">
      <c r="O3230" s="1" t="s">
        <v>72</v>
      </c>
      <c r="P3230" s="17">
        <v>7</v>
      </c>
      <c r="Q3230" s="65"/>
      <c r="R3230" s="53">
        <f>(R3223/(N_1*F_P_h))*SQRT('Valve Sizing'!$G$6/R3228)</f>
        <v>37.194818220569459</v>
      </c>
      <c r="S3230" s="56"/>
      <c r="T3230" s="72"/>
      <c r="U3230" s="85">
        <f>(U3223/(N_1*U$27))*SQRT('Valve Sizing'!$G$6/U3228)</f>
        <v>80.519202486132784</v>
      </c>
      <c r="V3230" s="44"/>
      <c r="W3230" s="72"/>
      <c r="X3230" s="85">
        <f>(X3223/(N_1*X$27))*SQRT('Valve Sizing'!$G$6/X3228)</f>
        <v>526.81854971375992</v>
      </c>
      <c r="Y3230" s="44"/>
      <c r="Z3230" s="72"/>
      <c r="AA3230" s="85" t="e">
        <f>(AA3223/(N_1*AA$27))*SQRT('Valve Sizing'!$G$6/AA3228)</f>
        <v>#NUM!</v>
      </c>
      <c r="AB3230" s="44"/>
      <c r="AC3230" s="72"/>
      <c r="AD3230" s="85" t="e">
        <f>(AD3223/(N_1*AD$27))*SQRT('Valve Sizing'!$G$6/AD3228)</f>
        <v>#NUM!</v>
      </c>
      <c r="AE3230" s="44"/>
      <c r="AF3230" s="72"/>
      <c r="AG3230" s="85" t="e">
        <f>(AG3223/(N_1*AG$27))*SQRT('Valve Sizing'!$G$6/AG3228)</f>
        <v>#NUM!</v>
      </c>
      <c r="AH3230" s="44"/>
      <c r="AI3230" s="72"/>
      <c r="AJ3230" s="85" t="e">
        <f>(AJ3223/(N_1*AJ$27))*SQRT('Valve Sizing'!$G$6/AJ3228)</f>
        <v>#NUM!</v>
      </c>
      <c r="AK3230" s="44"/>
      <c r="AL3230" s="72"/>
      <c r="AM3230" s="85" t="e">
        <f>(AM3223/(N_1*AM$27))*SQRT('Valve Sizing'!$G$6/AM3228)</f>
        <v>#NUM!</v>
      </c>
      <c r="AN3230" s="44"/>
      <c r="AO3230" s="72"/>
      <c r="AP3230" s="85" t="e">
        <f>(AP3223/(N_1*AP$27))*SQRT('Valve Sizing'!$G$6/AP3228)</f>
        <v>#NUM!</v>
      </c>
      <c r="AQ3230" s="44"/>
      <c r="AR3230" s="72"/>
      <c r="AS3230" s="85" t="e">
        <f>(AS3223/(N_1*AS$27))*SQRT('Valve Sizing'!$G$6/AS3228)</f>
        <v>#NUM!</v>
      </c>
      <c r="AT3230" s="44"/>
      <c r="AU3230" s="72"/>
    </row>
    <row r="3231" spans="15:47" x14ac:dyDescent="0.25">
      <c r="O3231" s="1" t="s">
        <v>246</v>
      </c>
      <c r="P3231" s="18"/>
      <c r="Q3231" s="65"/>
      <c r="R3231" s="53">
        <f>IF(R3227&lt;R3228,R3229,R3230)</f>
        <v>45.768196571601891</v>
      </c>
      <c r="S3231" s="49"/>
      <c r="T3231" s="72"/>
      <c r="U3231" s="64">
        <f>IF(U3227&lt;U3228,U3229,U3230)</f>
        <v>108.32064265403994</v>
      </c>
      <c r="V3231" s="44"/>
      <c r="W3231" s="72"/>
      <c r="X3231" s="64" t="e">
        <f>IF(X3227&lt;X3228,X3229,X3230)</f>
        <v>#NUM!</v>
      </c>
      <c r="Y3231" s="44"/>
      <c r="Z3231" s="72"/>
      <c r="AA3231" s="64" t="e">
        <f>IF(AA3227&lt;AA3228,AA3229,AA3230)</f>
        <v>#NUM!</v>
      </c>
      <c r="AB3231" s="44"/>
      <c r="AC3231" s="72"/>
      <c r="AD3231" s="64" t="e">
        <f>IF(AD3227&lt;AD3228,AD3229,AD3230)</f>
        <v>#NUM!</v>
      </c>
      <c r="AE3231" s="44"/>
      <c r="AF3231" s="72"/>
      <c r="AG3231" s="64" t="e">
        <f>IF(AG3227&lt;AG3228,AG3229,AG3230)</f>
        <v>#NUM!</v>
      </c>
      <c r="AH3231" s="44"/>
      <c r="AI3231" s="72"/>
      <c r="AJ3231" s="64" t="e">
        <f>IF(AJ3227&lt;AJ3228,AJ3229,AJ3230)</f>
        <v>#NUM!</v>
      </c>
      <c r="AK3231" s="44"/>
      <c r="AL3231" s="72"/>
      <c r="AM3231" s="64" t="e">
        <f>IF(AM3227&lt;AM3228,AM3229,AM3230)</f>
        <v>#NUM!</v>
      </c>
      <c r="AN3231" s="44"/>
      <c r="AO3231" s="72"/>
      <c r="AP3231" s="64" t="e">
        <f>IF(AP3227&lt;AP3228,AP3229,AP3230)</f>
        <v>#NUM!</v>
      </c>
      <c r="AQ3231" s="44"/>
      <c r="AR3231" s="72"/>
      <c r="AS3231" s="64" t="e">
        <f>IF(AS3227&lt;AS3228,AS3229,AS3230)</f>
        <v>#NUM!</v>
      </c>
      <c r="AT3231" s="44"/>
      <c r="AU3231" s="72"/>
    </row>
    <row r="3232" spans="15:47" ht="13" x14ac:dyDescent="0.3">
      <c r="O3232" s="7" t="s">
        <v>264</v>
      </c>
      <c r="Q3232" s="61"/>
      <c r="R3232" s="53"/>
      <c r="S3232" s="69">
        <f>IFERROR(ABS(C_h-R3231),Q_max*10)</f>
        <v>40.768196571601891</v>
      </c>
      <c r="T3232" s="76">
        <f>R3223</f>
        <v>249.53978579371767</v>
      </c>
      <c r="U3232" s="61"/>
      <c r="V3232" s="69">
        <f>IFERROR(ABS(U$23-U3231),Q_max*10)</f>
        <v>96.320642654039943</v>
      </c>
      <c r="W3232" s="75">
        <f>U3223</f>
        <v>506.19669012385083</v>
      </c>
      <c r="X3232" s="61"/>
      <c r="Y3232" s="69">
        <f>IFERROR(ABS(X$23-X3231),Q_max*10)</f>
        <v>5500</v>
      </c>
      <c r="Z3232" s="75">
        <f>X3223</f>
        <v>1215.0669103383725</v>
      </c>
      <c r="AA3232" s="61"/>
      <c r="AB3232" s="69">
        <f>IFERROR(ABS(AA$23-AA3231),Q_max*10)</f>
        <v>5500</v>
      </c>
      <c r="AC3232" s="75">
        <f>AA3223</f>
        <v>2320.0080394896345</v>
      </c>
      <c r="AD3232" s="61"/>
      <c r="AE3232" s="69">
        <f>IFERROR(ABS(AD$23-AD3231),Q_max*10)</f>
        <v>5500</v>
      </c>
      <c r="AF3232" s="75">
        <f>AD3223</f>
        <v>3815.5590486782917</v>
      </c>
      <c r="AG3232" s="61"/>
      <c r="AH3232" s="69">
        <f>IFERROR(ABS(AG$23-AG3231),Q_max*10)</f>
        <v>5500</v>
      </c>
      <c r="AI3232" s="75">
        <f>AG3223</f>
        <v>5680.8474909414826</v>
      </c>
      <c r="AJ3232" s="61"/>
      <c r="AK3232" s="69">
        <f>IFERROR(ABS(AJ$23-AJ3231),Q_max*10)</f>
        <v>5500</v>
      </c>
      <c r="AL3232" s="75">
        <f>AJ3223</f>
        <v>7581.1129988486518</v>
      </c>
      <c r="AM3232" s="61"/>
      <c r="AN3232" s="69">
        <f>IFERROR(ABS(AM$23-AM3231),Q_max*10)</f>
        <v>5500</v>
      </c>
      <c r="AO3232" s="75">
        <f>AM3223</f>
        <v>9250.39857291519</v>
      </c>
      <c r="AP3232" s="61"/>
      <c r="AQ3232" s="69">
        <f>IFERROR(ABS(AP$23-AP3231),Q_max*10)</f>
        <v>5500</v>
      </c>
      <c r="AR3232" s="75">
        <f>AP3223</f>
        <v>10739.425567953474</v>
      </c>
      <c r="AS3232" s="61"/>
      <c r="AT3232" s="69">
        <f>IFERROR(ABS(AS$23-AS3231),Q_max*10)</f>
        <v>5500</v>
      </c>
      <c r="AU3232" s="75">
        <f>AS3223</f>
        <v>12222.468074601313</v>
      </c>
    </row>
    <row r="3233" spans="15:47" ht="14.5" x14ac:dyDescent="0.35">
      <c r="O3233" s="8"/>
      <c r="P3233" s="6"/>
      <c r="Q3233" s="60"/>
      <c r="R3233" s="67"/>
      <c r="S3233" s="56"/>
      <c r="T3233" s="72"/>
      <c r="V3233" s="11"/>
      <c r="W3233" s="38"/>
      <c r="Y3233" s="11"/>
      <c r="Z3233" s="38"/>
      <c r="AB3233" s="11"/>
      <c r="AC3233" s="38"/>
      <c r="AE3233" s="11"/>
      <c r="AF3233" s="38"/>
      <c r="AH3233" s="11"/>
      <c r="AI3233" s="38"/>
      <c r="AK3233" s="11"/>
      <c r="AL3233" s="38"/>
      <c r="AN3233" s="11"/>
      <c r="AO3233" s="38"/>
      <c r="AQ3233" s="11"/>
      <c r="AR3233" s="38"/>
      <c r="AT3233" s="11"/>
      <c r="AU3233" s="38"/>
    </row>
    <row r="3234" spans="15:47" ht="14" x14ac:dyDescent="0.3">
      <c r="O3234" s="8" t="s">
        <v>235</v>
      </c>
      <c r="P3234" s="6"/>
      <c r="Q3234" s="60"/>
      <c r="R3234" s="53">
        <f>R3223*1.02</f>
        <v>254.53058150959203</v>
      </c>
      <c r="S3234" s="58" t="s">
        <v>238</v>
      </c>
      <c r="T3234" s="73" t="s">
        <v>241</v>
      </c>
      <c r="U3234" s="84">
        <f>U3223*1.01</f>
        <v>511.25865702508935</v>
      </c>
      <c r="V3234" s="58" t="s">
        <v>238</v>
      </c>
      <c r="W3234" s="73" t="s">
        <v>241</v>
      </c>
      <c r="X3234" s="84">
        <f>X3223*1.01</f>
        <v>1227.2175794417562</v>
      </c>
      <c r="Y3234" s="58" t="s">
        <v>238</v>
      </c>
      <c r="Z3234" s="73" t="s">
        <v>241</v>
      </c>
      <c r="AA3234" s="84">
        <f>AA3223*1.01</f>
        <v>2343.2081198845308</v>
      </c>
      <c r="AB3234" s="58" t="s">
        <v>238</v>
      </c>
      <c r="AC3234" s="73" t="s">
        <v>241</v>
      </c>
      <c r="AD3234" s="84">
        <f>AD3223*1.01</f>
        <v>3853.7146391650745</v>
      </c>
      <c r="AE3234" s="58" t="s">
        <v>238</v>
      </c>
      <c r="AF3234" s="73" t="s">
        <v>241</v>
      </c>
      <c r="AG3234" s="84">
        <f>AG3223*1.01</f>
        <v>5737.6559658508977</v>
      </c>
      <c r="AH3234" s="58" t="s">
        <v>238</v>
      </c>
      <c r="AI3234" s="73" t="s">
        <v>241</v>
      </c>
      <c r="AJ3234" s="84">
        <f>AJ3223*1.01</f>
        <v>7656.9241288371386</v>
      </c>
      <c r="AK3234" s="58" t="s">
        <v>238</v>
      </c>
      <c r="AL3234" s="73" t="s">
        <v>241</v>
      </c>
      <c r="AM3234" s="84">
        <f>AM3223*1.01</f>
        <v>9342.9025586443422</v>
      </c>
      <c r="AN3234" s="58" t="s">
        <v>238</v>
      </c>
      <c r="AO3234" s="73" t="s">
        <v>241</v>
      </c>
      <c r="AP3234" s="84">
        <f>AP3223*1.01</f>
        <v>10846.81982363301</v>
      </c>
      <c r="AQ3234" s="58" t="s">
        <v>238</v>
      </c>
      <c r="AR3234" s="73" t="s">
        <v>241</v>
      </c>
      <c r="AS3234" s="84">
        <f>AS3223*1.01</f>
        <v>12344.692755347325</v>
      </c>
      <c r="AT3234" s="58" t="s">
        <v>238</v>
      </c>
      <c r="AU3234" s="73" t="s">
        <v>241</v>
      </c>
    </row>
    <row r="3235" spans="15:47" ht="13" x14ac:dyDescent="0.25">
      <c r="O3235" s="6"/>
      <c r="P3235" s="6"/>
      <c r="Q3235" s="60"/>
      <c r="R3235" s="70"/>
      <c r="S3235" s="63" t="s">
        <v>250</v>
      </c>
      <c r="T3235" s="71" t="s">
        <v>242</v>
      </c>
      <c r="U3235" s="61"/>
      <c r="V3235" s="63" t="s">
        <v>250</v>
      </c>
      <c r="W3235" s="71" t="s">
        <v>242</v>
      </c>
      <c r="X3235" s="61"/>
      <c r="Y3235" s="63" t="s">
        <v>250</v>
      </c>
      <c r="Z3235" s="71" t="s">
        <v>242</v>
      </c>
      <c r="AA3235" s="61"/>
      <c r="AB3235" s="63" t="s">
        <v>250</v>
      </c>
      <c r="AC3235" s="71" t="s">
        <v>242</v>
      </c>
      <c r="AD3235" s="61"/>
      <c r="AE3235" s="63" t="s">
        <v>250</v>
      </c>
      <c r="AF3235" s="71" t="s">
        <v>242</v>
      </c>
      <c r="AG3235" s="61"/>
      <c r="AH3235" s="63" t="s">
        <v>250</v>
      </c>
      <c r="AI3235" s="71" t="s">
        <v>242</v>
      </c>
      <c r="AJ3235" s="61"/>
      <c r="AK3235" s="63" t="s">
        <v>250</v>
      </c>
      <c r="AL3235" s="71" t="s">
        <v>242</v>
      </c>
      <c r="AM3235" s="61"/>
      <c r="AN3235" s="63" t="s">
        <v>250</v>
      </c>
      <c r="AO3235" s="71" t="s">
        <v>242</v>
      </c>
      <c r="AP3235" s="61"/>
      <c r="AQ3235" s="63" t="s">
        <v>250</v>
      </c>
      <c r="AR3235" s="71" t="s">
        <v>242</v>
      </c>
      <c r="AS3235" s="61"/>
      <c r="AT3235" s="63" t="s">
        <v>250</v>
      </c>
      <c r="AU3235" s="71" t="s">
        <v>242</v>
      </c>
    </row>
    <row r="3236" spans="15:47" ht="13" x14ac:dyDescent="0.3">
      <c r="O3236" s="6" t="s">
        <v>231</v>
      </c>
      <c r="P3236" s="6"/>
      <c r="Q3236" s="60"/>
      <c r="R3236" s="85">
        <f>P_1_minQ-(R3234^2*R_up)+dpup_minQ</f>
        <v>54.728172343005369</v>
      </c>
      <c r="S3236" s="56"/>
      <c r="T3236" s="72"/>
      <c r="U3236" s="53">
        <f>P_1_minQ-(U3234^2*R_up)+dpup_minQ</f>
        <v>48.088537170445868</v>
      </c>
      <c r="V3236" s="44"/>
      <c r="W3236" s="72"/>
      <c r="X3236" s="53">
        <f>P_1_minQ-(X3234^2*R_up)+dpup_minQ</f>
        <v>6.0528204224625695</v>
      </c>
      <c r="Y3236" s="44"/>
      <c r="Z3236" s="72"/>
      <c r="AA3236" s="53">
        <f>P_1_minQ-(AA3234^2*R_up)+dpup_minQ</f>
        <v>-128.51527501157713</v>
      </c>
      <c r="AB3236" s="44"/>
      <c r="AC3236" s="72"/>
      <c r="AD3236" s="53">
        <f>P_1_minQ-(AD3234^2*R_up)+dpup_minQ</f>
        <v>-444.64132117916927</v>
      </c>
      <c r="AE3236" s="44"/>
      <c r="AF3236" s="72"/>
      <c r="AG3236" s="53">
        <f>P_1_minQ-(AG3234^2*R_up)+dpup_minQ</f>
        <v>-1054.8939203804255</v>
      </c>
      <c r="AH3236" s="44"/>
      <c r="AI3236" s="72"/>
      <c r="AJ3236" s="53">
        <f>P_1_minQ-(AJ3234^2*R_up)+dpup_minQ</f>
        <v>-1923.1070623022079</v>
      </c>
      <c r="AK3236" s="44"/>
      <c r="AL3236" s="72"/>
      <c r="AM3236" s="53">
        <f>P_1_minQ-(AM3234^2*R_up)+dpup_minQ</f>
        <v>-2891.0685991328269</v>
      </c>
      <c r="AN3236" s="44"/>
      <c r="AO3236" s="72"/>
      <c r="AP3236" s="53">
        <f>P_1_minQ-(AP3234^2*R_up)+dpup_minQ</f>
        <v>-3916.5218941694716</v>
      </c>
      <c r="AQ3236" s="44"/>
      <c r="AR3236" s="72"/>
      <c r="AS3236" s="53">
        <f>P_1_minQ-(AS3234^2*R_up)+dpup_minQ</f>
        <v>-5089.7045668329874</v>
      </c>
      <c r="AT3236" s="44"/>
      <c r="AU3236" s="72"/>
    </row>
    <row r="3237" spans="15:47" ht="13" x14ac:dyDescent="0.3">
      <c r="O3237" s="6" t="s">
        <v>233</v>
      </c>
      <c r="P3237" s="6"/>
      <c r="Q3237" s="60"/>
      <c r="R3237" s="85">
        <f>P_2_minQ+(R3234^2*R_dn)-dpdn_minQ</f>
        <v>25.094365531398928</v>
      </c>
      <c r="S3237" s="66"/>
      <c r="T3237" s="74"/>
      <c r="U3237" s="53">
        <f>P_2_minQ+(U3234^2*R_dn)-dpdn_minQ</f>
        <v>26.422292565910826</v>
      </c>
      <c r="V3237" s="45"/>
      <c r="W3237" s="74"/>
      <c r="X3237" s="53">
        <f>P_2_minQ+(X3234^2*R_dn)-dpdn_minQ</f>
        <v>34.829435915507489</v>
      </c>
      <c r="Y3237" s="45"/>
      <c r="Z3237" s="74"/>
      <c r="AA3237" s="53">
        <f>P_2_minQ+(AA3234^2*R_dn)-dpdn_minQ</f>
        <v>61.743055002315423</v>
      </c>
      <c r="AB3237" s="45"/>
      <c r="AC3237" s="74"/>
      <c r="AD3237" s="53">
        <f>P_2_minQ+(AD3234^2*R_dn)-dpdn_minQ</f>
        <v>124.96826423583384</v>
      </c>
      <c r="AE3237" s="45"/>
      <c r="AF3237" s="74"/>
      <c r="AG3237" s="53">
        <f>P_2_minQ+(AG3234^2*R_dn)-dpdn_minQ</f>
        <v>247.0187840760851</v>
      </c>
      <c r="AH3237" s="45"/>
      <c r="AI3237" s="74"/>
      <c r="AJ3237" s="53">
        <f>P_2_minQ+(AJ3234^2*R_dn)-dpdn_minQ</f>
        <v>420.66141246044151</v>
      </c>
      <c r="AK3237" s="45"/>
      <c r="AL3237" s="74"/>
      <c r="AM3237" s="53">
        <f>P_2_minQ+(AM3234^2*R_dn)-dpdn_minQ</f>
        <v>614.25371982656532</v>
      </c>
      <c r="AN3237" s="45"/>
      <c r="AO3237" s="74"/>
      <c r="AP3237" s="53">
        <f>P_2_minQ+(AP3234^2*R_dn)-dpdn_minQ</f>
        <v>819.34437883389421</v>
      </c>
      <c r="AQ3237" s="45"/>
      <c r="AR3237" s="74"/>
      <c r="AS3237" s="53">
        <f>P_2_minQ+(AS3234^2*R_dn)-dpdn_minQ</f>
        <v>1053.9809133665974</v>
      </c>
      <c r="AT3237" s="45"/>
      <c r="AU3237" s="74"/>
    </row>
    <row r="3238" spans="15:47" x14ac:dyDescent="0.25">
      <c r="O3238" s="6" t="s">
        <v>243</v>
      </c>
      <c r="Q3238" s="60"/>
      <c r="R3238" s="53">
        <f>R3236-R3237</f>
        <v>29.633806811606441</v>
      </c>
      <c r="S3238" s="56"/>
      <c r="T3238" s="72"/>
      <c r="U3238" s="64">
        <f>U3236-U3237</f>
        <v>21.666244604535041</v>
      </c>
      <c r="V3238" s="44"/>
      <c r="W3238" s="72"/>
      <c r="X3238" s="64">
        <f>X3236-X3237</f>
        <v>-28.776615493044918</v>
      </c>
      <c r="Y3238" s="44"/>
      <c r="Z3238" s="72"/>
      <c r="AA3238" s="64">
        <f>AA3236-AA3237</f>
        <v>-190.25833001389256</v>
      </c>
      <c r="AB3238" s="44"/>
      <c r="AC3238" s="72"/>
      <c r="AD3238" s="64">
        <f>AD3236-AD3237</f>
        <v>-569.60958541500315</v>
      </c>
      <c r="AE3238" s="44"/>
      <c r="AF3238" s="72"/>
      <c r="AG3238" s="64">
        <f>AG3236-AG3237</f>
        <v>-1301.9127044565105</v>
      </c>
      <c r="AH3238" s="44"/>
      <c r="AI3238" s="72"/>
      <c r="AJ3238" s="64">
        <f>AJ3236-AJ3237</f>
        <v>-2343.7684747626495</v>
      </c>
      <c r="AK3238" s="44"/>
      <c r="AL3238" s="72"/>
      <c r="AM3238" s="64">
        <f>AM3236-AM3237</f>
        <v>-3505.3223189593923</v>
      </c>
      <c r="AN3238" s="44"/>
      <c r="AO3238" s="72"/>
      <c r="AP3238" s="64">
        <f>AP3236-AP3237</f>
        <v>-4735.8662730033657</v>
      </c>
      <c r="AQ3238" s="44"/>
      <c r="AR3238" s="72"/>
      <c r="AS3238" s="64">
        <f>AS3236-AS3237</f>
        <v>-6143.6854801995851</v>
      </c>
      <c r="AT3238" s="44"/>
      <c r="AU3238" s="72"/>
    </row>
    <row r="3239" spans="15:47" ht="13" x14ac:dyDescent="0.3">
      <c r="O3239" s="6" t="s">
        <v>75</v>
      </c>
      <c r="P3239" s="6">
        <v>3</v>
      </c>
      <c r="Q3239" s="65"/>
      <c r="R3239" s="85">
        <f>(F_LP_h/F_P_h)^2*(R3236-('Valve Sizing'!$V$4*'Valve Sizing'!$G$7))</f>
        <v>44.953408529920296</v>
      </c>
      <c r="S3239" s="58"/>
      <c r="T3239" s="73"/>
      <c r="U3239" s="53">
        <f>(U$29/U$27)^2*(U3236-('Valve Sizing'!$V$4*'Valve Sizing'!$G$7))</f>
        <v>39.444688169436411</v>
      </c>
      <c r="V3239" s="41"/>
      <c r="W3239" s="73"/>
      <c r="X3239" s="53">
        <f>(X$29/X$27)^2*(X3236-('Valve Sizing'!$V$4*'Valve Sizing'!$G$7))</f>
        <v>4.541586990870778</v>
      </c>
      <c r="Y3239" s="41"/>
      <c r="Z3239" s="73"/>
      <c r="AA3239" s="53">
        <f>(AA$29/AA$27)^2*(AA3236-('Valve Sizing'!$V$4*'Valve Sizing'!$G$7))</f>
        <v>-99.656322774214559</v>
      </c>
      <c r="AB3239" s="41"/>
      <c r="AC3239" s="73"/>
      <c r="AD3239" s="53">
        <f>(AD$29/AD$27)^2*(AD3236-('Valve Sizing'!$V$4*'Valve Sizing'!$G$7))</f>
        <v>-320.98708559366338</v>
      </c>
      <c r="AE3239" s="41"/>
      <c r="AF3239" s="73"/>
      <c r="AG3239" s="53">
        <f>(AG$29/AG$27)^2*(AG3236-('Valve Sizing'!$V$4*'Valve Sizing'!$G$7))</f>
        <v>-679.68146504070546</v>
      </c>
      <c r="AH3239" s="41"/>
      <c r="AI3239" s="73"/>
      <c r="AJ3239" s="53">
        <f>(AJ$29/AJ$27)^2*(AJ3236-('Valve Sizing'!$V$4*'Valve Sizing'!$G$7))</f>
        <v>-1112.5110515107876</v>
      </c>
      <c r="AK3239" s="41"/>
      <c r="AL3239" s="73"/>
      <c r="AM3239" s="53">
        <f>(AM$29/AM$27)^2*(AM3236-('Valve Sizing'!$V$4*'Valve Sizing'!$G$7))</f>
        <v>-1383.5063617525736</v>
      </c>
      <c r="AN3239" s="41"/>
      <c r="AO3239" s="73"/>
      <c r="AP3239" s="53">
        <f>(AP$29/AP$27)^2*(AP3236-('Valve Sizing'!$V$4*'Valve Sizing'!$G$7))</f>
        <v>-1545.7382679375644</v>
      </c>
      <c r="AQ3239" s="41"/>
      <c r="AR3239" s="73"/>
      <c r="AS3239" s="53">
        <f>(AS$29/AS$27)^2*(AS3236-('Valve Sizing'!$V$4*'Valve Sizing'!$G$7))</f>
        <v>-1914.6110411634502</v>
      </c>
      <c r="AT3239" s="41"/>
      <c r="AU3239" s="73"/>
    </row>
    <row r="3240" spans="15:47" ht="13" x14ac:dyDescent="0.25">
      <c r="O3240" s="1" t="s">
        <v>69</v>
      </c>
      <c r="P3240" s="17">
        <v>7</v>
      </c>
      <c r="Q3240" s="65"/>
      <c r="R3240" s="53">
        <f>(R3234/(N_1*F_P_h))*SQRT('Valve Sizing'!$G$6/R3238)</f>
        <v>46.763797980816882</v>
      </c>
      <c r="S3240" s="58"/>
      <c r="T3240" s="73"/>
      <c r="U3240" s="64">
        <f>(U3234/(N_1*U$27))*SQRT('Valve Sizing'!$G$6/U3238)</f>
        <v>109.92956878329795</v>
      </c>
      <c r="V3240" s="41"/>
      <c r="W3240" s="73"/>
      <c r="X3240" s="64" t="e">
        <f>(X3234/(N_1*X$27))*SQRT('Valve Sizing'!$G$6/X3238)</f>
        <v>#NUM!</v>
      </c>
      <c r="Y3240" s="41"/>
      <c r="Z3240" s="73"/>
      <c r="AA3240" s="64" t="e">
        <f>(AA3234/(N_1*AA$27))*SQRT('Valve Sizing'!$G$6/AA3238)</f>
        <v>#NUM!</v>
      </c>
      <c r="AB3240" s="41"/>
      <c r="AC3240" s="73"/>
      <c r="AD3240" s="64" t="e">
        <f>(AD3234/(N_1*AD$27))*SQRT('Valve Sizing'!$G$6/AD3238)</f>
        <v>#NUM!</v>
      </c>
      <c r="AE3240" s="41"/>
      <c r="AF3240" s="73"/>
      <c r="AG3240" s="64" t="e">
        <f>(AG3234/(N_1*AG$27))*SQRT('Valve Sizing'!$G$6/AG3238)</f>
        <v>#NUM!</v>
      </c>
      <c r="AH3240" s="41"/>
      <c r="AI3240" s="73"/>
      <c r="AJ3240" s="64" t="e">
        <f>(AJ3234/(N_1*AJ$27))*SQRT('Valve Sizing'!$G$6/AJ3238)</f>
        <v>#NUM!</v>
      </c>
      <c r="AK3240" s="41"/>
      <c r="AL3240" s="73"/>
      <c r="AM3240" s="64" t="e">
        <f>(AM3234/(N_1*AM$27))*SQRT('Valve Sizing'!$G$6/AM3238)</f>
        <v>#NUM!</v>
      </c>
      <c r="AN3240" s="41"/>
      <c r="AO3240" s="73"/>
      <c r="AP3240" s="64" t="e">
        <f>(AP3234/(N_1*AP$27))*SQRT('Valve Sizing'!$G$6/AP3238)</f>
        <v>#NUM!</v>
      </c>
      <c r="AQ3240" s="41"/>
      <c r="AR3240" s="73"/>
      <c r="AS3240" s="64" t="e">
        <f>(AS3234/(N_1*AS$27))*SQRT('Valve Sizing'!$G$6/AS3238)</f>
        <v>#NUM!</v>
      </c>
      <c r="AT3240" s="41"/>
      <c r="AU3240" s="73"/>
    </row>
    <row r="3241" spans="15:47" ht="13" x14ac:dyDescent="0.3">
      <c r="O3241" s="1" t="s">
        <v>72</v>
      </c>
      <c r="P3241" s="17">
        <v>7</v>
      </c>
      <c r="Q3241" s="65"/>
      <c r="R3241" s="53">
        <f>(R3234/(N_1*F_P_h))*SQRT('Valve Sizing'!$G$6/R3239)</f>
        <v>37.968390258956425</v>
      </c>
      <c r="S3241" s="56"/>
      <c r="T3241" s="72"/>
      <c r="U3241" s="85">
        <f>(U3234/(N_1*U$27))*SQRT('Valve Sizing'!$G$6/U3239)</f>
        <v>81.472694885133706</v>
      </c>
      <c r="V3241" s="44"/>
      <c r="W3241" s="72"/>
      <c r="X3241" s="85">
        <f>(X3234/(N_1*X$27))*SQRT('Valve Sizing'!$G$6/X3239)</f>
        <v>577.64107403314392</v>
      </c>
      <c r="Y3241" s="44"/>
      <c r="Z3241" s="72"/>
      <c r="AA3241" s="85" t="e">
        <f>(AA3234/(N_1*AA$27))*SQRT('Valve Sizing'!$G$6/AA3239)</f>
        <v>#NUM!</v>
      </c>
      <c r="AB3241" s="44"/>
      <c r="AC3241" s="72"/>
      <c r="AD3241" s="85" t="e">
        <f>(AD3234/(N_1*AD$27))*SQRT('Valve Sizing'!$G$6/AD3239)</f>
        <v>#NUM!</v>
      </c>
      <c r="AE3241" s="44"/>
      <c r="AF3241" s="72"/>
      <c r="AG3241" s="85" t="e">
        <f>(AG3234/(N_1*AG$27))*SQRT('Valve Sizing'!$G$6/AG3239)</f>
        <v>#NUM!</v>
      </c>
      <c r="AH3241" s="44"/>
      <c r="AI3241" s="72"/>
      <c r="AJ3241" s="85" t="e">
        <f>(AJ3234/(N_1*AJ$27))*SQRT('Valve Sizing'!$G$6/AJ3239)</f>
        <v>#NUM!</v>
      </c>
      <c r="AK3241" s="44"/>
      <c r="AL3241" s="72"/>
      <c r="AM3241" s="85" t="e">
        <f>(AM3234/(N_1*AM$27))*SQRT('Valve Sizing'!$G$6/AM3239)</f>
        <v>#NUM!</v>
      </c>
      <c r="AN3241" s="44"/>
      <c r="AO3241" s="72"/>
      <c r="AP3241" s="85" t="e">
        <f>(AP3234/(N_1*AP$27))*SQRT('Valve Sizing'!$G$6/AP3239)</f>
        <v>#NUM!</v>
      </c>
      <c r="AQ3241" s="44"/>
      <c r="AR3241" s="72"/>
      <c r="AS3241" s="85" t="e">
        <f>(AS3234/(N_1*AS$27))*SQRT('Valve Sizing'!$G$6/AS3239)</f>
        <v>#NUM!</v>
      </c>
      <c r="AT3241" s="44"/>
      <c r="AU3241" s="72"/>
    </row>
    <row r="3242" spans="15:47" x14ac:dyDescent="0.25">
      <c r="O3242" s="1" t="s">
        <v>246</v>
      </c>
      <c r="P3242" s="18"/>
      <c r="Q3242" s="65"/>
      <c r="R3242" s="53">
        <f>IF(R3238&lt;R3239,R3240,R3241)</f>
        <v>46.763797980816882</v>
      </c>
      <c r="S3242" s="49"/>
      <c r="T3242" s="72"/>
      <c r="U3242" s="64">
        <f>IF(U3238&lt;U3239,U3240,U3241)</f>
        <v>109.92956878329795</v>
      </c>
      <c r="V3242" s="44"/>
      <c r="W3242" s="72"/>
      <c r="X3242" s="64" t="e">
        <f>IF(X3238&lt;X3239,X3240,X3241)</f>
        <v>#NUM!</v>
      </c>
      <c r="Y3242" s="44"/>
      <c r="Z3242" s="72"/>
      <c r="AA3242" s="64" t="e">
        <f>IF(AA3238&lt;AA3239,AA3240,AA3241)</f>
        <v>#NUM!</v>
      </c>
      <c r="AB3242" s="44"/>
      <c r="AC3242" s="72"/>
      <c r="AD3242" s="64" t="e">
        <f>IF(AD3238&lt;AD3239,AD3240,AD3241)</f>
        <v>#NUM!</v>
      </c>
      <c r="AE3242" s="44"/>
      <c r="AF3242" s="72"/>
      <c r="AG3242" s="64" t="e">
        <f>IF(AG3238&lt;AG3239,AG3240,AG3241)</f>
        <v>#NUM!</v>
      </c>
      <c r="AH3242" s="44"/>
      <c r="AI3242" s="72"/>
      <c r="AJ3242" s="64" t="e">
        <f>IF(AJ3238&lt;AJ3239,AJ3240,AJ3241)</f>
        <v>#NUM!</v>
      </c>
      <c r="AK3242" s="44"/>
      <c r="AL3242" s="72"/>
      <c r="AM3242" s="64" t="e">
        <f>IF(AM3238&lt;AM3239,AM3240,AM3241)</f>
        <v>#NUM!</v>
      </c>
      <c r="AN3242" s="44"/>
      <c r="AO3242" s="72"/>
      <c r="AP3242" s="64" t="e">
        <f>IF(AP3238&lt;AP3239,AP3240,AP3241)</f>
        <v>#NUM!</v>
      </c>
      <c r="AQ3242" s="44"/>
      <c r="AR3242" s="72"/>
      <c r="AS3242" s="64" t="e">
        <f>IF(AS3238&lt;AS3239,AS3240,AS3241)</f>
        <v>#NUM!</v>
      </c>
      <c r="AT3242" s="44"/>
      <c r="AU3242" s="72"/>
    </row>
    <row r="3243" spans="15:47" ht="13" x14ac:dyDescent="0.3">
      <c r="O3243" s="7" t="s">
        <v>264</v>
      </c>
      <c r="Q3243" s="61"/>
      <c r="R3243" s="53"/>
      <c r="S3243" s="69">
        <f>IFERROR(ABS(C_h-R3242),Q_max*10)</f>
        <v>41.763797980816882</v>
      </c>
      <c r="T3243" s="76">
        <f>R3234</f>
        <v>254.53058150959203</v>
      </c>
      <c r="U3243" s="61"/>
      <c r="V3243" s="69">
        <f>IFERROR(ABS(U$23-U3242),Q_max*10)</f>
        <v>97.929568783297952</v>
      </c>
      <c r="W3243" s="75">
        <f>U3234</f>
        <v>511.25865702508935</v>
      </c>
      <c r="X3243" s="61"/>
      <c r="Y3243" s="69">
        <f>IFERROR(ABS(X$23-X3242),Q_max*10)</f>
        <v>5500</v>
      </c>
      <c r="Z3243" s="75">
        <f>X3234</f>
        <v>1227.2175794417562</v>
      </c>
      <c r="AA3243" s="61"/>
      <c r="AB3243" s="69">
        <f>IFERROR(ABS(AA$23-AA3242),Q_max*10)</f>
        <v>5500</v>
      </c>
      <c r="AC3243" s="75">
        <f>AA3234</f>
        <v>2343.2081198845308</v>
      </c>
      <c r="AD3243" s="61"/>
      <c r="AE3243" s="69">
        <f>IFERROR(ABS(AD$23-AD3242),Q_max*10)</f>
        <v>5500</v>
      </c>
      <c r="AF3243" s="75">
        <f>AD3234</f>
        <v>3853.7146391650745</v>
      </c>
      <c r="AG3243" s="61"/>
      <c r="AH3243" s="69">
        <f>IFERROR(ABS(AG$23-AG3242),Q_max*10)</f>
        <v>5500</v>
      </c>
      <c r="AI3243" s="75">
        <f>AG3234</f>
        <v>5737.6559658508977</v>
      </c>
      <c r="AJ3243" s="61"/>
      <c r="AK3243" s="69">
        <f>IFERROR(ABS(AJ$23-AJ3242),Q_max*10)</f>
        <v>5500</v>
      </c>
      <c r="AL3243" s="75">
        <f>AJ3234</f>
        <v>7656.9241288371386</v>
      </c>
      <c r="AM3243" s="61"/>
      <c r="AN3243" s="69">
        <f>IFERROR(ABS(AM$23-AM3242),Q_max*10)</f>
        <v>5500</v>
      </c>
      <c r="AO3243" s="75">
        <f>AM3234</f>
        <v>9342.9025586443422</v>
      </c>
      <c r="AP3243" s="61"/>
      <c r="AQ3243" s="69">
        <f>IFERROR(ABS(AP$23-AP3242),Q_max*10)</f>
        <v>5500</v>
      </c>
      <c r="AR3243" s="75">
        <f>AP3234</f>
        <v>10846.81982363301</v>
      </c>
      <c r="AS3243" s="61"/>
      <c r="AT3243" s="69">
        <f>IFERROR(ABS(AS$23-AS3242),Q_max*10)</f>
        <v>5500</v>
      </c>
      <c r="AU3243" s="75">
        <f>AS3234</f>
        <v>12344.692755347325</v>
      </c>
    </row>
    <row r="3244" spans="15:47" ht="14.5" x14ac:dyDescent="0.35">
      <c r="O3244" s="6"/>
      <c r="P3244" s="6"/>
      <c r="Q3244" s="60"/>
      <c r="R3244" s="67"/>
      <c r="S3244" s="66"/>
      <c r="T3244" s="74"/>
      <c r="V3244" s="11"/>
      <c r="W3244" s="38"/>
      <c r="Y3244" s="11"/>
      <c r="Z3244" s="38"/>
      <c r="AB3244" s="11"/>
      <c r="AC3244" s="38"/>
      <c r="AE3244" s="11"/>
      <c r="AF3244" s="38"/>
      <c r="AH3244" s="11"/>
      <c r="AI3244" s="38"/>
      <c r="AK3244" s="11"/>
      <c r="AL3244" s="38"/>
      <c r="AN3244" s="11"/>
      <c r="AO3244" s="38"/>
      <c r="AQ3244" s="11"/>
      <c r="AR3244" s="38"/>
      <c r="AT3244" s="11"/>
      <c r="AU3244" s="38"/>
    </row>
    <row r="3245" spans="15:47" ht="14" x14ac:dyDescent="0.3">
      <c r="O3245" s="8" t="s">
        <v>235</v>
      </c>
      <c r="P3245" s="6"/>
      <c r="Q3245" s="60"/>
      <c r="R3245" s="53">
        <f>R3234*1.02</f>
        <v>259.62119313978388</v>
      </c>
      <c r="S3245" s="58" t="s">
        <v>238</v>
      </c>
      <c r="T3245" s="73" t="s">
        <v>241</v>
      </c>
      <c r="U3245" s="84">
        <f>U3234*1.01</f>
        <v>516.37124359534027</v>
      </c>
      <c r="V3245" s="58" t="s">
        <v>238</v>
      </c>
      <c r="W3245" s="73" t="s">
        <v>241</v>
      </c>
      <c r="X3245" s="84">
        <f>X3234*1.01</f>
        <v>1239.4897552361738</v>
      </c>
      <c r="Y3245" s="58" t="s">
        <v>238</v>
      </c>
      <c r="Z3245" s="73" t="s">
        <v>241</v>
      </c>
      <c r="AA3245" s="84">
        <f>AA3234*1.01</f>
        <v>2366.6402010833763</v>
      </c>
      <c r="AB3245" s="58" t="s">
        <v>238</v>
      </c>
      <c r="AC3245" s="73" t="s">
        <v>241</v>
      </c>
      <c r="AD3245" s="84">
        <f>AD3234*1.01</f>
        <v>3892.2517855567253</v>
      </c>
      <c r="AE3245" s="58" t="s">
        <v>238</v>
      </c>
      <c r="AF3245" s="73" t="s">
        <v>241</v>
      </c>
      <c r="AG3245" s="84">
        <f>AG3234*1.01</f>
        <v>5795.0325255094067</v>
      </c>
      <c r="AH3245" s="58" t="s">
        <v>238</v>
      </c>
      <c r="AI3245" s="73" t="s">
        <v>241</v>
      </c>
      <c r="AJ3245" s="84">
        <f>AJ3234*1.01</f>
        <v>7733.4933701255104</v>
      </c>
      <c r="AK3245" s="58" t="s">
        <v>238</v>
      </c>
      <c r="AL3245" s="73" t="s">
        <v>241</v>
      </c>
      <c r="AM3245" s="84">
        <f>AM3234*1.01</f>
        <v>9436.3315842307857</v>
      </c>
      <c r="AN3245" s="58" t="s">
        <v>238</v>
      </c>
      <c r="AO3245" s="73" t="s">
        <v>241</v>
      </c>
      <c r="AP3245" s="84">
        <f>AP3234*1.01</f>
        <v>10955.288021869341</v>
      </c>
      <c r="AQ3245" s="58" t="s">
        <v>238</v>
      </c>
      <c r="AR3245" s="73" t="s">
        <v>241</v>
      </c>
      <c r="AS3245" s="84">
        <f>AS3234*1.01</f>
        <v>12468.139682900799</v>
      </c>
      <c r="AT3245" s="58" t="s">
        <v>238</v>
      </c>
      <c r="AU3245" s="73" t="s">
        <v>241</v>
      </c>
    </row>
    <row r="3246" spans="15:47" ht="13" x14ac:dyDescent="0.25">
      <c r="O3246" s="6"/>
      <c r="P3246" s="6"/>
      <c r="Q3246" s="60"/>
      <c r="R3246" s="70"/>
      <c r="S3246" s="63" t="s">
        <v>250</v>
      </c>
      <c r="T3246" s="71" t="s">
        <v>242</v>
      </c>
      <c r="U3246" s="61"/>
      <c r="V3246" s="63" t="s">
        <v>250</v>
      </c>
      <c r="W3246" s="71" t="s">
        <v>242</v>
      </c>
      <c r="X3246" s="61"/>
      <c r="Y3246" s="63" t="s">
        <v>250</v>
      </c>
      <c r="Z3246" s="71" t="s">
        <v>242</v>
      </c>
      <c r="AA3246" s="61"/>
      <c r="AB3246" s="63" t="s">
        <v>250</v>
      </c>
      <c r="AC3246" s="71" t="s">
        <v>242</v>
      </c>
      <c r="AD3246" s="61"/>
      <c r="AE3246" s="63" t="s">
        <v>250</v>
      </c>
      <c r="AF3246" s="71" t="s">
        <v>242</v>
      </c>
      <c r="AG3246" s="61"/>
      <c r="AH3246" s="63" t="s">
        <v>250</v>
      </c>
      <c r="AI3246" s="71" t="s">
        <v>242</v>
      </c>
      <c r="AJ3246" s="61"/>
      <c r="AK3246" s="63" t="s">
        <v>250</v>
      </c>
      <c r="AL3246" s="71" t="s">
        <v>242</v>
      </c>
      <c r="AM3246" s="61"/>
      <c r="AN3246" s="63" t="s">
        <v>250</v>
      </c>
      <c r="AO3246" s="71" t="s">
        <v>242</v>
      </c>
      <c r="AP3246" s="61"/>
      <c r="AQ3246" s="63" t="s">
        <v>250</v>
      </c>
      <c r="AR3246" s="71" t="s">
        <v>242</v>
      </c>
      <c r="AS3246" s="61"/>
      <c r="AT3246" s="63" t="s">
        <v>250</v>
      </c>
      <c r="AU3246" s="71" t="s">
        <v>242</v>
      </c>
    </row>
    <row r="3247" spans="15:47" ht="13" x14ac:dyDescent="0.3">
      <c r="O3247" s="6" t="s">
        <v>231</v>
      </c>
      <c r="P3247" s="6"/>
      <c r="Q3247" s="60"/>
      <c r="R3247" s="85">
        <f>P_1_minQ-(R3245^2*R_up)+dpup_minQ</f>
        <v>54.639778320590175</v>
      </c>
      <c r="S3247" s="56"/>
      <c r="T3247" s="72"/>
      <c r="U3247" s="53">
        <f>P_1_minQ-(U3245^2*R_up)+dpup_minQ</f>
        <v>47.911102289355007</v>
      </c>
      <c r="V3247" s="44"/>
      <c r="W3247" s="72"/>
      <c r="X3247" s="53">
        <f>P_1_minQ-(X3245^2*R_up)+dpup_minQ</f>
        <v>5.0304676347372519</v>
      </c>
      <c r="Y3247" s="44"/>
      <c r="Z3247" s="72"/>
      <c r="AA3247" s="53">
        <f>P_1_minQ-(AA3245^2*R_up)+dpup_minQ</f>
        <v>-132.24244651752664</v>
      </c>
      <c r="AB3247" s="44"/>
      <c r="AC3247" s="72"/>
      <c r="AD3247" s="53">
        <f>P_1_minQ-(AD3245^2*R_up)+dpup_minQ</f>
        <v>-454.72262621308738</v>
      </c>
      <c r="AE3247" s="44"/>
      <c r="AF3247" s="72"/>
      <c r="AG3247" s="53">
        <f>P_1_minQ-(AG3245^2*R_up)+dpup_minQ</f>
        <v>-1077.241302658289</v>
      </c>
      <c r="AH3247" s="44"/>
      <c r="AI3247" s="72"/>
      <c r="AJ3247" s="53">
        <f>P_1_minQ-(AJ3245^2*R_up)+dpup_minQ</f>
        <v>-1962.9055287326994</v>
      </c>
      <c r="AK3247" s="44"/>
      <c r="AL3247" s="72"/>
      <c r="AM3247" s="53">
        <f>P_1_minQ-(AM3245^2*R_up)+dpup_minQ</f>
        <v>-2950.3230924536138</v>
      </c>
      <c r="AN3247" s="44"/>
      <c r="AO3247" s="72"/>
      <c r="AP3247" s="53">
        <f>P_1_minQ-(AP3245^2*R_up)+dpup_minQ</f>
        <v>-3996.387998720495</v>
      </c>
      <c r="AQ3247" s="44"/>
      <c r="AR3247" s="72"/>
      <c r="AS3247" s="53">
        <f>P_1_minQ-(AS3245^2*R_up)+dpup_minQ</f>
        <v>-5193.1516431045475</v>
      </c>
      <c r="AT3247" s="44"/>
      <c r="AU3247" s="72"/>
    </row>
    <row r="3248" spans="15:47" ht="13" x14ac:dyDescent="0.3">
      <c r="O3248" s="6" t="s">
        <v>233</v>
      </c>
      <c r="P3248" s="6"/>
      <c r="Q3248" s="60"/>
      <c r="R3248" s="85">
        <f>P_2_minQ+(R3245^2*R_dn)-dpdn_minQ</f>
        <v>25.112044335881965</v>
      </c>
      <c r="S3248" s="66"/>
      <c r="T3248" s="74"/>
      <c r="U3248" s="53">
        <f>P_2_minQ+(U3245^2*R_dn)-dpdn_minQ</f>
        <v>26.457779542129</v>
      </c>
      <c r="V3248" s="45"/>
      <c r="W3248" s="74"/>
      <c r="X3248" s="53">
        <f>P_2_minQ+(X3245^2*R_dn)-dpdn_minQ</f>
        <v>35.033906473052554</v>
      </c>
      <c r="Y3248" s="45"/>
      <c r="Z3248" s="74"/>
      <c r="AA3248" s="53">
        <f>P_2_minQ+(AA3245^2*R_dn)-dpdn_minQ</f>
        <v>62.488489303505332</v>
      </c>
      <c r="AB3248" s="45"/>
      <c r="AC3248" s="74"/>
      <c r="AD3248" s="53">
        <f>P_2_minQ+(AD3245^2*R_dn)-dpdn_minQ</f>
        <v>126.98452524261748</v>
      </c>
      <c r="AE3248" s="45"/>
      <c r="AF3248" s="74"/>
      <c r="AG3248" s="53">
        <f>P_2_minQ+(AG3245^2*R_dn)-dpdn_minQ</f>
        <v>251.4882605316578</v>
      </c>
      <c r="AH3248" s="45"/>
      <c r="AI3248" s="74"/>
      <c r="AJ3248" s="53">
        <f>P_2_minQ+(AJ3245^2*R_dn)-dpdn_minQ</f>
        <v>428.6211057465398</v>
      </c>
      <c r="AK3248" s="45"/>
      <c r="AL3248" s="74"/>
      <c r="AM3248" s="53">
        <f>P_2_minQ+(AM3245^2*R_dn)-dpdn_minQ</f>
        <v>626.10461849072271</v>
      </c>
      <c r="AN3248" s="45"/>
      <c r="AO3248" s="74"/>
      <c r="AP3248" s="53">
        <f>P_2_minQ+(AP3245^2*R_dn)-dpdn_minQ</f>
        <v>835.31759974409897</v>
      </c>
      <c r="AQ3248" s="45"/>
      <c r="AR3248" s="74"/>
      <c r="AS3248" s="53">
        <f>P_2_minQ+(AS3245^2*R_dn)-dpdn_minQ</f>
        <v>1074.6703286209095</v>
      </c>
      <c r="AT3248" s="45"/>
      <c r="AU3248" s="74"/>
    </row>
    <row r="3249" spans="15:47" x14ac:dyDescent="0.25">
      <c r="O3249" s="6" t="s">
        <v>243</v>
      </c>
      <c r="Q3249" s="60"/>
      <c r="R3249" s="53">
        <f>R3247-R3248</f>
        <v>29.52773398470821</v>
      </c>
      <c r="S3249" s="56"/>
      <c r="T3249" s="72"/>
      <c r="U3249" s="64">
        <f>U3247-U3248</f>
        <v>21.453322747226007</v>
      </c>
      <c r="V3249" s="44"/>
      <c r="W3249" s="72"/>
      <c r="X3249" s="64">
        <f>X3247-X3248</f>
        <v>-30.003438838315301</v>
      </c>
      <c r="Y3249" s="44"/>
      <c r="Z3249" s="72"/>
      <c r="AA3249" s="64">
        <f>AA3247-AA3248</f>
        <v>-194.73093582103198</v>
      </c>
      <c r="AB3249" s="44"/>
      <c r="AC3249" s="72"/>
      <c r="AD3249" s="64">
        <f>AD3247-AD3248</f>
        <v>-581.70715145570489</v>
      </c>
      <c r="AE3249" s="44"/>
      <c r="AF3249" s="72"/>
      <c r="AG3249" s="64">
        <f>AG3247-AG3248</f>
        <v>-1328.7295631899467</v>
      </c>
      <c r="AH3249" s="44"/>
      <c r="AI3249" s="72"/>
      <c r="AJ3249" s="64">
        <f>AJ3247-AJ3248</f>
        <v>-2391.526634479239</v>
      </c>
      <c r="AK3249" s="44"/>
      <c r="AL3249" s="72"/>
      <c r="AM3249" s="64">
        <f>AM3247-AM3248</f>
        <v>-3576.4277109443365</v>
      </c>
      <c r="AN3249" s="44"/>
      <c r="AO3249" s="72"/>
      <c r="AP3249" s="64">
        <f>AP3247-AP3248</f>
        <v>-4831.705598464594</v>
      </c>
      <c r="AQ3249" s="44"/>
      <c r="AR3249" s="72"/>
      <c r="AS3249" s="64">
        <f>AS3247-AS3248</f>
        <v>-6267.8219717254569</v>
      </c>
      <c r="AT3249" s="44"/>
      <c r="AU3249" s="72"/>
    </row>
    <row r="3250" spans="15:47" ht="13" x14ac:dyDescent="0.3">
      <c r="O3250" s="6" t="s">
        <v>75</v>
      </c>
      <c r="P3250" s="6">
        <v>3</v>
      </c>
      <c r="Q3250" s="65"/>
      <c r="R3250" s="85">
        <f>(F_LP_h/F_P_h)^2*(R3247-('Valve Sizing'!$V$4*'Valve Sizing'!$G$7))</f>
        <v>44.880213639563692</v>
      </c>
      <c r="S3250" s="58"/>
      <c r="T3250" s="73"/>
      <c r="U3250" s="53">
        <f>(U$29/U$27)^2*(U3247-('Valve Sizing'!$V$4*'Valve Sizing'!$G$7))</f>
        <v>39.297802820140184</v>
      </c>
      <c r="V3250" s="41"/>
      <c r="W3250" s="73"/>
      <c r="X3250" s="53">
        <f>(X$29/X$27)^2*(X3247-('Valve Sizing'!$V$4*'Valve Sizing'!$G$7))</f>
        <v>3.714346588109021</v>
      </c>
      <c r="Y3250" s="41"/>
      <c r="Z3250" s="73"/>
      <c r="AA3250" s="53">
        <f>(AA$29/AA$27)^2*(AA3247-('Valve Sizing'!$V$4*'Valve Sizing'!$G$7))</f>
        <v>-102.5366705575197</v>
      </c>
      <c r="AB3250" s="41"/>
      <c r="AC3250" s="73"/>
      <c r="AD3250" s="53">
        <f>(AD$29/AD$27)^2*(AD3247-('Valve Sizing'!$V$4*'Valve Sizing'!$G$7))</f>
        <v>-328.25759583202199</v>
      </c>
      <c r="AE3250" s="41"/>
      <c r="AF3250" s="73"/>
      <c r="AG3250" s="53">
        <f>(AG$29/AG$27)^2*(AG3247-('Valve Sizing'!$V$4*'Valve Sizing'!$G$7))</f>
        <v>-694.07416142153988</v>
      </c>
      <c r="AH3250" s="41"/>
      <c r="AI3250" s="73"/>
      <c r="AJ3250" s="53">
        <f>(AJ$29/AJ$27)^2*(AJ3247-('Valve Sizing'!$V$4*'Valve Sizing'!$G$7))</f>
        <v>-1135.5290650948616</v>
      </c>
      <c r="AK3250" s="41"/>
      <c r="AL3250" s="73"/>
      <c r="AM3250" s="53">
        <f>(AM$29/AM$27)^2*(AM3247-('Valve Sizing'!$V$4*'Valve Sizing'!$G$7))</f>
        <v>-1411.8579865277206</v>
      </c>
      <c r="AN3250" s="41"/>
      <c r="AO3250" s="73"/>
      <c r="AP3250" s="53">
        <f>(AP$29/AP$27)^2*(AP3247-('Valve Sizing'!$V$4*'Valve Sizing'!$G$7))</f>
        <v>-1577.255575390009</v>
      </c>
      <c r="AQ3250" s="41"/>
      <c r="AR3250" s="73"/>
      <c r="AS3250" s="53">
        <f>(AS$29/AS$27)^2*(AS3247-('Valve Sizing'!$V$4*'Valve Sizing'!$G$7))</f>
        <v>-1953.5217065799532</v>
      </c>
      <c r="AT3250" s="41"/>
      <c r="AU3250" s="73"/>
    </row>
    <row r="3251" spans="15:47" ht="13" x14ac:dyDescent="0.25">
      <c r="O3251" s="1" t="s">
        <v>69</v>
      </c>
      <c r="P3251" s="17">
        <v>7</v>
      </c>
      <c r="Q3251" s="65"/>
      <c r="R3251" s="53">
        <f>(R3245/(N_1*F_P_h))*SQRT('Valve Sizing'!$G$6/R3249)</f>
        <v>47.784672108343585</v>
      </c>
      <c r="S3251" s="58"/>
      <c r="T3251" s="73"/>
      <c r="U3251" s="64">
        <f>(U3245/(N_1*U$27))*SQRT('Valve Sizing'!$G$6/U3249)</f>
        <v>111.57847872758397</v>
      </c>
      <c r="V3251" s="41"/>
      <c r="W3251" s="73"/>
      <c r="X3251" s="64" t="e">
        <f>(X3245/(N_1*X$27))*SQRT('Valve Sizing'!$G$6/X3249)</f>
        <v>#NUM!</v>
      </c>
      <c r="Y3251" s="41"/>
      <c r="Z3251" s="73"/>
      <c r="AA3251" s="64" t="e">
        <f>(AA3245/(N_1*AA$27))*SQRT('Valve Sizing'!$G$6/AA3249)</f>
        <v>#NUM!</v>
      </c>
      <c r="AB3251" s="41"/>
      <c r="AC3251" s="73"/>
      <c r="AD3251" s="64" t="e">
        <f>(AD3245/(N_1*AD$27))*SQRT('Valve Sizing'!$G$6/AD3249)</f>
        <v>#NUM!</v>
      </c>
      <c r="AE3251" s="41"/>
      <c r="AF3251" s="73"/>
      <c r="AG3251" s="64" t="e">
        <f>(AG3245/(N_1*AG$27))*SQRT('Valve Sizing'!$G$6/AG3249)</f>
        <v>#NUM!</v>
      </c>
      <c r="AH3251" s="41"/>
      <c r="AI3251" s="73"/>
      <c r="AJ3251" s="64" t="e">
        <f>(AJ3245/(N_1*AJ$27))*SQRT('Valve Sizing'!$G$6/AJ3249)</f>
        <v>#NUM!</v>
      </c>
      <c r="AK3251" s="41"/>
      <c r="AL3251" s="73"/>
      <c r="AM3251" s="64" t="e">
        <f>(AM3245/(N_1*AM$27))*SQRT('Valve Sizing'!$G$6/AM3249)</f>
        <v>#NUM!</v>
      </c>
      <c r="AN3251" s="41"/>
      <c r="AO3251" s="73"/>
      <c r="AP3251" s="64" t="e">
        <f>(AP3245/(N_1*AP$27))*SQRT('Valve Sizing'!$G$6/AP3249)</f>
        <v>#NUM!</v>
      </c>
      <c r="AQ3251" s="41"/>
      <c r="AR3251" s="73"/>
      <c r="AS3251" s="64" t="e">
        <f>(AS3245/(N_1*AS$27))*SQRT('Valve Sizing'!$G$6/AS3249)</f>
        <v>#NUM!</v>
      </c>
      <c r="AT3251" s="41"/>
      <c r="AU3251" s="73"/>
    </row>
    <row r="3252" spans="15:47" ht="13" x14ac:dyDescent="0.3">
      <c r="O3252" s="1" t="s">
        <v>72</v>
      </c>
      <c r="P3252" s="17">
        <v>7</v>
      </c>
      <c r="Q3252" s="65"/>
      <c r="R3252" s="53">
        <f>(R3245/(N_1*F_P_h))*SQRT('Valve Sizing'!$G$6/R3250)</f>
        <v>38.759325640952504</v>
      </c>
      <c r="S3252" s="56"/>
      <c r="T3252" s="72"/>
      <c r="U3252" s="85">
        <f>(U3245/(N_1*U$27))*SQRT('Valve Sizing'!$G$6/U3250)</f>
        <v>82.441063291229653</v>
      </c>
      <c r="V3252" s="44"/>
      <c r="W3252" s="72"/>
      <c r="X3252" s="85">
        <f>(X3245/(N_1*X$27))*SQRT('Valve Sizing'!$G$6/X3250)</f>
        <v>645.12228805189773</v>
      </c>
      <c r="Y3252" s="44"/>
      <c r="Z3252" s="72"/>
      <c r="AA3252" s="85" t="e">
        <f>(AA3245/(N_1*AA$27))*SQRT('Valve Sizing'!$G$6/AA3250)</f>
        <v>#NUM!</v>
      </c>
      <c r="AB3252" s="44"/>
      <c r="AC3252" s="72"/>
      <c r="AD3252" s="85" t="e">
        <f>(AD3245/(N_1*AD$27))*SQRT('Valve Sizing'!$G$6/AD3250)</f>
        <v>#NUM!</v>
      </c>
      <c r="AE3252" s="44"/>
      <c r="AF3252" s="72"/>
      <c r="AG3252" s="85" t="e">
        <f>(AG3245/(N_1*AG$27))*SQRT('Valve Sizing'!$G$6/AG3250)</f>
        <v>#NUM!</v>
      </c>
      <c r="AH3252" s="44"/>
      <c r="AI3252" s="72"/>
      <c r="AJ3252" s="85" t="e">
        <f>(AJ3245/(N_1*AJ$27))*SQRT('Valve Sizing'!$G$6/AJ3250)</f>
        <v>#NUM!</v>
      </c>
      <c r="AK3252" s="44"/>
      <c r="AL3252" s="72"/>
      <c r="AM3252" s="85" t="e">
        <f>(AM3245/(N_1*AM$27))*SQRT('Valve Sizing'!$G$6/AM3250)</f>
        <v>#NUM!</v>
      </c>
      <c r="AN3252" s="44"/>
      <c r="AO3252" s="72"/>
      <c r="AP3252" s="85" t="e">
        <f>(AP3245/(N_1*AP$27))*SQRT('Valve Sizing'!$G$6/AP3250)</f>
        <v>#NUM!</v>
      </c>
      <c r="AQ3252" s="44"/>
      <c r="AR3252" s="72"/>
      <c r="AS3252" s="85" t="e">
        <f>(AS3245/(N_1*AS$27))*SQRT('Valve Sizing'!$G$6/AS3250)</f>
        <v>#NUM!</v>
      </c>
      <c r="AT3252" s="44"/>
      <c r="AU3252" s="72"/>
    </row>
    <row r="3253" spans="15:47" x14ac:dyDescent="0.25">
      <c r="O3253" s="1" t="s">
        <v>246</v>
      </c>
      <c r="P3253" s="18"/>
      <c r="Q3253" s="65"/>
      <c r="R3253" s="53">
        <f>IF(R3249&lt;R3250,R3251,R3252)</f>
        <v>47.784672108343585</v>
      </c>
      <c r="S3253" s="49"/>
      <c r="T3253" s="72"/>
      <c r="U3253" s="64">
        <f>IF(U3249&lt;U3250,U3251,U3252)</f>
        <v>111.57847872758397</v>
      </c>
      <c r="V3253" s="44"/>
      <c r="W3253" s="72"/>
      <c r="X3253" s="64" t="e">
        <f>IF(X3249&lt;X3250,X3251,X3252)</f>
        <v>#NUM!</v>
      </c>
      <c r="Y3253" s="44"/>
      <c r="Z3253" s="72"/>
      <c r="AA3253" s="64" t="e">
        <f>IF(AA3249&lt;AA3250,AA3251,AA3252)</f>
        <v>#NUM!</v>
      </c>
      <c r="AB3253" s="44"/>
      <c r="AC3253" s="72"/>
      <c r="AD3253" s="64" t="e">
        <f>IF(AD3249&lt;AD3250,AD3251,AD3252)</f>
        <v>#NUM!</v>
      </c>
      <c r="AE3253" s="44"/>
      <c r="AF3253" s="72"/>
      <c r="AG3253" s="64" t="e">
        <f>IF(AG3249&lt;AG3250,AG3251,AG3252)</f>
        <v>#NUM!</v>
      </c>
      <c r="AH3253" s="44"/>
      <c r="AI3253" s="72"/>
      <c r="AJ3253" s="64" t="e">
        <f>IF(AJ3249&lt;AJ3250,AJ3251,AJ3252)</f>
        <v>#NUM!</v>
      </c>
      <c r="AK3253" s="44"/>
      <c r="AL3253" s="72"/>
      <c r="AM3253" s="64" t="e">
        <f>IF(AM3249&lt;AM3250,AM3251,AM3252)</f>
        <v>#NUM!</v>
      </c>
      <c r="AN3253" s="44"/>
      <c r="AO3253" s="72"/>
      <c r="AP3253" s="64" t="e">
        <f>IF(AP3249&lt;AP3250,AP3251,AP3252)</f>
        <v>#NUM!</v>
      </c>
      <c r="AQ3253" s="44"/>
      <c r="AR3253" s="72"/>
      <c r="AS3253" s="64" t="e">
        <f>IF(AS3249&lt;AS3250,AS3251,AS3252)</f>
        <v>#NUM!</v>
      </c>
      <c r="AT3253" s="44"/>
      <c r="AU3253" s="72"/>
    </row>
    <row r="3254" spans="15:47" ht="13" x14ac:dyDescent="0.3">
      <c r="O3254" s="7" t="s">
        <v>264</v>
      </c>
      <c r="Q3254" s="61"/>
      <c r="R3254" s="53"/>
      <c r="S3254" s="69">
        <f>IFERROR(ABS(C_h-R3253),Q_max*10)</f>
        <v>42.784672108343585</v>
      </c>
      <c r="T3254" s="76">
        <f>R3245</f>
        <v>259.62119313978388</v>
      </c>
      <c r="U3254" s="61"/>
      <c r="V3254" s="69">
        <f>IFERROR(ABS(U$23-U3253),Q_max*10)</f>
        <v>99.57847872758397</v>
      </c>
      <c r="W3254" s="75">
        <f>U3245</f>
        <v>516.37124359534027</v>
      </c>
      <c r="X3254" s="61"/>
      <c r="Y3254" s="69">
        <f>IFERROR(ABS(X$23-X3253),Q_max*10)</f>
        <v>5500</v>
      </c>
      <c r="Z3254" s="75">
        <f>X3245</f>
        <v>1239.4897552361738</v>
      </c>
      <c r="AA3254" s="61"/>
      <c r="AB3254" s="69">
        <f>IFERROR(ABS(AA$23-AA3253),Q_max*10)</f>
        <v>5500</v>
      </c>
      <c r="AC3254" s="75">
        <f>AA3245</f>
        <v>2366.6402010833763</v>
      </c>
      <c r="AD3254" s="61"/>
      <c r="AE3254" s="69">
        <f>IFERROR(ABS(AD$23-AD3253),Q_max*10)</f>
        <v>5500</v>
      </c>
      <c r="AF3254" s="75">
        <f>AD3245</f>
        <v>3892.2517855567253</v>
      </c>
      <c r="AG3254" s="61"/>
      <c r="AH3254" s="69">
        <f>IFERROR(ABS(AG$23-AG3253),Q_max*10)</f>
        <v>5500</v>
      </c>
      <c r="AI3254" s="75">
        <f>AG3245</f>
        <v>5795.0325255094067</v>
      </c>
      <c r="AJ3254" s="61"/>
      <c r="AK3254" s="69">
        <f>IFERROR(ABS(AJ$23-AJ3253),Q_max*10)</f>
        <v>5500</v>
      </c>
      <c r="AL3254" s="75">
        <f>AJ3245</f>
        <v>7733.4933701255104</v>
      </c>
      <c r="AM3254" s="61"/>
      <c r="AN3254" s="69">
        <f>IFERROR(ABS(AM$23-AM3253),Q_max*10)</f>
        <v>5500</v>
      </c>
      <c r="AO3254" s="75">
        <f>AM3245</f>
        <v>9436.3315842307857</v>
      </c>
      <c r="AP3254" s="61"/>
      <c r="AQ3254" s="69">
        <f>IFERROR(ABS(AP$23-AP3253),Q_max*10)</f>
        <v>5500</v>
      </c>
      <c r="AR3254" s="75">
        <f>AP3245</f>
        <v>10955.288021869341</v>
      </c>
      <c r="AS3254" s="61"/>
      <c r="AT3254" s="69">
        <f>IFERROR(ABS(AS$23-AS3253),Q_max*10)</f>
        <v>5500</v>
      </c>
      <c r="AU3254" s="75">
        <f>AS3245</f>
        <v>12468.139682900799</v>
      </c>
    </row>
    <row r="3255" spans="15:47" ht="14.5" x14ac:dyDescent="0.35">
      <c r="O3255" s="8"/>
      <c r="P3255" s="6"/>
      <c r="Q3255" s="60"/>
      <c r="R3255" s="67"/>
      <c r="S3255" s="56"/>
      <c r="T3255" s="72"/>
      <c r="V3255" s="11"/>
      <c r="W3255" s="38"/>
      <c r="Y3255" s="11"/>
      <c r="Z3255" s="38"/>
      <c r="AB3255" s="11"/>
      <c r="AC3255" s="38"/>
      <c r="AE3255" s="11"/>
      <c r="AF3255" s="38"/>
      <c r="AH3255" s="11"/>
      <c r="AI3255" s="38"/>
      <c r="AK3255" s="11"/>
      <c r="AL3255" s="38"/>
      <c r="AN3255" s="11"/>
      <c r="AO3255" s="38"/>
      <c r="AQ3255" s="11"/>
      <c r="AR3255" s="38"/>
      <c r="AT3255" s="11"/>
      <c r="AU3255" s="38"/>
    </row>
    <row r="3256" spans="15:47" ht="14" x14ac:dyDescent="0.3">
      <c r="O3256" s="8" t="s">
        <v>235</v>
      </c>
      <c r="P3256" s="6"/>
      <c r="Q3256" s="60"/>
      <c r="R3256" s="53">
        <f>R3245*1.02</f>
        <v>264.81361700257958</v>
      </c>
      <c r="S3256" s="58" t="s">
        <v>238</v>
      </c>
      <c r="T3256" s="73" t="s">
        <v>241</v>
      </c>
      <c r="U3256" s="84">
        <f>U3245*1.01</f>
        <v>521.53495603129363</v>
      </c>
      <c r="V3256" s="58" t="s">
        <v>238</v>
      </c>
      <c r="W3256" s="73" t="s">
        <v>241</v>
      </c>
      <c r="X3256" s="84">
        <f>X3245*1.01</f>
        <v>1251.8846527885355</v>
      </c>
      <c r="Y3256" s="58" t="s">
        <v>238</v>
      </c>
      <c r="Z3256" s="73" t="s">
        <v>241</v>
      </c>
      <c r="AA3256" s="84">
        <f>AA3245*1.01</f>
        <v>2390.30660309421</v>
      </c>
      <c r="AB3256" s="58" t="s">
        <v>238</v>
      </c>
      <c r="AC3256" s="73" t="s">
        <v>241</v>
      </c>
      <c r="AD3256" s="84">
        <f>AD3245*1.01</f>
        <v>3931.1743034122924</v>
      </c>
      <c r="AE3256" s="58" t="s">
        <v>238</v>
      </c>
      <c r="AF3256" s="73" t="s">
        <v>241</v>
      </c>
      <c r="AG3256" s="84">
        <f>AG3245*1.01</f>
        <v>5852.9828507645007</v>
      </c>
      <c r="AH3256" s="58" t="s">
        <v>238</v>
      </c>
      <c r="AI3256" s="73" t="s">
        <v>241</v>
      </c>
      <c r="AJ3256" s="84">
        <f>AJ3245*1.01</f>
        <v>7810.8283038267655</v>
      </c>
      <c r="AK3256" s="58" t="s">
        <v>238</v>
      </c>
      <c r="AL3256" s="73" t="s">
        <v>241</v>
      </c>
      <c r="AM3256" s="84">
        <f>AM3245*1.01</f>
        <v>9530.6949000730929</v>
      </c>
      <c r="AN3256" s="58" t="s">
        <v>238</v>
      </c>
      <c r="AO3256" s="73" t="s">
        <v>241</v>
      </c>
      <c r="AP3256" s="84">
        <f>AP3245*1.01</f>
        <v>11064.840902088034</v>
      </c>
      <c r="AQ3256" s="58" t="s">
        <v>238</v>
      </c>
      <c r="AR3256" s="73" t="s">
        <v>241</v>
      </c>
      <c r="AS3256" s="84">
        <f>AS3245*1.01</f>
        <v>12592.821079729807</v>
      </c>
      <c r="AT3256" s="58" t="s">
        <v>238</v>
      </c>
      <c r="AU3256" s="73" t="s">
        <v>241</v>
      </c>
    </row>
    <row r="3257" spans="15:47" ht="13" x14ac:dyDescent="0.25">
      <c r="O3257" s="6"/>
      <c r="P3257" s="6"/>
      <c r="Q3257" s="60"/>
      <c r="R3257" s="70"/>
      <c r="S3257" s="63" t="s">
        <v>250</v>
      </c>
      <c r="T3257" s="71" t="s">
        <v>242</v>
      </c>
      <c r="U3257" s="61"/>
      <c r="V3257" s="63" t="s">
        <v>250</v>
      </c>
      <c r="W3257" s="71" t="s">
        <v>242</v>
      </c>
      <c r="X3257" s="61"/>
      <c r="Y3257" s="63" t="s">
        <v>250</v>
      </c>
      <c r="Z3257" s="71" t="s">
        <v>242</v>
      </c>
      <c r="AA3257" s="61"/>
      <c r="AB3257" s="63" t="s">
        <v>250</v>
      </c>
      <c r="AC3257" s="71" t="s">
        <v>242</v>
      </c>
      <c r="AD3257" s="61"/>
      <c r="AE3257" s="63" t="s">
        <v>250</v>
      </c>
      <c r="AF3257" s="71" t="s">
        <v>242</v>
      </c>
      <c r="AG3257" s="61"/>
      <c r="AH3257" s="63" t="s">
        <v>250</v>
      </c>
      <c r="AI3257" s="71" t="s">
        <v>242</v>
      </c>
      <c r="AJ3257" s="61"/>
      <c r="AK3257" s="63" t="s">
        <v>250</v>
      </c>
      <c r="AL3257" s="71" t="s">
        <v>242</v>
      </c>
      <c r="AM3257" s="61"/>
      <c r="AN3257" s="63" t="s">
        <v>250</v>
      </c>
      <c r="AO3257" s="71" t="s">
        <v>242</v>
      </c>
      <c r="AP3257" s="61"/>
      <c r="AQ3257" s="63" t="s">
        <v>250</v>
      </c>
      <c r="AR3257" s="71" t="s">
        <v>242</v>
      </c>
      <c r="AS3257" s="61"/>
      <c r="AT3257" s="63" t="s">
        <v>250</v>
      </c>
      <c r="AU3257" s="71" t="s">
        <v>242</v>
      </c>
    </row>
    <row r="3258" spans="15:47" ht="13" x14ac:dyDescent="0.3">
      <c r="O3258" s="6" t="s">
        <v>231</v>
      </c>
      <c r="P3258" s="6"/>
      <c r="Q3258" s="60"/>
      <c r="R3258" s="85">
        <f>P_1_minQ-(R3256^2*R_up)+dpup_minQ</f>
        <v>54.547813179669404</v>
      </c>
      <c r="S3258" s="56"/>
      <c r="T3258" s="72"/>
      <c r="U3258" s="53">
        <f>P_1_minQ-(U3256^2*R_up)+dpup_minQ</f>
        <v>47.730100967154222</v>
      </c>
      <c r="V3258" s="44"/>
      <c r="W3258" s="72"/>
      <c r="X3258" s="53">
        <f>P_1_minQ-(X3256^2*R_up)+dpup_minQ</f>
        <v>3.9875655559786507</v>
      </c>
      <c r="Y3258" s="44"/>
      <c r="Z3258" s="72"/>
      <c r="AA3258" s="53">
        <f>P_1_minQ-(AA3256^2*R_up)+dpup_minQ</f>
        <v>-136.04453417074578</v>
      </c>
      <c r="AB3258" s="44"/>
      <c r="AC3258" s="72"/>
      <c r="AD3258" s="53">
        <f>P_1_minQ-(AD3256^2*R_up)+dpup_minQ</f>
        <v>-465.00656547818727</v>
      </c>
      <c r="AE3258" s="44"/>
      <c r="AF3258" s="72"/>
      <c r="AG3258" s="53">
        <f>P_1_minQ-(AG3256^2*R_up)+dpup_minQ</f>
        <v>-1100.0378673199373</v>
      </c>
      <c r="AH3258" s="44"/>
      <c r="AI3258" s="72"/>
      <c r="AJ3258" s="53">
        <f>P_1_minQ-(AJ3256^2*R_up)+dpup_minQ</f>
        <v>-2003.5039443384433</v>
      </c>
      <c r="AK3258" s="44"/>
      <c r="AL3258" s="72"/>
      <c r="AM3258" s="53">
        <f>P_1_minQ-(AM3256^2*R_up)+dpup_minQ</f>
        <v>-3010.7686010901475</v>
      </c>
      <c r="AN3258" s="44"/>
      <c r="AO3258" s="72"/>
      <c r="AP3258" s="53">
        <f>P_1_minQ-(AP3256^2*R_up)+dpup_minQ</f>
        <v>-4077.8594119729937</v>
      </c>
      <c r="AQ3258" s="44"/>
      <c r="AR3258" s="72"/>
      <c r="AS3258" s="53">
        <f>P_1_minQ-(AS3256^2*R_up)+dpup_minQ</f>
        <v>-5298.6780056091657</v>
      </c>
      <c r="AT3258" s="44"/>
      <c r="AU3258" s="72"/>
    </row>
    <row r="3259" spans="15:47" ht="13" x14ac:dyDescent="0.3">
      <c r="O3259" s="6" t="s">
        <v>233</v>
      </c>
      <c r="P3259" s="6"/>
      <c r="Q3259" s="60"/>
      <c r="R3259" s="85">
        <f>P_2_minQ+(R3256^2*R_dn)-dpdn_minQ</f>
        <v>25.130437364066122</v>
      </c>
      <c r="S3259" s="66"/>
      <c r="T3259" s="74"/>
      <c r="U3259" s="53">
        <f>P_2_minQ+(U3256^2*R_dn)-dpdn_minQ</f>
        <v>26.493979806569158</v>
      </c>
      <c r="V3259" s="45"/>
      <c r="W3259" s="74"/>
      <c r="X3259" s="53">
        <f>P_2_minQ+(X3256^2*R_dn)-dpdn_minQ</f>
        <v>35.242486888804272</v>
      </c>
      <c r="Y3259" s="45"/>
      <c r="Z3259" s="74"/>
      <c r="AA3259" s="53">
        <f>P_2_minQ+(AA3256^2*R_dn)-dpdn_minQ</f>
        <v>63.248906834149153</v>
      </c>
      <c r="AB3259" s="45"/>
      <c r="AC3259" s="74"/>
      <c r="AD3259" s="53">
        <f>P_2_minQ+(AD3256^2*R_dn)-dpdn_minQ</f>
        <v>129.04131309563743</v>
      </c>
      <c r="AE3259" s="45"/>
      <c r="AF3259" s="74"/>
      <c r="AG3259" s="53">
        <f>P_2_minQ+(AG3256^2*R_dn)-dpdn_minQ</f>
        <v>256.04757346398742</v>
      </c>
      <c r="AH3259" s="45"/>
      <c r="AI3259" s="74"/>
      <c r="AJ3259" s="53">
        <f>P_2_minQ+(AJ3256^2*R_dn)-dpdn_minQ</f>
        <v>436.74078886768859</v>
      </c>
      <c r="AK3259" s="45"/>
      <c r="AL3259" s="74"/>
      <c r="AM3259" s="53">
        <f>P_2_minQ+(AM3256^2*R_dn)-dpdn_minQ</f>
        <v>638.1937202180294</v>
      </c>
      <c r="AN3259" s="45"/>
      <c r="AO3259" s="74"/>
      <c r="AP3259" s="53">
        <f>P_2_minQ+(AP3256^2*R_dn)-dpdn_minQ</f>
        <v>851.61188239459864</v>
      </c>
      <c r="AQ3259" s="45"/>
      <c r="AR3259" s="74"/>
      <c r="AS3259" s="53">
        <f>P_2_minQ+(AS3256^2*R_dn)-dpdn_minQ</f>
        <v>1095.775601121833</v>
      </c>
      <c r="AT3259" s="45"/>
      <c r="AU3259" s="74"/>
    </row>
    <row r="3260" spans="15:47" x14ac:dyDescent="0.25">
      <c r="O3260" s="6" t="s">
        <v>243</v>
      </c>
      <c r="Q3260" s="60"/>
      <c r="R3260" s="53">
        <f>R3258-R3259</f>
        <v>29.417375815603283</v>
      </c>
      <c r="S3260" s="56"/>
      <c r="T3260" s="72"/>
      <c r="U3260" s="64">
        <f>U3258-U3259</f>
        <v>21.236121160585064</v>
      </c>
      <c r="V3260" s="44"/>
      <c r="W3260" s="72"/>
      <c r="X3260" s="64">
        <f>X3258-X3259</f>
        <v>-31.254921332825621</v>
      </c>
      <c r="Y3260" s="44"/>
      <c r="Z3260" s="72"/>
      <c r="AA3260" s="64">
        <f>AA3258-AA3259</f>
        <v>-199.29344100489493</v>
      </c>
      <c r="AB3260" s="44"/>
      <c r="AC3260" s="72"/>
      <c r="AD3260" s="64">
        <f>AD3258-AD3259</f>
        <v>-594.04787857382473</v>
      </c>
      <c r="AE3260" s="44"/>
      <c r="AF3260" s="72"/>
      <c r="AG3260" s="64">
        <f>AG3258-AG3259</f>
        <v>-1356.0854407839247</v>
      </c>
      <c r="AH3260" s="44"/>
      <c r="AI3260" s="72"/>
      <c r="AJ3260" s="64">
        <f>AJ3258-AJ3259</f>
        <v>-2440.244733206132</v>
      </c>
      <c r="AK3260" s="44"/>
      <c r="AL3260" s="72"/>
      <c r="AM3260" s="64">
        <f>AM3258-AM3259</f>
        <v>-3648.9623213081768</v>
      </c>
      <c r="AN3260" s="44"/>
      <c r="AO3260" s="72"/>
      <c r="AP3260" s="64">
        <f>AP3258-AP3259</f>
        <v>-4929.4712943675922</v>
      </c>
      <c r="AQ3260" s="44"/>
      <c r="AR3260" s="72"/>
      <c r="AS3260" s="64">
        <f>AS3258-AS3259</f>
        <v>-6394.4536067309982</v>
      </c>
      <c r="AT3260" s="44"/>
      <c r="AU3260" s="72"/>
    </row>
    <row r="3261" spans="15:47" ht="13" x14ac:dyDescent="0.3">
      <c r="O3261" s="6" t="s">
        <v>75</v>
      </c>
      <c r="P3261" s="6">
        <v>3</v>
      </c>
      <c r="Q3261" s="65"/>
      <c r="R3261" s="85">
        <f>(F_LP_h/F_P_h)^2*(R3258-('Valve Sizing'!$V$4*'Valve Sizing'!$G$7))</f>
        <v>44.804061675636689</v>
      </c>
      <c r="S3261" s="58"/>
      <c r="T3261" s="73"/>
      <c r="U3261" s="53">
        <f>(U$29/U$27)^2*(U3258-('Valve Sizing'!$V$4*'Valve Sizing'!$G$7))</f>
        <v>39.1479650753231</v>
      </c>
      <c r="V3261" s="41"/>
      <c r="W3261" s="73"/>
      <c r="X3261" s="53">
        <f>(X$29/X$27)^2*(X3258-('Valve Sizing'!$V$4*'Valve Sizing'!$G$7))</f>
        <v>2.8704786532517494</v>
      </c>
      <c r="Y3261" s="41"/>
      <c r="Z3261" s="73"/>
      <c r="AA3261" s="53">
        <f>(AA$29/AA$27)^2*(AA3258-('Valve Sizing'!$V$4*'Valve Sizing'!$G$7))</f>
        <v>-105.47491333126928</v>
      </c>
      <c r="AB3261" s="41"/>
      <c r="AC3261" s="73"/>
      <c r="AD3261" s="53">
        <f>(AD$29/AD$27)^2*(AD3258-('Valve Sizing'!$V$4*'Valve Sizing'!$G$7))</f>
        <v>-335.67424332617168</v>
      </c>
      <c r="AE3261" s="41"/>
      <c r="AF3261" s="73"/>
      <c r="AG3261" s="53">
        <f>(AG$29/AG$27)^2*(AG3258-('Valve Sizing'!$V$4*'Valve Sizing'!$G$7))</f>
        <v>-708.75615099962886</v>
      </c>
      <c r="AH3261" s="41"/>
      <c r="AI3261" s="73"/>
      <c r="AJ3261" s="53">
        <f>(AJ$29/AJ$27)^2*(AJ3258-('Valve Sizing'!$V$4*'Valve Sizing'!$G$7))</f>
        <v>-1159.0097407519754</v>
      </c>
      <c r="AK3261" s="41"/>
      <c r="AL3261" s="73"/>
      <c r="AM3261" s="53">
        <f>(AM$29/AM$27)^2*(AM3258-('Valve Sizing'!$V$4*'Valve Sizing'!$G$7))</f>
        <v>-1440.7794789608479</v>
      </c>
      <c r="AN3261" s="41"/>
      <c r="AO3261" s="73"/>
      <c r="AP3261" s="53">
        <f>(AP$29/AP$27)^2*(AP3258-('Valve Sizing'!$V$4*'Valve Sizing'!$G$7))</f>
        <v>-1609.4063807222476</v>
      </c>
      <c r="AQ3261" s="41"/>
      <c r="AR3261" s="73"/>
      <c r="AS3261" s="53">
        <f>(AS$29/AS$27)^2*(AS3258-('Valve Sizing'!$V$4*'Valve Sizing'!$G$7))</f>
        <v>-1993.2144763713277</v>
      </c>
      <c r="AT3261" s="41"/>
      <c r="AU3261" s="73"/>
    </row>
    <row r="3262" spans="15:47" ht="13" x14ac:dyDescent="0.25">
      <c r="O3262" s="1" t="s">
        <v>69</v>
      </c>
      <c r="P3262" s="17">
        <v>7</v>
      </c>
      <c r="Q3262" s="65"/>
      <c r="R3262" s="53">
        <f>(R3256/(N_1*F_P_h))*SQRT('Valve Sizing'!$G$6/R3260)</f>
        <v>48.83170378365562</v>
      </c>
      <c r="S3262" s="58"/>
      <c r="T3262" s="73"/>
      <c r="U3262" s="64">
        <f>(U3256/(N_1*U$27))*SQRT('Valve Sizing'!$G$6/U3260)</f>
        <v>113.26911196475211</v>
      </c>
      <c r="V3262" s="41"/>
      <c r="W3262" s="73"/>
      <c r="X3262" s="64" t="e">
        <f>(X3256/(N_1*X$27))*SQRT('Valve Sizing'!$G$6/X3260)</f>
        <v>#NUM!</v>
      </c>
      <c r="Y3262" s="41"/>
      <c r="Z3262" s="73"/>
      <c r="AA3262" s="64" t="e">
        <f>(AA3256/(N_1*AA$27))*SQRT('Valve Sizing'!$G$6/AA3260)</f>
        <v>#NUM!</v>
      </c>
      <c r="AB3262" s="41"/>
      <c r="AC3262" s="73"/>
      <c r="AD3262" s="64" t="e">
        <f>(AD3256/(N_1*AD$27))*SQRT('Valve Sizing'!$G$6/AD3260)</f>
        <v>#NUM!</v>
      </c>
      <c r="AE3262" s="41"/>
      <c r="AF3262" s="73"/>
      <c r="AG3262" s="64" t="e">
        <f>(AG3256/(N_1*AG$27))*SQRT('Valve Sizing'!$G$6/AG3260)</f>
        <v>#NUM!</v>
      </c>
      <c r="AH3262" s="41"/>
      <c r="AI3262" s="73"/>
      <c r="AJ3262" s="64" t="e">
        <f>(AJ3256/(N_1*AJ$27))*SQRT('Valve Sizing'!$G$6/AJ3260)</f>
        <v>#NUM!</v>
      </c>
      <c r="AK3262" s="41"/>
      <c r="AL3262" s="73"/>
      <c r="AM3262" s="64" t="e">
        <f>(AM3256/(N_1*AM$27))*SQRT('Valve Sizing'!$G$6/AM3260)</f>
        <v>#NUM!</v>
      </c>
      <c r="AN3262" s="41"/>
      <c r="AO3262" s="73"/>
      <c r="AP3262" s="64" t="e">
        <f>(AP3256/(N_1*AP$27))*SQRT('Valve Sizing'!$G$6/AP3260)</f>
        <v>#NUM!</v>
      </c>
      <c r="AQ3262" s="41"/>
      <c r="AR3262" s="73"/>
      <c r="AS3262" s="64" t="e">
        <f>(AS3256/(N_1*AS$27))*SQRT('Valve Sizing'!$G$6/AS3260)</f>
        <v>#NUM!</v>
      </c>
      <c r="AT3262" s="41"/>
      <c r="AU3262" s="73"/>
    </row>
    <row r="3263" spans="15:47" ht="13" x14ac:dyDescent="0.3">
      <c r="O3263" s="1" t="s">
        <v>72</v>
      </c>
      <c r="P3263" s="17">
        <v>7</v>
      </c>
      <c r="Q3263" s="65"/>
      <c r="R3263" s="53">
        <f>(R3256/(N_1*F_P_h))*SQRT('Valve Sizing'!$G$6/R3261)</f>
        <v>39.568095633145894</v>
      </c>
      <c r="S3263" s="56"/>
      <c r="T3263" s="72"/>
      <c r="U3263" s="85">
        <f>(U3256/(N_1*U$27))*SQRT('Valve Sizing'!$G$6/U3261)</f>
        <v>83.424669880036419</v>
      </c>
      <c r="V3263" s="44"/>
      <c r="W3263" s="72"/>
      <c r="X3263" s="85">
        <f>(X3256/(N_1*X$27))*SQRT('Valve Sizing'!$G$6/X3261)</f>
        <v>741.18645181353531</v>
      </c>
      <c r="Y3263" s="44"/>
      <c r="Z3263" s="72"/>
      <c r="AA3263" s="85" t="e">
        <f>(AA3256/(N_1*AA$27))*SQRT('Valve Sizing'!$G$6/AA3261)</f>
        <v>#NUM!</v>
      </c>
      <c r="AB3263" s="44"/>
      <c r="AC3263" s="72"/>
      <c r="AD3263" s="85" t="e">
        <f>(AD3256/(N_1*AD$27))*SQRT('Valve Sizing'!$G$6/AD3261)</f>
        <v>#NUM!</v>
      </c>
      <c r="AE3263" s="44"/>
      <c r="AF3263" s="72"/>
      <c r="AG3263" s="85" t="e">
        <f>(AG3256/(N_1*AG$27))*SQRT('Valve Sizing'!$G$6/AG3261)</f>
        <v>#NUM!</v>
      </c>
      <c r="AH3263" s="44"/>
      <c r="AI3263" s="72"/>
      <c r="AJ3263" s="85" t="e">
        <f>(AJ3256/(N_1*AJ$27))*SQRT('Valve Sizing'!$G$6/AJ3261)</f>
        <v>#NUM!</v>
      </c>
      <c r="AK3263" s="44"/>
      <c r="AL3263" s="72"/>
      <c r="AM3263" s="85" t="e">
        <f>(AM3256/(N_1*AM$27))*SQRT('Valve Sizing'!$G$6/AM3261)</f>
        <v>#NUM!</v>
      </c>
      <c r="AN3263" s="44"/>
      <c r="AO3263" s="72"/>
      <c r="AP3263" s="85" t="e">
        <f>(AP3256/(N_1*AP$27))*SQRT('Valve Sizing'!$G$6/AP3261)</f>
        <v>#NUM!</v>
      </c>
      <c r="AQ3263" s="44"/>
      <c r="AR3263" s="72"/>
      <c r="AS3263" s="85" t="e">
        <f>(AS3256/(N_1*AS$27))*SQRT('Valve Sizing'!$G$6/AS3261)</f>
        <v>#NUM!</v>
      </c>
      <c r="AT3263" s="44"/>
      <c r="AU3263" s="72"/>
    </row>
    <row r="3264" spans="15:47" x14ac:dyDescent="0.25">
      <c r="O3264" s="1" t="s">
        <v>246</v>
      </c>
      <c r="P3264" s="18"/>
      <c r="Q3264" s="65"/>
      <c r="R3264" s="53">
        <f>IF(R3260&lt;R3261,R3262,R3263)</f>
        <v>48.83170378365562</v>
      </c>
      <c r="S3264" s="49"/>
      <c r="T3264" s="72"/>
      <c r="U3264" s="64">
        <f>IF(U3260&lt;U3261,U3262,U3263)</f>
        <v>113.26911196475211</v>
      </c>
      <c r="V3264" s="44"/>
      <c r="W3264" s="72"/>
      <c r="X3264" s="64" t="e">
        <f>IF(X3260&lt;X3261,X3262,X3263)</f>
        <v>#NUM!</v>
      </c>
      <c r="Y3264" s="44"/>
      <c r="Z3264" s="72"/>
      <c r="AA3264" s="64" t="e">
        <f>IF(AA3260&lt;AA3261,AA3262,AA3263)</f>
        <v>#NUM!</v>
      </c>
      <c r="AB3264" s="44"/>
      <c r="AC3264" s="72"/>
      <c r="AD3264" s="64" t="e">
        <f>IF(AD3260&lt;AD3261,AD3262,AD3263)</f>
        <v>#NUM!</v>
      </c>
      <c r="AE3264" s="44"/>
      <c r="AF3264" s="72"/>
      <c r="AG3264" s="64" t="e">
        <f>IF(AG3260&lt;AG3261,AG3262,AG3263)</f>
        <v>#NUM!</v>
      </c>
      <c r="AH3264" s="44"/>
      <c r="AI3264" s="72"/>
      <c r="AJ3264" s="64" t="e">
        <f>IF(AJ3260&lt;AJ3261,AJ3262,AJ3263)</f>
        <v>#NUM!</v>
      </c>
      <c r="AK3264" s="44"/>
      <c r="AL3264" s="72"/>
      <c r="AM3264" s="64" t="e">
        <f>IF(AM3260&lt;AM3261,AM3262,AM3263)</f>
        <v>#NUM!</v>
      </c>
      <c r="AN3264" s="44"/>
      <c r="AO3264" s="72"/>
      <c r="AP3264" s="64" t="e">
        <f>IF(AP3260&lt;AP3261,AP3262,AP3263)</f>
        <v>#NUM!</v>
      </c>
      <c r="AQ3264" s="44"/>
      <c r="AR3264" s="72"/>
      <c r="AS3264" s="64" t="e">
        <f>IF(AS3260&lt;AS3261,AS3262,AS3263)</f>
        <v>#NUM!</v>
      </c>
      <c r="AT3264" s="44"/>
      <c r="AU3264" s="72"/>
    </row>
    <row r="3265" spans="15:47" ht="13" x14ac:dyDescent="0.3">
      <c r="O3265" s="7" t="s">
        <v>264</v>
      </c>
      <c r="Q3265" s="61"/>
      <c r="R3265" s="53"/>
      <c r="S3265" s="69">
        <f>IFERROR(ABS(C_h-R3264),Q_max*10)</f>
        <v>43.83170378365562</v>
      </c>
      <c r="T3265" s="76">
        <f>R3256</f>
        <v>264.81361700257958</v>
      </c>
      <c r="U3265" s="61"/>
      <c r="V3265" s="69">
        <f>IFERROR(ABS(U$23-U3264),Q_max*10)</f>
        <v>101.26911196475211</v>
      </c>
      <c r="W3265" s="75">
        <f>U3256</f>
        <v>521.53495603129363</v>
      </c>
      <c r="X3265" s="61"/>
      <c r="Y3265" s="69">
        <f>IFERROR(ABS(X$23-X3264),Q_max*10)</f>
        <v>5500</v>
      </c>
      <c r="Z3265" s="75">
        <f>X3256</f>
        <v>1251.8846527885355</v>
      </c>
      <c r="AA3265" s="61"/>
      <c r="AB3265" s="69">
        <f>IFERROR(ABS(AA$23-AA3264),Q_max*10)</f>
        <v>5500</v>
      </c>
      <c r="AC3265" s="75">
        <f>AA3256</f>
        <v>2390.30660309421</v>
      </c>
      <c r="AD3265" s="61"/>
      <c r="AE3265" s="69">
        <f>IFERROR(ABS(AD$23-AD3264),Q_max*10)</f>
        <v>5500</v>
      </c>
      <c r="AF3265" s="75">
        <f>AD3256</f>
        <v>3931.1743034122924</v>
      </c>
      <c r="AG3265" s="61"/>
      <c r="AH3265" s="69">
        <f>IFERROR(ABS(AG$23-AG3264),Q_max*10)</f>
        <v>5500</v>
      </c>
      <c r="AI3265" s="75">
        <f>AG3256</f>
        <v>5852.9828507645007</v>
      </c>
      <c r="AJ3265" s="61"/>
      <c r="AK3265" s="69">
        <f>IFERROR(ABS(AJ$23-AJ3264),Q_max*10)</f>
        <v>5500</v>
      </c>
      <c r="AL3265" s="75">
        <f>AJ3256</f>
        <v>7810.8283038267655</v>
      </c>
      <c r="AM3265" s="61"/>
      <c r="AN3265" s="69">
        <f>IFERROR(ABS(AM$23-AM3264),Q_max*10)</f>
        <v>5500</v>
      </c>
      <c r="AO3265" s="75">
        <f>AM3256</f>
        <v>9530.6949000730929</v>
      </c>
      <c r="AP3265" s="61"/>
      <c r="AQ3265" s="69">
        <f>IFERROR(ABS(AP$23-AP3264),Q_max*10)</f>
        <v>5500</v>
      </c>
      <c r="AR3265" s="75">
        <f>AP3256</f>
        <v>11064.840902088034</v>
      </c>
      <c r="AS3265" s="61"/>
      <c r="AT3265" s="69">
        <f>IFERROR(ABS(AS$23-AS3264),Q_max*10)</f>
        <v>5500</v>
      </c>
      <c r="AU3265" s="75">
        <f>AS3256</f>
        <v>12592.821079729807</v>
      </c>
    </row>
    <row r="3266" spans="15:47" ht="14.5" x14ac:dyDescent="0.35">
      <c r="O3266" s="6"/>
      <c r="P3266" s="6"/>
      <c r="Q3266" s="60"/>
      <c r="R3266" s="67"/>
      <c r="S3266" s="58"/>
      <c r="T3266" s="73"/>
      <c r="V3266" s="11"/>
      <c r="W3266" s="38"/>
      <c r="Y3266" s="11"/>
      <c r="Z3266" s="38"/>
      <c r="AB3266" s="11"/>
      <c r="AC3266" s="38"/>
      <c r="AE3266" s="11"/>
      <c r="AF3266" s="38"/>
      <c r="AH3266" s="11"/>
      <c r="AI3266" s="38"/>
      <c r="AK3266" s="11"/>
      <c r="AL3266" s="38"/>
      <c r="AN3266" s="11"/>
      <c r="AO3266" s="38"/>
      <c r="AQ3266" s="11"/>
      <c r="AR3266" s="38"/>
      <c r="AT3266" s="11"/>
      <c r="AU3266" s="38"/>
    </row>
    <row r="3267" spans="15:47" ht="14" x14ac:dyDescent="0.3">
      <c r="O3267" s="8" t="s">
        <v>235</v>
      </c>
      <c r="P3267" s="6"/>
      <c r="Q3267" s="60"/>
      <c r="R3267" s="53">
        <f>R3256*1.02</f>
        <v>270.10988934263116</v>
      </c>
      <c r="S3267" s="58" t="s">
        <v>238</v>
      </c>
      <c r="T3267" s="73" t="s">
        <v>241</v>
      </c>
      <c r="U3267" s="84">
        <f>U3256*1.01</f>
        <v>526.75030559160655</v>
      </c>
      <c r="V3267" s="58" t="s">
        <v>238</v>
      </c>
      <c r="W3267" s="73" t="s">
        <v>241</v>
      </c>
      <c r="X3267" s="84">
        <f>X3256*1.01</f>
        <v>1264.4034993164209</v>
      </c>
      <c r="Y3267" s="58" t="s">
        <v>238</v>
      </c>
      <c r="Z3267" s="73" t="s">
        <v>241</v>
      </c>
      <c r="AA3267" s="84">
        <f>AA3256*1.01</f>
        <v>2414.2096691251522</v>
      </c>
      <c r="AB3267" s="58" t="s">
        <v>238</v>
      </c>
      <c r="AC3267" s="73" t="s">
        <v>241</v>
      </c>
      <c r="AD3267" s="84">
        <f>AD3256*1.01</f>
        <v>3970.4860464464155</v>
      </c>
      <c r="AE3267" s="58" t="s">
        <v>238</v>
      </c>
      <c r="AF3267" s="73" t="s">
        <v>241</v>
      </c>
      <c r="AG3267" s="84">
        <f>AG3256*1.01</f>
        <v>5911.5126792721458</v>
      </c>
      <c r="AH3267" s="58" t="s">
        <v>238</v>
      </c>
      <c r="AI3267" s="73" t="s">
        <v>241</v>
      </c>
      <c r="AJ3267" s="84">
        <f>AJ3256*1.01</f>
        <v>7888.936586865033</v>
      </c>
      <c r="AK3267" s="58" t="s">
        <v>238</v>
      </c>
      <c r="AL3267" s="73" t="s">
        <v>241</v>
      </c>
      <c r="AM3267" s="84">
        <f>AM3256*1.01</f>
        <v>9626.0018490738239</v>
      </c>
      <c r="AN3267" s="58" t="s">
        <v>238</v>
      </c>
      <c r="AO3267" s="73" t="s">
        <v>241</v>
      </c>
      <c r="AP3267" s="84">
        <f>AP3256*1.01</f>
        <v>11175.489311108913</v>
      </c>
      <c r="AQ3267" s="58" t="s">
        <v>238</v>
      </c>
      <c r="AR3267" s="73" t="s">
        <v>241</v>
      </c>
      <c r="AS3267" s="84">
        <f>AS3256*1.01</f>
        <v>12718.749290527105</v>
      </c>
      <c r="AT3267" s="58" t="s">
        <v>238</v>
      </c>
      <c r="AU3267" s="73" t="s">
        <v>241</v>
      </c>
    </row>
    <row r="3268" spans="15:47" ht="13" x14ac:dyDescent="0.25">
      <c r="O3268" s="6"/>
      <c r="P3268" s="6"/>
      <c r="Q3268" s="60"/>
      <c r="R3268" s="70"/>
      <c r="S3268" s="63" t="s">
        <v>250</v>
      </c>
      <c r="T3268" s="71" t="s">
        <v>242</v>
      </c>
      <c r="U3268" s="61"/>
      <c r="V3268" s="63" t="s">
        <v>250</v>
      </c>
      <c r="W3268" s="71" t="s">
        <v>242</v>
      </c>
      <c r="X3268" s="61"/>
      <c r="Y3268" s="63" t="s">
        <v>250</v>
      </c>
      <c r="Z3268" s="71" t="s">
        <v>242</v>
      </c>
      <c r="AA3268" s="61"/>
      <c r="AB3268" s="63" t="s">
        <v>250</v>
      </c>
      <c r="AC3268" s="71" t="s">
        <v>242</v>
      </c>
      <c r="AD3268" s="61"/>
      <c r="AE3268" s="63" t="s">
        <v>250</v>
      </c>
      <c r="AF3268" s="71" t="s">
        <v>242</v>
      </c>
      <c r="AG3268" s="61"/>
      <c r="AH3268" s="63" t="s">
        <v>250</v>
      </c>
      <c r="AI3268" s="71" t="s">
        <v>242</v>
      </c>
      <c r="AJ3268" s="61"/>
      <c r="AK3268" s="63" t="s">
        <v>250</v>
      </c>
      <c r="AL3268" s="71" t="s">
        <v>242</v>
      </c>
      <c r="AM3268" s="61"/>
      <c r="AN3268" s="63" t="s">
        <v>250</v>
      </c>
      <c r="AO3268" s="71" t="s">
        <v>242</v>
      </c>
      <c r="AP3268" s="61"/>
      <c r="AQ3268" s="63" t="s">
        <v>250</v>
      </c>
      <c r="AR3268" s="71" t="s">
        <v>242</v>
      </c>
      <c r="AS3268" s="61"/>
      <c r="AT3268" s="63" t="s">
        <v>250</v>
      </c>
      <c r="AU3268" s="71" t="s">
        <v>242</v>
      </c>
    </row>
    <row r="3269" spans="15:47" ht="13" x14ac:dyDescent="0.3">
      <c r="O3269" s="6" t="s">
        <v>231</v>
      </c>
      <c r="P3269" s="6"/>
      <c r="Q3269" s="60"/>
      <c r="R3269" s="85">
        <f>P_1_minQ-(R3267^2*R_up)+dpup_minQ</f>
        <v>54.452132647055436</v>
      </c>
      <c r="S3269" s="56"/>
      <c r="T3269" s="72"/>
      <c r="U3269" s="53">
        <f>P_1_minQ-(U3267^2*R_up)+dpup_minQ</f>
        <v>47.545461518377209</v>
      </c>
      <c r="V3269" s="44"/>
      <c r="W3269" s="72"/>
      <c r="X3269" s="53">
        <f>P_1_minQ-(X3267^2*R_up)+dpup_minQ</f>
        <v>2.9237011454369961</v>
      </c>
      <c r="Y3269" s="44"/>
      <c r="Z3269" s="72"/>
      <c r="AA3269" s="53">
        <f>P_1_minQ-(AA3267^2*R_up)+dpup_minQ</f>
        <v>-139.92304378579459</v>
      </c>
      <c r="AB3269" s="44"/>
      <c r="AC3269" s="72"/>
      <c r="AD3269" s="53">
        <f>P_1_minQ-(AD3267^2*R_up)+dpup_minQ</f>
        <v>-475.49721192251565</v>
      </c>
      <c r="AE3269" s="44"/>
      <c r="AF3269" s="72"/>
      <c r="AG3269" s="53">
        <f>P_1_minQ-(AG3267^2*R_up)+dpup_minQ</f>
        <v>-1123.2926429312849</v>
      </c>
      <c r="AH3269" s="44"/>
      <c r="AI3269" s="72"/>
      <c r="AJ3269" s="53">
        <f>P_1_minQ-(AJ3267^2*R_up)+dpup_minQ</f>
        <v>-2044.9183880978628</v>
      </c>
      <c r="AK3269" s="44"/>
      <c r="AL3269" s="72"/>
      <c r="AM3269" s="53">
        <f>P_1_minQ-(AM3267^2*R_up)+dpup_minQ</f>
        <v>-3072.4290644502767</v>
      </c>
      <c r="AN3269" s="44"/>
      <c r="AO3269" s="72"/>
      <c r="AP3269" s="53">
        <f>P_1_minQ-(AP3267^2*R_up)+dpup_minQ</f>
        <v>-4160.9684006318676</v>
      </c>
      <c r="AQ3269" s="44"/>
      <c r="AR3269" s="72"/>
      <c r="AS3269" s="53">
        <f>P_1_minQ-(AS3267^2*R_up)+dpup_minQ</f>
        <v>-5406.3254480001269</v>
      </c>
      <c r="AT3269" s="44"/>
      <c r="AU3269" s="72"/>
    </row>
    <row r="3270" spans="15:47" ht="13" x14ac:dyDescent="0.3">
      <c r="O3270" s="6" t="s">
        <v>233</v>
      </c>
      <c r="P3270" s="6"/>
      <c r="Q3270" s="60"/>
      <c r="R3270" s="85">
        <f>P_2_minQ+(R3267^2*R_dn)-dpdn_minQ</f>
        <v>25.149573470588912</v>
      </c>
      <c r="S3270" s="66"/>
      <c r="T3270" s="74"/>
      <c r="U3270" s="53">
        <f>P_2_minQ+(U3267^2*R_dn)-dpdn_minQ</f>
        <v>26.530907696324558</v>
      </c>
      <c r="V3270" s="45"/>
      <c r="W3270" s="74"/>
      <c r="X3270" s="53">
        <f>P_2_minQ+(X3267^2*R_dn)-dpdn_minQ</f>
        <v>35.455259770912605</v>
      </c>
      <c r="Y3270" s="45"/>
      <c r="Z3270" s="74"/>
      <c r="AA3270" s="53">
        <f>P_2_minQ+(AA3267^2*R_dn)-dpdn_minQ</f>
        <v>64.024608757158916</v>
      </c>
      <c r="AB3270" s="45"/>
      <c r="AC3270" s="74"/>
      <c r="AD3270" s="53">
        <f>P_2_minQ+(AD3267^2*R_dn)-dpdn_minQ</f>
        <v>131.1394423845031</v>
      </c>
      <c r="AE3270" s="45"/>
      <c r="AF3270" s="74"/>
      <c r="AG3270" s="53">
        <f>P_2_minQ+(AG3267^2*R_dn)-dpdn_minQ</f>
        <v>260.69852858625694</v>
      </c>
      <c r="AH3270" s="45"/>
      <c r="AI3270" s="74"/>
      <c r="AJ3270" s="53">
        <f>P_2_minQ+(AJ3267^2*R_dn)-dpdn_minQ</f>
        <v>445.02367761957254</v>
      </c>
      <c r="AK3270" s="45"/>
      <c r="AL3270" s="74"/>
      <c r="AM3270" s="53">
        <f>P_2_minQ+(AM3267^2*R_dn)-dpdn_minQ</f>
        <v>650.52581289005525</v>
      </c>
      <c r="AN3270" s="45"/>
      <c r="AO3270" s="74"/>
      <c r="AP3270" s="53">
        <f>P_2_minQ+(AP3267^2*R_dn)-dpdn_minQ</f>
        <v>868.23368012637332</v>
      </c>
      <c r="AQ3270" s="45"/>
      <c r="AR3270" s="74"/>
      <c r="AS3270" s="53">
        <f>P_2_minQ+(AS3267^2*R_dn)-dpdn_minQ</f>
        <v>1117.3050896000252</v>
      </c>
      <c r="AT3270" s="45"/>
      <c r="AU3270" s="74"/>
    </row>
    <row r="3271" spans="15:47" x14ac:dyDescent="0.25">
      <c r="O3271" s="6" t="s">
        <v>243</v>
      </c>
      <c r="Q3271" s="60"/>
      <c r="R3271" s="53">
        <f>R3269-R3270</f>
        <v>29.302559176466524</v>
      </c>
      <c r="S3271" s="56"/>
      <c r="T3271" s="72"/>
      <c r="U3271" s="64">
        <f>U3269-U3270</f>
        <v>21.014553822052651</v>
      </c>
      <c r="V3271" s="44"/>
      <c r="W3271" s="72"/>
      <c r="X3271" s="64">
        <f>X3269-X3270</f>
        <v>-32.531558625475611</v>
      </c>
      <c r="Y3271" s="44"/>
      <c r="Z3271" s="72"/>
      <c r="AA3271" s="64">
        <f>AA3269-AA3270</f>
        <v>-203.94765254295351</v>
      </c>
      <c r="AB3271" s="44"/>
      <c r="AC3271" s="72"/>
      <c r="AD3271" s="64">
        <f>AD3269-AD3270</f>
        <v>-606.63665430701872</v>
      </c>
      <c r="AE3271" s="44"/>
      <c r="AF3271" s="72"/>
      <c r="AG3271" s="64">
        <f>AG3269-AG3270</f>
        <v>-1383.9911715175419</v>
      </c>
      <c r="AH3271" s="44"/>
      <c r="AI3271" s="72"/>
      <c r="AJ3271" s="64">
        <f>AJ3269-AJ3270</f>
        <v>-2489.9420657174355</v>
      </c>
      <c r="AK3271" s="44"/>
      <c r="AL3271" s="72"/>
      <c r="AM3271" s="64">
        <f>AM3269-AM3270</f>
        <v>-3722.9548773403321</v>
      </c>
      <c r="AN3271" s="44"/>
      <c r="AO3271" s="72"/>
      <c r="AP3271" s="64">
        <f>AP3269-AP3270</f>
        <v>-5029.2020807582412</v>
      </c>
      <c r="AQ3271" s="44"/>
      <c r="AR3271" s="72"/>
      <c r="AS3271" s="64">
        <f>AS3269-AS3270</f>
        <v>-6523.6305376001519</v>
      </c>
      <c r="AT3271" s="44"/>
      <c r="AU3271" s="72"/>
    </row>
    <row r="3272" spans="15:47" ht="13" x14ac:dyDescent="0.3">
      <c r="O3272" s="6" t="s">
        <v>75</v>
      </c>
      <c r="P3272" s="6">
        <v>3</v>
      </c>
      <c r="Q3272" s="65"/>
      <c r="R3272" s="85">
        <f>(F_LP_h/F_P_h)^2*(R3269-('Valve Sizing'!$V$4*'Valve Sizing'!$G$7))</f>
        <v>44.724833172367035</v>
      </c>
      <c r="S3272" s="58"/>
      <c r="T3272" s="73"/>
      <c r="U3272" s="53">
        <f>(U$29/U$27)^2*(U3269-('Valve Sizing'!$V$4*'Valve Sizing'!$G$7))</f>
        <v>38.995115591835201</v>
      </c>
      <c r="V3272" s="41"/>
      <c r="W3272" s="73"/>
      <c r="X3272" s="53">
        <f>(X$29/X$27)^2*(X3269-('Valve Sizing'!$V$4*'Valve Sizing'!$G$7))</f>
        <v>2.0096489729038418</v>
      </c>
      <c r="Y3272" s="41"/>
      <c r="Z3272" s="73"/>
      <c r="AA3272" s="53">
        <f>(AA$29/AA$27)^2*(AA3269-('Valve Sizing'!$V$4*'Valve Sizing'!$G$7))</f>
        <v>-108.47221478477121</v>
      </c>
      <c r="AB3272" s="41"/>
      <c r="AC3272" s="73"/>
      <c r="AD3272" s="53">
        <f>(AD$29/AD$27)^2*(AD3269-('Valve Sizing'!$V$4*'Valve Sizing'!$G$7))</f>
        <v>-343.23996543495372</v>
      </c>
      <c r="AE3272" s="41"/>
      <c r="AF3272" s="73"/>
      <c r="AG3272" s="53">
        <f>(AG$29/AG$27)^2*(AG3269-('Valve Sizing'!$V$4*'Valve Sizing'!$G$7))</f>
        <v>-723.73324856823763</v>
      </c>
      <c r="AH3272" s="41"/>
      <c r="AI3272" s="73"/>
      <c r="AJ3272" s="53">
        <f>(AJ$29/AJ$27)^2*(AJ3269-('Valve Sizing'!$V$4*'Valve Sizing'!$G$7))</f>
        <v>-1182.9623779897972</v>
      </c>
      <c r="AK3272" s="41"/>
      <c r="AL3272" s="73"/>
      <c r="AM3272" s="53">
        <f>(AM$29/AM$27)^2*(AM3269-('Valve Sizing'!$V$4*'Valve Sizing'!$G$7))</f>
        <v>-1470.2822933918815</v>
      </c>
      <c r="AN3272" s="41"/>
      <c r="AO3272" s="73"/>
      <c r="AP3272" s="53">
        <f>(AP$29/AP$27)^2*(AP3269-('Valve Sizing'!$V$4*'Valve Sizing'!$G$7))</f>
        <v>-1642.2034172416641</v>
      </c>
      <c r="AQ3272" s="41"/>
      <c r="AR3272" s="73"/>
      <c r="AS3272" s="53">
        <f>(AS$29/AS$27)^2*(AS3269-('Valve Sizing'!$V$4*'Valve Sizing'!$G$7))</f>
        <v>-2033.7050708355091</v>
      </c>
      <c r="AT3272" s="41"/>
      <c r="AU3272" s="73"/>
    </row>
    <row r="3273" spans="15:47" ht="13" x14ac:dyDescent="0.25">
      <c r="O3273" s="1" t="s">
        <v>69</v>
      </c>
      <c r="P3273" s="17">
        <v>7</v>
      </c>
      <c r="Q3273" s="65"/>
      <c r="R3273" s="53">
        <f>(R3267/(N_1*F_P_h))*SQRT('Valve Sizing'!$G$6/R3271)</f>
        <v>49.905824819914017</v>
      </c>
      <c r="S3273" s="58"/>
      <c r="T3273" s="73"/>
      <c r="U3273" s="64">
        <f>(U3267/(N_1*U$27))*SQRT('Valve Sizing'!$G$6/U3271)</f>
        <v>115.00332048212717</v>
      </c>
      <c r="V3273" s="41"/>
      <c r="W3273" s="73"/>
      <c r="X3273" s="64" t="e">
        <f>(X3267/(N_1*X$27))*SQRT('Valve Sizing'!$G$6/X3271)</f>
        <v>#NUM!</v>
      </c>
      <c r="Y3273" s="41"/>
      <c r="Z3273" s="73"/>
      <c r="AA3273" s="64" t="e">
        <f>(AA3267/(N_1*AA$27))*SQRT('Valve Sizing'!$G$6/AA3271)</f>
        <v>#NUM!</v>
      </c>
      <c r="AB3273" s="41"/>
      <c r="AC3273" s="73"/>
      <c r="AD3273" s="64" t="e">
        <f>(AD3267/(N_1*AD$27))*SQRT('Valve Sizing'!$G$6/AD3271)</f>
        <v>#NUM!</v>
      </c>
      <c r="AE3273" s="41"/>
      <c r="AF3273" s="73"/>
      <c r="AG3273" s="64" t="e">
        <f>(AG3267/(N_1*AG$27))*SQRT('Valve Sizing'!$G$6/AG3271)</f>
        <v>#NUM!</v>
      </c>
      <c r="AH3273" s="41"/>
      <c r="AI3273" s="73"/>
      <c r="AJ3273" s="64" t="e">
        <f>(AJ3267/(N_1*AJ$27))*SQRT('Valve Sizing'!$G$6/AJ3271)</f>
        <v>#NUM!</v>
      </c>
      <c r="AK3273" s="41"/>
      <c r="AL3273" s="73"/>
      <c r="AM3273" s="64" t="e">
        <f>(AM3267/(N_1*AM$27))*SQRT('Valve Sizing'!$G$6/AM3271)</f>
        <v>#NUM!</v>
      </c>
      <c r="AN3273" s="41"/>
      <c r="AO3273" s="73"/>
      <c r="AP3273" s="64" t="e">
        <f>(AP3267/(N_1*AP$27))*SQRT('Valve Sizing'!$G$6/AP3271)</f>
        <v>#NUM!</v>
      </c>
      <c r="AQ3273" s="41"/>
      <c r="AR3273" s="73"/>
      <c r="AS3273" s="64" t="e">
        <f>(AS3267/(N_1*AS$27))*SQRT('Valve Sizing'!$G$6/AS3271)</f>
        <v>#NUM!</v>
      </c>
      <c r="AT3273" s="41"/>
      <c r="AU3273" s="73"/>
    </row>
    <row r="3274" spans="15:47" ht="13" x14ac:dyDescent="0.3">
      <c r="O3274" s="1" t="s">
        <v>72</v>
      </c>
      <c r="P3274" s="17">
        <v>7</v>
      </c>
      <c r="Q3274" s="65"/>
      <c r="R3274" s="53">
        <f>(R3267/(N_1*F_P_h))*SQRT('Valve Sizing'!$G$6/R3272)</f>
        <v>40.395189423628587</v>
      </c>
      <c r="S3274" s="56"/>
      <c r="T3274" s="72"/>
      <c r="U3274" s="85">
        <f>(U3267/(N_1*U$27))*SQRT('Valve Sizing'!$G$6/U3272)</f>
        <v>84.423890267750352</v>
      </c>
      <c r="V3274" s="44"/>
      <c r="W3274" s="72"/>
      <c r="X3274" s="85">
        <f>(X3267/(N_1*X$27))*SQRT('Valve Sizing'!$G$6/X3272)</f>
        <v>894.67624029481237</v>
      </c>
      <c r="Y3274" s="44"/>
      <c r="Z3274" s="72"/>
      <c r="AA3274" s="85" t="e">
        <f>(AA3267/(N_1*AA$27))*SQRT('Valve Sizing'!$G$6/AA3272)</f>
        <v>#NUM!</v>
      </c>
      <c r="AB3274" s="44"/>
      <c r="AC3274" s="72"/>
      <c r="AD3274" s="85" t="e">
        <f>(AD3267/(N_1*AD$27))*SQRT('Valve Sizing'!$G$6/AD3272)</f>
        <v>#NUM!</v>
      </c>
      <c r="AE3274" s="44"/>
      <c r="AF3274" s="72"/>
      <c r="AG3274" s="85" t="e">
        <f>(AG3267/(N_1*AG$27))*SQRT('Valve Sizing'!$G$6/AG3272)</f>
        <v>#NUM!</v>
      </c>
      <c r="AH3274" s="44"/>
      <c r="AI3274" s="72"/>
      <c r="AJ3274" s="85" t="e">
        <f>(AJ3267/(N_1*AJ$27))*SQRT('Valve Sizing'!$G$6/AJ3272)</f>
        <v>#NUM!</v>
      </c>
      <c r="AK3274" s="44"/>
      <c r="AL3274" s="72"/>
      <c r="AM3274" s="85" t="e">
        <f>(AM3267/(N_1*AM$27))*SQRT('Valve Sizing'!$G$6/AM3272)</f>
        <v>#NUM!</v>
      </c>
      <c r="AN3274" s="44"/>
      <c r="AO3274" s="72"/>
      <c r="AP3274" s="85" t="e">
        <f>(AP3267/(N_1*AP$27))*SQRT('Valve Sizing'!$G$6/AP3272)</f>
        <v>#NUM!</v>
      </c>
      <c r="AQ3274" s="44"/>
      <c r="AR3274" s="72"/>
      <c r="AS3274" s="85" t="e">
        <f>(AS3267/(N_1*AS$27))*SQRT('Valve Sizing'!$G$6/AS3272)</f>
        <v>#NUM!</v>
      </c>
      <c r="AT3274" s="44"/>
      <c r="AU3274" s="72"/>
    </row>
    <row r="3275" spans="15:47" x14ac:dyDescent="0.25">
      <c r="O3275" s="1" t="s">
        <v>246</v>
      </c>
      <c r="P3275" s="18"/>
      <c r="Q3275" s="65"/>
      <c r="R3275" s="53">
        <f>IF(R3271&lt;R3272,R3273,R3274)</f>
        <v>49.905824819914017</v>
      </c>
      <c r="S3275" s="49"/>
      <c r="T3275" s="72"/>
      <c r="U3275" s="64">
        <f>IF(U3271&lt;U3272,U3273,U3274)</f>
        <v>115.00332048212717</v>
      </c>
      <c r="V3275" s="44"/>
      <c r="W3275" s="72"/>
      <c r="X3275" s="64" t="e">
        <f>IF(X3271&lt;X3272,X3273,X3274)</f>
        <v>#NUM!</v>
      </c>
      <c r="Y3275" s="44"/>
      <c r="Z3275" s="72"/>
      <c r="AA3275" s="64" t="e">
        <f>IF(AA3271&lt;AA3272,AA3273,AA3274)</f>
        <v>#NUM!</v>
      </c>
      <c r="AB3275" s="44"/>
      <c r="AC3275" s="72"/>
      <c r="AD3275" s="64" t="e">
        <f>IF(AD3271&lt;AD3272,AD3273,AD3274)</f>
        <v>#NUM!</v>
      </c>
      <c r="AE3275" s="44"/>
      <c r="AF3275" s="72"/>
      <c r="AG3275" s="64" t="e">
        <f>IF(AG3271&lt;AG3272,AG3273,AG3274)</f>
        <v>#NUM!</v>
      </c>
      <c r="AH3275" s="44"/>
      <c r="AI3275" s="72"/>
      <c r="AJ3275" s="64" t="e">
        <f>IF(AJ3271&lt;AJ3272,AJ3273,AJ3274)</f>
        <v>#NUM!</v>
      </c>
      <c r="AK3275" s="44"/>
      <c r="AL3275" s="72"/>
      <c r="AM3275" s="64" t="e">
        <f>IF(AM3271&lt;AM3272,AM3273,AM3274)</f>
        <v>#NUM!</v>
      </c>
      <c r="AN3275" s="44"/>
      <c r="AO3275" s="72"/>
      <c r="AP3275" s="64" t="e">
        <f>IF(AP3271&lt;AP3272,AP3273,AP3274)</f>
        <v>#NUM!</v>
      </c>
      <c r="AQ3275" s="44"/>
      <c r="AR3275" s="72"/>
      <c r="AS3275" s="64" t="e">
        <f>IF(AS3271&lt;AS3272,AS3273,AS3274)</f>
        <v>#NUM!</v>
      </c>
      <c r="AT3275" s="44"/>
      <c r="AU3275" s="72"/>
    </row>
    <row r="3276" spans="15:47" ht="13" x14ac:dyDescent="0.3">
      <c r="O3276" s="7" t="s">
        <v>264</v>
      </c>
      <c r="Q3276" s="61"/>
      <c r="R3276" s="53"/>
      <c r="S3276" s="69">
        <f>IFERROR(ABS(C_h-R3275),Q_max*10)</f>
        <v>44.905824819914017</v>
      </c>
      <c r="T3276" s="76">
        <f>R3267</f>
        <v>270.10988934263116</v>
      </c>
      <c r="U3276" s="61"/>
      <c r="V3276" s="69">
        <f>IFERROR(ABS(U$23-U3275),Q_max*10)</f>
        <v>103.00332048212717</v>
      </c>
      <c r="W3276" s="75">
        <f>U3267</f>
        <v>526.75030559160655</v>
      </c>
      <c r="X3276" s="61"/>
      <c r="Y3276" s="69">
        <f>IFERROR(ABS(X$23-X3275),Q_max*10)</f>
        <v>5500</v>
      </c>
      <c r="Z3276" s="75">
        <f>X3267</f>
        <v>1264.4034993164209</v>
      </c>
      <c r="AA3276" s="61"/>
      <c r="AB3276" s="69">
        <f>IFERROR(ABS(AA$23-AA3275),Q_max*10)</f>
        <v>5500</v>
      </c>
      <c r="AC3276" s="75">
        <f>AA3267</f>
        <v>2414.2096691251522</v>
      </c>
      <c r="AD3276" s="61"/>
      <c r="AE3276" s="69">
        <f>IFERROR(ABS(AD$23-AD3275),Q_max*10)</f>
        <v>5500</v>
      </c>
      <c r="AF3276" s="75">
        <f>AD3267</f>
        <v>3970.4860464464155</v>
      </c>
      <c r="AG3276" s="61"/>
      <c r="AH3276" s="69">
        <f>IFERROR(ABS(AG$23-AG3275),Q_max*10)</f>
        <v>5500</v>
      </c>
      <c r="AI3276" s="75">
        <f>AG3267</f>
        <v>5911.5126792721458</v>
      </c>
      <c r="AJ3276" s="61"/>
      <c r="AK3276" s="69">
        <f>IFERROR(ABS(AJ$23-AJ3275),Q_max*10)</f>
        <v>5500</v>
      </c>
      <c r="AL3276" s="75">
        <f>AJ3267</f>
        <v>7888.936586865033</v>
      </c>
      <c r="AM3276" s="61"/>
      <c r="AN3276" s="69">
        <f>IFERROR(ABS(AM$23-AM3275),Q_max*10)</f>
        <v>5500</v>
      </c>
      <c r="AO3276" s="75">
        <f>AM3267</f>
        <v>9626.0018490738239</v>
      </c>
      <c r="AP3276" s="61"/>
      <c r="AQ3276" s="69">
        <f>IFERROR(ABS(AP$23-AP3275),Q_max*10)</f>
        <v>5500</v>
      </c>
      <c r="AR3276" s="75">
        <f>AP3267</f>
        <v>11175.489311108913</v>
      </c>
      <c r="AS3276" s="61"/>
      <c r="AT3276" s="69">
        <f>IFERROR(ABS(AS$23-AS3275),Q_max*10)</f>
        <v>5500</v>
      </c>
      <c r="AU3276" s="75">
        <f>AS3267</f>
        <v>12718.749290527105</v>
      </c>
    </row>
    <row r="3277" spans="15:47" ht="14.5" x14ac:dyDescent="0.35">
      <c r="O3277" s="8"/>
      <c r="P3277" s="6"/>
      <c r="Q3277" s="60"/>
      <c r="R3277" s="67"/>
      <c r="S3277" s="56"/>
      <c r="T3277" s="72"/>
      <c r="V3277" s="11"/>
      <c r="W3277" s="38"/>
      <c r="Y3277" s="11"/>
      <c r="Z3277" s="38"/>
      <c r="AB3277" s="11"/>
      <c r="AC3277" s="38"/>
      <c r="AE3277" s="11"/>
      <c r="AF3277" s="38"/>
      <c r="AH3277" s="11"/>
      <c r="AI3277" s="38"/>
      <c r="AK3277" s="11"/>
      <c r="AL3277" s="38"/>
      <c r="AN3277" s="11"/>
      <c r="AO3277" s="38"/>
      <c r="AQ3277" s="11"/>
      <c r="AR3277" s="38"/>
      <c r="AT3277" s="11"/>
      <c r="AU3277" s="38"/>
    </row>
    <row r="3278" spans="15:47" ht="14" x14ac:dyDescent="0.3">
      <c r="O3278" s="8" t="s">
        <v>235</v>
      </c>
      <c r="P3278" s="6"/>
      <c r="Q3278" s="60"/>
      <c r="R3278" s="53">
        <f>R3267*1.02</f>
        <v>275.5120871294838</v>
      </c>
      <c r="S3278" s="58" t="s">
        <v>238</v>
      </c>
      <c r="T3278" s="73" t="s">
        <v>241</v>
      </c>
      <c r="U3278" s="84">
        <f>U3267*1.01</f>
        <v>532.01780864752266</v>
      </c>
      <c r="V3278" s="58" t="s">
        <v>238</v>
      </c>
      <c r="W3278" s="73" t="s">
        <v>241</v>
      </c>
      <c r="X3278" s="84">
        <f>X3267*1.01</f>
        <v>1277.0475343095852</v>
      </c>
      <c r="Y3278" s="58" t="s">
        <v>238</v>
      </c>
      <c r="Z3278" s="73" t="s">
        <v>241</v>
      </c>
      <c r="AA3278" s="84">
        <f>AA3267*1.01</f>
        <v>2438.3517658164037</v>
      </c>
      <c r="AB3278" s="58" t="s">
        <v>238</v>
      </c>
      <c r="AC3278" s="73" t="s">
        <v>241</v>
      </c>
      <c r="AD3278" s="84">
        <f>AD3267*1.01</f>
        <v>4010.1909069108797</v>
      </c>
      <c r="AE3278" s="58" t="s">
        <v>238</v>
      </c>
      <c r="AF3278" s="73" t="s">
        <v>241</v>
      </c>
      <c r="AG3278" s="84">
        <f>AG3267*1.01</f>
        <v>5970.6278060648674</v>
      </c>
      <c r="AH3278" s="58" t="s">
        <v>238</v>
      </c>
      <c r="AI3278" s="73" t="s">
        <v>241</v>
      </c>
      <c r="AJ3278" s="84">
        <f>AJ3267*1.01</f>
        <v>7967.8259527336832</v>
      </c>
      <c r="AK3278" s="58" t="s">
        <v>238</v>
      </c>
      <c r="AL3278" s="73" t="s">
        <v>241</v>
      </c>
      <c r="AM3278" s="84">
        <f>AM3267*1.01</f>
        <v>9722.2618675645626</v>
      </c>
      <c r="AN3278" s="58" t="s">
        <v>238</v>
      </c>
      <c r="AO3278" s="73" t="s">
        <v>241</v>
      </c>
      <c r="AP3278" s="84">
        <f>AP3267*1.01</f>
        <v>11287.244204220002</v>
      </c>
      <c r="AQ3278" s="58" t="s">
        <v>238</v>
      </c>
      <c r="AR3278" s="73" t="s">
        <v>241</v>
      </c>
      <c r="AS3278" s="84">
        <f>AS3267*1.01</f>
        <v>12845.936783432377</v>
      </c>
      <c r="AT3278" s="58" t="s">
        <v>238</v>
      </c>
      <c r="AU3278" s="73" t="s">
        <v>241</v>
      </c>
    </row>
    <row r="3279" spans="15:47" ht="13" x14ac:dyDescent="0.25">
      <c r="O3279" s="6"/>
      <c r="P3279" s="6"/>
      <c r="Q3279" s="60"/>
      <c r="R3279" s="70"/>
      <c r="S3279" s="63" t="s">
        <v>250</v>
      </c>
      <c r="T3279" s="71" t="s">
        <v>242</v>
      </c>
      <c r="U3279" s="61"/>
      <c r="V3279" s="63" t="s">
        <v>250</v>
      </c>
      <c r="W3279" s="71" t="s">
        <v>242</v>
      </c>
      <c r="X3279" s="61"/>
      <c r="Y3279" s="63" t="s">
        <v>250</v>
      </c>
      <c r="Z3279" s="71" t="s">
        <v>242</v>
      </c>
      <c r="AA3279" s="61"/>
      <c r="AB3279" s="63" t="s">
        <v>250</v>
      </c>
      <c r="AC3279" s="71" t="s">
        <v>242</v>
      </c>
      <c r="AD3279" s="61"/>
      <c r="AE3279" s="63" t="s">
        <v>250</v>
      </c>
      <c r="AF3279" s="71" t="s">
        <v>242</v>
      </c>
      <c r="AG3279" s="61"/>
      <c r="AH3279" s="63" t="s">
        <v>250</v>
      </c>
      <c r="AI3279" s="71" t="s">
        <v>242</v>
      </c>
      <c r="AJ3279" s="61"/>
      <c r="AK3279" s="63" t="s">
        <v>250</v>
      </c>
      <c r="AL3279" s="71" t="s">
        <v>242</v>
      </c>
      <c r="AM3279" s="61"/>
      <c r="AN3279" s="63" t="s">
        <v>250</v>
      </c>
      <c r="AO3279" s="71" t="s">
        <v>242</v>
      </c>
      <c r="AP3279" s="61"/>
      <c r="AQ3279" s="63" t="s">
        <v>250</v>
      </c>
      <c r="AR3279" s="71" t="s">
        <v>242</v>
      </c>
      <c r="AS3279" s="61"/>
      <c r="AT3279" s="63" t="s">
        <v>250</v>
      </c>
      <c r="AU3279" s="71" t="s">
        <v>242</v>
      </c>
    </row>
    <row r="3280" spans="15:47" ht="13" x14ac:dyDescent="0.3">
      <c r="O3280" s="6" t="s">
        <v>231</v>
      </c>
      <c r="P3280" s="6"/>
      <c r="Q3280" s="60"/>
      <c r="R3280" s="85">
        <f>P_1_minQ-(R3278^2*R_up)+dpup_minQ</f>
        <v>54.352586620923866</v>
      </c>
      <c r="S3280" s="56"/>
      <c r="T3280" s="72"/>
      <c r="U3280" s="53">
        <f>P_1_minQ-(U3278^2*R_up)+dpup_minQ</f>
        <v>47.357110816679771</v>
      </c>
      <c r="V3280" s="44"/>
      <c r="W3280" s="72"/>
      <c r="X3280" s="53">
        <f>P_1_minQ-(X3278^2*R_up)+dpup_minQ</f>
        <v>1.838453060243455</v>
      </c>
      <c r="Y3280" s="44"/>
      <c r="Z3280" s="72"/>
      <c r="AA3280" s="53">
        <f>P_1_minQ-(AA3278^2*R_up)+dpup_minQ</f>
        <v>-143.87951144410587</v>
      </c>
      <c r="AB3280" s="44"/>
      <c r="AC3280" s="72"/>
      <c r="AD3280" s="53">
        <f>P_1_minQ-(AD3278^2*R_up)+dpup_minQ</f>
        <v>-486.19872036037503</v>
      </c>
      <c r="AE3280" s="44"/>
      <c r="AF3280" s="72"/>
      <c r="AG3280" s="53">
        <f>P_1_minQ-(AG3278^2*R_up)+dpup_minQ</f>
        <v>-1147.0148395324206</v>
      </c>
      <c r="AH3280" s="44"/>
      <c r="AI3280" s="72"/>
      <c r="AJ3280" s="53">
        <f>P_1_minQ-(AJ3278^2*R_up)+dpup_minQ</f>
        <v>-2087.1652621768467</v>
      </c>
      <c r="AK3280" s="44"/>
      <c r="AL3280" s="72"/>
      <c r="AM3280" s="53">
        <f>P_1_minQ-(AM3278^2*R_up)+dpup_minQ</f>
        <v>-3135.3289031239442</v>
      </c>
      <c r="AN3280" s="44"/>
      <c r="AO3280" s="72"/>
      <c r="AP3280" s="53">
        <f>P_1_minQ-(AP3278^2*R_up)+dpup_minQ</f>
        <v>-4245.7478799627843</v>
      </c>
      <c r="AQ3280" s="44"/>
      <c r="AR3280" s="72"/>
      <c r="AS3280" s="53">
        <f>P_1_minQ-(AS3278^2*R_up)+dpup_minQ</f>
        <v>-5516.1366039831464</v>
      </c>
      <c r="AT3280" s="44"/>
      <c r="AU3280" s="72"/>
    </row>
    <row r="3281" spans="15:47" ht="13" x14ac:dyDescent="0.3">
      <c r="O3281" s="6" t="s">
        <v>233</v>
      </c>
      <c r="P3281" s="6"/>
      <c r="Q3281" s="60"/>
      <c r="R3281" s="85">
        <f>P_2_minQ+(R3278^2*R_dn)-dpdn_minQ</f>
        <v>25.169482675815228</v>
      </c>
      <c r="S3281" s="66"/>
      <c r="T3281" s="74"/>
      <c r="U3281" s="53">
        <f>P_2_minQ+(U3278^2*R_dn)-dpdn_minQ</f>
        <v>26.568577836664048</v>
      </c>
      <c r="V3281" s="45"/>
      <c r="W3281" s="74"/>
      <c r="X3281" s="53">
        <f>P_2_minQ+(X3278^2*R_dn)-dpdn_minQ</f>
        <v>35.672309387951316</v>
      </c>
      <c r="Y3281" s="45"/>
      <c r="Z3281" s="74"/>
      <c r="AA3281" s="53">
        <f>P_2_minQ+(AA3278^2*R_dn)-dpdn_minQ</f>
        <v>64.815902288821178</v>
      </c>
      <c r="AB3281" s="45"/>
      <c r="AC3281" s="74"/>
      <c r="AD3281" s="53">
        <f>P_2_minQ+(AD3278^2*R_dn)-dpdn_minQ</f>
        <v>133.279744072075</v>
      </c>
      <c r="AE3281" s="45"/>
      <c r="AF3281" s="74"/>
      <c r="AG3281" s="53">
        <f>P_2_minQ+(AG3278^2*R_dn)-dpdn_minQ</f>
        <v>265.44296790648406</v>
      </c>
      <c r="AH3281" s="45"/>
      <c r="AI3281" s="74"/>
      <c r="AJ3281" s="53">
        <f>P_2_minQ+(AJ3278^2*R_dn)-dpdn_minQ</f>
        <v>453.47305243536925</v>
      </c>
      <c r="AK3281" s="45"/>
      <c r="AL3281" s="74"/>
      <c r="AM3281" s="53">
        <f>P_2_minQ+(AM3278^2*R_dn)-dpdn_minQ</f>
        <v>663.10578062478874</v>
      </c>
      <c r="AN3281" s="45"/>
      <c r="AO3281" s="74"/>
      <c r="AP3281" s="53">
        <f>P_2_minQ+(AP3278^2*R_dn)-dpdn_minQ</f>
        <v>885.18957599255668</v>
      </c>
      <c r="AQ3281" s="45"/>
      <c r="AR3281" s="74"/>
      <c r="AS3281" s="53">
        <f>P_2_minQ+(AS3278^2*R_dn)-dpdn_minQ</f>
        <v>1139.2673207966293</v>
      </c>
      <c r="AT3281" s="45"/>
      <c r="AU3281" s="74"/>
    </row>
    <row r="3282" spans="15:47" x14ac:dyDescent="0.25">
      <c r="O3282" s="6" t="s">
        <v>243</v>
      </c>
      <c r="Q3282" s="60"/>
      <c r="R3282" s="53">
        <f>R3280-R3281</f>
        <v>29.183103945108638</v>
      </c>
      <c r="S3282" s="56"/>
      <c r="T3282" s="72"/>
      <c r="U3282" s="64">
        <f>U3280-U3281</f>
        <v>20.788532980015724</v>
      </c>
      <c r="V3282" s="44"/>
      <c r="W3282" s="72"/>
      <c r="X3282" s="64">
        <f>X3280-X3281</f>
        <v>-33.833856327707863</v>
      </c>
      <c r="Y3282" s="44"/>
      <c r="Z3282" s="72"/>
      <c r="AA3282" s="64">
        <f>AA3280-AA3281</f>
        <v>-208.69541373292705</v>
      </c>
      <c r="AB3282" s="44"/>
      <c r="AC3282" s="72"/>
      <c r="AD3282" s="64">
        <f>AD3280-AD3281</f>
        <v>-619.47846443244998</v>
      </c>
      <c r="AE3282" s="44"/>
      <c r="AF3282" s="72"/>
      <c r="AG3282" s="64">
        <f>AG3280-AG3281</f>
        <v>-1412.4578074389046</v>
      </c>
      <c r="AH3282" s="44"/>
      <c r="AI3282" s="72"/>
      <c r="AJ3282" s="64">
        <f>AJ3280-AJ3281</f>
        <v>-2540.6383146122162</v>
      </c>
      <c r="AK3282" s="44"/>
      <c r="AL3282" s="72"/>
      <c r="AM3282" s="64">
        <f>AM3280-AM3281</f>
        <v>-3798.4346837487328</v>
      </c>
      <c r="AN3282" s="44"/>
      <c r="AO3282" s="72"/>
      <c r="AP3282" s="64">
        <f>AP3280-AP3281</f>
        <v>-5130.9374559553407</v>
      </c>
      <c r="AQ3282" s="44"/>
      <c r="AR3282" s="72"/>
      <c r="AS3282" s="64">
        <f>AS3280-AS3281</f>
        <v>-6655.4039247797755</v>
      </c>
      <c r="AT3282" s="44"/>
      <c r="AU3282" s="72"/>
    </row>
    <row r="3283" spans="15:47" ht="13" x14ac:dyDescent="0.3">
      <c r="O3283" s="6" t="s">
        <v>75</v>
      </c>
      <c r="P3283" s="6">
        <v>3</v>
      </c>
      <c r="Q3283" s="65"/>
      <c r="R3283" s="85">
        <f>(F_LP_h/F_P_h)^2*(R3280-('Valve Sizing'!$V$4*'Valve Sizing'!$G$7))</f>
        <v>44.642403837565283</v>
      </c>
      <c r="S3283" s="58"/>
      <c r="T3283" s="73"/>
      <c r="U3283" s="53">
        <f>(U$29/U$27)^2*(U3280-('Valve Sizing'!$V$4*'Valve Sizing'!$G$7))</f>
        <v>38.83919383372919</v>
      </c>
      <c r="V3283" s="41"/>
      <c r="W3283" s="73"/>
      <c r="X3283" s="53">
        <f>(X$29/X$27)^2*(X3280-('Valve Sizing'!$V$4*'Valve Sizing'!$G$7))</f>
        <v>1.1315166159809413</v>
      </c>
      <c r="Y3283" s="41"/>
      <c r="Z3283" s="73"/>
      <c r="AA3283" s="53">
        <f>(AA$29/AA$27)^2*(AA3280-('Valve Sizing'!$V$4*'Valve Sizing'!$G$7))</f>
        <v>-111.52976199748854</v>
      </c>
      <c r="AB3283" s="41"/>
      <c r="AC3283" s="73"/>
      <c r="AD3283" s="53">
        <f>(AD$29/AD$27)^2*(AD3280-('Valve Sizing'!$V$4*'Valve Sizing'!$G$7))</f>
        <v>-350.95775855812229</v>
      </c>
      <c r="AE3283" s="41"/>
      <c r="AF3283" s="73"/>
      <c r="AG3283" s="53">
        <f>(AG$29/AG$27)^2*(AG3280-('Valve Sizing'!$V$4*'Valve Sizing'!$G$7))</f>
        <v>-739.01138579797532</v>
      </c>
      <c r="AH3283" s="41"/>
      <c r="AI3283" s="73"/>
      <c r="AJ3283" s="53">
        <f>(AJ$29/AJ$27)^2*(AJ3280-('Valve Sizing'!$V$4*'Valve Sizing'!$G$7))</f>
        <v>-1207.3964632360992</v>
      </c>
      <c r="AK3283" s="41"/>
      <c r="AL3283" s="73"/>
      <c r="AM3283" s="53">
        <f>(AM$29/AM$27)^2*(AM3280-('Valve Sizing'!$V$4*'Valve Sizing'!$G$7))</f>
        <v>-1500.3781143929787</v>
      </c>
      <c r="AN3283" s="41"/>
      <c r="AO3283" s="73"/>
      <c r="AP3283" s="53">
        <f>(AP$29/AP$27)^2*(AP3280-('Valve Sizing'!$V$4*'Valve Sizing'!$G$7))</f>
        <v>-1675.6596741951207</v>
      </c>
      <c r="AQ3283" s="41"/>
      <c r="AR3283" s="73"/>
      <c r="AS3283" s="53">
        <f>(AS$29/AS$27)^2*(AS3280-('Valve Sizing'!$V$4*'Valve Sizing'!$G$7))</f>
        <v>-2075.0095262484206</v>
      </c>
      <c r="AT3283" s="41"/>
      <c r="AU3283" s="73"/>
    </row>
    <row r="3284" spans="15:47" ht="13" x14ac:dyDescent="0.25">
      <c r="O3284" s="1" t="s">
        <v>69</v>
      </c>
      <c r="P3284" s="17">
        <v>7</v>
      </c>
      <c r="Q3284" s="65"/>
      <c r="R3284" s="53">
        <f>(R3278/(N_1*F_P_h))*SQRT('Valve Sizing'!$G$6/R3282)</f>
        <v>51.008017500673709</v>
      </c>
      <c r="S3284" s="58"/>
      <c r="T3284" s="73"/>
      <c r="U3284" s="64">
        <f>(U3278/(N_1*U$27))*SQRT('Valve Sizing'!$G$6/U3282)</f>
        <v>116.78307839543307</v>
      </c>
      <c r="V3284" s="41"/>
      <c r="W3284" s="73"/>
      <c r="X3284" s="64" t="e">
        <f>(X3278/(N_1*X$27))*SQRT('Valve Sizing'!$G$6/X3282)</f>
        <v>#NUM!</v>
      </c>
      <c r="Y3284" s="41"/>
      <c r="Z3284" s="73"/>
      <c r="AA3284" s="64" t="e">
        <f>(AA3278/(N_1*AA$27))*SQRT('Valve Sizing'!$G$6/AA3282)</f>
        <v>#NUM!</v>
      </c>
      <c r="AB3284" s="41"/>
      <c r="AC3284" s="73"/>
      <c r="AD3284" s="64" t="e">
        <f>(AD3278/(N_1*AD$27))*SQRT('Valve Sizing'!$G$6/AD3282)</f>
        <v>#NUM!</v>
      </c>
      <c r="AE3284" s="41"/>
      <c r="AF3284" s="73"/>
      <c r="AG3284" s="64" t="e">
        <f>(AG3278/(N_1*AG$27))*SQRT('Valve Sizing'!$G$6/AG3282)</f>
        <v>#NUM!</v>
      </c>
      <c r="AH3284" s="41"/>
      <c r="AI3284" s="73"/>
      <c r="AJ3284" s="64" t="e">
        <f>(AJ3278/(N_1*AJ$27))*SQRT('Valve Sizing'!$G$6/AJ3282)</f>
        <v>#NUM!</v>
      </c>
      <c r="AK3284" s="41"/>
      <c r="AL3284" s="73"/>
      <c r="AM3284" s="64" t="e">
        <f>(AM3278/(N_1*AM$27))*SQRT('Valve Sizing'!$G$6/AM3282)</f>
        <v>#NUM!</v>
      </c>
      <c r="AN3284" s="41"/>
      <c r="AO3284" s="73"/>
      <c r="AP3284" s="64" t="e">
        <f>(AP3278/(N_1*AP$27))*SQRT('Valve Sizing'!$G$6/AP3282)</f>
        <v>#NUM!</v>
      </c>
      <c r="AQ3284" s="41"/>
      <c r="AR3284" s="73"/>
      <c r="AS3284" s="64" t="e">
        <f>(AS3278/(N_1*AS$27))*SQRT('Valve Sizing'!$G$6/AS3282)</f>
        <v>#NUM!</v>
      </c>
      <c r="AT3284" s="41"/>
      <c r="AU3284" s="73"/>
    </row>
    <row r="3285" spans="15:47" ht="13" x14ac:dyDescent="0.3">
      <c r="O3285" s="1" t="s">
        <v>72</v>
      </c>
      <c r="P3285" s="17">
        <v>7</v>
      </c>
      <c r="Q3285" s="65"/>
      <c r="R3285" s="53">
        <f>(R3278/(N_1*F_P_h))*SQRT('Valve Sizing'!$G$6/R3283)</f>
        <v>41.241115103134504</v>
      </c>
      <c r="S3285" s="56"/>
      <c r="T3285" s="72"/>
      <c r="U3285" s="85">
        <f>(U3278/(N_1*U$27))*SQRT('Valve Sizing'!$G$6/U3283)</f>
        <v>85.43911417951098</v>
      </c>
      <c r="V3285" s="44"/>
      <c r="W3285" s="72"/>
      <c r="X3285" s="85">
        <f>(X3278/(N_1*X$27))*SQRT('Valve Sizing'!$G$6/X3283)</f>
        <v>1204.2507144493832</v>
      </c>
      <c r="Y3285" s="44"/>
      <c r="Z3285" s="72"/>
      <c r="AA3285" s="85" t="e">
        <f>(AA3278/(N_1*AA$27))*SQRT('Valve Sizing'!$G$6/AA3283)</f>
        <v>#NUM!</v>
      </c>
      <c r="AB3285" s="44"/>
      <c r="AC3285" s="72"/>
      <c r="AD3285" s="85" t="e">
        <f>(AD3278/(N_1*AD$27))*SQRT('Valve Sizing'!$G$6/AD3283)</f>
        <v>#NUM!</v>
      </c>
      <c r="AE3285" s="44"/>
      <c r="AF3285" s="72"/>
      <c r="AG3285" s="85" t="e">
        <f>(AG3278/(N_1*AG$27))*SQRT('Valve Sizing'!$G$6/AG3283)</f>
        <v>#NUM!</v>
      </c>
      <c r="AH3285" s="44"/>
      <c r="AI3285" s="72"/>
      <c r="AJ3285" s="85" t="e">
        <f>(AJ3278/(N_1*AJ$27))*SQRT('Valve Sizing'!$G$6/AJ3283)</f>
        <v>#NUM!</v>
      </c>
      <c r="AK3285" s="44"/>
      <c r="AL3285" s="72"/>
      <c r="AM3285" s="85" t="e">
        <f>(AM3278/(N_1*AM$27))*SQRT('Valve Sizing'!$G$6/AM3283)</f>
        <v>#NUM!</v>
      </c>
      <c r="AN3285" s="44"/>
      <c r="AO3285" s="72"/>
      <c r="AP3285" s="85" t="e">
        <f>(AP3278/(N_1*AP$27))*SQRT('Valve Sizing'!$G$6/AP3283)</f>
        <v>#NUM!</v>
      </c>
      <c r="AQ3285" s="44"/>
      <c r="AR3285" s="72"/>
      <c r="AS3285" s="85" t="e">
        <f>(AS3278/(N_1*AS$27))*SQRT('Valve Sizing'!$G$6/AS3283)</f>
        <v>#NUM!</v>
      </c>
      <c r="AT3285" s="44"/>
      <c r="AU3285" s="72"/>
    </row>
    <row r="3286" spans="15:47" x14ac:dyDescent="0.25">
      <c r="O3286" s="1" t="s">
        <v>246</v>
      </c>
      <c r="P3286" s="18"/>
      <c r="Q3286" s="65"/>
      <c r="R3286" s="53">
        <f>IF(R3282&lt;R3283,R3284,R3285)</f>
        <v>51.008017500673709</v>
      </c>
      <c r="S3286" s="49"/>
      <c r="T3286" s="72"/>
      <c r="U3286" s="64">
        <f>IF(U3282&lt;U3283,U3284,U3285)</f>
        <v>116.78307839543307</v>
      </c>
      <c r="V3286" s="44"/>
      <c r="W3286" s="72"/>
      <c r="X3286" s="64" t="e">
        <f>IF(X3282&lt;X3283,X3284,X3285)</f>
        <v>#NUM!</v>
      </c>
      <c r="Y3286" s="44"/>
      <c r="Z3286" s="72"/>
      <c r="AA3286" s="64" t="e">
        <f>IF(AA3282&lt;AA3283,AA3284,AA3285)</f>
        <v>#NUM!</v>
      </c>
      <c r="AB3286" s="44"/>
      <c r="AC3286" s="72"/>
      <c r="AD3286" s="64" t="e">
        <f>IF(AD3282&lt;AD3283,AD3284,AD3285)</f>
        <v>#NUM!</v>
      </c>
      <c r="AE3286" s="44"/>
      <c r="AF3286" s="72"/>
      <c r="AG3286" s="64" t="e">
        <f>IF(AG3282&lt;AG3283,AG3284,AG3285)</f>
        <v>#NUM!</v>
      </c>
      <c r="AH3286" s="44"/>
      <c r="AI3286" s="72"/>
      <c r="AJ3286" s="64" t="e">
        <f>IF(AJ3282&lt;AJ3283,AJ3284,AJ3285)</f>
        <v>#NUM!</v>
      </c>
      <c r="AK3286" s="44"/>
      <c r="AL3286" s="72"/>
      <c r="AM3286" s="64" t="e">
        <f>IF(AM3282&lt;AM3283,AM3284,AM3285)</f>
        <v>#NUM!</v>
      </c>
      <c r="AN3286" s="44"/>
      <c r="AO3286" s="72"/>
      <c r="AP3286" s="64" t="e">
        <f>IF(AP3282&lt;AP3283,AP3284,AP3285)</f>
        <v>#NUM!</v>
      </c>
      <c r="AQ3286" s="44"/>
      <c r="AR3286" s="72"/>
      <c r="AS3286" s="64" t="e">
        <f>IF(AS3282&lt;AS3283,AS3284,AS3285)</f>
        <v>#NUM!</v>
      </c>
      <c r="AT3286" s="44"/>
      <c r="AU3286" s="72"/>
    </row>
    <row r="3287" spans="15:47" ht="13" x14ac:dyDescent="0.3">
      <c r="O3287" s="7" t="s">
        <v>264</v>
      </c>
      <c r="Q3287" s="61"/>
      <c r="R3287" s="53"/>
      <c r="S3287" s="69">
        <f>IFERROR(ABS(C_h-R3286),Q_max*10)</f>
        <v>46.008017500673709</v>
      </c>
      <c r="T3287" s="76">
        <f>R3278</f>
        <v>275.5120871294838</v>
      </c>
      <c r="U3287" s="61"/>
      <c r="V3287" s="69">
        <f>IFERROR(ABS(U$23-U3286),Q_max*10)</f>
        <v>104.78307839543307</v>
      </c>
      <c r="W3287" s="75">
        <f>U3278</f>
        <v>532.01780864752266</v>
      </c>
      <c r="X3287" s="61"/>
      <c r="Y3287" s="69">
        <f>IFERROR(ABS(X$23-X3286),Q_max*10)</f>
        <v>5500</v>
      </c>
      <c r="Z3287" s="75">
        <f>X3278</f>
        <v>1277.0475343095852</v>
      </c>
      <c r="AA3287" s="61"/>
      <c r="AB3287" s="69">
        <f>IFERROR(ABS(AA$23-AA3286),Q_max*10)</f>
        <v>5500</v>
      </c>
      <c r="AC3287" s="75">
        <f>AA3278</f>
        <v>2438.3517658164037</v>
      </c>
      <c r="AD3287" s="61"/>
      <c r="AE3287" s="69">
        <f>IFERROR(ABS(AD$23-AD3286),Q_max*10)</f>
        <v>5500</v>
      </c>
      <c r="AF3287" s="75">
        <f>AD3278</f>
        <v>4010.1909069108797</v>
      </c>
      <c r="AG3287" s="61"/>
      <c r="AH3287" s="69">
        <f>IFERROR(ABS(AG$23-AG3286),Q_max*10)</f>
        <v>5500</v>
      </c>
      <c r="AI3287" s="75">
        <f>AG3278</f>
        <v>5970.6278060648674</v>
      </c>
      <c r="AJ3287" s="61"/>
      <c r="AK3287" s="69">
        <f>IFERROR(ABS(AJ$23-AJ3286),Q_max*10)</f>
        <v>5500</v>
      </c>
      <c r="AL3287" s="75">
        <f>AJ3278</f>
        <v>7967.8259527336832</v>
      </c>
      <c r="AM3287" s="61"/>
      <c r="AN3287" s="69">
        <f>IFERROR(ABS(AM$23-AM3286),Q_max*10)</f>
        <v>5500</v>
      </c>
      <c r="AO3287" s="75">
        <f>AM3278</f>
        <v>9722.2618675645626</v>
      </c>
      <c r="AP3287" s="61"/>
      <c r="AQ3287" s="69">
        <f>IFERROR(ABS(AP$23-AP3286),Q_max*10)</f>
        <v>5500</v>
      </c>
      <c r="AR3287" s="75">
        <f>AP3278</f>
        <v>11287.244204220002</v>
      </c>
      <c r="AS3287" s="61"/>
      <c r="AT3287" s="69">
        <f>IFERROR(ABS(AS$23-AS3286),Q_max*10)</f>
        <v>5500</v>
      </c>
      <c r="AU3287" s="75">
        <f>AS3278</f>
        <v>12845.936783432377</v>
      </c>
    </row>
    <row r="3288" spans="15:47" ht="14.5" x14ac:dyDescent="0.35">
      <c r="O3288" s="6"/>
      <c r="P3288" s="6"/>
      <c r="Q3288" s="60"/>
      <c r="R3288" s="67"/>
      <c r="S3288" s="56"/>
      <c r="T3288" s="72"/>
      <c r="V3288" s="11"/>
      <c r="W3288" s="38"/>
      <c r="Y3288" s="11"/>
      <c r="Z3288" s="38"/>
      <c r="AB3288" s="11"/>
      <c r="AC3288" s="38"/>
      <c r="AE3288" s="11"/>
      <c r="AF3288" s="38"/>
      <c r="AH3288" s="11"/>
      <c r="AI3288" s="38"/>
      <c r="AK3288" s="11"/>
      <c r="AL3288" s="38"/>
      <c r="AN3288" s="11"/>
      <c r="AO3288" s="38"/>
      <c r="AQ3288" s="11"/>
      <c r="AR3288" s="38"/>
      <c r="AT3288" s="11"/>
      <c r="AU3288" s="38"/>
    </row>
    <row r="3289" spans="15:47" ht="14" x14ac:dyDescent="0.3">
      <c r="O3289" s="8" t="s">
        <v>235</v>
      </c>
      <c r="P3289" s="6"/>
      <c r="Q3289" s="60"/>
      <c r="R3289" s="53">
        <f>R3278*1.02</f>
        <v>281.0223288720735</v>
      </c>
      <c r="S3289" s="58" t="s">
        <v>238</v>
      </c>
      <c r="T3289" s="73" t="s">
        <v>241</v>
      </c>
      <c r="U3289" s="84">
        <f>U3278*1.01</f>
        <v>537.33798673399792</v>
      </c>
      <c r="V3289" s="58" t="s">
        <v>238</v>
      </c>
      <c r="W3289" s="73" t="s">
        <v>241</v>
      </c>
      <c r="X3289" s="84">
        <f>X3278*1.01</f>
        <v>1289.818009652681</v>
      </c>
      <c r="Y3289" s="58" t="s">
        <v>238</v>
      </c>
      <c r="Z3289" s="73" t="s">
        <v>241</v>
      </c>
      <c r="AA3289" s="84">
        <f>AA3278*1.01</f>
        <v>2462.735283474568</v>
      </c>
      <c r="AB3289" s="58" t="s">
        <v>238</v>
      </c>
      <c r="AC3289" s="73" t="s">
        <v>241</v>
      </c>
      <c r="AD3289" s="84">
        <f>AD3278*1.01</f>
        <v>4050.2928159799885</v>
      </c>
      <c r="AE3289" s="58" t="s">
        <v>238</v>
      </c>
      <c r="AF3289" s="73" t="s">
        <v>241</v>
      </c>
      <c r="AG3289" s="84">
        <f>AG3278*1.01</f>
        <v>6030.3340841255158</v>
      </c>
      <c r="AH3289" s="58" t="s">
        <v>238</v>
      </c>
      <c r="AI3289" s="73" t="s">
        <v>241</v>
      </c>
      <c r="AJ3289" s="84">
        <f>AJ3278*1.01</f>
        <v>8047.5042122610203</v>
      </c>
      <c r="AK3289" s="58" t="s">
        <v>238</v>
      </c>
      <c r="AL3289" s="73" t="s">
        <v>241</v>
      </c>
      <c r="AM3289" s="84">
        <f>AM3278*1.01</f>
        <v>9819.4844862402078</v>
      </c>
      <c r="AN3289" s="58" t="s">
        <v>238</v>
      </c>
      <c r="AO3289" s="73" t="s">
        <v>241</v>
      </c>
      <c r="AP3289" s="84">
        <f>AP3278*1.01</f>
        <v>11400.116646262202</v>
      </c>
      <c r="AQ3289" s="58" t="s">
        <v>238</v>
      </c>
      <c r="AR3289" s="73" t="s">
        <v>241</v>
      </c>
      <c r="AS3289" s="84">
        <f>AS3278*1.01</f>
        <v>12974.396151266701</v>
      </c>
      <c r="AT3289" s="58" t="s">
        <v>238</v>
      </c>
      <c r="AU3289" s="73" t="s">
        <v>241</v>
      </c>
    </row>
    <row r="3290" spans="15:47" ht="13" x14ac:dyDescent="0.25">
      <c r="O3290" s="6"/>
      <c r="P3290" s="6"/>
      <c r="Q3290" s="60"/>
      <c r="R3290" s="70"/>
      <c r="S3290" s="63" t="s">
        <v>250</v>
      </c>
      <c r="T3290" s="71" t="s">
        <v>242</v>
      </c>
      <c r="U3290" s="61"/>
      <c r="V3290" s="63" t="s">
        <v>250</v>
      </c>
      <c r="W3290" s="71" t="s">
        <v>242</v>
      </c>
      <c r="X3290" s="61"/>
      <c r="Y3290" s="63" t="s">
        <v>250</v>
      </c>
      <c r="Z3290" s="71" t="s">
        <v>242</v>
      </c>
      <c r="AA3290" s="61"/>
      <c r="AB3290" s="63" t="s">
        <v>250</v>
      </c>
      <c r="AC3290" s="71" t="s">
        <v>242</v>
      </c>
      <c r="AD3290" s="61"/>
      <c r="AE3290" s="63" t="s">
        <v>250</v>
      </c>
      <c r="AF3290" s="71" t="s">
        <v>242</v>
      </c>
      <c r="AG3290" s="61"/>
      <c r="AH3290" s="63" t="s">
        <v>250</v>
      </c>
      <c r="AI3290" s="71" t="s">
        <v>242</v>
      </c>
      <c r="AJ3290" s="61"/>
      <c r="AK3290" s="63" t="s">
        <v>250</v>
      </c>
      <c r="AL3290" s="71" t="s">
        <v>242</v>
      </c>
      <c r="AM3290" s="61"/>
      <c r="AN3290" s="63" t="s">
        <v>250</v>
      </c>
      <c r="AO3290" s="71" t="s">
        <v>242</v>
      </c>
      <c r="AP3290" s="61"/>
      <c r="AQ3290" s="63" t="s">
        <v>250</v>
      </c>
      <c r="AR3290" s="71" t="s">
        <v>242</v>
      </c>
      <c r="AS3290" s="61"/>
      <c r="AT3290" s="63" t="s">
        <v>250</v>
      </c>
      <c r="AU3290" s="71" t="s">
        <v>242</v>
      </c>
    </row>
    <row r="3291" spans="15:47" ht="13" x14ac:dyDescent="0.3">
      <c r="O3291" s="6" t="s">
        <v>231</v>
      </c>
      <c r="P3291" s="6"/>
      <c r="Q3291" s="60"/>
      <c r="R3291" s="85">
        <f>P_1_minQ-(R3289^2*R_up)+dpup_minQ</f>
        <v>54.249018935336579</v>
      </c>
      <c r="S3291" s="56"/>
      <c r="T3291" s="72"/>
      <c r="U3291" s="53">
        <f>P_1_minQ-(U3289^2*R_up)+dpup_minQ</f>
        <v>47.164974265878207</v>
      </c>
      <c r="V3291" s="44"/>
      <c r="W3291" s="72"/>
      <c r="X3291" s="53">
        <f>P_1_minQ-(X3289^2*R_up)+dpup_minQ</f>
        <v>0.73139148853754243</v>
      </c>
      <c r="Y3291" s="44"/>
      <c r="Z3291" s="72"/>
      <c r="AA3291" s="53">
        <f>P_1_minQ-(AA3289^2*R_up)+dpup_minQ</f>
        <v>-147.91550410234922</v>
      </c>
      <c r="AB3291" s="44"/>
      <c r="AC3291" s="72"/>
      <c r="AD3291" s="53">
        <f>P_1_minQ-(AD3289^2*R_up)+dpup_minQ</f>
        <v>-497.11532911783542</v>
      </c>
      <c r="AE3291" s="44"/>
      <c r="AF3291" s="72"/>
      <c r="AG3291" s="53">
        <f>P_1_minQ-(AG3289^2*R_up)+dpup_minQ</f>
        <v>-1171.213852285239</v>
      </c>
      <c r="AH3291" s="44"/>
      <c r="AI3291" s="72"/>
      <c r="AJ3291" s="53">
        <f>P_1_minQ-(AJ3289^2*R_up)+dpup_minQ</f>
        <v>-2130.2612984248185</v>
      </c>
      <c r="AK3291" s="44"/>
      <c r="AL3291" s="72"/>
      <c r="AM3291" s="53">
        <f>P_1_minQ-(AM3289^2*R_up)+dpup_minQ</f>
        <v>-3199.4930285549517</v>
      </c>
      <c r="AN3291" s="44"/>
      <c r="AO3291" s="72"/>
      <c r="AP3291" s="53">
        <f>P_1_minQ-(AP3289^2*R_up)+dpup_minQ</f>
        <v>-4332.2314268282535</v>
      </c>
      <c r="AQ3291" s="44"/>
      <c r="AR3291" s="72"/>
      <c r="AS3291" s="53">
        <f>P_1_minQ-(AS3289^2*R_up)+dpup_minQ</f>
        <v>-5628.1549642014252</v>
      </c>
      <c r="AT3291" s="44"/>
      <c r="AU3291" s="72"/>
    </row>
    <row r="3292" spans="15:47" ht="13" x14ac:dyDescent="0.3">
      <c r="O3292" s="6" t="s">
        <v>233</v>
      </c>
      <c r="P3292" s="6"/>
      <c r="Q3292" s="60"/>
      <c r="R3292" s="85">
        <f>P_2_minQ+(R3289^2*R_dn)-dpdn_minQ</f>
        <v>25.190196212932683</v>
      </c>
      <c r="S3292" s="66"/>
      <c r="T3292" s="74"/>
      <c r="U3292" s="53">
        <f>P_2_minQ+(U3289^2*R_dn)-dpdn_minQ</f>
        <v>26.60700514682436</v>
      </c>
      <c r="V3292" s="45"/>
      <c r="W3292" s="74"/>
      <c r="X3292" s="53">
        <f>P_2_minQ+(X3289^2*R_dn)-dpdn_minQ</f>
        <v>35.893721702292495</v>
      </c>
      <c r="Y3292" s="45"/>
      <c r="Z3292" s="74"/>
      <c r="AA3292" s="53">
        <f>P_2_minQ+(AA3289^2*R_dn)-dpdn_minQ</f>
        <v>65.623100820469844</v>
      </c>
      <c r="AB3292" s="45"/>
      <c r="AC3292" s="74"/>
      <c r="AD3292" s="53">
        <f>P_2_minQ+(AD3289^2*R_dn)-dpdn_minQ</f>
        <v>135.46306582356706</v>
      </c>
      <c r="AE3292" s="45"/>
      <c r="AF3292" s="74"/>
      <c r="AG3292" s="53">
        <f>P_2_minQ+(AG3289^2*R_dn)-dpdn_minQ</f>
        <v>270.28277045704777</v>
      </c>
      <c r="AH3292" s="45"/>
      <c r="AI3292" s="74"/>
      <c r="AJ3292" s="53">
        <f>P_2_minQ+(AJ3289^2*R_dn)-dpdn_minQ</f>
        <v>462.09225968496355</v>
      </c>
      <c r="AK3292" s="45"/>
      <c r="AL3292" s="74"/>
      <c r="AM3292" s="53">
        <f>P_2_minQ+(AM3289^2*R_dn)-dpdn_minQ</f>
        <v>675.93860571099026</v>
      </c>
      <c r="AN3292" s="45"/>
      <c r="AO3292" s="74"/>
      <c r="AP3292" s="53">
        <f>P_2_minQ+(AP3289^2*R_dn)-dpdn_minQ</f>
        <v>902.48628536565047</v>
      </c>
      <c r="AQ3292" s="45"/>
      <c r="AR3292" s="74"/>
      <c r="AS3292" s="53">
        <f>P_2_minQ+(AS3289^2*R_dn)-dpdn_minQ</f>
        <v>1161.670992840285</v>
      </c>
      <c r="AT3292" s="45"/>
      <c r="AU3292" s="74"/>
    </row>
    <row r="3293" spans="15:47" x14ac:dyDescent="0.25">
      <c r="O3293" s="6" t="s">
        <v>243</v>
      </c>
      <c r="Q3293" s="60"/>
      <c r="R3293" s="53">
        <f>R3291-R3292</f>
        <v>29.058822722403896</v>
      </c>
      <c r="S3293" s="56"/>
      <c r="T3293" s="72"/>
      <c r="U3293" s="64">
        <f>U3291-U3292</f>
        <v>20.557969119053848</v>
      </c>
      <c r="V3293" s="44"/>
      <c r="W3293" s="72"/>
      <c r="X3293" s="64">
        <f>X3291-X3292</f>
        <v>-35.162330213754956</v>
      </c>
      <c r="Y3293" s="44"/>
      <c r="Z3293" s="72"/>
      <c r="AA3293" s="64">
        <f>AA3291-AA3292</f>
        <v>-213.53860492281905</v>
      </c>
      <c r="AB3293" s="44"/>
      <c r="AC3293" s="72"/>
      <c r="AD3293" s="64">
        <f>AD3291-AD3292</f>
        <v>-632.57839494140251</v>
      </c>
      <c r="AE3293" s="44"/>
      <c r="AF3293" s="72"/>
      <c r="AG3293" s="64">
        <f>AG3291-AG3292</f>
        <v>-1441.4966227422867</v>
      </c>
      <c r="AH3293" s="44"/>
      <c r="AI3293" s="72"/>
      <c r="AJ3293" s="64">
        <f>AJ3291-AJ3292</f>
        <v>-2592.3535581097822</v>
      </c>
      <c r="AK3293" s="44"/>
      <c r="AL3293" s="72"/>
      <c r="AM3293" s="64">
        <f>AM3291-AM3292</f>
        <v>-3875.4316342659422</v>
      </c>
      <c r="AN3293" s="44"/>
      <c r="AO3293" s="72"/>
      <c r="AP3293" s="64">
        <f>AP3291-AP3292</f>
        <v>-5234.7177121939039</v>
      </c>
      <c r="AQ3293" s="44"/>
      <c r="AR3293" s="72"/>
      <c r="AS3293" s="64">
        <f>AS3291-AS3292</f>
        <v>-6789.8259570417104</v>
      </c>
      <c r="AT3293" s="44"/>
      <c r="AU3293" s="72"/>
    </row>
    <row r="3294" spans="15:47" ht="13" x14ac:dyDescent="0.3">
      <c r="O3294" s="6" t="s">
        <v>75</v>
      </c>
      <c r="P3294" s="6">
        <v>3</v>
      </c>
      <c r="Q3294" s="65"/>
      <c r="R3294" s="85">
        <f>(F_LP_h/F_P_h)^2*(R3291-('Valve Sizing'!$V$4*'Valve Sizing'!$G$7))</f>
        <v>44.556644357637545</v>
      </c>
      <c r="S3294" s="58"/>
      <c r="T3294" s="73"/>
      <c r="U3294" s="53">
        <f>(U$29/U$27)^2*(U3291-('Valve Sizing'!$V$4*'Valve Sizing'!$G$7))</f>
        <v>38.680138048285237</v>
      </c>
      <c r="V3294" s="41"/>
      <c r="W3294" s="73"/>
      <c r="X3294" s="53">
        <f>(X$29/X$27)^2*(X3291-('Valve Sizing'!$V$4*'Valve Sizing'!$G$7))</f>
        <v>0.23573379868390626</v>
      </c>
      <c r="Y3294" s="41"/>
      <c r="Z3294" s="73"/>
      <c r="AA3294" s="53">
        <f>(AA$29/AA$27)^2*(AA3291-('Valve Sizing'!$V$4*'Valve Sizing'!$G$7))</f>
        <v>-114.64876590918148</v>
      </c>
      <c r="AB3294" s="41"/>
      <c r="AC3294" s="73"/>
      <c r="AD3294" s="53">
        <f>(AD$29/AD$27)^2*(AD3291-('Valve Sizing'!$V$4*'Valve Sizing'!$G$7))</f>
        <v>-358.83067932306659</v>
      </c>
      <c r="AE3294" s="41"/>
      <c r="AF3294" s="73"/>
      <c r="AG3294" s="53">
        <f>(AG$29/AG$27)^2*(AG3291-('Valve Sizing'!$V$4*'Valve Sizing'!$G$7))</f>
        <v>-754.59661358603068</v>
      </c>
      <c r="AH3294" s="41"/>
      <c r="AI3294" s="73"/>
      <c r="AJ3294" s="53">
        <f>(AJ$29/AJ$27)^2*(AJ3291-('Valve Sizing'!$V$4*'Valve Sizing'!$G$7))</f>
        <v>-1232.3216735958522</v>
      </c>
      <c r="AK3294" s="41"/>
      <c r="AL3294" s="73"/>
      <c r="AM3294" s="53">
        <f>(AM$29/AM$27)^2*(AM3291-('Valve Sizing'!$V$4*'Valve Sizing'!$G$7))</f>
        <v>-1531.0788613961975</v>
      </c>
      <c r="AN3294" s="41"/>
      <c r="AO3294" s="73"/>
      <c r="AP3294" s="53">
        <f>(AP$29/AP$27)^2*(AP3291-('Valve Sizing'!$V$4*'Valve Sizing'!$G$7))</f>
        <v>-1709.7884019133423</v>
      </c>
      <c r="AQ3294" s="41"/>
      <c r="AR3294" s="73"/>
      <c r="AS3294" s="53">
        <f>(AS$29/AS$27)^2*(AS3291-('Valve Sizing'!$V$4*'Valve Sizing'!$G$7))</f>
        <v>-2117.1442012151315</v>
      </c>
      <c r="AT3294" s="41"/>
      <c r="AU3294" s="73"/>
    </row>
    <row r="3295" spans="15:47" ht="13" x14ac:dyDescent="0.25">
      <c r="O3295" s="1" t="s">
        <v>69</v>
      </c>
      <c r="P3295" s="17">
        <v>7</v>
      </c>
      <c r="Q3295" s="65"/>
      <c r="R3295" s="53">
        <f>(R3289/(N_1*F_P_h))*SQRT('Valve Sizing'!$G$6/R3293)</f>
        <v>52.139318392194127</v>
      </c>
      <c r="S3295" s="58"/>
      <c r="T3295" s="73"/>
      <c r="U3295" s="64">
        <f>(U3289/(N_1*U$27))*SQRT('Valve Sizing'!$G$6/U3293)</f>
        <v>118.6104925951435</v>
      </c>
      <c r="V3295" s="41"/>
      <c r="W3295" s="73"/>
      <c r="X3295" s="64" t="e">
        <f>(X3289/(N_1*X$27))*SQRT('Valve Sizing'!$G$6/X3293)</f>
        <v>#NUM!</v>
      </c>
      <c r="Y3295" s="41"/>
      <c r="Z3295" s="73"/>
      <c r="AA3295" s="64" t="e">
        <f>(AA3289/(N_1*AA$27))*SQRT('Valve Sizing'!$G$6/AA3293)</f>
        <v>#NUM!</v>
      </c>
      <c r="AB3295" s="41"/>
      <c r="AC3295" s="73"/>
      <c r="AD3295" s="64" t="e">
        <f>(AD3289/(N_1*AD$27))*SQRT('Valve Sizing'!$G$6/AD3293)</f>
        <v>#NUM!</v>
      </c>
      <c r="AE3295" s="41"/>
      <c r="AF3295" s="73"/>
      <c r="AG3295" s="64" t="e">
        <f>(AG3289/(N_1*AG$27))*SQRT('Valve Sizing'!$G$6/AG3293)</f>
        <v>#NUM!</v>
      </c>
      <c r="AH3295" s="41"/>
      <c r="AI3295" s="73"/>
      <c r="AJ3295" s="64" t="e">
        <f>(AJ3289/(N_1*AJ$27))*SQRT('Valve Sizing'!$G$6/AJ3293)</f>
        <v>#NUM!</v>
      </c>
      <c r="AK3295" s="41"/>
      <c r="AL3295" s="73"/>
      <c r="AM3295" s="64" t="e">
        <f>(AM3289/(N_1*AM$27))*SQRT('Valve Sizing'!$G$6/AM3293)</f>
        <v>#NUM!</v>
      </c>
      <c r="AN3295" s="41"/>
      <c r="AO3295" s="73"/>
      <c r="AP3295" s="64" t="e">
        <f>(AP3289/(N_1*AP$27))*SQRT('Valve Sizing'!$G$6/AP3293)</f>
        <v>#NUM!</v>
      </c>
      <c r="AQ3295" s="41"/>
      <c r="AR3295" s="73"/>
      <c r="AS3295" s="64" t="e">
        <f>(AS3289/(N_1*AS$27))*SQRT('Valve Sizing'!$G$6/AS3293)</f>
        <v>#NUM!</v>
      </c>
      <c r="AT3295" s="41"/>
      <c r="AU3295" s="73"/>
    </row>
    <row r="3296" spans="15:47" ht="13" x14ac:dyDescent="0.3">
      <c r="O3296" s="1" t="s">
        <v>72</v>
      </c>
      <c r="P3296" s="17">
        <v>7</v>
      </c>
      <c r="Q3296" s="65"/>
      <c r="R3296" s="53">
        <f>(R3289/(N_1*F_P_h))*SQRT('Valve Sizing'!$G$6/R3294)</f>
        <v>42.10640071593749</v>
      </c>
      <c r="S3296" s="56"/>
      <c r="T3296" s="72"/>
      <c r="U3296" s="85">
        <f>(U3289/(N_1*U$27))*SQRT('Valve Sizing'!$G$6/U3294)</f>
        <v>86.470746158980717</v>
      </c>
      <c r="V3296" s="44"/>
      <c r="W3296" s="72"/>
      <c r="X3296" s="85">
        <f>(X3289/(N_1*X$27))*SQRT('Valve Sizing'!$G$6/X3294)</f>
        <v>2664.7583211036344</v>
      </c>
      <c r="Y3296" s="44"/>
      <c r="Z3296" s="72"/>
      <c r="AA3296" s="85" t="e">
        <f>(AA3289/(N_1*AA$27))*SQRT('Valve Sizing'!$G$6/AA3294)</f>
        <v>#NUM!</v>
      </c>
      <c r="AB3296" s="44"/>
      <c r="AC3296" s="72"/>
      <c r="AD3296" s="85" t="e">
        <f>(AD3289/(N_1*AD$27))*SQRT('Valve Sizing'!$G$6/AD3294)</f>
        <v>#NUM!</v>
      </c>
      <c r="AE3296" s="44"/>
      <c r="AF3296" s="72"/>
      <c r="AG3296" s="85" t="e">
        <f>(AG3289/(N_1*AG$27))*SQRT('Valve Sizing'!$G$6/AG3294)</f>
        <v>#NUM!</v>
      </c>
      <c r="AH3296" s="44"/>
      <c r="AI3296" s="72"/>
      <c r="AJ3296" s="85" t="e">
        <f>(AJ3289/(N_1*AJ$27))*SQRT('Valve Sizing'!$G$6/AJ3294)</f>
        <v>#NUM!</v>
      </c>
      <c r="AK3296" s="44"/>
      <c r="AL3296" s="72"/>
      <c r="AM3296" s="85" t="e">
        <f>(AM3289/(N_1*AM$27))*SQRT('Valve Sizing'!$G$6/AM3294)</f>
        <v>#NUM!</v>
      </c>
      <c r="AN3296" s="44"/>
      <c r="AO3296" s="72"/>
      <c r="AP3296" s="85" t="e">
        <f>(AP3289/(N_1*AP$27))*SQRT('Valve Sizing'!$G$6/AP3294)</f>
        <v>#NUM!</v>
      </c>
      <c r="AQ3296" s="44"/>
      <c r="AR3296" s="72"/>
      <c r="AS3296" s="85" t="e">
        <f>(AS3289/(N_1*AS$27))*SQRT('Valve Sizing'!$G$6/AS3294)</f>
        <v>#NUM!</v>
      </c>
      <c r="AT3296" s="44"/>
      <c r="AU3296" s="72"/>
    </row>
    <row r="3297" spans="15:47" x14ac:dyDescent="0.25">
      <c r="O3297" s="1" t="s">
        <v>246</v>
      </c>
      <c r="P3297" s="18"/>
      <c r="Q3297" s="65"/>
      <c r="R3297" s="53">
        <f>IF(R3293&lt;R3294,R3295,R3296)</f>
        <v>52.139318392194127</v>
      </c>
      <c r="S3297" s="49"/>
      <c r="T3297" s="72"/>
      <c r="U3297" s="64">
        <f>IF(U3293&lt;U3294,U3295,U3296)</f>
        <v>118.6104925951435</v>
      </c>
      <c r="V3297" s="44"/>
      <c r="W3297" s="72"/>
      <c r="X3297" s="64" t="e">
        <f>IF(X3293&lt;X3294,X3295,X3296)</f>
        <v>#NUM!</v>
      </c>
      <c r="Y3297" s="44"/>
      <c r="Z3297" s="72"/>
      <c r="AA3297" s="64" t="e">
        <f>IF(AA3293&lt;AA3294,AA3295,AA3296)</f>
        <v>#NUM!</v>
      </c>
      <c r="AB3297" s="44"/>
      <c r="AC3297" s="72"/>
      <c r="AD3297" s="64" t="e">
        <f>IF(AD3293&lt;AD3294,AD3295,AD3296)</f>
        <v>#NUM!</v>
      </c>
      <c r="AE3297" s="44"/>
      <c r="AF3297" s="72"/>
      <c r="AG3297" s="64" t="e">
        <f>IF(AG3293&lt;AG3294,AG3295,AG3296)</f>
        <v>#NUM!</v>
      </c>
      <c r="AH3297" s="44"/>
      <c r="AI3297" s="72"/>
      <c r="AJ3297" s="64" t="e">
        <f>IF(AJ3293&lt;AJ3294,AJ3295,AJ3296)</f>
        <v>#NUM!</v>
      </c>
      <c r="AK3297" s="44"/>
      <c r="AL3297" s="72"/>
      <c r="AM3297" s="64" t="e">
        <f>IF(AM3293&lt;AM3294,AM3295,AM3296)</f>
        <v>#NUM!</v>
      </c>
      <c r="AN3297" s="44"/>
      <c r="AO3297" s="72"/>
      <c r="AP3297" s="64" t="e">
        <f>IF(AP3293&lt;AP3294,AP3295,AP3296)</f>
        <v>#NUM!</v>
      </c>
      <c r="AQ3297" s="44"/>
      <c r="AR3297" s="72"/>
      <c r="AS3297" s="64" t="e">
        <f>IF(AS3293&lt;AS3294,AS3295,AS3296)</f>
        <v>#NUM!</v>
      </c>
      <c r="AT3297" s="44"/>
      <c r="AU3297" s="72"/>
    </row>
    <row r="3298" spans="15:47" ht="13" x14ac:dyDescent="0.3">
      <c r="O3298" s="7" t="s">
        <v>264</v>
      </c>
      <c r="Q3298" s="61"/>
      <c r="R3298" s="53"/>
      <c r="S3298" s="69">
        <f>IFERROR(ABS(C_h-R3297),Q_max*10)</f>
        <v>47.139318392194127</v>
      </c>
      <c r="T3298" s="76">
        <f>R3289</f>
        <v>281.0223288720735</v>
      </c>
      <c r="U3298" s="61"/>
      <c r="V3298" s="69">
        <f>IFERROR(ABS(U$23-U3297),Q_max*10)</f>
        <v>106.6104925951435</v>
      </c>
      <c r="W3298" s="75">
        <f>U3289</f>
        <v>537.33798673399792</v>
      </c>
      <c r="X3298" s="61"/>
      <c r="Y3298" s="69">
        <f>IFERROR(ABS(X$23-X3297),Q_max*10)</f>
        <v>5500</v>
      </c>
      <c r="Z3298" s="75">
        <f>X3289</f>
        <v>1289.818009652681</v>
      </c>
      <c r="AA3298" s="61"/>
      <c r="AB3298" s="69">
        <f>IFERROR(ABS(AA$23-AA3297),Q_max*10)</f>
        <v>5500</v>
      </c>
      <c r="AC3298" s="75">
        <f>AA3289</f>
        <v>2462.735283474568</v>
      </c>
      <c r="AD3298" s="61"/>
      <c r="AE3298" s="69">
        <f>IFERROR(ABS(AD$23-AD3297),Q_max*10)</f>
        <v>5500</v>
      </c>
      <c r="AF3298" s="75">
        <f>AD3289</f>
        <v>4050.2928159799885</v>
      </c>
      <c r="AG3298" s="61"/>
      <c r="AH3298" s="69">
        <f>IFERROR(ABS(AG$23-AG3297),Q_max*10)</f>
        <v>5500</v>
      </c>
      <c r="AI3298" s="75">
        <f>AG3289</f>
        <v>6030.3340841255158</v>
      </c>
      <c r="AJ3298" s="61"/>
      <c r="AK3298" s="69">
        <f>IFERROR(ABS(AJ$23-AJ3297),Q_max*10)</f>
        <v>5500</v>
      </c>
      <c r="AL3298" s="75">
        <f>AJ3289</f>
        <v>8047.5042122610203</v>
      </c>
      <c r="AM3298" s="61"/>
      <c r="AN3298" s="69">
        <f>IFERROR(ABS(AM$23-AM3297),Q_max*10)</f>
        <v>5500</v>
      </c>
      <c r="AO3298" s="75">
        <f>AM3289</f>
        <v>9819.4844862402078</v>
      </c>
      <c r="AP3298" s="61"/>
      <c r="AQ3298" s="69">
        <f>IFERROR(ABS(AP$23-AP3297),Q_max*10)</f>
        <v>5500</v>
      </c>
      <c r="AR3298" s="75">
        <f>AP3289</f>
        <v>11400.116646262202</v>
      </c>
      <c r="AS3298" s="61"/>
      <c r="AT3298" s="69">
        <f>IFERROR(ABS(AS$23-AS3297),Q_max*10)</f>
        <v>5500</v>
      </c>
      <c r="AU3298" s="75">
        <f>AS3289</f>
        <v>12974.396151266701</v>
      </c>
    </row>
    <row r="3299" spans="15:47" ht="14.5" x14ac:dyDescent="0.35">
      <c r="O3299" s="6"/>
      <c r="P3299" s="6"/>
      <c r="Q3299" s="60"/>
      <c r="R3299" s="67"/>
      <c r="S3299" s="56"/>
      <c r="T3299" s="72"/>
      <c r="V3299" s="11"/>
      <c r="W3299" s="38"/>
      <c r="Y3299" s="11"/>
      <c r="Z3299" s="38"/>
      <c r="AB3299" s="11"/>
      <c r="AC3299" s="38"/>
      <c r="AE3299" s="11"/>
      <c r="AF3299" s="38"/>
      <c r="AH3299" s="11"/>
      <c r="AI3299" s="38"/>
      <c r="AK3299" s="11"/>
      <c r="AL3299" s="38"/>
      <c r="AN3299" s="11"/>
      <c r="AO3299" s="38"/>
      <c r="AQ3299" s="11"/>
      <c r="AR3299" s="38"/>
      <c r="AT3299" s="11"/>
      <c r="AU3299" s="38"/>
    </row>
    <row r="3300" spans="15:47" ht="14" x14ac:dyDescent="0.3">
      <c r="O3300" s="8" t="s">
        <v>235</v>
      </c>
      <c r="P3300" s="6"/>
      <c r="Q3300" s="60"/>
      <c r="R3300" s="53">
        <f>R3289*1.02</f>
        <v>286.642775449515</v>
      </c>
      <c r="S3300" s="58" t="s">
        <v>238</v>
      </c>
      <c r="T3300" s="73" t="s">
        <v>241</v>
      </c>
      <c r="U3300" s="84">
        <f>U3289*1.01</f>
        <v>542.71136660133789</v>
      </c>
      <c r="V3300" s="58" t="s">
        <v>238</v>
      </c>
      <c r="W3300" s="73" t="s">
        <v>241</v>
      </c>
      <c r="X3300" s="84">
        <f>X3289*1.01</f>
        <v>1302.7161897492078</v>
      </c>
      <c r="Y3300" s="58" t="s">
        <v>238</v>
      </c>
      <c r="Z3300" s="73" t="s">
        <v>241</v>
      </c>
      <c r="AA3300" s="84">
        <f>AA3289*1.01</f>
        <v>2487.3626363093135</v>
      </c>
      <c r="AB3300" s="58" t="s">
        <v>238</v>
      </c>
      <c r="AC3300" s="73" t="s">
        <v>241</v>
      </c>
      <c r="AD3300" s="84">
        <f>AD3289*1.01</f>
        <v>4090.7957441397884</v>
      </c>
      <c r="AE3300" s="58" t="s">
        <v>238</v>
      </c>
      <c r="AF3300" s="73" t="s">
        <v>241</v>
      </c>
      <c r="AG3300" s="84">
        <f>AG3289*1.01</f>
        <v>6090.6374249667706</v>
      </c>
      <c r="AH3300" s="58" t="s">
        <v>238</v>
      </c>
      <c r="AI3300" s="73" t="s">
        <v>241</v>
      </c>
      <c r="AJ3300" s="84">
        <f>AJ3289*1.01</f>
        <v>8127.9792543836302</v>
      </c>
      <c r="AK3300" s="58" t="s">
        <v>238</v>
      </c>
      <c r="AL3300" s="73" t="s">
        <v>241</v>
      </c>
      <c r="AM3300" s="84">
        <f>AM3289*1.01</f>
        <v>9917.6793311026104</v>
      </c>
      <c r="AN3300" s="58" t="s">
        <v>238</v>
      </c>
      <c r="AO3300" s="73" t="s">
        <v>241</v>
      </c>
      <c r="AP3300" s="84">
        <f>AP3289*1.01</f>
        <v>11514.117812724824</v>
      </c>
      <c r="AQ3300" s="58" t="s">
        <v>238</v>
      </c>
      <c r="AR3300" s="73" t="s">
        <v>241</v>
      </c>
      <c r="AS3300" s="84">
        <f>AS3289*1.01</f>
        <v>13104.140112779369</v>
      </c>
      <c r="AT3300" s="58" t="s">
        <v>238</v>
      </c>
      <c r="AU3300" s="73" t="s">
        <v>241</v>
      </c>
    </row>
    <row r="3301" spans="15:47" ht="13" x14ac:dyDescent="0.25">
      <c r="O3301" s="6"/>
      <c r="P3301" s="6"/>
      <c r="Q3301" s="60"/>
      <c r="R3301" s="70"/>
      <c r="S3301" s="63" t="s">
        <v>250</v>
      </c>
      <c r="T3301" s="71" t="s">
        <v>242</v>
      </c>
      <c r="U3301" s="61"/>
      <c r="V3301" s="63" t="s">
        <v>250</v>
      </c>
      <c r="W3301" s="71" t="s">
        <v>242</v>
      </c>
      <c r="X3301" s="61"/>
      <c r="Y3301" s="63" t="s">
        <v>250</v>
      </c>
      <c r="Z3301" s="71" t="s">
        <v>242</v>
      </c>
      <c r="AA3301" s="61"/>
      <c r="AB3301" s="63" t="s">
        <v>250</v>
      </c>
      <c r="AC3301" s="71" t="s">
        <v>242</v>
      </c>
      <c r="AD3301" s="61"/>
      <c r="AE3301" s="63" t="s">
        <v>250</v>
      </c>
      <c r="AF3301" s="71" t="s">
        <v>242</v>
      </c>
      <c r="AG3301" s="61"/>
      <c r="AH3301" s="63" t="s">
        <v>250</v>
      </c>
      <c r="AI3301" s="71" t="s">
        <v>242</v>
      </c>
      <c r="AJ3301" s="61"/>
      <c r="AK3301" s="63" t="s">
        <v>250</v>
      </c>
      <c r="AL3301" s="71" t="s">
        <v>242</v>
      </c>
      <c r="AM3301" s="61"/>
      <c r="AN3301" s="63" t="s">
        <v>250</v>
      </c>
      <c r="AO3301" s="71" t="s">
        <v>242</v>
      </c>
      <c r="AP3301" s="61"/>
      <c r="AQ3301" s="63" t="s">
        <v>250</v>
      </c>
      <c r="AR3301" s="71" t="s">
        <v>242</v>
      </c>
      <c r="AS3301" s="61"/>
      <c r="AT3301" s="63" t="s">
        <v>250</v>
      </c>
      <c r="AU3301" s="71" t="s">
        <v>242</v>
      </c>
    </row>
    <row r="3302" spans="15:47" ht="13" x14ac:dyDescent="0.3">
      <c r="O3302" s="6" t="s">
        <v>231</v>
      </c>
      <c r="P3302" s="6"/>
      <c r="Q3302" s="60"/>
      <c r="R3302" s="85">
        <f>P_1_minQ-(R3300^2*R_up)+dpup_minQ</f>
        <v>54.141267115251566</v>
      </c>
      <c r="S3302" s="56"/>
      <c r="T3302" s="72"/>
      <c r="U3302" s="53">
        <f>P_1_minQ-(U3300^2*R_up)+dpup_minQ</f>
        <v>46.968975770405542</v>
      </c>
      <c r="V3302" s="44"/>
      <c r="W3302" s="72"/>
      <c r="X3302" s="53">
        <f>P_1_minQ-(X3300^2*R_up)+dpup_minQ</f>
        <v>-0.39792202075967686</v>
      </c>
      <c r="Y3302" s="44"/>
      <c r="Z3302" s="72"/>
      <c r="AA3302" s="53">
        <f>P_1_minQ-(AA3300^2*R_up)+dpup_minQ</f>
        <v>-152.03262021302325</v>
      </c>
      <c r="AB3302" s="44"/>
      <c r="AC3302" s="72"/>
      <c r="AD3302" s="53">
        <f>P_1_minQ-(AD3300^2*R_up)+dpup_minQ</f>
        <v>-508.25136171132073</v>
      </c>
      <c r="AE3302" s="44"/>
      <c r="AF3302" s="72"/>
      <c r="AG3302" s="53">
        <f>P_1_minQ-(AG3300^2*R_up)+dpup_minQ</f>
        <v>-1195.8992651943888</v>
      </c>
      <c r="AH3302" s="44"/>
      <c r="AI3302" s="72"/>
      <c r="AJ3302" s="53">
        <f>P_1_minQ-(AJ3300^2*R_up)+dpup_minQ</f>
        <v>-2174.223565001374</v>
      </c>
      <c r="AK3302" s="44"/>
      <c r="AL3302" s="72"/>
      <c r="AM3302" s="53">
        <f>P_1_minQ-(AM3300^2*R_up)+dpup_minQ</f>
        <v>-3264.9468529071237</v>
      </c>
      <c r="AN3302" s="44"/>
      <c r="AO3302" s="72"/>
      <c r="AP3302" s="53">
        <f>P_1_minQ-(AP3300^2*R_up)+dpup_minQ</f>
        <v>-4420.4532929857187</v>
      </c>
      <c r="AQ3302" s="44"/>
      <c r="AR3302" s="72"/>
      <c r="AS3302" s="53">
        <f>P_1_minQ-(AS3300^2*R_up)+dpup_minQ</f>
        <v>-5742.424893460091</v>
      </c>
      <c r="AT3302" s="44"/>
      <c r="AU3302" s="72"/>
    </row>
    <row r="3303" spans="15:47" ht="13" x14ac:dyDescent="0.3">
      <c r="O3303" s="6" t="s">
        <v>233</v>
      </c>
      <c r="P3303" s="6"/>
      <c r="Q3303" s="60"/>
      <c r="R3303" s="85">
        <f>P_2_minQ+(R3300^2*R_dn)-dpdn_minQ</f>
        <v>25.211746576949686</v>
      </c>
      <c r="S3303" s="66"/>
      <c r="T3303" s="74"/>
      <c r="U3303" s="53">
        <f>P_2_minQ+(U3300^2*R_dn)-dpdn_minQ</f>
        <v>26.646204845918891</v>
      </c>
      <c r="V3303" s="45"/>
      <c r="W3303" s="74"/>
      <c r="X3303" s="53">
        <f>P_2_minQ+(X3300^2*R_dn)-dpdn_minQ</f>
        <v>36.119584404151936</v>
      </c>
      <c r="Y3303" s="45"/>
      <c r="Z3303" s="74"/>
      <c r="AA3303" s="53">
        <f>P_2_minQ+(AA3300^2*R_dn)-dpdn_minQ</f>
        <v>66.446524042604651</v>
      </c>
      <c r="AB3303" s="45"/>
      <c r="AC3303" s="74"/>
      <c r="AD3303" s="53">
        <f>P_2_minQ+(AD3300^2*R_dn)-dpdn_minQ</f>
        <v>137.69027234226414</v>
      </c>
      <c r="AE3303" s="45"/>
      <c r="AF3303" s="74"/>
      <c r="AG3303" s="53">
        <f>P_2_minQ+(AG3300^2*R_dn)-dpdn_minQ</f>
        <v>275.21985303887772</v>
      </c>
      <c r="AH3303" s="45"/>
      <c r="AI3303" s="74"/>
      <c r="AJ3303" s="53">
        <f>P_2_minQ+(AJ3300^2*R_dn)-dpdn_minQ</f>
        <v>470.88471300027464</v>
      </c>
      <c r="AK3303" s="45"/>
      <c r="AL3303" s="74"/>
      <c r="AM3303" s="53">
        <f>P_2_minQ+(AM3300^2*R_dn)-dpdn_minQ</f>
        <v>689.0293705814247</v>
      </c>
      <c r="AN3303" s="45"/>
      <c r="AO3303" s="74"/>
      <c r="AP3303" s="53">
        <f>P_2_minQ+(AP3300^2*R_dn)-dpdn_minQ</f>
        <v>920.13065859714345</v>
      </c>
      <c r="AQ3303" s="45"/>
      <c r="AR3303" s="74"/>
      <c r="AS3303" s="53">
        <f>P_2_minQ+(AS3300^2*R_dn)-dpdn_minQ</f>
        <v>1184.5249786920181</v>
      </c>
      <c r="AT3303" s="45"/>
      <c r="AU3303" s="74"/>
    </row>
    <row r="3304" spans="15:47" x14ac:dyDescent="0.25">
      <c r="O3304" s="6" t="s">
        <v>243</v>
      </c>
      <c r="Q3304" s="60"/>
      <c r="R3304" s="53">
        <f>R3302-R3303</f>
        <v>28.92952053830188</v>
      </c>
      <c r="S3304" s="56"/>
      <c r="T3304" s="72"/>
      <c r="U3304" s="64">
        <f>U3302-U3303</f>
        <v>20.322770924486651</v>
      </c>
      <c r="V3304" s="44"/>
      <c r="W3304" s="72"/>
      <c r="X3304" s="64">
        <f>X3302-X3303</f>
        <v>-36.517506424911616</v>
      </c>
      <c r="Y3304" s="44"/>
      <c r="Z3304" s="72"/>
      <c r="AA3304" s="64">
        <f>AA3302-AA3303</f>
        <v>-218.47914425562789</v>
      </c>
      <c r="AB3304" s="44"/>
      <c r="AC3304" s="72"/>
      <c r="AD3304" s="64">
        <f>AD3302-AD3303</f>
        <v>-645.94163405358483</v>
      </c>
      <c r="AE3304" s="44"/>
      <c r="AF3304" s="72"/>
      <c r="AG3304" s="64">
        <f>AG3302-AG3303</f>
        <v>-1471.1191182332666</v>
      </c>
      <c r="AH3304" s="44"/>
      <c r="AI3304" s="72"/>
      <c r="AJ3304" s="64">
        <f>AJ3302-AJ3303</f>
        <v>-2645.1082780016486</v>
      </c>
      <c r="AK3304" s="44"/>
      <c r="AL3304" s="72"/>
      <c r="AM3304" s="64">
        <f>AM3302-AM3303</f>
        <v>-3953.9762234885484</v>
      </c>
      <c r="AN3304" s="44"/>
      <c r="AO3304" s="72"/>
      <c r="AP3304" s="64">
        <f>AP3302-AP3303</f>
        <v>-5340.583951582862</v>
      </c>
      <c r="AQ3304" s="44"/>
      <c r="AR3304" s="72"/>
      <c r="AS3304" s="64">
        <f>AS3302-AS3303</f>
        <v>-6926.9498721521086</v>
      </c>
      <c r="AT3304" s="44"/>
      <c r="AU3304" s="72"/>
    </row>
    <row r="3305" spans="15:47" ht="13" x14ac:dyDescent="0.3">
      <c r="O3305" s="6" t="s">
        <v>75</v>
      </c>
      <c r="P3305" s="6">
        <v>3</v>
      </c>
      <c r="Q3305" s="65"/>
      <c r="R3305" s="85">
        <f>(F_LP_h/F_P_h)^2*(R3302-('Valve Sizing'!$V$4*'Valve Sizing'!$G$7))</f>
        <v>44.467420194720724</v>
      </c>
      <c r="S3305" s="58"/>
      <c r="T3305" s="73"/>
      <c r="U3305" s="53">
        <f>(U$29/U$27)^2*(U3302-('Valve Sizing'!$V$4*'Valve Sizing'!$G$7))</f>
        <v>38.517885241553877</v>
      </c>
      <c r="V3305" s="41"/>
      <c r="W3305" s="73"/>
      <c r="X3305" s="53">
        <f>(X$29/X$27)^2*(X3302-('Valve Sizing'!$V$4*'Valve Sizing'!$G$7))</f>
        <v>-0.67805425324081381</v>
      </c>
      <c r="Y3305" s="41"/>
      <c r="Z3305" s="73"/>
      <c r="AA3305" s="53">
        <f>(AA$29/AA$27)^2*(AA3302-('Valve Sizing'!$V$4*'Valve Sizing'!$G$7))</f>
        <v>-117.83046179949943</v>
      </c>
      <c r="AB3305" s="41"/>
      <c r="AC3305" s="73"/>
      <c r="AD3305" s="53">
        <f>(AD$29/AD$27)^2*(AD3302-('Valve Sizing'!$V$4*'Valve Sizing'!$G$7))</f>
        <v>-366.86184579538627</v>
      </c>
      <c r="AE3305" s="41"/>
      <c r="AF3305" s="73"/>
      <c r="AG3305" s="53">
        <f>(AG$29/AG$27)^2*(AG3302-('Valve Sizing'!$V$4*'Valve Sizing'!$G$7))</f>
        <v>-770.49510445262592</v>
      </c>
      <c r="AH3305" s="41"/>
      <c r="AI3305" s="73"/>
      <c r="AJ3305" s="53">
        <f>(AJ$29/AJ$27)^2*(AJ3302-('Valve Sizing'!$V$4*'Valve Sizing'!$G$7))</f>
        <v>-1257.7478806838358</v>
      </c>
      <c r="AK3305" s="41"/>
      <c r="AL3305" s="73"/>
      <c r="AM3305" s="53">
        <f>(AM$29/AM$27)^2*(AM3302-('Valve Sizing'!$V$4*'Valve Sizing'!$G$7))</f>
        <v>-1562.3966934141818</v>
      </c>
      <c r="AN3305" s="41"/>
      <c r="AO3305" s="73"/>
      <c r="AP3305" s="53">
        <f>(AP$29/AP$27)^2*(AP3302-('Valve Sizing'!$V$4*'Valve Sizing'!$G$7))</f>
        <v>-1744.6031170587003</v>
      </c>
      <c r="AQ3305" s="41"/>
      <c r="AR3305" s="73"/>
      <c r="AS3305" s="53">
        <f>(AS$29/AS$27)^2*(AS3302-('Valve Sizing'!$V$4*'Valve Sizing'!$G$7))</f>
        <v>-2160.1257831486732</v>
      </c>
      <c r="AT3305" s="41"/>
      <c r="AU3305" s="73"/>
    </row>
    <row r="3306" spans="15:47" ht="13" x14ac:dyDescent="0.25">
      <c r="O3306" s="1" t="s">
        <v>69</v>
      </c>
      <c r="P3306" s="17">
        <v>7</v>
      </c>
      <c r="Q3306" s="65"/>
      <c r="R3306" s="53">
        <f>(R3300/(N_1*F_P_h))*SQRT('Valve Sizing'!$G$6/R3304)</f>
        <v>53.300822517837467</v>
      </c>
      <c r="S3306" s="58"/>
      <c r="T3306" s="73"/>
      <c r="U3306" s="64">
        <f>(U3300/(N_1*U$27))*SQRT('Valve Sizing'!$G$6/U3304)</f>
        <v>120.48781455275557</v>
      </c>
      <c r="V3306" s="41"/>
      <c r="W3306" s="73"/>
      <c r="X3306" s="64" t="e">
        <f>(X3300/(N_1*X$27))*SQRT('Valve Sizing'!$G$6/X3304)</f>
        <v>#NUM!</v>
      </c>
      <c r="Y3306" s="41"/>
      <c r="Z3306" s="73"/>
      <c r="AA3306" s="64" t="e">
        <f>(AA3300/(N_1*AA$27))*SQRT('Valve Sizing'!$G$6/AA3304)</f>
        <v>#NUM!</v>
      </c>
      <c r="AB3306" s="41"/>
      <c r="AC3306" s="73"/>
      <c r="AD3306" s="64" t="e">
        <f>(AD3300/(N_1*AD$27))*SQRT('Valve Sizing'!$G$6/AD3304)</f>
        <v>#NUM!</v>
      </c>
      <c r="AE3306" s="41"/>
      <c r="AF3306" s="73"/>
      <c r="AG3306" s="64" t="e">
        <f>(AG3300/(N_1*AG$27))*SQRT('Valve Sizing'!$G$6/AG3304)</f>
        <v>#NUM!</v>
      </c>
      <c r="AH3306" s="41"/>
      <c r="AI3306" s="73"/>
      <c r="AJ3306" s="64" t="e">
        <f>(AJ3300/(N_1*AJ$27))*SQRT('Valve Sizing'!$G$6/AJ3304)</f>
        <v>#NUM!</v>
      </c>
      <c r="AK3306" s="41"/>
      <c r="AL3306" s="73"/>
      <c r="AM3306" s="64" t="e">
        <f>(AM3300/(N_1*AM$27))*SQRT('Valve Sizing'!$G$6/AM3304)</f>
        <v>#NUM!</v>
      </c>
      <c r="AN3306" s="41"/>
      <c r="AO3306" s="73"/>
      <c r="AP3306" s="64" t="e">
        <f>(AP3300/(N_1*AP$27))*SQRT('Valve Sizing'!$G$6/AP3304)</f>
        <v>#NUM!</v>
      </c>
      <c r="AQ3306" s="41"/>
      <c r="AR3306" s="73"/>
      <c r="AS3306" s="64" t="e">
        <f>(AS3300/(N_1*AS$27))*SQRT('Valve Sizing'!$G$6/AS3304)</f>
        <v>#NUM!</v>
      </c>
      <c r="AT3306" s="41"/>
      <c r="AU3306" s="73"/>
    </row>
    <row r="3307" spans="15:47" ht="13" x14ac:dyDescent="0.3">
      <c r="O3307" s="1" t="s">
        <v>72</v>
      </c>
      <c r="P3307" s="17">
        <v>7</v>
      </c>
      <c r="Q3307" s="65"/>
      <c r="R3307" s="53">
        <f>(R3300/(N_1*F_P_h))*SQRT('Valve Sizing'!$G$6/R3305)</f>
        <v>42.991595386443251</v>
      </c>
      <c r="S3307" s="56"/>
      <c r="T3307" s="72"/>
      <c r="U3307" s="85">
        <f>(U3300/(N_1*U$27))*SQRT('Valve Sizing'!$G$6/U3305)</f>
        <v>87.519206322183408</v>
      </c>
      <c r="V3307" s="44"/>
      <c r="W3307" s="72"/>
      <c r="X3307" s="85" t="e">
        <f>(X3300/(N_1*X$27))*SQRT('Valve Sizing'!$G$6/X3305)</f>
        <v>#NUM!</v>
      </c>
      <c r="Y3307" s="44"/>
      <c r="Z3307" s="72"/>
      <c r="AA3307" s="85" t="e">
        <f>(AA3300/(N_1*AA$27))*SQRT('Valve Sizing'!$G$6/AA3305)</f>
        <v>#NUM!</v>
      </c>
      <c r="AB3307" s="44"/>
      <c r="AC3307" s="72"/>
      <c r="AD3307" s="85" t="e">
        <f>(AD3300/(N_1*AD$27))*SQRT('Valve Sizing'!$G$6/AD3305)</f>
        <v>#NUM!</v>
      </c>
      <c r="AE3307" s="44"/>
      <c r="AF3307" s="72"/>
      <c r="AG3307" s="85" t="e">
        <f>(AG3300/(N_1*AG$27))*SQRT('Valve Sizing'!$G$6/AG3305)</f>
        <v>#NUM!</v>
      </c>
      <c r="AH3307" s="44"/>
      <c r="AI3307" s="72"/>
      <c r="AJ3307" s="85" t="e">
        <f>(AJ3300/(N_1*AJ$27))*SQRT('Valve Sizing'!$G$6/AJ3305)</f>
        <v>#NUM!</v>
      </c>
      <c r="AK3307" s="44"/>
      <c r="AL3307" s="72"/>
      <c r="AM3307" s="85" t="e">
        <f>(AM3300/(N_1*AM$27))*SQRT('Valve Sizing'!$G$6/AM3305)</f>
        <v>#NUM!</v>
      </c>
      <c r="AN3307" s="44"/>
      <c r="AO3307" s="72"/>
      <c r="AP3307" s="85" t="e">
        <f>(AP3300/(N_1*AP$27))*SQRT('Valve Sizing'!$G$6/AP3305)</f>
        <v>#NUM!</v>
      </c>
      <c r="AQ3307" s="44"/>
      <c r="AR3307" s="72"/>
      <c r="AS3307" s="85" t="e">
        <f>(AS3300/(N_1*AS$27))*SQRT('Valve Sizing'!$G$6/AS3305)</f>
        <v>#NUM!</v>
      </c>
      <c r="AT3307" s="44"/>
      <c r="AU3307" s="72"/>
    </row>
    <row r="3308" spans="15:47" x14ac:dyDescent="0.25">
      <c r="O3308" s="1" t="s">
        <v>246</v>
      </c>
      <c r="P3308" s="18"/>
      <c r="Q3308" s="65"/>
      <c r="R3308" s="53">
        <f>IF(R3304&lt;R3305,R3306,R3307)</f>
        <v>53.300822517837467</v>
      </c>
      <c r="S3308" s="49"/>
      <c r="T3308" s="72"/>
      <c r="U3308" s="64">
        <f>IF(U3304&lt;U3305,U3306,U3307)</f>
        <v>120.48781455275557</v>
      </c>
      <c r="V3308" s="44"/>
      <c r="W3308" s="72"/>
      <c r="X3308" s="64" t="e">
        <f>IF(X3304&lt;X3305,X3306,X3307)</f>
        <v>#NUM!</v>
      </c>
      <c r="Y3308" s="44"/>
      <c r="Z3308" s="72"/>
      <c r="AA3308" s="64" t="e">
        <f>IF(AA3304&lt;AA3305,AA3306,AA3307)</f>
        <v>#NUM!</v>
      </c>
      <c r="AB3308" s="44"/>
      <c r="AC3308" s="72"/>
      <c r="AD3308" s="64" t="e">
        <f>IF(AD3304&lt;AD3305,AD3306,AD3307)</f>
        <v>#NUM!</v>
      </c>
      <c r="AE3308" s="44"/>
      <c r="AF3308" s="72"/>
      <c r="AG3308" s="64" t="e">
        <f>IF(AG3304&lt;AG3305,AG3306,AG3307)</f>
        <v>#NUM!</v>
      </c>
      <c r="AH3308" s="44"/>
      <c r="AI3308" s="72"/>
      <c r="AJ3308" s="64" t="e">
        <f>IF(AJ3304&lt;AJ3305,AJ3306,AJ3307)</f>
        <v>#NUM!</v>
      </c>
      <c r="AK3308" s="44"/>
      <c r="AL3308" s="72"/>
      <c r="AM3308" s="64" t="e">
        <f>IF(AM3304&lt;AM3305,AM3306,AM3307)</f>
        <v>#NUM!</v>
      </c>
      <c r="AN3308" s="44"/>
      <c r="AO3308" s="72"/>
      <c r="AP3308" s="64" t="e">
        <f>IF(AP3304&lt;AP3305,AP3306,AP3307)</f>
        <v>#NUM!</v>
      </c>
      <c r="AQ3308" s="44"/>
      <c r="AR3308" s="72"/>
      <c r="AS3308" s="64" t="e">
        <f>IF(AS3304&lt;AS3305,AS3306,AS3307)</f>
        <v>#NUM!</v>
      </c>
      <c r="AT3308" s="44"/>
      <c r="AU3308" s="72"/>
    </row>
    <row r="3309" spans="15:47" ht="13" x14ac:dyDescent="0.3">
      <c r="O3309" s="7" t="s">
        <v>264</v>
      </c>
      <c r="Q3309" s="61"/>
      <c r="R3309" s="53"/>
      <c r="S3309" s="69">
        <f>IFERROR(ABS(C_h-R3308),Q_max*10)</f>
        <v>48.300822517837467</v>
      </c>
      <c r="T3309" s="76">
        <f>R3300</f>
        <v>286.642775449515</v>
      </c>
      <c r="U3309" s="61"/>
      <c r="V3309" s="69">
        <f>IFERROR(ABS(U$23-U3308),Q_max*10)</f>
        <v>108.48781455275557</v>
      </c>
      <c r="W3309" s="75">
        <f>U3300</f>
        <v>542.71136660133789</v>
      </c>
      <c r="X3309" s="61"/>
      <c r="Y3309" s="69">
        <f>IFERROR(ABS(X$23-X3308),Q_max*10)</f>
        <v>5500</v>
      </c>
      <c r="Z3309" s="75">
        <f>X3300</f>
        <v>1302.7161897492078</v>
      </c>
      <c r="AA3309" s="61"/>
      <c r="AB3309" s="69">
        <f>IFERROR(ABS(AA$23-AA3308),Q_max*10)</f>
        <v>5500</v>
      </c>
      <c r="AC3309" s="75">
        <f>AA3300</f>
        <v>2487.3626363093135</v>
      </c>
      <c r="AD3309" s="61"/>
      <c r="AE3309" s="69">
        <f>IFERROR(ABS(AD$23-AD3308),Q_max*10)</f>
        <v>5500</v>
      </c>
      <c r="AF3309" s="75">
        <f>AD3300</f>
        <v>4090.7957441397884</v>
      </c>
      <c r="AG3309" s="61"/>
      <c r="AH3309" s="69">
        <f>IFERROR(ABS(AG$23-AG3308),Q_max*10)</f>
        <v>5500</v>
      </c>
      <c r="AI3309" s="75">
        <f>AG3300</f>
        <v>6090.6374249667706</v>
      </c>
      <c r="AJ3309" s="61"/>
      <c r="AK3309" s="69">
        <f>IFERROR(ABS(AJ$23-AJ3308),Q_max*10)</f>
        <v>5500</v>
      </c>
      <c r="AL3309" s="75">
        <f>AJ3300</f>
        <v>8127.9792543836302</v>
      </c>
      <c r="AM3309" s="61"/>
      <c r="AN3309" s="69">
        <f>IFERROR(ABS(AM$23-AM3308),Q_max*10)</f>
        <v>5500</v>
      </c>
      <c r="AO3309" s="75">
        <f>AM3300</f>
        <v>9917.6793311026104</v>
      </c>
      <c r="AP3309" s="61"/>
      <c r="AQ3309" s="69">
        <f>IFERROR(ABS(AP$23-AP3308),Q_max*10)</f>
        <v>5500</v>
      </c>
      <c r="AR3309" s="75">
        <f>AP3300</f>
        <v>11514.117812724824</v>
      </c>
      <c r="AS3309" s="61"/>
      <c r="AT3309" s="69">
        <f>IFERROR(ABS(AS$23-AS3308),Q_max*10)</f>
        <v>5500</v>
      </c>
      <c r="AU3309" s="75">
        <f>AS3300</f>
        <v>13104.140112779369</v>
      </c>
    </row>
    <row r="3310" spans="15:47" ht="14.5" x14ac:dyDescent="0.35">
      <c r="O3310" s="6"/>
      <c r="P3310" s="6"/>
      <c r="Q3310" s="60"/>
      <c r="R3310" s="67"/>
      <c r="S3310" s="58"/>
      <c r="T3310" s="73"/>
      <c r="V3310" s="11"/>
      <c r="W3310" s="38"/>
      <c r="Y3310" s="11"/>
      <c r="Z3310" s="38"/>
      <c r="AB3310" s="11"/>
      <c r="AC3310" s="38"/>
      <c r="AE3310" s="11"/>
      <c r="AF3310" s="38"/>
      <c r="AH3310" s="11"/>
      <c r="AI3310" s="38"/>
      <c r="AK3310" s="11"/>
      <c r="AL3310" s="38"/>
      <c r="AN3310" s="11"/>
      <c r="AO3310" s="38"/>
      <c r="AQ3310" s="11"/>
      <c r="AR3310" s="38"/>
      <c r="AT3310" s="11"/>
      <c r="AU3310" s="38"/>
    </row>
    <row r="3311" spans="15:47" ht="14" x14ac:dyDescent="0.3">
      <c r="O3311" s="8" t="s">
        <v>235</v>
      </c>
      <c r="P3311" s="6"/>
      <c r="Q3311" s="60"/>
      <c r="R3311" s="53">
        <f>R3300*1.02</f>
        <v>292.37563095850533</v>
      </c>
      <c r="S3311" s="58" t="s">
        <v>238</v>
      </c>
      <c r="T3311" s="73" t="s">
        <v>241</v>
      </c>
      <c r="U3311" s="84">
        <f>U3300*1.01</f>
        <v>548.13848026735127</v>
      </c>
      <c r="V3311" s="58" t="s">
        <v>238</v>
      </c>
      <c r="W3311" s="73" t="s">
        <v>241</v>
      </c>
      <c r="X3311" s="84">
        <f>X3300*1.01</f>
        <v>1315.7433516466999</v>
      </c>
      <c r="Y3311" s="58" t="s">
        <v>238</v>
      </c>
      <c r="Z3311" s="73" t="s">
        <v>241</v>
      </c>
      <c r="AA3311" s="84">
        <f>AA3300*1.01</f>
        <v>2512.2362626724066</v>
      </c>
      <c r="AB3311" s="58" t="s">
        <v>238</v>
      </c>
      <c r="AC3311" s="73" t="s">
        <v>241</v>
      </c>
      <c r="AD3311" s="84">
        <f>AD3300*1.01</f>
        <v>4131.7037015811866</v>
      </c>
      <c r="AE3311" s="58" t="s">
        <v>238</v>
      </c>
      <c r="AF3311" s="73" t="s">
        <v>241</v>
      </c>
      <c r="AG3311" s="84">
        <f>AG3300*1.01</f>
        <v>6151.5437992164379</v>
      </c>
      <c r="AH3311" s="58" t="s">
        <v>238</v>
      </c>
      <c r="AI3311" s="73" t="s">
        <v>241</v>
      </c>
      <c r="AJ3311" s="84">
        <f>AJ3300*1.01</f>
        <v>8209.2590469274674</v>
      </c>
      <c r="AK3311" s="58" t="s">
        <v>238</v>
      </c>
      <c r="AL3311" s="73" t="s">
        <v>241</v>
      </c>
      <c r="AM3311" s="84">
        <f>AM3300*1.01</f>
        <v>10016.856124413636</v>
      </c>
      <c r="AN3311" s="58" t="s">
        <v>238</v>
      </c>
      <c r="AO3311" s="73" t="s">
        <v>241</v>
      </c>
      <c r="AP3311" s="84">
        <f>AP3300*1.01</f>
        <v>11629.258990852073</v>
      </c>
      <c r="AQ3311" s="58" t="s">
        <v>238</v>
      </c>
      <c r="AR3311" s="73" t="s">
        <v>241</v>
      </c>
      <c r="AS3311" s="84">
        <f>AS3300*1.01</f>
        <v>13235.181513907162</v>
      </c>
      <c r="AT3311" s="58" t="s">
        <v>238</v>
      </c>
      <c r="AU3311" s="73" t="s">
        <v>241</v>
      </c>
    </row>
    <row r="3312" spans="15:47" ht="13" x14ac:dyDescent="0.25">
      <c r="O3312" s="6"/>
      <c r="P3312" s="6"/>
      <c r="Q3312" s="60"/>
      <c r="R3312" s="70"/>
      <c r="S3312" s="63" t="s">
        <v>250</v>
      </c>
      <c r="T3312" s="71" t="s">
        <v>242</v>
      </c>
      <c r="U3312" s="61"/>
      <c r="V3312" s="63" t="s">
        <v>250</v>
      </c>
      <c r="W3312" s="71" t="s">
        <v>242</v>
      </c>
      <c r="X3312" s="61"/>
      <c r="Y3312" s="63" t="s">
        <v>250</v>
      </c>
      <c r="Z3312" s="71" t="s">
        <v>242</v>
      </c>
      <c r="AA3312" s="61"/>
      <c r="AB3312" s="63" t="s">
        <v>250</v>
      </c>
      <c r="AC3312" s="71" t="s">
        <v>242</v>
      </c>
      <c r="AD3312" s="61"/>
      <c r="AE3312" s="63" t="s">
        <v>250</v>
      </c>
      <c r="AF3312" s="71" t="s">
        <v>242</v>
      </c>
      <c r="AG3312" s="61"/>
      <c r="AH3312" s="63" t="s">
        <v>250</v>
      </c>
      <c r="AI3312" s="71" t="s">
        <v>242</v>
      </c>
      <c r="AJ3312" s="61"/>
      <c r="AK3312" s="63" t="s">
        <v>250</v>
      </c>
      <c r="AL3312" s="71" t="s">
        <v>242</v>
      </c>
      <c r="AM3312" s="61"/>
      <c r="AN3312" s="63" t="s">
        <v>250</v>
      </c>
      <c r="AO3312" s="71" t="s">
        <v>242</v>
      </c>
      <c r="AP3312" s="61"/>
      <c r="AQ3312" s="63" t="s">
        <v>250</v>
      </c>
      <c r="AR3312" s="71" t="s">
        <v>242</v>
      </c>
      <c r="AS3312" s="61"/>
      <c r="AT3312" s="63" t="s">
        <v>250</v>
      </c>
      <c r="AU3312" s="71" t="s">
        <v>242</v>
      </c>
    </row>
    <row r="3313" spans="15:47" ht="13" x14ac:dyDescent="0.3">
      <c r="O3313" s="6" t="s">
        <v>231</v>
      </c>
      <c r="P3313" s="6"/>
      <c r="Q3313" s="60"/>
      <c r="R3313" s="85">
        <f>P_1_minQ-(R3311^2*R_up)+dpup_minQ</f>
        <v>54.029162121635117</v>
      </c>
      <c r="S3313" s="56"/>
      <c r="T3313" s="72"/>
      <c r="U3313" s="53">
        <f>P_1_minQ-(U3311^2*R_up)+dpup_minQ</f>
        <v>46.769037705173879</v>
      </c>
      <c r="V3313" s="44"/>
      <c r="W3313" s="72"/>
      <c r="X3313" s="53">
        <f>P_1_minQ-(X3311^2*R_up)+dpup_minQ</f>
        <v>-1.5499347315937628</v>
      </c>
      <c r="Y3313" s="44"/>
      <c r="Z3313" s="72"/>
      <c r="AA3313" s="53">
        <f>P_1_minQ-(AA3311^2*R_up)+dpup_minQ</f>
        <v>-156.23249035752181</v>
      </c>
      <c r="AB3313" s="44"/>
      <c r="AC3313" s="72"/>
      <c r="AD3313" s="53">
        <f>P_1_minQ-(AD3311^2*R_up)+dpup_minQ</f>
        <v>-519.61122855993517</v>
      </c>
      <c r="AE3313" s="44"/>
      <c r="AF3313" s="72"/>
      <c r="AG3313" s="53">
        <f>P_1_minQ-(AG3311^2*R_up)+dpup_minQ</f>
        <v>-1221.0808549030128</v>
      </c>
      <c r="AH3313" s="44"/>
      <c r="AI3313" s="72"/>
      <c r="AJ3313" s="53">
        <f>P_1_minQ-(AJ3311^2*R_up)+dpup_minQ</f>
        <v>-2219.0694731361186</v>
      </c>
      <c r="AK3313" s="44"/>
      <c r="AL3313" s="72"/>
      <c r="AM3313" s="53">
        <f>P_1_minQ-(AM3311^2*R_up)+dpup_minQ</f>
        <v>-3331.7162991287732</v>
      </c>
      <c r="AN3313" s="44"/>
      <c r="AO3313" s="72"/>
      <c r="AP3313" s="53">
        <f>P_1_minQ-(AP3311^2*R_up)+dpup_minQ</f>
        <v>-4510.4484186529489</v>
      </c>
      <c r="AQ3313" s="44"/>
      <c r="AR3313" s="72"/>
      <c r="AS3313" s="53">
        <f>P_1_minQ-(AS3311^2*R_up)+dpup_minQ</f>
        <v>-5858.9916482968565</v>
      </c>
      <c r="AT3313" s="44"/>
      <c r="AU3313" s="72"/>
    </row>
    <row r="3314" spans="15:47" ht="13" x14ac:dyDescent="0.3">
      <c r="O3314" s="6" t="s">
        <v>233</v>
      </c>
      <c r="P3314" s="6"/>
      <c r="Q3314" s="60"/>
      <c r="R3314" s="85">
        <f>P_2_minQ+(R3311^2*R_dn)-dpdn_minQ</f>
        <v>25.234167575672977</v>
      </c>
      <c r="S3314" s="66"/>
      <c r="T3314" s="74"/>
      <c r="U3314" s="53">
        <f>P_2_minQ+(U3311^2*R_dn)-dpdn_minQ</f>
        <v>26.686192458965227</v>
      </c>
      <c r="V3314" s="45"/>
      <c r="W3314" s="74"/>
      <c r="X3314" s="53">
        <f>P_2_minQ+(X3311^2*R_dn)-dpdn_minQ</f>
        <v>36.349986946318758</v>
      </c>
      <c r="Y3314" s="45"/>
      <c r="Z3314" s="74"/>
      <c r="AA3314" s="53">
        <f>P_2_minQ+(AA3311^2*R_dn)-dpdn_minQ</f>
        <v>67.286498071504369</v>
      </c>
      <c r="AB3314" s="45"/>
      <c r="AC3314" s="74"/>
      <c r="AD3314" s="53">
        <f>P_2_minQ+(AD3311^2*R_dn)-dpdn_minQ</f>
        <v>139.96224571198704</v>
      </c>
      <c r="AE3314" s="45"/>
      <c r="AF3314" s="74"/>
      <c r="AG3314" s="53">
        <f>P_2_minQ+(AG3311^2*R_dn)-dpdn_minQ</f>
        <v>280.25617098060252</v>
      </c>
      <c r="AH3314" s="45"/>
      <c r="AI3314" s="74"/>
      <c r="AJ3314" s="53">
        <f>P_2_minQ+(AJ3311^2*R_dn)-dpdn_minQ</f>
        <v>479.85389462722367</v>
      </c>
      <c r="AK3314" s="45"/>
      <c r="AL3314" s="74"/>
      <c r="AM3314" s="53">
        <f>P_2_minQ+(AM3311^2*R_dn)-dpdn_minQ</f>
        <v>702.38325982575464</v>
      </c>
      <c r="AN3314" s="45"/>
      <c r="AO3314" s="74"/>
      <c r="AP3314" s="53">
        <f>P_2_minQ+(AP3311^2*R_dn)-dpdn_minQ</f>
        <v>938.12968373058959</v>
      </c>
      <c r="AQ3314" s="45"/>
      <c r="AR3314" s="74"/>
      <c r="AS3314" s="53">
        <f>P_2_minQ+(AS3311^2*R_dn)-dpdn_minQ</f>
        <v>1207.8383296593711</v>
      </c>
      <c r="AT3314" s="45"/>
      <c r="AU3314" s="74"/>
    </row>
    <row r="3315" spans="15:47" x14ac:dyDescent="0.25">
      <c r="O3315" s="6" t="s">
        <v>243</v>
      </c>
      <c r="Q3315" s="60"/>
      <c r="R3315" s="53">
        <f>R3313-R3314</f>
        <v>28.79499454596214</v>
      </c>
      <c r="S3315" s="56"/>
      <c r="T3315" s="72"/>
      <c r="U3315" s="64">
        <f>U3313-U3314</f>
        <v>20.082845246208652</v>
      </c>
      <c r="V3315" s="44"/>
      <c r="W3315" s="72"/>
      <c r="X3315" s="64">
        <f>X3313-X3314</f>
        <v>-37.899921677912523</v>
      </c>
      <c r="Y3315" s="44"/>
      <c r="Z3315" s="72"/>
      <c r="AA3315" s="64">
        <f>AA3313-AA3314</f>
        <v>-223.51898842902619</v>
      </c>
      <c r="AB3315" s="44"/>
      <c r="AC3315" s="72"/>
      <c r="AD3315" s="64">
        <f>AD3313-AD3314</f>
        <v>-659.57347427192224</v>
      </c>
      <c r="AE3315" s="44"/>
      <c r="AF3315" s="72"/>
      <c r="AG3315" s="64">
        <f>AG3313-AG3314</f>
        <v>-1501.3370258836153</v>
      </c>
      <c r="AH3315" s="44"/>
      <c r="AI3315" s="72"/>
      <c r="AJ3315" s="64">
        <f>AJ3313-AJ3314</f>
        <v>-2698.9233677633424</v>
      </c>
      <c r="AK3315" s="44"/>
      <c r="AL3315" s="72"/>
      <c r="AM3315" s="64">
        <f>AM3313-AM3314</f>
        <v>-4034.0995589545278</v>
      </c>
      <c r="AN3315" s="44"/>
      <c r="AO3315" s="72"/>
      <c r="AP3315" s="64">
        <f>AP3313-AP3314</f>
        <v>-5448.5781023835389</v>
      </c>
      <c r="AQ3315" s="44"/>
      <c r="AR3315" s="72"/>
      <c r="AS3315" s="64">
        <f>AS3313-AS3314</f>
        <v>-7066.8299779562276</v>
      </c>
      <c r="AT3315" s="44"/>
      <c r="AU3315" s="72"/>
    </row>
    <row r="3316" spans="15:47" ht="13" x14ac:dyDescent="0.3">
      <c r="O3316" s="6" t="s">
        <v>75</v>
      </c>
      <c r="P3316" s="6">
        <v>3</v>
      </c>
      <c r="Q3316" s="65"/>
      <c r="R3316" s="85">
        <f>(F_LP_h/F_P_h)^2*(R3313-('Valve Sizing'!$V$4*'Valve Sizing'!$G$7))</f>
        <v>44.374591375622067</v>
      </c>
      <c r="S3316" s="58"/>
      <c r="T3316" s="73"/>
      <c r="U3316" s="53">
        <f>(U$29/U$27)^2*(U3313-('Valve Sizing'!$V$4*'Valve Sizing'!$G$7))</f>
        <v>38.352371153407212</v>
      </c>
      <c r="V3316" s="41"/>
      <c r="W3316" s="73"/>
      <c r="X3316" s="53">
        <f>(X$29/X$27)^2*(X3313-('Valve Sizing'!$V$4*'Valve Sizing'!$G$7))</f>
        <v>-1.6102094450092148</v>
      </c>
      <c r="Y3316" s="41"/>
      <c r="Z3316" s="73"/>
      <c r="AA3316" s="53">
        <f>(AA$29/AA$27)^2*(AA3313-('Valve Sizing'!$V$4*'Valve Sizing'!$G$7))</f>
        <v>-121.07610977721278</v>
      </c>
      <c r="AB3316" s="41"/>
      <c r="AC3316" s="73"/>
      <c r="AD3316" s="53">
        <f>(AD$29/AD$27)^2*(AD3313-('Valve Sizing'!$V$4*'Valve Sizing'!$G$7))</f>
        <v>-375.05443871379958</v>
      </c>
      <c r="AE3316" s="41"/>
      <c r="AF3316" s="73"/>
      <c r="AG3316" s="53">
        <f>(AG$29/AG$27)^2*(AG3313-('Valve Sizing'!$V$4*'Valve Sizing'!$G$7))</f>
        <v>-786.71315498563979</v>
      </c>
      <c r="AH3316" s="41"/>
      <c r="AI3316" s="73"/>
      <c r="AJ3316" s="53">
        <f>(AJ$29/AJ$27)^2*(AJ3313-('Valve Sizing'!$V$4*'Valve Sizing'!$G$7))</f>
        <v>-1283.6851545342879</v>
      </c>
      <c r="AK3316" s="41"/>
      <c r="AL3316" s="73"/>
      <c r="AM3316" s="53">
        <f>(AM$29/AM$27)^2*(AM3313-('Valve Sizing'!$V$4*'Valve Sizing'!$G$7))</f>
        <v>-1594.3440138557269</v>
      </c>
      <c r="AN3316" s="41"/>
      <c r="AO3316" s="73"/>
      <c r="AP3316" s="53">
        <f>(AP$29/AP$27)^2*(AP3313-('Valve Sizing'!$V$4*'Valve Sizing'!$G$7))</f>
        <v>-1780.1176079784798</v>
      </c>
      <c r="AQ3316" s="41"/>
      <c r="AR3316" s="73"/>
      <c r="AS3316" s="53">
        <f>(AS$29/AS$27)^2*(AS3313-('Valve Sizing'!$V$4*'Valve Sizing'!$G$7))</f>
        <v>-2203.9712948790798</v>
      </c>
      <c r="AT3316" s="41"/>
      <c r="AU3316" s="73"/>
    </row>
    <row r="3317" spans="15:47" ht="13" x14ac:dyDescent="0.25">
      <c r="O3317" s="1" t="s">
        <v>69</v>
      </c>
      <c r="P3317" s="17">
        <v>7</v>
      </c>
      <c r="Q3317" s="65"/>
      <c r="R3317" s="53">
        <f>(R3311/(N_1*F_P_h))*SQRT('Valve Sizing'!$G$6/R3315)</f>
        <v>54.493687935840669</v>
      </c>
      <c r="S3317" s="58"/>
      <c r="T3317" s="73"/>
      <c r="U3317" s="64">
        <f>(U3311/(N_1*U$27))*SQRT('Valve Sizing'!$G$6/U3315)</f>
        <v>122.41745343962677</v>
      </c>
      <c r="V3317" s="41"/>
      <c r="W3317" s="73"/>
      <c r="X3317" s="64" t="e">
        <f>(X3311/(N_1*X$27))*SQRT('Valve Sizing'!$G$6/X3315)</f>
        <v>#NUM!</v>
      </c>
      <c r="Y3317" s="41"/>
      <c r="Z3317" s="73"/>
      <c r="AA3317" s="64" t="e">
        <f>(AA3311/(N_1*AA$27))*SQRT('Valve Sizing'!$G$6/AA3315)</f>
        <v>#NUM!</v>
      </c>
      <c r="AB3317" s="41"/>
      <c r="AC3317" s="73"/>
      <c r="AD3317" s="64" t="e">
        <f>(AD3311/(N_1*AD$27))*SQRT('Valve Sizing'!$G$6/AD3315)</f>
        <v>#NUM!</v>
      </c>
      <c r="AE3317" s="41"/>
      <c r="AF3317" s="73"/>
      <c r="AG3317" s="64" t="e">
        <f>(AG3311/(N_1*AG$27))*SQRT('Valve Sizing'!$G$6/AG3315)</f>
        <v>#NUM!</v>
      </c>
      <c r="AH3317" s="41"/>
      <c r="AI3317" s="73"/>
      <c r="AJ3317" s="64" t="e">
        <f>(AJ3311/(N_1*AJ$27))*SQRT('Valve Sizing'!$G$6/AJ3315)</f>
        <v>#NUM!</v>
      </c>
      <c r="AK3317" s="41"/>
      <c r="AL3317" s="73"/>
      <c r="AM3317" s="64" t="e">
        <f>(AM3311/(N_1*AM$27))*SQRT('Valve Sizing'!$G$6/AM3315)</f>
        <v>#NUM!</v>
      </c>
      <c r="AN3317" s="41"/>
      <c r="AO3317" s="73"/>
      <c r="AP3317" s="64" t="e">
        <f>(AP3311/(N_1*AP$27))*SQRT('Valve Sizing'!$G$6/AP3315)</f>
        <v>#NUM!</v>
      </c>
      <c r="AQ3317" s="41"/>
      <c r="AR3317" s="73"/>
      <c r="AS3317" s="64" t="e">
        <f>(AS3311/(N_1*AS$27))*SQRT('Valve Sizing'!$G$6/AS3315)</f>
        <v>#NUM!</v>
      </c>
      <c r="AT3317" s="41"/>
      <c r="AU3317" s="73"/>
    </row>
    <row r="3318" spans="15:47" ht="13" x14ac:dyDescent="0.3">
      <c r="O3318" s="1" t="s">
        <v>72</v>
      </c>
      <c r="P3318" s="17">
        <v>7</v>
      </c>
      <c r="Q3318" s="65"/>
      <c r="R3318" s="53">
        <f>(R3311/(N_1*F_P_h))*SQRT('Valve Sizing'!$G$6/R3316)</f>
        <v>43.897270527995673</v>
      </c>
      <c r="S3318" s="56"/>
      <c r="T3318" s="72"/>
      <c r="U3318" s="85">
        <f>(U3311/(N_1*U$27))*SQRT('Valve Sizing'!$G$6/U3316)</f>
        <v>88.58493115890586</v>
      </c>
      <c r="V3318" s="44"/>
      <c r="W3318" s="72"/>
      <c r="X3318" s="85" t="e">
        <f>(X3311/(N_1*X$27))*SQRT('Valve Sizing'!$G$6/X3316)</f>
        <v>#NUM!</v>
      </c>
      <c r="Y3318" s="44"/>
      <c r="Z3318" s="72"/>
      <c r="AA3318" s="85" t="e">
        <f>(AA3311/(N_1*AA$27))*SQRT('Valve Sizing'!$G$6/AA3316)</f>
        <v>#NUM!</v>
      </c>
      <c r="AB3318" s="44"/>
      <c r="AC3318" s="72"/>
      <c r="AD3318" s="85" t="e">
        <f>(AD3311/(N_1*AD$27))*SQRT('Valve Sizing'!$G$6/AD3316)</f>
        <v>#NUM!</v>
      </c>
      <c r="AE3318" s="44"/>
      <c r="AF3318" s="72"/>
      <c r="AG3318" s="85" t="e">
        <f>(AG3311/(N_1*AG$27))*SQRT('Valve Sizing'!$G$6/AG3316)</f>
        <v>#NUM!</v>
      </c>
      <c r="AH3318" s="44"/>
      <c r="AI3318" s="72"/>
      <c r="AJ3318" s="85" t="e">
        <f>(AJ3311/(N_1*AJ$27))*SQRT('Valve Sizing'!$G$6/AJ3316)</f>
        <v>#NUM!</v>
      </c>
      <c r="AK3318" s="44"/>
      <c r="AL3318" s="72"/>
      <c r="AM3318" s="85" t="e">
        <f>(AM3311/(N_1*AM$27))*SQRT('Valve Sizing'!$G$6/AM3316)</f>
        <v>#NUM!</v>
      </c>
      <c r="AN3318" s="44"/>
      <c r="AO3318" s="72"/>
      <c r="AP3318" s="85" t="e">
        <f>(AP3311/(N_1*AP$27))*SQRT('Valve Sizing'!$G$6/AP3316)</f>
        <v>#NUM!</v>
      </c>
      <c r="AQ3318" s="44"/>
      <c r="AR3318" s="72"/>
      <c r="AS3318" s="85" t="e">
        <f>(AS3311/(N_1*AS$27))*SQRT('Valve Sizing'!$G$6/AS3316)</f>
        <v>#NUM!</v>
      </c>
      <c r="AT3318" s="44"/>
      <c r="AU3318" s="72"/>
    </row>
    <row r="3319" spans="15:47" x14ac:dyDescent="0.25">
      <c r="O3319" s="1" t="s">
        <v>246</v>
      </c>
      <c r="P3319" s="18"/>
      <c r="Q3319" s="65"/>
      <c r="R3319" s="53">
        <f>IF(R3315&lt;R3316,R3317,R3318)</f>
        <v>54.493687935840669</v>
      </c>
      <c r="S3319" s="49"/>
      <c r="T3319" s="72"/>
      <c r="U3319" s="64">
        <f>IF(U3315&lt;U3316,U3317,U3318)</f>
        <v>122.41745343962677</v>
      </c>
      <c r="V3319" s="44"/>
      <c r="W3319" s="72"/>
      <c r="X3319" s="64" t="e">
        <f>IF(X3315&lt;X3316,X3317,X3318)</f>
        <v>#NUM!</v>
      </c>
      <c r="Y3319" s="44"/>
      <c r="Z3319" s="72"/>
      <c r="AA3319" s="64" t="e">
        <f>IF(AA3315&lt;AA3316,AA3317,AA3318)</f>
        <v>#NUM!</v>
      </c>
      <c r="AB3319" s="44"/>
      <c r="AC3319" s="72"/>
      <c r="AD3319" s="64" t="e">
        <f>IF(AD3315&lt;AD3316,AD3317,AD3318)</f>
        <v>#NUM!</v>
      </c>
      <c r="AE3319" s="44"/>
      <c r="AF3319" s="72"/>
      <c r="AG3319" s="64" t="e">
        <f>IF(AG3315&lt;AG3316,AG3317,AG3318)</f>
        <v>#NUM!</v>
      </c>
      <c r="AH3319" s="44"/>
      <c r="AI3319" s="72"/>
      <c r="AJ3319" s="64" t="e">
        <f>IF(AJ3315&lt;AJ3316,AJ3317,AJ3318)</f>
        <v>#NUM!</v>
      </c>
      <c r="AK3319" s="44"/>
      <c r="AL3319" s="72"/>
      <c r="AM3319" s="64" t="e">
        <f>IF(AM3315&lt;AM3316,AM3317,AM3318)</f>
        <v>#NUM!</v>
      </c>
      <c r="AN3319" s="44"/>
      <c r="AO3319" s="72"/>
      <c r="AP3319" s="64" t="e">
        <f>IF(AP3315&lt;AP3316,AP3317,AP3318)</f>
        <v>#NUM!</v>
      </c>
      <c r="AQ3319" s="44"/>
      <c r="AR3319" s="72"/>
      <c r="AS3319" s="64" t="e">
        <f>IF(AS3315&lt;AS3316,AS3317,AS3318)</f>
        <v>#NUM!</v>
      </c>
      <c r="AT3319" s="44"/>
      <c r="AU3319" s="72"/>
    </row>
    <row r="3320" spans="15:47" ht="13" x14ac:dyDescent="0.3">
      <c r="O3320" s="7" t="s">
        <v>264</v>
      </c>
      <c r="Q3320" s="61"/>
      <c r="R3320" s="53"/>
      <c r="S3320" s="69">
        <f>IFERROR(ABS(C_h-R3319),Q_max*10)</f>
        <v>49.493687935840669</v>
      </c>
      <c r="T3320" s="76">
        <f>R3311</f>
        <v>292.37563095850533</v>
      </c>
      <c r="U3320" s="61"/>
      <c r="V3320" s="69">
        <f>IFERROR(ABS(U$23-U3319),Q_max*10)</f>
        <v>110.41745343962677</v>
      </c>
      <c r="W3320" s="75">
        <f>U3311</f>
        <v>548.13848026735127</v>
      </c>
      <c r="X3320" s="61"/>
      <c r="Y3320" s="69">
        <f>IFERROR(ABS(X$23-X3319),Q_max*10)</f>
        <v>5500</v>
      </c>
      <c r="Z3320" s="75">
        <f>X3311</f>
        <v>1315.7433516466999</v>
      </c>
      <c r="AA3320" s="61"/>
      <c r="AB3320" s="69">
        <f>IFERROR(ABS(AA$23-AA3319),Q_max*10)</f>
        <v>5500</v>
      </c>
      <c r="AC3320" s="75">
        <f>AA3311</f>
        <v>2512.2362626724066</v>
      </c>
      <c r="AD3320" s="61"/>
      <c r="AE3320" s="69">
        <f>IFERROR(ABS(AD$23-AD3319),Q_max*10)</f>
        <v>5500</v>
      </c>
      <c r="AF3320" s="75">
        <f>AD3311</f>
        <v>4131.7037015811866</v>
      </c>
      <c r="AG3320" s="61"/>
      <c r="AH3320" s="69">
        <f>IFERROR(ABS(AG$23-AG3319),Q_max*10)</f>
        <v>5500</v>
      </c>
      <c r="AI3320" s="75">
        <f>AG3311</f>
        <v>6151.5437992164379</v>
      </c>
      <c r="AJ3320" s="61"/>
      <c r="AK3320" s="69">
        <f>IFERROR(ABS(AJ$23-AJ3319),Q_max*10)</f>
        <v>5500</v>
      </c>
      <c r="AL3320" s="75">
        <f>AJ3311</f>
        <v>8209.2590469274674</v>
      </c>
      <c r="AM3320" s="61"/>
      <c r="AN3320" s="69">
        <f>IFERROR(ABS(AM$23-AM3319),Q_max*10)</f>
        <v>5500</v>
      </c>
      <c r="AO3320" s="75">
        <f>AM3311</f>
        <v>10016.856124413636</v>
      </c>
      <c r="AP3320" s="61"/>
      <c r="AQ3320" s="69">
        <f>IFERROR(ABS(AP$23-AP3319),Q_max*10)</f>
        <v>5500</v>
      </c>
      <c r="AR3320" s="75">
        <f>AP3311</f>
        <v>11629.258990852073</v>
      </c>
      <c r="AS3320" s="61"/>
      <c r="AT3320" s="69">
        <f>IFERROR(ABS(AS$23-AS3319),Q_max*10)</f>
        <v>5500</v>
      </c>
      <c r="AU3320" s="75">
        <f>AS3311</f>
        <v>13235.181513907162</v>
      </c>
    </row>
    <row r="3321" spans="15:47" ht="14.5" x14ac:dyDescent="0.35">
      <c r="O3321" s="8"/>
      <c r="P3321" s="6"/>
      <c r="Q3321" s="60"/>
      <c r="R3321" s="67"/>
      <c r="S3321" s="56"/>
      <c r="T3321" s="72"/>
      <c r="V3321" s="11"/>
      <c r="W3321" s="38"/>
      <c r="Y3321" s="11"/>
      <c r="Z3321" s="38"/>
      <c r="AB3321" s="11"/>
      <c r="AC3321" s="38"/>
      <c r="AE3321" s="11"/>
      <c r="AF3321" s="38"/>
      <c r="AH3321" s="11"/>
      <c r="AI3321" s="38"/>
      <c r="AK3321" s="11"/>
      <c r="AL3321" s="38"/>
      <c r="AN3321" s="11"/>
      <c r="AO3321" s="38"/>
      <c r="AQ3321" s="11"/>
      <c r="AR3321" s="38"/>
      <c r="AT3321" s="11"/>
      <c r="AU3321" s="38"/>
    </row>
    <row r="3322" spans="15:47" ht="14" x14ac:dyDescent="0.3">
      <c r="O3322" s="8" t="s">
        <v>235</v>
      </c>
      <c r="P3322" s="6"/>
      <c r="Q3322" s="60"/>
      <c r="R3322" s="53">
        <f>R3311*1.02</f>
        <v>298.22314357767544</v>
      </c>
      <c r="S3322" s="58" t="s">
        <v>238</v>
      </c>
      <c r="T3322" s="73" t="s">
        <v>241</v>
      </c>
      <c r="U3322" s="84">
        <f>U3311*1.01</f>
        <v>553.61986507002484</v>
      </c>
      <c r="V3322" s="58" t="s">
        <v>238</v>
      </c>
      <c r="W3322" s="73" t="s">
        <v>241</v>
      </c>
      <c r="X3322" s="84">
        <f>X3311*1.01</f>
        <v>1328.900785163167</v>
      </c>
      <c r="Y3322" s="58" t="s">
        <v>238</v>
      </c>
      <c r="Z3322" s="73" t="s">
        <v>241</v>
      </c>
      <c r="AA3322" s="84">
        <f>AA3311*1.01</f>
        <v>2537.3586252991308</v>
      </c>
      <c r="AB3322" s="58" t="s">
        <v>238</v>
      </c>
      <c r="AC3322" s="73" t="s">
        <v>241</v>
      </c>
      <c r="AD3322" s="84">
        <f>AD3311*1.01</f>
        <v>4173.0207385969989</v>
      </c>
      <c r="AE3322" s="58" t="s">
        <v>238</v>
      </c>
      <c r="AF3322" s="73" t="s">
        <v>241</v>
      </c>
      <c r="AG3322" s="84">
        <f>AG3311*1.01</f>
        <v>6213.0592372086021</v>
      </c>
      <c r="AH3322" s="58" t="s">
        <v>238</v>
      </c>
      <c r="AI3322" s="73" t="s">
        <v>241</v>
      </c>
      <c r="AJ3322" s="84">
        <f>AJ3311*1.01</f>
        <v>8291.3516373967414</v>
      </c>
      <c r="AK3322" s="58" t="s">
        <v>238</v>
      </c>
      <c r="AL3322" s="73" t="s">
        <v>241</v>
      </c>
      <c r="AM3322" s="84">
        <f>AM3311*1.01</f>
        <v>10117.024685657772</v>
      </c>
      <c r="AN3322" s="58" t="s">
        <v>238</v>
      </c>
      <c r="AO3322" s="73" t="s">
        <v>241</v>
      </c>
      <c r="AP3322" s="84">
        <f>AP3311*1.01</f>
        <v>11745.551580760593</v>
      </c>
      <c r="AQ3322" s="58" t="s">
        <v>238</v>
      </c>
      <c r="AR3322" s="73" t="s">
        <v>241</v>
      </c>
      <c r="AS3322" s="84">
        <f>AS3311*1.01</f>
        <v>13367.533329046235</v>
      </c>
      <c r="AT3322" s="58" t="s">
        <v>238</v>
      </c>
      <c r="AU3322" s="73" t="s">
        <v>241</v>
      </c>
    </row>
    <row r="3323" spans="15:47" ht="13" x14ac:dyDescent="0.25">
      <c r="O3323" s="6"/>
      <c r="P3323" s="6"/>
      <c r="Q3323" s="60"/>
      <c r="R3323" s="70"/>
      <c r="S3323" s="63" t="s">
        <v>250</v>
      </c>
      <c r="T3323" s="71" t="s">
        <v>242</v>
      </c>
      <c r="U3323" s="61"/>
      <c r="V3323" s="63" t="s">
        <v>250</v>
      </c>
      <c r="W3323" s="71" t="s">
        <v>242</v>
      </c>
      <c r="X3323" s="61"/>
      <c r="Y3323" s="63" t="s">
        <v>250</v>
      </c>
      <c r="Z3323" s="71" t="s">
        <v>242</v>
      </c>
      <c r="AA3323" s="61"/>
      <c r="AB3323" s="63" t="s">
        <v>250</v>
      </c>
      <c r="AC3323" s="71" t="s">
        <v>242</v>
      </c>
      <c r="AD3323" s="61"/>
      <c r="AE3323" s="63" t="s">
        <v>250</v>
      </c>
      <c r="AF3323" s="71" t="s">
        <v>242</v>
      </c>
      <c r="AG3323" s="61"/>
      <c r="AH3323" s="63" t="s">
        <v>250</v>
      </c>
      <c r="AI3323" s="71" t="s">
        <v>242</v>
      </c>
      <c r="AJ3323" s="61"/>
      <c r="AK3323" s="63" t="s">
        <v>250</v>
      </c>
      <c r="AL3323" s="71" t="s">
        <v>242</v>
      </c>
      <c r="AM3323" s="61"/>
      <c r="AN3323" s="63" t="s">
        <v>250</v>
      </c>
      <c r="AO3323" s="71" t="s">
        <v>242</v>
      </c>
      <c r="AP3323" s="61"/>
      <c r="AQ3323" s="63" t="s">
        <v>250</v>
      </c>
      <c r="AR3323" s="71" t="s">
        <v>242</v>
      </c>
      <c r="AS3323" s="61"/>
      <c r="AT3323" s="63" t="s">
        <v>250</v>
      </c>
      <c r="AU3323" s="71" t="s">
        <v>242</v>
      </c>
    </row>
    <row r="3324" spans="15:47" ht="13" x14ac:dyDescent="0.3">
      <c r="O3324" s="6" t="s">
        <v>231</v>
      </c>
      <c r="P3324" s="6"/>
      <c r="Q3324" s="60"/>
      <c r="R3324" s="85">
        <f>P_1_minQ-(R3322^2*R_up)+dpup_minQ</f>
        <v>53.912528086276566</v>
      </c>
      <c r="S3324" s="56"/>
      <c r="T3324" s="72"/>
      <c r="U3324" s="53">
        <f>P_1_minQ-(U3322^2*R_up)+dpup_minQ</f>
        <v>46.565080884831055</v>
      </c>
      <c r="V3324" s="44"/>
      <c r="W3324" s="72"/>
      <c r="X3324" s="53">
        <f>P_1_minQ-(X3322^2*R_up)+dpup_minQ</f>
        <v>-2.7251028979156375</v>
      </c>
      <c r="Y3324" s="44"/>
      <c r="Z3324" s="72"/>
      <c r="AA3324" s="53">
        <f>P_1_minQ-(AA3322^2*R_up)+dpup_minQ</f>
        <v>-160.51677789192487</v>
      </c>
      <c r="AB3324" s="44"/>
      <c r="AC3324" s="72"/>
      <c r="AD3324" s="53">
        <f>P_1_minQ-(AD3322^2*R_up)+dpup_minQ</f>
        <v>-531.1994287322068</v>
      </c>
      <c r="AE3324" s="44"/>
      <c r="AF3324" s="72"/>
      <c r="AG3324" s="53">
        <f>P_1_minQ-(AG3322^2*R_up)+dpup_minQ</f>
        <v>-1246.76859456478</v>
      </c>
      <c r="AH3324" s="44"/>
      <c r="AI3324" s="72"/>
      <c r="AJ3324" s="53">
        <f>P_1_minQ-(AJ3322^2*R_up)+dpup_minQ</f>
        <v>-2264.8167840243714</v>
      </c>
      <c r="AK3324" s="44"/>
      <c r="AL3324" s="72"/>
      <c r="AM3324" s="53">
        <f>P_1_minQ-(AM3322^2*R_up)+dpup_minQ</f>
        <v>-3399.8278112194785</v>
      </c>
      <c r="AN3324" s="44"/>
      <c r="AO3324" s="72"/>
      <c r="AP3324" s="53">
        <f>P_1_minQ-(AP3322^2*R_up)+dpup_minQ</f>
        <v>-4602.2524463460886</v>
      </c>
      <c r="AQ3324" s="44"/>
      <c r="AR3324" s="72"/>
      <c r="AS3324" s="53">
        <f>P_1_minQ-(AS3322^2*R_up)+dpup_minQ</f>
        <v>-5977.9013949058408</v>
      </c>
      <c r="AT3324" s="44"/>
      <c r="AU3324" s="72"/>
    </row>
    <row r="3325" spans="15:47" ht="13" x14ac:dyDescent="0.3">
      <c r="O3325" s="6" t="s">
        <v>233</v>
      </c>
      <c r="P3325" s="6"/>
      <c r="Q3325" s="60"/>
      <c r="R3325" s="85">
        <f>P_2_minQ+(R3322^2*R_dn)-dpdn_minQ</f>
        <v>25.257494382744689</v>
      </c>
      <c r="S3325" s="66"/>
      <c r="T3325" s="74"/>
      <c r="U3325" s="53">
        <f>P_2_minQ+(U3322^2*R_dn)-dpdn_minQ</f>
        <v>26.726983823033791</v>
      </c>
      <c r="V3325" s="45"/>
      <c r="W3325" s="74"/>
      <c r="X3325" s="53">
        <f>P_2_minQ+(X3322^2*R_dn)-dpdn_minQ</f>
        <v>36.58502057958313</v>
      </c>
      <c r="Y3325" s="45"/>
      <c r="Z3325" s="74"/>
      <c r="AA3325" s="53">
        <f>P_2_minQ+(AA3322^2*R_dn)-dpdn_minQ</f>
        <v>68.143355578384984</v>
      </c>
      <c r="AB3325" s="45"/>
      <c r="AC3325" s="74"/>
      <c r="AD3325" s="53">
        <f>P_2_minQ+(AD3322^2*R_dn)-dpdn_minQ</f>
        <v>142.27988574644135</v>
      </c>
      <c r="AE3325" s="45"/>
      <c r="AF3325" s="74"/>
      <c r="AG3325" s="53">
        <f>P_2_minQ+(AG3322^2*R_dn)-dpdn_minQ</f>
        <v>285.39371891295599</v>
      </c>
      <c r="AH3325" s="45"/>
      <c r="AI3325" s="74"/>
      <c r="AJ3325" s="53">
        <f>P_2_minQ+(AJ3322^2*R_dn)-dpdn_minQ</f>
        <v>489.00335680487416</v>
      </c>
      <c r="AK3325" s="45"/>
      <c r="AL3325" s="74"/>
      <c r="AM3325" s="53">
        <f>P_2_minQ+(AM3322^2*R_dn)-dpdn_minQ</f>
        <v>716.00556224389561</v>
      </c>
      <c r="AN3325" s="45"/>
      <c r="AO3325" s="74"/>
      <c r="AP3325" s="53">
        <f>P_2_minQ+(AP3322^2*R_dn)-dpdn_minQ</f>
        <v>956.49048926921762</v>
      </c>
      <c r="AQ3325" s="45"/>
      <c r="AR3325" s="74"/>
      <c r="AS3325" s="53">
        <f>P_2_minQ+(AS3322^2*R_dn)-dpdn_minQ</f>
        <v>1231.620278981168</v>
      </c>
      <c r="AT3325" s="45"/>
      <c r="AU3325" s="74"/>
    </row>
    <row r="3326" spans="15:47" x14ac:dyDescent="0.25">
      <c r="O3326" s="6" t="s">
        <v>243</v>
      </c>
      <c r="Q3326" s="60"/>
      <c r="R3326" s="53">
        <f>R3324-R3325</f>
        <v>28.655033703531878</v>
      </c>
      <c r="S3326" s="56"/>
      <c r="T3326" s="72"/>
      <c r="U3326" s="64">
        <f>U3324-U3325</f>
        <v>19.838097061797264</v>
      </c>
      <c r="V3326" s="44"/>
      <c r="W3326" s="72"/>
      <c r="X3326" s="64">
        <f>X3324-X3325</f>
        <v>-39.31012347749877</v>
      </c>
      <c r="Y3326" s="44"/>
      <c r="Z3326" s="72"/>
      <c r="AA3326" s="64">
        <f>AA3324-AA3325</f>
        <v>-228.66013347030986</v>
      </c>
      <c r="AB3326" s="44"/>
      <c r="AC3326" s="72"/>
      <c r="AD3326" s="64">
        <f>AD3324-AD3325</f>
        <v>-673.47931447864812</v>
      </c>
      <c r="AE3326" s="44"/>
      <c r="AF3326" s="72"/>
      <c r="AG3326" s="64">
        <f>AG3324-AG3325</f>
        <v>-1532.162313477736</v>
      </c>
      <c r="AH3326" s="44"/>
      <c r="AI3326" s="72"/>
      <c r="AJ3326" s="64">
        <f>AJ3324-AJ3325</f>
        <v>-2753.8201408292457</v>
      </c>
      <c r="AK3326" s="44"/>
      <c r="AL3326" s="72"/>
      <c r="AM3326" s="64">
        <f>AM3324-AM3325</f>
        <v>-4115.8333734633743</v>
      </c>
      <c r="AN3326" s="44"/>
      <c r="AO3326" s="72"/>
      <c r="AP3326" s="64">
        <f>AP3324-AP3325</f>
        <v>-5558.7429356153061</v>
      </c>
      <c r="AQ3326" s="44"/>
      <c r="AR3326" s="72"/>
      <c r="AS3326" s="64">
        <f>AS3324-AS3325</f>
        <v>-7209.5216738870085</v>
      </c>
      <c r="AT3326" s="44"/>
      <c r="AU3326" s="72"/>
    </row>
    <row r="3327" spans="15:47" ht="13" x14ac:dyDescent="0.3">
      <c r="O3327" s="6" t="s">
        <v>75</v>
      </c>
      <c r="P3327" s="6">
        <v>3</v>
      </c>
      <c r="Q3327" s="65"/>
      <c r="R3327" s="85">
        <f>(F_LP_h/F_P_h)^2*(R3324-('Valve Sizing'!$V$4*'Valve Sizing'!$G$7))</f>
        <v>44.27801227223182</v>
      </c>
      <c r="S3327" s="58"/>
      <c r="T3327" s="73"/>
      <c r="U3327" s="53">
        <f>(U$29/U$27)^2*(U3324-('Valve Sizing'!$V$4*'Valve Sizing'!$G$7))</f>
        <v>38.183530232088799</v>
      </c>
      <c r="V3327" s="41"/>
      <c r="W3327" s="73"/>
      <c r="X3327" s="53">
        <f>(X$29/X$27)^2*(X3324-('Valve Sizing'!$V$4*'Valve Sizing'!$G$7))</f>
        <v>-2.5611009561321794</v>
      </c>
      <c r="Y3327" s="41"/>
      <c r="Z3327" s="73"/>
      <c r="AA3327" s="53">
        <f>(AA$29/AA$27)^2*(AA3324-('Valve Sizing'!$V$4*'Valve Sizing'!$G$7))</f>
        <v>-124.38699527927821</v>
      </c>
      <c r="AB3327" s="41"/>
      <c r="AC3327" s="73"/>
      <c r="AD3327" s="53">
        <f>(AD$29/AD$27)^2*(AD3324-('Valve Sizing'!$V$4*'Valve Sizing'!$G$7))</f>
        <v>-383.41170274987303</v>
      </c>
      <c r="AE3327" s="41"/>
      <c r="AF3327" s="73"/>
      <c r="AG3327" s="53">
        <f>(AG$29/AG$27)^2*(AG3324-('Valve Sizing'!$V$4*'Valve Sizing'!$G$7))</f>
        <v>-803.25718833436713</v>
      </c>
      <c r="AH3327" s="41"/>
      <c r="AI3327" s="73"/>
      <c r="AJ3327" s="53">
        <f>(AJ$29/AJ$27)^2*(AJ3324-('Valve Sizing'!$V$4*'Valve Sizing'!$G$7))</f>
        <v>-1310.1437675891341</v>
      </c>
      <c r="AK3327" s="41"/>
      <c r="AL3327" s="73"/>
      <c r="AM3327" s="53">
        <f>(AM$29/AM$27)^2*(AM3324-('Valve Sizing'!$V$4*'Valve Sizing'!$G$7))</f>
        <v>-1626.9334754381473</v>
      </c>
      <c r="AN3327" s="41"/>
      <c r="AO3327" s="73"/>
      <c r="AP3327" s="53">
        <f>(AP$29/AP$27)^2*(AP3324-('Valve Sizing'!$V$4*'Valve Sizing'!$G$7))</f>
        <v>-1816.345940165746</v>
      </c>
      <c r="AQ3327" s="41"/>
      <c r="AR3327" s="73"/>
      <c r="AS3327" s="53">
        <f>(AS$29/AS$27)^2*(AS3324-('Valve Sizing'!$V$4*'Valve Sizing'!$G$7))</f>
        <v>-2248.6981013952668</v>
      </c>
      <c r="AT3327" s="41"/>
      <c r="AU3327" s="73"/>
    </row>
    <row r="3328" spans="15:47" ht="13" x14ac:dyDescent="0.25">
      <c r="O3328" s="1" t="s">
        <v>69</v>
      </c>
      <c r="P3328" s="17">
        <v>7</v>
      </c>
      <c r="Q3328" s="65"/>
      <c r="R3328" s="53">
        <f>(R3322/(N_1*F_P_h))*SQRT('Valve Sizing'!$G$6/R3326)</f>
        <v>55.719140767280123</v>
      </c>
      <c r="S3328" s="58"/>
      <c r="T3328" s="73"/>
      <c r="U3328" s="64">
        <f>(U3322/(N_1*U$27))*SQRT('Valve Sizing'!$G$6/U3326)</f>
        <v>124.40199073469857</v>
      </c>
      <c r="V3328" s="41"/>
      <c r="W3328" s="73"/>
      <c r="X3328" s="64" t="e">
        <f>(X3322/(N_1*X$27))*SQRT('Valve Sizing'!$G$6/X3326)</f>
        <v>#NUM!</v>
      </c>
      <c r="Y3328" s="41"/>
      <c r="Z3328" s="73"/>
      <c r="AA3328" s="64" t="e">
        <f>(AA3322/(N_1*AA$27))*SQRT('Valve Sizing'!$G$6/AA3326)</f>
        <v>#NUM!</v>
      </c>
      <c r="AB3328" s="41"/>
      <c r="AC3328" s="73"/>
      <c r="AD3328" s="64" t="e">
        <f>(AD3322/(N_1*AD$27))*SQRT('Valve Sizing'!$G$6/AD3326)</f>
        <v>#NUM!</v>
      </c>
      <c r="AE3328" s="41"/>
      <c r="AF3328" s="73"/>
      <c r="AG3328" s="64" t="e">
        <f>(AG3322/(N_1*AG$27))*SQRT('Valve Sizing'!$G$6/AG3326)</f>
        <v>#NUM!</v>
      </c>
      <c r="AH3328" s="41"/>
      <c r="AI3328" s="73"/>
      <c r="AJ3328" s="64" t="e">
        <f>(AJ3322/(N_1*AJ$27))*SQRT('Valve Sizing'!$G$6/AJ3326)</f>
        <v>#NUM!</v>
      </c>
      <c r="AK3328" s="41"/>
      <c r="AL3328" s="73"/>
      <c r="AM3328" s="64" t="e">
        <f>(AM3322/(N_1*AM$27))*SQRT('Valve Sizing'!$G$6/AM3326)</f>
        <v>#NUM!</v>
      </c>
      <c r="AN3328" s="41"/>
      <c r="AO3328" s="73"/>
      <c r="AP3328" s="64" t="e">
        <f>(AP3322/(N_1*AP$27))*SQRT('Valve Sizing'!$G$6/AP3326)</f>
        <v>#NUM!</v>
      </c>
      <c r="AQ3328" s="41"/>
      <c r="AR3328" s="73"/>
      <c r="AS3328" s="64" t="e">
        <f>(AS3322/(N_1*AS$27))*SQRT('Valve Sizing'!$G$6/AS3326)</f>
        <v>#NUM!</v>
      </c>
      <c r="AT3328" s="41"/>
      <c r="AU3328" s="73"/>
    </row>
    <row r="3329" spans="15:47" ht="13" x14ac:dyDescent="0.3">
      <c r="O3329" s="1" t="s">
        <v>72</v>
      </c>
      <c r="P3329" s="17">
        <v>7</v>
      </c>
      <c r="Q3329" s="65"/>
      <c r="R3329" s="53">
        <f>(R3322/(N_1*F_P_h))*SQRT('Valve Sizing'!$G$6/R3327)</f>
        <v>44.824021141071007</v>
      </c>
      <c r="S3329" s="56"/>
      <c r="T3329" s="72"/>
      <c r="U3329" s="85">
        <f>(U3322/(N_1*U$27))*SQRT('Valve Sizing'!$G$6/U3327)</f>
        <v>89.668374385255021</v>
      </c>
      <c r="V3329" s="44"/>
      <c r="W3329" s="72"/>
      <c r="X3329" s="85" t="e">
        <f>(X3322/(N_1*X$27))*SQRT('Valve Sizing'!$G$6/X3327)</f>
        <v>#NUM!</v>
      </c>
      <c r="Y3329" s="44"/>
      <c r="Z3329" s="72"/>
      <c r="AA3329" s="85" t="e">
        <f>(AA3322/(N_1*AA$27))*SQRT('Valve Sizing'!$G$6/AA3327)</f>
        <v>#NUM!</v>
      </c>
      <c r="AB3329" s="44"/>
      <c r="AC3329" s="72"/>
      <c r="AD3329" s="85" t="e">
        <f>(AD3322/(N_1*AD$27))*SQRT('Valve Sizing'!$G$6/AD3327)</f>
        <v>#NUM!</v>
      </c>
      <c r="AE3329" s="44"/>
      <c r="AF3329" s="72"/>
      <c r="AG3329" s="85" t="e">
        <f>(AG3322/(N_1*AG$27))*SQRT('Valve Sizing'!$G$6/AG3327)</f>
        <v>#NUM!</v>
      </c>
      <c r="AH3329" s="44"/>
      <c r="AI3329" s="72"/>
      <c r="AJ3329" s="85" t="e">
        <f>(AJ3322/(N_1*AJ$27))*SQRT('Valve Sizing'!$G$6/AJ3327)</f>
        <v>#NUM!</v>
      </c>
      <c r="AK3329" s="44"/>
      <c r="AL3329" s="72"/>
      <c r="AM3329" s="85" t="e">
        <f>(AM3322/(N_1*AM$27))*SQRT('Valve Sizing'!$G$6/AM3327)</f>
        <v>#NUM!</v>
      </c>
      <c r="AN3329" s="44"/>
      <c r="AO3329" s="72"/>
      <c r="AP3329" s="85" t="e">
        <f>(AP3322/(N_1*AP$27))*SQRT('Valve Sizing'!$G$6/AP3327)</f>
        <v>#NUM!</v>
      </c>
      <c r="AQ3329" s="44"/>
      <c r="AR3329" s="72"/>
      <c r="AS3329" s="85" t="e">
        <f>(AS3322/(N_1*AS$27))*SQRT('Valve Sizing'!$G$6/AS3327)</f>
        <v>#NUM!</v>
      </c>
      <c r="AT3329" s="44"/>
      <c r="AU3329" s="72"/>
    </row>
    <row r="3330" spans="15:47" x14ac:dyDescent="0.25">
      <c r="O3330" s="1" t="s">
        <v>246</v>
      </c>
      <c r="P3330" s="18"/>
      <c r="Q3330" s="65"/>
      <c r="R3330" s="53">
        <f>IF(R3326&lt;R3327,R3328,R3329)</f>
        <v>55.719140767280123</v>
      </c>
      <c r="S3330" s="49"/>
      <c r="T3330" s="72"/>
      <c r="U3330" s="64">
        <f>IF(U3326&lt;U3327,U3328,U3329)</f>
        <v>124.40199073469857</v>
      </c>
      <c r="V3330" s="44"/>
      <c r="W3330" s="72"/>
      <c r="X3330" s="64" t="e">
        <f>IF(X3326&lt;X3327,X3328,X3329)</f>
        <v>#NUM!</v>
      </c>
      <c r="Y3330" s="44"/>
      <c r="Z3330" s="72"/>
      <c r="AA3330" s="64" t="e">
        <f>IF(AA3326&lt;AA3327,AA3328,AA3329)</f>
        <v>#NUM!</v>
      </c>
      <c r="AB3330" s="44"/>
      <c r="AC3330" s="72"/>
      <c r="AD3330" s="64" t="e">
        <f>IF(AD3326&lt;AD3327,AD3328,AD3329)</f>
        <v>#NUM!</v>
      </c>
      <c r="AE3330" s="44"/>
      <c r="AF3330" s="72"/>
      <c r="AG3330" s="64" t="e">
        <f>IF(AG3326&lt;AG3327,AG3328,AG3329)</f>
        <v>#NUM!</v>
      </c>
      <c r="AH3330" s="44"/>
      <c r="AI3330" s="72"/>
      <c r="AJ3330" s="64" t="e">
        <f>IF(AJ3326&lt;AJ3327,AJ3328,AJ3329)</f>
        <v>#NUM!</v>
      </c>
      <c r="AK3330" s="44"/>
      <c r="AL3330" s="72"/>
      <c r="AM3330" s="64" t="e">
        <f>IF(AM3326&lt;AM3327,AM3328,AM3329)</f>
        <v>#NUM!</v>
      </c>
      <c r="AN3330" s="44"/>
      <c r="AO3330" s="72"/>
      <c r="AP3330" s="64" t="e">
        <f>IF(AP3326&lt;AP3327,AP3328,AP3329)</f>
        <v>#NUM!</v>
      </c>
      <c r="AQ3330" s="44"/>
      <c r="AR3330" s="72"/>
      <c r="AS3330" s="64" t="e">
        <f>IF(AS3326&lt;AS3327,AS3328,AS3329)</f>
        <v>#NUM!</v>
      </c>
      <c r="AT3330" s="44"/>
      <c r="AU3330" s="72"/>
    </row>
    <row r="3331" spans="15:47" ht="13" x14ac:dyDescent="0.3">
      <c r="O3331" s="7" t="s">
        <v>264</v>
      </c>
      <c r="Q3331" s="61"/>
      <c r="R3331" s="53"/>
      <c r="S3331" s="69">
        <f>IFERROR(ABS(C_h-R3330),Q_max*10)</f>
        <v>50.719140767280123</v>
      </c>
      <c r="T3331" s="76">
        <f>R3322</f>
        <v>298.22314357767544</v>
      </c>
      <c r="U3331" s="61"/>
      <c r="V3331" s="69">
        <f>IFERROR(ABS(U$23-U3330),Q_max*10)</f>
        <v>112.40199073469857</v>
      </c>
      <c r="W3331" s="75">
        <f>U3322</f>
        <v>553.61986507002484</v>
      </c>
      <c r="X3331" s="61"/>
      <c r="Y3331" s="69">
        <f>IFERROR(ABS(X$23-X3330),Q_max*10)</f>
        <v>5500</v>
      </c>
      <c r="Z3331" s="75">
        <f>X3322</f>
        <v>1328.900785163167</v>
      </c>
      <c r="AA3331" s="61"/>
      <c r="AB3331" s="69">
        <f>IFERROR(ABS(AA$23-AA3330),Q_max*10)</f>
        <v>5500</v>
      </c>
      <c r="AC3331" s="75">
        <f>AA3322</f>
        <v>2537.3586252991308</v>
      </c>
      <c r="AD3331" s="61"/>
      <c r="AE3331" s="69">
        <f>IFERROR(ABS(AD$23-AD3330),Q_max*10)</f>
        <v>5500</v>
      </c>
      <c r="AF3331" s="75">
        <f>AD3322</f>
        <v>4173.0207385969989</v>
      </c>
      <c r="AG3331" s="61"/>
      <c r="AH3331" s="69">
        <f>IFERROR(ABS(AG$23-AG3330),Q_max*10)</f>
        <v>5500</v>
      </c>
      <c r="AI3331" s="75">
        <f>AG3322</f>
        <v>6213.0592372086021</v>
      </c>
      <c r="AJ3331" s="61"/>
      <c r="AK3331" s="69">
        <f>IFERROR(ABS(AJ$23-AJ3330),Q_max*10)</f>
        <v>5500</v>
      </c>
      <c r="AL3331" s="75">
        <f>AJ3322</f>
        <v>8291.3516373967414</v>
      </c>
      <c r="AM3331" s="61"/>
      <c r="AN3331" s="69">
        <f>IFERROR(ABS(AM$23-AM3330),Q_max*10)</f>
        <v>5500</v>
      </c>
      <c r="AO3331" s="75">
        <f>AM3322</f>
        <v>10117.024685657772</v>
      </c>
      <c r="AP3331" s="61"/>
      <c r="AQ3331" s="69">
        <f>IFERROR(ABS(AP$23-AP3330),Q_max*10)</f>
        <v>5500</v>
      </c>
      <c r="AR3331" s="75">
        <f>AP3322</f>
        <v>11745.551580760593</v>
      </c>
      <c r="AS3331" s="61"/>
      <c r="AT3331" s="69">
        <f>IFERROR(ABS(AS$23-AS3330),Q_max*10)</f>
        <v>5500</v>
      </c>
      <c r="AU3331" s="75">
        <f>AS3322</f>
        <v>13367.533329046235</v>
      </c>
    </row>
    <row r="3332" spans="15:47" ht="14.5" x14ac:dyDescent="0.35">
      <c r="O3332" s="6"/>
      <c r="P3332" s="6"/>
      <c r="Q3332" s="60"/>
      <c r="R3332" s="67"/>
      <c r="S3332" s="66"/>
      <c r="T3332" s="74"/>
      <c r="V3332" s="11"/>
      <c r="W3332" s="38"/>
      <c r="Y3332" s="11"/>
      <c r="Z3332" s="38"/>
      <c r="AB3332" s="11"/>
      <c r="AC3332" s="38"/>
      <c r="AE3332" s="11"/>
      <c r="AF3332" s="38"/>
      <c r="AH3332" s="11"/>
      <c r="AI3332" s="38"/>
      <c r="AK3332" s="11"/>
      <c r="AL3332" s="38"/>
      <c r="AN3332" s="11"/>
      <c r="AO3332" s="38"/>
      <c r="AQ3332" s="11"/>
      <c r="AR3332" s="38"/>
      <c r="AT3332" s="11"/>
      <c r="AU3332" s="38"/>
    </row>
    <row r="3333" spans="15:47" ht="14" x14ac:dyDescent="0.3">
      <c r="O3333" s="8" t="s">
        <v>235</v>
      </c>
      <c r="P3333" s="6"/>
      <c r="Q3333" s="60"/>
      <c r="R3333" s="53">
        <f>R3322*1.02</f>
        <v>304.18760644922895</v>
      </c>
      <c r="S3333" s="58" t="s">
        <v>238</v>
      </c>
      <c r="T3333" s="73" t="s">
        <v>241</v>
      </c>
      <c r="U3333" s="84">
        <f>U3322*1.01</f>
        <v>559.15606372072511</v>
      </c>
      <c r="V3333" s="58" t="s">
        <v>238</v>
      </c>
      <c r="W3333" s="73" t="s">
        <v>241</v>
      </c>
      <c r="X3333" s="84">
        <f>X3322*1.01</f>
        <v>1342.1897930147986</v>
      </c>
      <c r="Y3333" s="58" t="s">
        <v>238</v>
      </c>
      <c r="Z3333" s="73" t="s">
        <v>241</v>
      </c>
      <c r="AA3333" s="84">
        <f>AA3322*1.01</f>
        <v>2562.732211552122</v>
      </c>
      <c r="AB3333" s="58" t="s">
        <v>238</v>
      </c>
      <c r="AC3333" s="73" t="s">
        <v>241</v>
      </c>
      <c r="AD3333" s="84">
        <f>AD3322*1.01</f>
        <v>4214.7509459829689</v>
      </c>
      <c r="AE3333" s="58" t="s">
        <v>238</v>
      </c>
      <c r="AF3333" s="73" t="s">
        <v>241</v>
      </c>
      <c r="AG3333" s="84">
        <f>AG3322*1.01</f>
        <v>6275.1898295806877</v>
      </c>
      <c r="AH3333" s="58" t="s">
        <v>238</v>
      </c>
      <c r="AI3333" s="73" t="s">
        <v>241</v>
      </c>
      <c r="AJ3333" s="84">
        <f>AJ3322*1.01</f>
        <v>8374.2651537707097</v>
      </c>
      <c r="AK3333" s="58" t="s">
        <v>238</v>
      </c>
      <c r="AL3333" s="73" t="s">
        <v>241</v>
      </c>
      <c r="AM3333" s="84">
        <f>AM3322*1.01</f>
        <v>10218.194932514351</v>
      </c>
      <c r="AN3333" s="58" t="s">
        <v>238</v>
      </c>
      <c r="AO3333" s="73" t="s">
        <v>241</v>
      </c>
      <c r="AP3333" s="84">
        <f>AP3322*1.01</f>
        <v>11863.007096568199</v>
      </c>
      <c r="AQ3333" s="58" t="s">
        <v>238</v>
      </c>
      <c r="AR3333" s="73" t="s">
        <v>241</v>
      </c>
      <c r="AS3333" s="84">
        <f>AS3322*1.01</f>
        <v>13501.208662336698</v>
      </c>
      <c r="AT3333" s="58" t="s">
        <v>238</v>
      </c>
      <c r="AU3333" s="73" t="s">
        <v>241</v>
      </c>
    </row>
    <row r="3334" spans="15:47" ht="13" x14ac:dyDescent="0.25">
      <c r="O3334" s="6"/>
      <c r="P3334" s="6"/>
      <c r="Q3334" s="60"/>
      <c r="R3334" s="70"/>
      <c r="S3334" s="63" t="s">
        <v>250</v>
      </c>
      <c r="T3334" s="71" t="s">
        <v>242</v>
      </c>
      <c r="U3334" s="61"/>
      <c r="V3334" s="63" t="s">
        <v>250</v>
      </c>
      <c r="W3334" s="71" t="s">
        <v>242</v>
      </c>
      <c r="X3334" s="61"/>
      <c r="Y3334" s="63" t="s">
        <v>250</v>
      </c>
      <c r="Z3334" s="71" t="s">
        <v>242</v>
      </c>
      <c r="AA3334" s="61"/>
      <c r="AB3334" s="63" t="s">
        <v>250</v>
      </c>
      <c r="AC3334" s="71" t="s">
        <v>242</v>
      </c>
      <c r="AD3334" s="61"/>
      <c r="AE3334" s="63" t="s">
        <v>250</v>
      </c>
      <c r="AF3334" s="71" t="s">
        <v>242</v>
      </c>
      <c r="AG3334" s="61"/>
      <c r="AH3334" s="63" t="s">
        <v>250</v>
      </c>
      <c r="AI3334" s="71" t="s">
        <v>242</v>
      </c>
      <c r="AJ3334" s="61"/>
      <c r="AK3334" s="63" t="s">
        <v>250</v>
      </c>
      <c r="AL3334" s="71" t="s">
        <v>242</v>
      </c>
      <c r="AM3334" s="61"/>
      <c r="AN3334" s="63" t="s">
        <v>250</v>
      </c>
      <c r="AO3334" s="71" t="s">
        <v>242</v>
      </c>
      <c r="AP3334" s="61"/>
      <c r="AQ3334" s="63" t="s">
        <v>250</v>
      </c>
      <c r="AR3334" s="71" t="s">
        <v>242</v>
      </c>
      <c r="AS3334" s="61"/>
      <c r="AT3334" s="63" t="s">
        <v>250</v>
      </c>
      <c r="AU3334" s="71" t="s">
        <v>242</v>
      </c>
    </row>
    <row r="3335" spans="15:47" ht="13" x14ac:dyDescent="0.3">
      <c r="O3335" s="6" t="s">
        <v>231</v>
      </c>
      <c r="P3335" s="6"/>
      <c r="Q3335" s="60"/>
      <c r="R3335" s="85">
        <f>P_1_minQ-(R3333^2*R_up)+dpup_minQ</f>
        <v>53.791182035889534</v>
      </c>
      <c r="S3335" s="56"/>
      <c r="T3335" s="72"/>
      <c r="U3335" s="53">
        <f>P_1_minQ-(U3333^2*R_up)+dpup_minQ</f>
        <v>46.357024532399336</v>
      </c>
      <c r="V3335" s="44"/>
      <c r="W3335" s="72"/>
      <c r="X3335" s="53">
        <f>P_1_minQ-(X3333^2*R_up)+dpup_minQ</f>
        <v>-3.9238919443805544</v>
      </c>
      <c r="Y3335" s="44"/>
      <c r="Z3335" s="72"/>
      <c r="AA3335" s="53">
        <f>P_1_minQ-(AA3333^2*R_up)+dpup_minQ</f>
        <v>-164.88717960576932</v>
      </c>
      <c r="AB3335" s="44"/>
      <c r="AC3335" s="72"/>
      <c r="AD3335" s="53">
        <f>P_1_minQ-(AD3333^2*R_up)+dpup_minQ</f>
        <v>-543.02055172794098</v>
      </c>
      <c r="AE3335" s="44"/>
      <c r="AF3335" s="72"/>
      <c r="AG3335" s="53">
        <f>P_1_minQ-(AG3333^2*R_up)+dpup_minQ</f>
        <v>-1272.9726577937488</v>
      </c>
      <c r="AH3335" s="44"/>
      <c r="AI3335" s="72"/>
      <c r="AJ3335" s="53">
        <f>P_1_minQ-(AJ3333^2*R_up)+dpup_minQ</f>
        <v>-2311.4836158614785</v>
      </c>
      <c r="AK3335" s="44"/>
      <c r="AL3335" s="72"/>
      <c r="AM3335" s="53">
        <f>P_1_minQ-(AM3333^2*R_up)+dpup_minQ</f>
        <v>-3469.3083647032067</v>
      </c>
      <c r="AN3335" s="44"/>
      <c r="AO3335" s="72"/>
      <c r="AP3335" s="53">
        <f>P_1_minQ-(AP3333^2*R_up)+dpup_minQ</f>
        <v>-4695.9017349958622</v>
      </c>
      <c r="AQ3335" s="44"/>
      <c r="AR3335" s="72"/>
      <c r="AS3335" s="53">
        <f>P_1_minQ-(AS3333^2*R_up)+dpup_minQ</f>
        <v>-6099.2012274216659</v>
      </c>
      <c r="AT3335" s="44"/>
      <c r="AU3335" s="72"/>
    </row>
    <row r="3336" spans="15:47" ht="13" x14ac:dyDescent="0.3">
      <c r="O3336" s="6" t="s">
        <v>233</v>
      </c>
      <c r="P3336" s="6"/>
      <c r="Q3336" s="60"/>
      <c r="R3336" s="85">
        <f>P_2_minQ+(R3333^2*R_dn)-dpdn_minQ</f>
        <v>25.281763592822095</v>
      </c>
      <c r="S3336" s="66"/>
      <c r="T3336" s="74"/>
      <c r="U3336" s="53">
        <f>P_2_minQ+(U3333^2*R_dn)-dpdn_minQ</f>
        <v>26.768595093520133</v>
      </c>
      <c r="V3336" s="45"/>
      <c r="W3336" s="74"/>
      <c r="X3336" s="53">
        <f>P_2_minQ+(X3333^2*R_dn)-dpdn_minQ</f>
        <v>36.824778388876112</v>
      </c>
      <c r="Y3336" s="45"/>
      <c r="Z3336" s="74"/>
      <c r="AA3336" s="53">
        <f>P_2_minQ+(AA3333^2*R_dn)-dpdn_minQ</f>
        <v>69.017435921153861</v>
      </c>
      <c r="AB3336" s="45"/>
      <c r="AC3336" s="74"/>
      <c r="AD3336" s="53">
        <f>P_2_minQ+(AD3333^2*R_dn)-dpdn_minQ</f>
        <v>144.64411034558819</v>
      </c>
      <c r="AE3336" s="45"/>
      <c r="AF3336" s="74"/>
      <c r="AG3336" s="53">
        <f>P_2_minQ+(AG3333^2*R_dn)-dpdn_minQ</f>
        <v>290.6345315587497</v>
      </c>
      <c r="AH3336" s="45"/>
      <c r="AI3336" s="74"/>
      <c r="AJ3336" s="53">
        <f>P_2_minQ+(AJ3333^2*R_dn)-dpdn_minQ</f>
        <v>498.33672317229559</v>
      </c>
      <c r="AK3336" s="45"/>
      <c r="AL3336" s="74"/>
      <c r="AM3336" s="53">
        <f>P_2_minQ+(AM3333^2*R_dn)-dpdn_minQ</f>
        <v>729.90167294064133</v>
      </c>
      <c r="AN3336" s="45"/>
      <c r="AO3336" s="74"/>
      <c r="AP3336" s="53">
        <f>P_2_minQ+(AP3333^2*R_dn)-dpdn_minQ</f>
        <v>975.22034699917219</v>
      </c>
      <c r="AQ3336" s="45"/>
      <c r="AR3336" s="74"/>
      <c r="AS3336" s="53">
        <f>P_2_minQ+(AS3333^2*R_dn)-dpdn_minQ</f>
        <v>1255.880245484333</v>
      </c>
      <c r="AT3336" s="45"/>
      <c r="AU3336" s="74"/>
    </row>
    <row r="3337" spans="15:47" x14ac:dyDescent="0.25">
      <c r="O3337" s="6" t="s">
        <v>243</v>
      </c>
      <c r="Q3337" s="60"/>
      <c r="R3337" s="53">
        <f>R3335-R3336</f>
        <v>28.509418443067439</v>
      </c>
      <c r="S3337" s="56"/>
      <c r="T3337" s="72"/>
      <c r="U3337" s="64">
        <f>U3335-U3336</f>
        <v>19.588429438879203</v>
      </c>
      <c r="V3337" s="44"/>
      <c r="W3337" s="72"/>
      <c r="X3337" s="64">
        <f>X3335-X3336</f>
        <v>-40.748670333256669</v>
      </c>
      <c r="Y3337" s="44"/>
      <c r="Z3337" s="72"/>
      <c r="AA3337" s="64">
        <f>AA3335-AA3336</f>
        <v>-233.90461552692318</v>
      </c>
      <c r="AB3337" s="44"/>
      <c r="AC3337" s="72"/>
      <c r="AD3337" s="64">
        <f>AD3335-AD3336</f>
        <v>-687.66466207352914</v>
      </c>
      <c r="AE3337" s="44"/>
      <c r="AF3337" s="72"/>
      <c r="AG3337" s="64">
        <f>AG3335-AG3336</f>
        <v>-1563.6071893524986</v>
      </c>
      <c r="AH3337" s="44"/>
      <c r="AI3337" s="72"/>
      <c r="AJ3337" s="64">
        <f>AJ3335-AJ3336</f>
        <v>-2809.820339033774</v>
      </c>
      <c r="AK3337" s="44"/>
      <c r="AL3337" s="72"/>
      <c r="AM3337" s="64">
        <f>AM3335-AM3336</f>
        <v>-4199.2100376438484</v>
      </c>
      <c r="AN3337" s="44"/>
      <c r="AO3337" s="72"/>
      <c r="AP3337" s="64">
        <f>AP3335-AP3336</f>
        <v>-5671.122081995034</v>
      </c>
      <c r="AQ3337" s="44"/>
      <c r="AR3337" s="72"/>
      <c r="AS3337" s="64">
        <f>AS3335-AS3336</f>
        <v>-7355.0814729059985</v>
      </c>
      <c r="AT3337" s="44"/>
      <c r="AU3337" s="72"/>
    </row>
    <row r="3338" spans="15:47" ht="13" x14ac:dyDescent="0.3">
      <c r="O3338" s="6" t="s">
        <v>75</v>
      </c>
      <c r="P3338" s="6">
        <v>3</v>
      </c>
      <c r="Q3338" s="65"/>
      <c r="R3338" s="85">
        <f>(F_LP_h/F_P_h)^2*(R3335-('Valve Sizing'!$V$4*'Valve Sizing'!$G$7))</f>
        <v>44.17753137306461</v>
      </c>
      <c r="S3338" s="58"/>
      <c r="T3338" s="73"/>
      <c r="U3338" s="53">
        <f>(U$29/U$27)^2*(U3335-('Valve Sizing'!$V$4*'Valve Sizing'!$G$7))</f>
        <v>38.011295608251885</v>
      </c>
      <c r="V3338" s="41"/>
      <c r="W3338" s="73"/>
      <c r="X3338" s="53">
        <f>(X$29/X$27)^2*(X3335-('Valve Sizing'!$V$4*'Valve Sizing'!$G$7))</f>
        <v>-3.5311053866286941</v>
      </c>
      <c r="Y3338" s="41"/>
      <c r="Z3338" s="73"/>
      <c r="AA3338" s="53">
        <f>(AA$29/AA$27)^2*(AA3335-('Valve Sizing'!$V$4*'Valve Sizing'!$G$7))</f>
        <v>-127.76442957993508</v>
      </c>
      <c r="AB3338" s="41"/>
      <c r="AC3338" s="73"/>
      <c r="AD3338" s="53">
        <f>(AD$29/AD$27)^2*(AD3335-('Valve Sizing'!$V$4*'Valve Sizing'!$G$7))</f>
        <v>-391.93694779307151</v>
      </c>
      <c r="AE3338" s="41"/>
      <c r="AF3338" s="73"/>
      <c r="AG3338" s="53">
        <f>(AG$29/AG$27)^2*(AG3335-('Valve Sizing'!$V$4*'Valve Sizing'!$G$7))</f>
        <v>-820.13375675340399</v>
      </c>
      <c r="AH3338" s="41"/>
      <c r="AI3338" s="73"/>
      <c r="AJ3338" s="53">
        <f>(AJ$29/AJ$27)^2*(AJ3335-('Valve Sizing'!$V$4*'Valve Sizing'!$G$7))</f>
        <v>-1337.1341987663832</v>
      </c>
      <c r="AK3338" s="41"/>
      <c r="AL3338" s="73"/>
      <c r="AM3338" s="53">
        <f>(AM$29/AM$27)^2*(AM3335-('Valve Sizing'!$V$4*'Valve Sizing'!$G$7))</f>
        <v>-1660.1779851983742</v>
      </c>
      <c r="AN3338" s="41"/>
      <c r="AO3338" s="73"/>
      <c r="AP3338" s="53">
        <f>(AP$29/AP$27)^2*(AP3335-('Valve Sizing'!$V$4*'Valve Sizing'!$G$7))</f>
        <v>-1853.3024618299771</v>
      </c>
      <c r="AQ3338" s="41"/>
      <c r="AR3338" s="73"/>
      <c r="AS3338" s="53">
        <f>(AS$29/AS$27)^2*(AS3335-('Valve Sizing'!$V$4*'Valve Sizing'!$G$7))</f>
        <v>-2294.3239167224297</v>
      </c>
      <c r="AT3338" s="41"/>
      <c r="AU3338" s="73"/>
    </row>
    <row r="3339" spans="15:47" ht="13" x14ac:dyDescent="0.25">
      <c r="O3339" s="1" t="s">
        <v>69</v>
      </c>
      <c r="P3339" s="17">
        <v>7</v>
      </c>
      <c r="Q3339" s="65"/>
      <c r="R3339" s="53">
        <f>(R3333/(N_1*F_P_h))*SQRT('Valve Sizing'!$G$6/R3337)</f>
        <v>56.978480727437926</v>
      </c>
      <c r="S3339" s="58"/>
      <c r="T3339" s="73"/>
      <c r="U3339" s="64">
        <f>(U3333/(N_1*U$27))*SQRT('Valve Sizing'!$G$6/U3337)</f>
        <v>126.44419652536834</v>
      </c>
      <c r="V3339" s="41"/>
      <c r="W3339" s="73"/>
      <c r="X3339" s="64" t="e">
        <f>(X3333/(N_1*X$27))*SQRT('Valve Sizing'!$G$6/X3337)</f>
        <v>#NUM!</v>
      </c>
      <c r="Y3339" s="41"/>
      <c r="Z3339" s="73"/>
      <c r="AA3339" s="64" t="e">
        <f>(AA3333/(N_1*AA$27))*SQRT('Valve Sizing'!$G$6/AA3337)</f>
        <v>#NUM!</v>
      </c>
      <c r="AB3339" s="41"/>
      <c r="AC3339" s="73"/>
      <c r="AD3339" s="64" t="e">
        <f>(AD3333/(N_1*AD$27))*SQRT('Valve Sizing'!$G$6/AD3337)</f>
        <v>#NUM!</v>
      </c>
      <c r="AE3339" s="41"/>
      <c r="AF3339" s="73"/>
      <c r="AG3339" s="64" t="e">
        <f>(AG3333/(N_1*AG$27))*SQRT('Valve Sizing'!$G$6/AG3337)</f>
        <v>#NUM!</v>
      </c>
      <c r="AH3339" s="41"/>
      <c r="AI3339" s="73"/>
      <c r="AJ3339" s="64" t="e">
        <f>(AJ3333/(N_1*AJ$27))*SQRT('Valve Sizing'!$G$6/AJ3337)</f>
        <v>#NUM!</v>
      </c>
      <c r="AK3339" s="41"/>
      <c r="AL3339" s="73"/>
      <c r="AM3339" s="64" t="e">
        <f>(AM3333/(N_1*AM$27))*SQRT('Valve Sizing'!$G$6/AM3337)</f>
        <v>#NUM!</v>
      </c>
      <c r="AN3339" s="41"/>
      <c r="AO3339" s="73"/>
      <c r="AP3339" s="64" t="e">
        <f>(AP3333/(N_1*AP$27))*SQRT('Valve Sizing'!$G$6/AP3337)</f>
        <v>#NUM!</v>
      </c>
      <c r="AQ3339" s="41"/>
      <c r="AR3339" s="73"/>
      <c r="AS3339" s="64" t="e">
        <f>(AS3333/(N_1*AS$27))*SQRT('Valve Sizing'!$G$6/AS3337)</f>
        <v>#NUM!</v>
      </c>
      <c r="AT3339" s="41"/>
      <c r="AU3339" s="73"/>
    </row>
    <row r="3340" spans="15:47" ht="13" x14ac:dyDescent="0.3">
      <c r="O3340" s="1" t="s">
        <v>72</v>
      </c>
      <c r="P3340" s="17">
        <v>7</v>
      </c>
      <c r="Q3340" s="65"/>
      <c r="R3340" s="53">
        <f>(R3333/(N_1*F_P_h))*SQRT('Valve Sizing'!$G$6/R3338)</f>
        <v>45.772467208761036</v>
      </c>
      <c r="S3340" s="56"/>
      <c r="T3340" s="72"/>
      <c r="U3340" s="85">
        <f>(U3333/(N_1*U$27))*SQRT('Valve Sizing'!$G$6/U3338)</f>
        <v>90.770007851280198</v>
      </c>
      <c r="V3340" s="44"/>
      <c r="W3340" s="72"/>
      <c r="X3340" s="85" t="e">
        <f>(X3333/(N_1*X$27))*SQRT('Valve Sizing'!$G$6/X3338)</f>
        <v>#NUM!</v>
      </c>
      <c r="Y3340" s="44"/>
      <c r="Z3340" s="72"/>
      <c r="AA3340" s="85" t="e">
        <f>(AA3333/(N_1*AA$27))*SQRT('Valve Sizing'!$G$6/AA3338)</f>
        <v>#NUM!</v>
      </c>
      <c r="AB3340" s="44"/>
      <c r="AC3340" s="72"/>
      <c r="AD3340" s="85" t="e">
        <f>(AD3333/(N_1*AD$27))*SQRT('Valve Sizing'!$G$6/AD3338)</f>
        <v>#NUM!</v>
      </c>
      <c r="AE3340" s="44"/>
      <c r="AF3340" s="72"/>
      <c r="AG3340" s="85" t="e">
        <f>(AG3333/(N_1*AG$27))*SQRT('Valve Sizing'!$G$6/AG3338)</f>
        <v>#NUM!</v>
      </c>
      <c r="AH3340" s="44"/>
      <c r="AI3340" s="72"/>
      <c r="AJ3340" s="85" t="e">
        <f>(AJ3333/(N_1*AJ$27))*SQRT('Valve Sizing'!$G$6/AJ3338)</f>
        <v>#NUM!</v>
      </c>
      <c r="AK3340" s="44"/>
      <c r="AL3340" s="72"/>
      <c r="AM3340" s="85" t="e">
        <f>(AM3333/(N_1*AM$27))*SQRT('Valve Sizing'!$G$6/AM3338)</f>
        <v>#NUM!</v>
      </c>
      <c r="AN3340" s="44"/>
      <c r="AO3340" s="72"/>
      <c r="AP3340" s="85" t="e">
        <f>(AP3333/(N_1*AP$27))*SQRT('Valve Sizing'!$G$6/AP3338)</f>
        <v>#NUM!</v>
      </c>
      <c r="AQ3340" s="44"/>
      <c r="AR3340" s="72"/>
      <c r="AS3340" s="85" t="e">
        <f>(AS3333/(N_1*AS$27))*SQRT('Valve Sizing'!$G$6/AS3338)</f>
        <v>#NUM!</v>
      </c>
      <c r="AT3340" s="44"/>
      <c r="AU3340" s="72"/>
    </row>
    <row r="3341" spans="15:47" x14ac:dyDescent="0.25">
      <c r="O3341" s="1" t="s">
        <v>246</v>
      </c>
      <c r="P3341" s="18"/>
      <c r="Q3341" s="65"/>
      <c r="R3341" s="53">
        <f>IF(R3337&lt;R3338,R3339,R3340)</f>
        <v>56.978480727437926</v>
      </c>
      <c r="S3341" s="49"/>
      <c r="T3341" s="72"/>
      <c r="U3341" s="64">
        <f>IF(U3337&lt;U3338,U3339,U3340)</f>
        <v>126.44419652536834</v>
      </c>
      <c r="V3341" s="44"/>
      <c r="W3341" s="72"/>
      <c r="X3341" s="64" t="e">
        <f>IF(X3337&lt;X3338,X3339,X3340)</f>
        <v>#NUM!</v>
      </c>
      <c r="Y3341" s="44"/>
      <c r="Z3341" s="72"/>
      <c r="AA3341" s="64" t="e">
        <f>IF(AA3337&lt;AA3338,AA3339,AA3340)</f>
        <v>#NUM!</v>
      </c>
      <c r="AB3341" s="44"/>
      <c r="AC3341" s="72"/>
      <c r="AD3341" s="64" t="e">
        <f>IF(AD3337&lt;AD3338,AD3339,AD3340)</f>
        <v>#NUM!</v>
      </c>
      <c r="AE3341" s="44"/>
      <c r="AF3341" s="72"/>
      <c r="AG3341" s="64" t="e">
        <f>IF(AG3337&lt;AG3338,AG3339,AG3340)</f>
        <v>#NUM!</v>
      </c>
      <c r="AH3341" s="44"/>
      <c r="AI3341" s="72"/>
      <c r="AJ3341" s="64" t="e">
        <f>IF(AJ3337&lt;AJ3338,AJ3339,AJ3340)</f>
        <v>#NUM!</v>
      </c>
      <c r="AK3341" s="44"/>
      <c r="AL3341" s="72"/>
      <c r="AM3341" s="64" t="e">
        <f>IF(AM3337&lt;AM3338,AM3339,AM3340)</f>
        <v>#NUM!</v>
      </c>
      <c r="AN3341" s="44"/>
      <c r="AO3341" s="72"/>
      <c r="AP3341" s="64" t="e">
        <f>IF(AP3337&lt;AP3338,AP3339,AP3340)</f>
        <v>#NUM!</v>
      </c>
      <c r="AQ3341" s="44"/>
      <c r="AR3341" s="72"/>
      <c r="AS3341" s="64" t="e">
        <f>IF(AS3337&lt;AS3338,AS3339,AS3340)</f>
        <v>#NUM!</v>
      </c>
      <c r="AT3341" s="44"/>
      <c r="AU3341" s="72"/>
    </row>
    <row r="3342" spans="15:47" ht="13" x14ac:dyDescent="0.3">
      <c r="O3342" s="7" t="s">
        <v>264</v>
      </c>
      <c r="Q3342" s="61"/>
      <c r="R3342" s="53"/>
      <c r="S3342" s="69">
        <f>IFERROR(ABS(C_h-R3341),Q_max*10)</f>
        <v>51.978480727437926</v>
      </c>
      <c r="T3342" s="76">
        <f>R3333</f>
        <v>304.18760644922895</v>
      </c>
      <c r="U3342" s="61"/>
      <c r="V3342" s="69">
        <f>IFERROR(ABS(U$23-U3341),Q_max*10)</f>
        <v>114.44419652536834</v>
      </c>
      <c r="W3342" s="75">
        <f>U3333</f>
        <v>559.15606372072511</v>
      </c>
      <c r="X3342" s="61"/>
      <c r="Y3342" s="69">
        <f>IFERROR(ABS(X$23-X3341),Q_max*10)</f>
        <v>5500</v>
      </c>
      <c r="Z3342" s="75">
        <f>X3333</f>
        <v>1342.1897930147986</v>
      </c>
      <c r="AA3342" s="61"/>
      <c r="AB3342" s="69">
        <f>IFERROR(ABS(AA$23-AA3341),Q_max*10)</f>
        <v>5500</v>
      </c>
      <c r="AC3342" s="75">
        <f>AA3333</f>
        <v>2562.732211552122</v>
      </c>
      <c r="AD3342" s="61"/>
      <c r="AE3342" s="69">
        <f>IFERROR(ABS(AD$23-AD3341),Q_max*10)</f>
        <v>5500</v>
      </c>
      <c r="AF3342" s="75">
        <f>AD3333</f>
        <v>4214.7509459829689</v>
      </c>
      <c r="AG3342" s="61"/>
      <c r="AH3342" s="69">
        <f>IFERROR(ABS(AG$23-AG3341),Q_max*10)</f>
        <v>5500</v>
      </c>
      <c r="AI3342" s="75">
        <f>AG3333</f>
        <v>6275.1898295806877</v>
      </c>
      <c r="AJ3342" s="61"/>
      <c r="AK3342" s="69">
        <f>IFERROR(ABS(AJ$23-AJ3341),Q_max*10)</f>
        <v>5500</v>
      </c>
      <c r="AL3342" s="75">
        <f>AJ3333</f>
        <v>8374.2651537707097</v>
      </c>
      <c r="AM3342" s="61"/>
      <c r="AN3342" s="69">
        <f>IFERROR(ABS(AM$23-AM3341),Q_max*10)</f>
        <v>5500</v>
      </c>
      <c r="AO3342" s="75">
        <f>AM3333</f>
        <v>10218.194932514351</v>
      </c>
      <c r="AP3342" s="61"/>
      <c r="AQ3342" s="69">
        <f>IFERROR(ABS(AP$23-AP3341),Q_max*10)</f>
        <v>5500</v>
      </c>
      <c r="AR3342" s="75">
        <f>AP3333</f>
        <v>11863.007096568199</v>
      </c>
      <c r="AS3342" s="61"/>
      <c r="AT3342" s="69">
        <f>IFERROR(ABS(AS$23-AS3341),Q_max*10)</f>
        <v>5500</v>
      </c>
      <c r="AU3342" s="75">
        <f>AS3333</f>
        <v>13501.208662336698</v>
      </c>
    </row>
    <row r="3343" spans="15:47" ht="14.5" x14ac:dyDescent="0.35">
      <c r="O3343" s="8"/>
      <c r="P3343" s="6"/>
      <c r="Q3343" s="60"/>
      <c r="R3343" s="67"/>
      <c r="S3343" s="56"/>
      <c r="T3343" s="72"/>
      <c r="V3343" s="11"/>
      <c r="W3343" s="38"/>
      <c r="Y3343" s="11"/>
      <c r="Z3343" s="38"/>
      <c r="AB3343" s="11"/>
      <c r="AC3343" s="38"/>
      <c r="AE3343" s="11"/>
      <c r="AF3343" s="38"/>
      <c r="AH3343" s="11"/>
      <c r="AI3343" s="38"/>
      <c r="AK3343" s="11"/>
      <c r="AL3343" s="38"/>
      <c r="AN3343" s="11"/>
      <c r="AO3343" s="38"/>
      <c r="AQ3343" s="11"/>
      <c r="AR3343" s="38"/>
      <c r="AT3343" s="11"/>
      <c r="AU3343" s="38"/>
    </row>
    <row r="3344" spans="15:47" ht="14" x14ac:dyDescent="0.3">
      <c r="O3344" s="8" t="s">
        <v>235</v>
      </c>
      <c r="P3344" s="6"/>
      <c r="Q3344" s="60"/>
      <c r="R3344" s="53">
        <f>R3333*1.02</f>
        <v>310.27135857821355</v>
      </c>
      <c r="S3344" s="58" t="s">
        <v>238</v>
      </c>
      <c r="T3344" s="73" t="s">
        <v>241</v>
      </c>
      <c r="U3344" s="84">
        <f>U3333*1.01</f>
        <v>564.74762435793241</v>
      </c>
      <c r="V3344" s="58" t="s">
        <v>238</v>
      </c>
      <c r="W3344" s="73" t="s">
        <v>241</v>
      </c>
      <c r="X3344" s="84">
        <f>X3333*1.01</f>
        <v>1355.6116909449465</v>
      </c>
      <c r="Y3344" s="58" t="s">
        <v>238</v>
      </c>
      <c r="Z3344" s="73" t="s">
        <v>241</v>
      </c>
      <c r="AA3344" s="84">
        <f>AA3333*1.01</f>
        <v>2588.3595336676431</v>
      </c>
      <c r="AB3344" s="58" t="s">
        <v>238</v>
      </c>
      <c r="AC3344" s="73" t="s">
        <v>241</v>
      </c>
      <c r="AD3344" s="84">
        <f>AD3333*1.01</f>
        <v>4256.8984554427989</v>
      </c>
      <c r="AE3344" s="58" t="s">
        <v>238</v>
      </c>
      <c r="AF3344" s="73" t="s">
        <v>241</v>
      </c>
      <c r="AG3344" s="84">
        <f>AG3333*1.01</f>
        <v>6337.941727876495</v>
      </c>
      <c r="AH3344" s="58" t="s">
        <v>238</v>
      </c>
      <c r="AI3344" s="73" t="s">
        <v>241</v>
      </c>
      <c r="AJ3344" s="84">
        <f>AJ3333*1.01</f>
        <v>8458.0078053084162</v>
      </c>
      <c r="AK3344" s="58" t="s">
        <v>238</v>
      </c>
      <c r="AL3344" s="73" t="s">
        <v>241</v>
      </c>
      <c r="AM3344" s="84">
        <f>AM3333*1.01</f>
        <v>10320.376881839495</v>
      </c>
      <c r="AN3344" s="58" t="s">
        <v>238</v>
      </c>
      <c r="AO3344" s="73" t="s">
        <v>241</v>
      </c>
      <c r="AP3344" s="84">
        <f>AP3333*1.01</f>
        <v>11981.637167533881</v>
      </c>
      <c r="AQ3344" s="58" t="s">
        <v>238</v>
      </c>
      <c r="AR3344" s="73" t="s">
        <v>241</v>
      </c>
      <c r="AS3344" s="84">
        <f>AS3333*1.01</f>
        <v>13636.220748960064</v>
      </c>
      <c r="AT3344" s="58" t="s">
        <v>238</v>
      </c>
      <c r="AU3344" s="73" t="s">
        <v>241</v>
      </c>
    </row>
    <row r="3345" spans="15:47" ht="13" x14ac:dyDescent="0.25">
      <c r="O3345" s="6"/>
      <c r="P3345" s="6"/>
      <c r="Q3345" s="60"/>
      <c r="R3345" s="70"/>
      <c r="S3345" s="63" t="s">
        <v>250</v>
      </c>
      <c r="T3345" s="71" t="s">
        <v>242</v>
      </c>
      <c r="U3345" s="61"/>
      <c r="V3345" s="63" t="s">
        <v>250</v>
      </c>
      <c r="W3345" s="71" t="s">
        <v>242</v>
      </c>
      <c r="X3345" s="61"/>
      <c r="Y3345" s="63" t="s">
        <v>250</v>
      </c>
      <c r="Z3345" s="71" t="s">
        <v>242</v>
      </c>
      <c r="AA3345" s="61"/>
      <c r="AB3345" s="63" t="s">
        <v>250</v>
      </c>
      <c r="AC3345" s="71" t="s">
        <v>242</v>
      </c>
      <c r="AD3345" s="61"/>
      <c r="AE3345" s="63" t="s">
        <v>250</v>
      </c>
      <c r="AF3345" s="71" t="s">
        <v>242</v>
      </c>
      <c r="AG3345" s="61"/>
      <c r="AH3345" s="63" t="s">
        <v>250</v>
      </c>
      <c r="AI3345" s="71" t="s">
        <v>242</v>
      </c>
      <c r="AJ3345" s="61"/>
      <c r="AK3345" s="63" t="s">
        <v>250</v>
      </c>
      <c r="AL3345" s="71" t="s">
        <v>242</v>
      </c>
      <c r="AM3345" s="61"/>
      <c r="AN3345" s="63" t="s">
        <v>250</v>
      </c>
      <c r="AO3345" s="71" t="s">
        <v>242</v>
      </c>
      <c r="AP3345" s="61"/>
      <c r="AQ3345" s="63" t="s">
        <v>250</v>
      </c>
      <c r="AR3345" s="71" t="s">
        <v>242</v>
      </c>
      <c r="AS3345" s="61"/>
      <c r="AT3345" s="63" t="s">
        <v>250</v>
      </c>
      <c r="AU3345" s="71" t="s">
        <v>242</v>
      </c>
    </row>
    <row r="3346" spans="15:47" ht="13" x14ac:dyDescent="0.3">
      <c r="O3346" s="6" t="s">
        <v>231</v>
      </c>
      <c r="P3346" s="6"/>
      <c r="Q3346" s="60"/>
      <c r="R3346" s="85">
        <f>P_1_minQ-(R3344^2*R_up)+dpup_minQ</f>
        <v>53.664933605066857</v>
      </c>
      <c r="S3346" s="56"/>
      <c r="T3346" s="72"/>
      <c r="U3346" s="53">
        <f>P_1_minQ-(U3344^2*R_up)+dpup_minQ</f>
        <v>46.14478624728374</v>
      </c>
      <c r="V3346" s="44"/>
      <c r="W3346" s="72"/>
      <c r="X3346" s="53">
        <f>P_1_minQ-(X3344^2*R_up)+dpup_minQ</f>
        <v>-5.1467766506794108</v>
      </c>
      <c r="Y3346" s="44"/>
      <c r="Z3346" s="72"/>
      <c r="AA3346" s="53">
        <f>P_1_minQ-(AA3344^2*R_up)+dpup_minQ</f>
        <v>-169.34542639406212</v>
      </c>
      <c r="AB3346" s="44"/>
      <c r="AC3346" s="72"/>
      <c r="AD3346" s="53">
        <f>P_1_minQ-(AD3344^2*R_up)+dpup_minQ</f>
        <v>-555.07927929588936</v>
      </c>
      <c r="AE3346" s="44"/>
      <c r="AF3346" s="72"/>
      <c r="AG3346" s="53">
        <f>P_1_minQ-(AG3344^2*R_up)+dpup_minQ</f>
        <v>-1299.70342269362</v>
      </c>
      <c r="AH3346" s="44"/>
      <c r="AI3346" s="72"/>
      <c r="AJ3346" s="53">
        <f>P_1_minQ-(AJ3344^2*R_up)+dpup_minQ</f>
        <v>-2359.0884510185106</v>
      </c>
      <c r="AK3346" s="44"/>
      <c r="AL3346" s="72"/>
      <c r="AM3346" s="53">
        <f>P_1_minQ-(AM3344^2*R_up)+dpup_minQ</f>
        <v>-3540.1854773119589</v>
      </c>
      <c r="AN3346" s="44"/>
      <c r="AO3346" s="72"/>
      <c r="AP3346" s="53">
        <f>P_1_minQ-(AP3344^2*R_up)+dpup_minQ</f>
        <v>-4791.4333743474954</v>
      </c>
      <c r="AQ3346" s="44"/>
      <c r="AR3346" s="72"/>
      <c r="AS3346" s="53">
        <f>P_1_minQ-(AS3344^2*R_up)+dpup_minQ</f>
        <v>-6222.9391865710568</v>
      </c>
      <c r="AT3346" s="44"/>
      <c r="AU3346" s="72"/>
    </row>
    <row r="3347" spans="15:47" ht="13" x14ac:dyDescent="0.3">
      <c r="O3347" s="6" t="s">
        <v>233</v>
      </c>
      <c r="P3347" s="6"/>
      <c r="Q3347" s="60"/>
      <c r="R3347" s="85">
        <f>P_2_minQ+(R3344^2*R_dn)-dpdn_minQ</f>
        <v>25.307013278986631</v>
      </c>
      <c r="S3347" s="66"/>
      <c r="T3347" s="74"/>
      <c r="U3347" s="53">
        <f>P_2_minQ+(U3344^2*R_dn)-dpdn_minQ</f>
        <v>26.811042750543251</v>
      </c>
      <c r="V3347" s="45"/>
      <c r="W3347" s="74"/>
      <c r="X3347" s="53">
        <f>P_2_minQ+(X3344^2*R_dn)-dpdn_minQ</f>
        <v>37.069355330135885</v>
      </c>
      <c r="Y3347" s="45"/>
      <c r="Z3347" s="74"/>
      <c r="AA3347" s="53">
        <f>P_2_minQ+(AA3344^2*R_dn)-dpdn_minQ</f>
        <v>69.909085278812427</v>
      </c>
      <c r="AB3347" s="45"/>
      <c r="AC3347" s="74"/>
      <c r="AD3347" s="53">
        <f>P_2_minQ+(AD3344^2*R_dn)-dpdn_minQ</f>
        <v>147.05585585917788</v>
      </c>
      <c r="AE3347" s="45"/>
      <c r="AF3347" s="74"/>
      <c r="AG3347" s="53">
        <f>P_2_minQ+(AG3344^2*R_dn)-dpdn_minQ</f>
        <v>295.98068453872395</v>
      </c>
      <c r="AH3347" s="45"/>
      <c r="AI3347" s="74"/>
      <c r="AJ3347" s="53">
        <f>P_2_minQ+(AJ3344^2*R_dn)-dpdn_minQ</f>
        <v>507.85769020370202</v>
      </c>
      <c r="AK3347" s="45"/>
      <c r="AL3347" s="74"/>
      <c r="AM3347" s="53">
        <f>P_2_minQ+(AM3344^2*R_dn)-dpdn_minQ</f>
        <v>744.07709546239175</v>
      </c>
      <c r="AN3347" s="45"/>
      <c r="AO3347" s="74"/>
      <c r="AP3347" s="53">
        <f>P_2_minQ+(AP3344^2*R_dn)-dpdn_minQ</f>
        <v>994.3266748694989</v>
      </c>
      <c r="AQ3347" s="45"/>
      <c r="AR3347" s="74"/>
      <c r="AS3347" s="53">
        <f>P_2_minQ+(AS3344^2*R_dn)-dpdn_minQ</f>
        <v>1280.6278373142113</v>
      </c>
      <c r="AT3347" s="45"/>
      <c r="AU3347" s="74"/>
    </row>
    <row r="3348" spans="15:47" x14ac:dyDescent="0.25">
      <c r="O3348" s="6" t="s">
        <v>243</v>
      </c>
      <c r="Q3348" s="60"/>
      <c r="R3348" s="53">
        <f>R3346-R3347</f>
        <v>28.357920326080226</v>
      </c>
      <c r="S3348" s="56"/>
      <c r="T3348" s="72"/>
      <c r="U3348" s="64">
        <f>U3346-U3347</f>
        <v>19.333743496740489</v>
      </c>
      <c r="V3348" s="44"/>
      <c r="W3348" s="72"/>
      <c r="X3348" s="64">
        <f>X3346-X3347</f>
        <v>-42.216131980815298</v>
      </c>
      <c r="Y3348" s="44"/>
      <c r="Z3348" s="72"/>
      <c r="AA3348" s="64">
        <f>AA3346-AA3347</f>
        <v>-239.25451167287454</v>
      </c>
      <c r="AB3348" s="44"/>
      <c r="AC3348" s="72"/>
      <c r="AD3348" s="64">
        <f>AD3346-AD3347</f>
        <v>-702.13513515506725</v>
      </c>
      <c r="AE3348" s="44"/>
      <c r="AF3348" s="72"/>
      <c r="AG3348" s="64">
        <f>AG3346-AG3347</f>
        <v>-1595.6841072323441</v>
      </c>
      <c r="AH3348" s="44"/>
      <c r="AI3348" s="72"/>
      <c r="AJ3348" s="64">
        <f>AJ3346-AJ3347</f>
        <v>-2866.9461412222126</v>
      </c>
      <c r="AK3348" s="44"/>
      <c r="AL3348" s="72"/>
      <c r="AM3348" s="64">
        <f>AM3346-AM3347</f>
        <v>-4284.2625727743507</v>
      </c>
      <c r="AN3348" s="44"/>
      <c r="AO3348" s="72"/>
      <c r="AP3348" s="64">
        <f>AP3346-AP3347</f>
        <v>-5785.760049216994</v>
      </c>
      <c r="AQ3348" s="44"/>
      <c r="AR3348" s="72"/>
      <c r="AS3348" s="64">
        <f>AS3346-AS3347</f>
        <v>-7503.5670238852681</v>
      </c>
      <c r="AT3348" s="44"/>
      <c r="AU3348" s="72"/>
    </row>
    <row r="3349" spans="15:47" ht="13" x14ac:dyDescent="0.3">
      <c r="O3349" s="6" t="s">
        <v>75</v>
      </c>
      <c r="P3349" s="6">
        <v>3</v>
      </c>
      <c r="Q3349" s="65"/>
      <c r="R3349" s="85">
        <f>(F_LP_h/F_P_h)^2*(R3346-('Valve Sizing'!$V$4*'Valve Sizing'!$G$7))</f>
        <v>44.072991045571044</v>
      </c>
      <c r="S3349" s="58"/>
      <c r="T3349" s="73"/>
      <c r="U3349" s="53">
        <f>(U$29/U$27)^2*(U3346-('Valve Sizing'!$V$4*'Valve Sizing'!$G$7))</f>
        <v>37.835599068475844</v>
      </c>
      <c r="V3349" s="41"/>
      <c r="W3349" s="73"/>
      <c r="X3349" s="53">
        <f>(X$29/X$27)^2*(X3346-('Valve Sizing'!$V$4*'Valve Sizing'!$G$7))</f>
        <v>-4.5206069061781839</v>
      </c>
      <c r="Y3349" s="41"/>
      <c r="Z3349" s="73"/>
      <c r="AA3349" s="53">
        <f>(AA$29/AA$27)^2*(AA3346-('Valve Sizing'!$V$4*'Valve Sizing'!$G$7))</f>
        <v>-131.20975031003522</v>
      </c>
      <c r="AB3349" s="41"/>
      <c r="AC3349" s="73"/>
      <c r="AD3349" s="53">
        <f>(AD$29/AD$27)^2*(AD3346-('Valve Sizing'!$V$4*'Valve Sizing'!$G$7))</f>
        <v>-400.63355026163822</v>
      </c>
      <c r="AE3349" s="41"/>
      <c r="AF3349" s="73"/>
      <c r="AG3349" s="53">
        <f>(AG$29/AG$27)^2*(AG3346-('Valve Sizing'!$V$4*'Valve Sizing'!$G$7))</f>
        <v>-837.34954419766359</v>
      </c>
      <c r="AH3349" s="41"/>
      <c r="AI3349" s="73"/>
      <c r="AJ3349" s="53">
        <f>(AJ$29/AJ$27)^2*(AJ3346-('Valve Sizing'!$V$4*'Valve Sizing'!$G$7))</f>
        <v>-1364.6671376102943</v>
      </c>
      <c r="AK3349" s="41"/>
      <c r="AL3349" s="73"/>
      <c r="AM3349" s="53">
        <f>(AM$29/AM$27)^2*(AM3346-('Valve Sizing'!$V$4*'Valve Sizing'!$G$7))</f>
        <v>-1694.0907096047824</v>
      </c>
      <c r="AN3349" s="41"/>
      <c r="AO3349" s="73"/>
      <c r="AP3349" s="53">
        <f>(AP$29/AP$27)^2*(AP3346-('Valve Sizing'!$V$4*'Valve Sizing'!$G$7))</f>
        <v>-1891.001809579659</v>
      </c>
      <c r="AQ3349" s="41"/>
      <c r="AR3349" s="73"/>
      <c r="AS3349" s="53">
        <f>(AS$29/AS$27)^2*(AS3346-('Valve Sizing'!$V$4*'Valve Sizing'!$G$7))</f>
        <v>-2340.8668109376677</v>
      </c>
      <c r="AT3349" s="41"/>
      <c r="AU3349" s="73"/>
    </row>
    <row r="3350" spans="15:47" ht="13" x14ac:dyDescent="0.25">
      <c r="O3350" s="1" t="s">
        <v>69</v>
      </c>
      <c r="P3350" s="17">
        <v>7</v>
      </c>
      <c r="Q3350" s="65"/>
      <c r="R3350" s="53">
        <f>(R3344/(N_1*F_P_h))*SQRT('Valve Sizing'!$G$6/R3348)</f>
        <v>58.273087221177811</v>
      </c>
      <c r="S3350" s="58"/>
      <c r="T3350" s="73"/>
      <c r="U3350" s="64">
        <f>(U3344/(N_1*U$27))*SQRT('Valve Sizing'!$G$6/U3348)</f>
        <v>128.5470477388395</v>
      </c>
      <c r="V3350" s="41"/>
      <c r="W3350" s="73"/>
      <c r="X3350" s="64" t="e">
        <f>(X3344/(N_1*X$27))*SQRT('Valve Sizing'!$G$6/X3348)</f>
        <v>#NUM!</v>
      </c>
      <c r="Y3350" s="41"/>
      <c r="Z3350" s="73"/>
      <c r="AA3350" s="64" t="e">
        <f>(AA3344/(N_1*AA$27))*SQRT('Valve Sizing'!$G$6/AA3348)</f>
        <v>#NUM!</v>
      </c>
      <c r="AB3350" s="41"/>
      <c r="AC3350" s="73"/>
      <c r="AD3350" s="64" t="e">
        <f>(AD3344/(N_1*AD$27))*SQRT('Valve Sizing'!$G$6/AD3348)</f>
        <v>#NUM!</v>
      </c>
      <c r="AE3350" s="41"/>
      <c r="AF3350" s="73"/>
      <c r="AG3350" s="64" t="e">
        <f>(AG3344/(N_1*AG$27))*SQRT('Valve Sizing'!$G$6/AG3348)</f>
        <v>#NUM!</v>
      </c>
      <c r="AH3350" s="41"/>
      <c r="AI3350" s="73"/>
      <c r="AJ3350" s="64" t="e">
        <f>(AJ3344/(N_1*AJ$27))*SQRT('Valve Sizing'!$G$6/AJ3348)</f>
        <v>#NUM!</v>
      </c>
      <c r="AK3350" s="41"/>
      <c r="AL3350" s="73"/>
      <c r="AM3350" s="64" t="e">
        <f>(AM3344/(N_1*AM$27))*SQRT('Valve Sizing'!$G$6/AM3348)</f>
        <v>#NUM!</v>
      </c>
      <c r="AN3350" s="41"/>
      <c r="AO3350" s="73"/>
      <c r="AP3350" s="64" t="e">
        <f>(AP3344/(N_1*AP$27))*SQRT('Valve Sizing'!$G$6/AP3348)</f>
        <v>#NUM!</v>
      </c>
      <c r="AQ3350" s="41"/>
      <c r="AR3350" s="73"/>
      <c r="AS3350" s="64" t="e">
        <f>(AS3344/(N_1*AS$27))*SQRT('Valve Sizing'!$G$6/AS3348)</f>
        <v>#NUM!</v>
      </c>
      <c r="AT3350" s="41"/>
      <c r="AU3350" s="73"/>
    </row>
    <row r="3351" spans="15:47" ht="13" x14ac:dyDescent="0.3">
      <c r="O3351" s="1" t="s">
        <v>72</v>
      </c>
      <c r="P3351" s="17">
        <v>7</v>
      </c>
      <c r="Q3351" s="65"/>
      <c r="R3351" s="53">
        <f>(R3344/(N_1*F_P_h))*SQRT('Valve Sizing'!$G$6/R3349)</f>
        <v>46.743255198259689</v>
      </c>
      <c r="S3351" s="56"/>
      <c r="T3351" s="72"/>
      <c r="U3351" s="85">
        <f>(U3344/(N_1*U$27))*SQRT('Valve Sizing'!$G$6/U3349)</f>
        <v>91.890322507920558</v>
      </c>
      <c r="V3351" s="44"/>
      <c r="W3351" s="72"/>
      <c r="X3351" s="85" t="e">
        <f>(X3344/(N_1*X$27))*SQRT('Valve Sizing'!$G$6/X3349)</f>
        <v>#NUM!</v>
      </c>
      <c r="Y3351" s="44"/>
      <c r="Z3351" s="72"/>
      <c r="AA3351" s="85" t="e">
        <f>(AA3344/(N_1*AA$27))*SQRT('Valve Sizing'!$G$6/AA3349)</f>
        <v>#NUM!</v>
      </c>
      <c r="AB3351" s="44"/>
      <c r="AC3351" s="72"/>
      <c r="AD3351" s="85" t="e">
        <f>(AD3344/(N_1*AD$27))*SQRT('Valve Sizing'!$G$6/AD3349)</f>
        <v>#NUM!</v>
      </c>
      <c r="AE3351" s="44"/>
      <c r="AF3351" s="72"/>
      <c r="AG3351" s="85" t="e">
        <f>(AG3344/(N_1*AG$27))*SQRT('Valve Sizing'!$G$6/AG3349)</f>
        <v>#NUM!</v>
      </c>
      <c r="AH3351" s="44"/>
      <c r="AI3351" s="72"/>
      <c r="AJ3351" s="85" t="e">
        <f>(AJ3344/(N_1*AJ$27))*SQRT('Valve Sizing'!$G$6/AJ3349)</f>
        <v>#NUM!</v>
      </c>
      <c r="AK3351" s="44"/>
      <c r="AL3351" s="72"/>
      <c r="AM3351" s="85" t="e">
        <f>(AM3344/(N_1*AM$27))*SQRT('Valve Sizing'!$G$6/AM3349)</f>
        <v>#NUM!</v>
      </c>
      <c r="AN3351" s="44"/>
      <c r="AO3351" s="72"/>
      <c r="AP3351" s="85" t="e">
        <f>(AP3344/(N_1*AP$27))*SQRT('Valve Sizing'!$G$6/AP3349)</f>
        <v>#NUM!</v>
      </c>
      <c r="AQ3351" s="44"/>
      <c r="AR3351" s="72"/>
      <c r="AS3351" s="85" t="e">
        <f>(AS3344/(N_1*AS$27))*SQRT('Valve Sizing'!$G$6/AS3349)</f>
        <v>#NUM!</v>
      </c>
      <c r="AT3351" s="44"/>
      <c r="AU3351" s="72"/>
    </row>
    <row r="3352" spans="15:47" x14ac:dyDescent="0.25">
      <c r="O3352" s="1" t="s">
        <v>246</v>
      </c>
      <c r="P3352" s="18"/>
      <c r="Q3352" s="65"/>
      <c r="R3352" s="53">
        <f>IF(R3348&lt;R3349,R3350,R3351)</f>
        <v>58.273087221177811</v>
      </c>
      <c r="S3352" s="49"/>
      <c r="T3352" s="72"/>
      <c r="U3352" s="64">
        <f>IF(U3348&lt;U3349,U3350,U3351)</f>
        <v>128.5470477388395</v>
      </c>
      <c r="V3352" s="44"/>
      <c r="W3352" s="72"/>
      <c r="X3352" s="64" t="e">
        <f>IF(X3348&lt;X3349,X3350,X3351)</f>
        <v>#NUM!</v>
      </c>
      <c r="Y3352" s="44"/>
      <c r="Z3352" s="72"/>
      <c r="AA3352" s="64" t="e">
        <f>IF(AA3348&lt;AA3349,AA3350,AA3351)</f>
        <v>#NUM!</v>
      </c>
      <c r="AB3352" s="44"/>
      <c r="AC3352" s="72"/>
      <c r="AD3352" s="64" t="e">
        <f>IF(AD3348&lt;AD3349,AD3350,AD3351)</f>
        <v>#NUM!</v>
      </c>
      <c r="AE3352" s="44"/>
      <c r="AF3352" s="72"/>
      <c r="AG3352" s="64" t="e">
        <f>IF(AG3348&lt;AG3349,AG3350,AG3351)</f>
        <v>#NUM!</v>
      </c>
      <c r="AH3352" s="44"/>
      <c r="AI3352" s="72"/>
      <c r="AJ3352" s="64" t="e">
        <f>IF(AJ3348&lt;AJ3349,AJ3350,AJ3351)</f>
        <v>#NUM!</v>
      </c>
      <c r="AK3352" s="44"/>
      <c r="AL3352" s="72"/>
      <c r="AM3352" s="64" t="e">
        <f>IF(AM3348&lt;AM3349,AM3350,AM3351)</f>
        <v>#NUM!</v>
      </c>
      <c r="AN3352" s="44"/>
      <c r="AO3352" s="72"/>
      <c r="AP3352" s="64" t="e">
        <f>IF(AP3348&lt;AP3349,AP3350,AP3351)</f>
        <v>#NUM!</v>
      </c>
      <c r="AQ3352" s="44"/>
      <c r="AR3352" s="72"/>
      <c r="AS3352" s="64" t="e">
        <f>IF(AS3348&lt;AS3349,AS3350,AS3351)</f>
        <v>#NUM!</v>
      </c>
      <c r="AT3352" s="44"/>
      <c r="AU3352" s="72"/>
    </row>
    <row r="3353" spans="15:47" ht="13" x14ac:dyDescent="0.3">
      <c r="O3353" s="7" t="s">
        <v>264</v>
      </c>
      <c r="Q3353" s="61"/>
      <c r="R3353" s="53"/>
      <c r="S3353" s="69">
        <f>IFERROR(ABS(C_h-R3352),Q_max*10)</f>
        <v>53.273087221177811</v>
      </c>
      <c r="T3353" s="76">
        <f>R3344</f>
        <v>310.27135857821355</v>
      </c>
      <c r="U3353" s="61"/>
      <c r="V3353" s="69">
        <f>IFERROR(ABS(U$23-U3352),Q_max*10)</f>
        <v>116.5470477388395</v>
      </c>
      <c r="W3353" s="75">
        <f>U3344</f>
        <v>564.74762435793241</v>
      </c>
      <c r="X3353" s="61"/>
      <c r="Y3353" s="69">
        <f>IFERROR(ABS(X$23-X3352),Q_max*10)</f>
        <v>5500</v>
      </c>
      <c r="Z3353" s="75">
        <f>X3344</f>
        <v>1355.6116909449465</v>
      </c>
      <c r="AA3353" s="61"/>
      <c r="AB3353" s="69">
        <f>IFERROR(ABS(AA$23-AA3352),Q_max*10)</f>
        <v>5500</v>
      </c>
      <c r="AC3353" s="75">
        <f>AA3344</f>
        <v>2588.3595336676431</v>
      </c>
      <c r="AD3353" s="61"/>
      <c r="AE3353" s="69">
        <f>IFERROR(ABS(AD$23-AD3352),Q_max*10)</f>
        <v>5500</v>
      </c>
      <c r="AF3353" s="75">
        <f>AD3344</f>
        <v>4256.8984554427989</v>
      </c>
      <c r="AG3353" s="61"/>
      <c r="AH3353" s="69">
        <f>IFERROR(ABS(AG$23-AG3352),Q_max*10)</f>
        <v>5500</v>
      </c>
      <c r="AI3353" s="75">
        <f>AG3344</f>
        <v>6337.941727876495</v>
      </c>
      <c r="AJ3353" s="61"/>
      <c r="AK3353" s="69">
        <f>IFERROR(ABS(AJ$23-AJ3352),Q_max*10)</f>
        <v>5500</v>
      </c>
      <c r="AL3353" s="75">
        <f>AJ3344</f>
        <v>8458.0078053084162</v>
      </c>
      <c r="AM3353" s="61"/>
      <c r="AN3353" s="69">
        <f>IFERROR(ABS(AM$23-AM3352),Q_max*10)</f>
        <v>5500</v>
      </c>
      <c r="AO3353" s="75">
        <f>AM3344</f>
        <v>10320.376881839495</v>
      </c>
      <c r="AP3353" s="61"/>
      <c r="AQ3353" s="69">
        <f>IFERROR(ABS(AP$23-AP3352),Q_max*10)</f>
        <v>5500</v>
      </c>
      <c r="AR3353" s="75">
        <f>AP3344</f>
        <v>11981.637167533881</v>
      </c>
      <c r="AS3353" s="61"/>
      <c r="AT3353" s="69">
        <f>IFERROR(ABS(AS$23-AS3352),Q_max*10)</f>
        <v>5500</v>
      </c>
      <c r="AU3353" s="75">
        <f>AS3344</f>
        <v>13636.220748960064</v>
      </c>
    </row>
    <row r="3354" spans="15:47" ht="14.5" x14ac:dyDescent="0.35">
      <c r="O3354" s="6"/>
      <c r="P3354" s="6"/>
      <c r="Q3354" s="60"/>
      <c r="R3354" s="67"/>
      <c r="S3354" s="58"/>
      <c r="T3354" s="73"/>
      <c r="V3354" s="11"/>
      <c r="W3354" s="38"/>
      <c r="Y3354" s="11"/>
      <c r="Z3354" s="38"/>
      <c r="AB3354" s="11"/>
      <c r="AC3354" s="38"/>
      <c r="AE3354" s="11"/>
      <c r="AF3354" s="38"/>
      <c r="AH3354" s="11"/>
      <c r="AI3354" s="38"/>
      <c r="AK3354" s="11"/>
      <c r="AL3354" s="38"/>
      <c r="AN3354" s="11"/>
      <c r="AO3354" s="38"/>
      <c r="AQ3354" s="11"/>
      <c r="AR3354" s="38"/>
      <c r="AT3354" s="11"/>
      <c r="AU3354" s="38"/>
    </row>
    <row r="3355" spans="15:47" ht="14" x14ac:dyDescent="0.3">
      <c r="O3355" s="8" t="s">
        <v>235</v>
      </c>
      <c r="P3355" s="6"/>
      <c r="Q3355" s="60"/>
      <c r="R3355" s="53">
        <f>R3344*1.02</f>
        <v>316.47678574977783</v>
      </c>
      <c r="S3355" s="58" t="s">
        <v>238</v>
      </c>
      <c r="T3355" s="73" t="s">
        <v>241</v>
      </c>
      <c r="U3355" s="84">
        <f>U3344*1.01</f>
        <v>570.39510060151179</v>
      </c>
      <c r="V3355" s="58" t="s">
        <v>238</v>
      </c>
      <c r="W3355" s="73" t="s">
        <v>241</v>
      </c>
      <c r="X3355" s="84">
        <f>X3344*1.01</f>
        <v>1369.167807854396</v>
      </c>
      <c r="Y3355" s="58" t="s">
        <v>238</v>
      </c>
      <c r="Z3355" s="73" t="s">
        <v>241</v>
      </c>
      <c r="AA3355" s="84">
        <f>AA3344*1.01</f>
        <v>2614.2431290043196</v>
      </c>
      <c r="AB3355" s="58" t="s">
        <v>238</v>
      </c>
      <c r="AC3355" s="73" t="s">
        <v>241</v>
      </c>
      <c r="AD3355" s="84">
        <f>AD3344*1.01</f>
        <v>4299.4674399972273</v>
      </c>
      <c r="AE3355" s="58" t="s">
        <v>238</v>
      </c>
      <c r="AF3355" s="73" t="s">
        <v>241</v>
      </c>
      <c r="AG3355" s="84">
        <f>AG3344*1.01</f>
        <v>6401.3211451552597</v>
      </c>
      <c r="AH3355" s="58" t="s">
        <v>238</v>
      </c>
      <c r="AI3355" s="73" t="s">
        <v>241</v>
      </c>
      <c r="AJ3355" s="84">
        <f>AJ3344*1.01</f>
        <v>8542.5878833615006</v>
      </c>
      <c r="AK3355" s="58" t="s">
        <v>238</v>
      </c>
      <c r="AL3355" s="73" t="s">
        <v>241</v>
      </c>
      <c r="AM3355" s="84">
        <f>AM3344*1.01</f>
        <v>10423.58065065789</v>
      </c>
      <c r="AN3355" s="58" t="s">
        <v>238</v>
      </c>
      <c r="AO3355" s="73" t="s">
        <v>241</v>
      </c>
      <c r="AP3355" s="84">
        <f>AP3344*1.01</f>
        <v>12101.45353920922</v>
      </c>
      <c r="AQ3355" s="58" t="s">
        <v>238</v>
      </c>
      <c r="AR3355" s="73" t="s">
        <v>241</v>
      </c>
      <c r="AS3355" s="84">
        <f>AS3344*1.01</f>
        <v>13772.582956449665</v>
      </c>
      <c r="AT3355" s="58" t="s">
        <v>238</v>
      </c>
      <c r="AU3355" s="73" t="s">
        <v>241</v>
      </c>
    </row>
    <row r="3356" spans="15:47" ht="13" x14ac:dyDescent="0.25">
      <c r="O3356" s="6"/>
      <c r="P3356" s="6"/>
      <c r="Q3356" s="60"/>
      <c r="R3356" s="70"/>
      <c r="S3356" s="63" t="s">
        <v>250</v>
      </c>
      <c r="T3356" s="71" t="s">
        <v>242</v>
      </c>
      <c r="U3356" s="61"/>
      <c r="V3356" s="63" t="s">
        <v>250</v>
      </c>
      <c r="W3356" s="71" t="s">
        <v>242</v>
      </c>
      <c r="X3356" s="61"/>
      <c r="Y3356" s="63" t="s">
        <v>250</v>
      </c>
      <c r="Z3356" s="71" t="s">
        <v>242</v>
      </c>
      <c r="AA3356" s="61"/>
      <c r="AB3356" s="63" t="s">
        <v>250</v>
      </c>
      <c r="AC3356" s="71" t="s">
        <v>242</v>
      </c>
      <c r="AD3356" s="61"/>
      <c r="AE3356" s="63" t="s">
        <v>250</v>
      </c>
      <c r="AF3356" s="71" t="s">
        <v>242</v>
      </c>
      <c r="AG3356" s="61"/>
      <c r="AH3356" s="63" t="s">
        <v>250</v>
      </c>
      <c r="AI3356" s="71" t="s">
        <v>242</v>
      </c>
      <c r="AJ3356" s="61"/>
      <c r="AK3356" s="63" t="s">
        <v>250</v>
      </c>
      <c r="AL3356" s="71" t="s">
        <v>242</v>
      </c>
      <c r="AM3356" s="61"/>
      <c r="AN3356" s="63" t="s">
        <v>250</v>
      </c>
      <c r="AO3356" s="71" t="s">
        <v>242</v>
      </c>
      <c r="AP3356" s="61"/>
      <c r="AQ3356" s="63" t="s">
        <v>250</v>
      </c>
      <c r="AR3356" s="71" t="s">
        <v>242</v>
      </c>
      <c r="AS3356" s="61"/>
      <c r="AT3356" s="63" t="s">
        <v>250</v>
      </c>
      <c r="AU3356" s="71" t="s">
        <v>242</v>
      </c>
    </row>
    <row r="3357" spans="15:47" ht="13" x14ac:dyDescent="0.3">
      <c r="O3357" s="6" t="s">
        <v>231</v>
      </c>
      <c r="P3357" s="6"/>
      <c r="Q3357" s="60"/>
      <c r="R3357" s="85">
        <f>P_1_minQ-(R3355^2*R_up)+dpup_minQ</f>
        <v>53.533584737638947</v>
      </c>
      <c r="S3357" s="56"/>
      <c r="T3357" s="72"/>
      <c r="U3357" s="53">
        <f>P_1_minQ-(U3355^2*R_up)+dpup_minQ</f>
        <v>45.928281972637329</v>
      </c>
      <c r="V3357" s="44"/>
      <c r="W3357" s="72"/>
      <c r="X3357" s="53">
        <f>P_1_minQ-(X3355^2*R_up)+dpup_minQ</f>
        <v>-6.3942413395748803</v>
      </c>
      <c r="Y3357" s="44"/>
      <c r="Z3357" s="72"/>
      <c r="AA3357" s="53">
        <f>P_1_minQ-(AA3355^2*R_up)+dpup_minQ</f>
        <v>-173.89328394279957</v>
      </c>
      <c r="AB3357" s="44"/>
      <c r="AC3357" s="72"/>
      <c r="AD3357" s="53">
        <f>P_1_minQ-(AD3355^2*R_up)+dpup_minQ</f>
        <v>-567.38038728795379</v>
      </c>
      <c r="AE3357" s="44"/>
      <c r="AF3357" s="72"/>
      <c r="AG3357" s="53">
        <f>P_1_minQ-(AG3355^2*R_up)+dpup_minQ</f>
        <v>-1326.9714759679784</v>
      </c>
      <c r="AH3357" s="44"/>
      <c r="AI3357" s="72"/>
      <c r="AJ3357" s="53">
        <f>P_1_minQ-(AJ3355^2*R_up)+dpup_minQ</f>
        <v>-2407.6501433621997</v>
      </c>
      <c r="AK3357" s="44"/>
      <c r="AL3357" s="72"/>
      <c r="AM3357" s="53">
        <f>P_1_minQ-(AM3355^2*R_up)+dpup_minQ</f>
        <v>-3612.4872198841467</v>
      </c>
      <c r="AN3357" s="44"/>
      <c r="AO3357" s="72"/>
      <c r="AP3357" s="53">
        <f>P_1_minQ-(AP3355^2*R_up)+dpup_minQ</f>
        <v>-4888.8851996500971</v>
      </c>
      <c r="AQ3357" s="44"/>
      <c r="AR3357" s="72"/>
      <c r="AS3357" s="53">
        <f>P_1_minQ-(AS3355^2*R_up)+dpup_minQ</f>
        <v>-6349.1642786993525</v>
      </c>
      <c r="AT3357" s="44"/>
      <c r="AU3357" s="72"/>
    </row>
    <row r="3358" spans="15:47" ht="13" x14ac:dyDescent="0.3">
      <c r="O3358" s="6" t="s">
        <v>233</v>
      </c>
      <c r="P3358" s="6"/>
      <c r="Q3358" s="60"/>
      <c r="R3358" s="85">
        <f>P_2_minQ+(R3355^2*R_dn)-dpdn_minQ</f>
        <v>25.333283052472211</v>
      </c>
      <c r="S3358" s="66"/>
      <c r="T3358" s="74"/>
      <c r="U3358" s="53">
        <f>P_2_minQ+(U3355^2*R_dn)-dpdn_minQ</f>
        <v>26.854343605472536</v>
      </c>
      <c r="V3358" s="45"/>
      <c r="W3358" s="74"/>
      <c r="X3358" s="53">
        <f>P_2_minQ+(X3355^2*R_dn)-dpdn_minQ</f>
        <v>37.31884826791498</v>
      </c>
      <c r="Y3358" s="45"/>
      <c r="Z3358" s="74"/>
      <c r="AA3358" s="53">
        <f>P_2_minQ+(AA3355^2*R_dn)-dpdn_minQ</f>
        <v>70.81865678855992</v>
      </c>
      <c r="AB3358" s="45"/>
      <c r="AC3358" s="74"/>
      <c r="AD3358" s="53">
        <f>P_2_minQ+(AD3355^2*R_dn)-dpdn_minQ</f>
        <v>149.51607745759074</v>
      </c>
      <c r="AE3358" s="45"/>
      <c r="AF3358" s="74"/>
      <c r="AG3358" s="53">
        <f>P_2_minQ+(AG3355^2*R_dn)-dpdn_minQ</f>
        <v>301.43429519359563</v>
      </c>
      <c r="AH3358" s="45"/>
      <c r="AI3358" s="74"/>
      <c r="AJ3358" s="53">
        <f>P_2_minQ+(AJ3355^2*R_dn)-dpdn_minQ</f>
        <v>517.57002867243978</v>
      </c>
      <c r="AK3358" s="45"/>
      <c r="AL3358" s="74"/>
      <c r="AM3358" s="53">
        <f>P_2_minQ+(AM3355^2*R_dn)-dpdn_minQ</f>
        <v>758.53744397682919</v>
      </c>
      <c r="AN3358" s="45"/>
      <c r="AO3358" s="74"/>
      <c r="AP3358" s="53">
        <f>P_2_minQ+(AP3355^2*R_dn)-dpdn_minQ</f>
        <v>1013.8170399300193</v>
      </c>
      <c r="AQ3358" s="45"/>
      <c r="AR3358" s="74"/>
      <c r="AS3358" s="53">
        <f>P_2_minQ+(AS3355^2*R_dn)-dpdn_minQ</f>
        <v>1305.8728557398704</v>
      </c>
      <c r="AT3358" s="45"/>
      <c r="AU3358" s="74"/>
    </row>
    <row r="3359" spans="15:47" x14ac:dyDescent="0.25">
      <c r="O3359" s="6" t="s">
        <v>243</v>
      </c>
      <c r="Q3359" s="60"/>
      <c r="R3359" s="53">
        <f>R3357-R3358</f>
        <v>28.200301685166735</v>
      </c>
      <c r="S3359" s="56"/>
      <c r="T3359" s="72"/>
      <c r="U3359" s="64">
        <f>U3357-U3358</f>
        <v>19.073938367164793</v>
      </c>
      <c r="V3359" s="44"/>
      <c r="W3359" s="72"/>
      <c r="X3359" s="64">
        <f>X3357-X3358</f>
        <v>-43.713089607489863</v>
      </c>
      <c r="Y3359" s="44"/>
      <c r="Z3359" s="72"/>
      <c r="AA3359" s="64">
        <f>AA3357-AA3358</f>
        <v>-244.7119407313595</v>
      </c>
      <c r="AB3359" s="44"/>
      <c r="AC3359" s="72"/>
      <c r="AD3359" s="64">
        <f>AD3357-AD3358</f>
        <v>-716.89646474554456</v>
      </c>
      <c r="AE3359" s="44"/>
      <c r="AF3359" s="72"/>
      <c r="AG3359" s="64">
        <f>AG3357-AG3358</f>
        <v>-1628.4057711615742</v>
      </c>
      <c r="AH3359" s="44"/>
      <c r="AI3359" s="72"/>
      <c r="AJ3359" s="64">
        <f>AJ3357-AJ3358</f>
        <v>-2925.2201720346393</v>
      </c>
      <c r="AK3359" s="44"/>
      <c r="AL3359" s="72"/>
      <c r="AM3359" s="64">
        <f>AM3357-AM3358</f>
        <v>-4371.024663860976</v>
      </c>
      <c r="AN3359" s="44"/>
      <c r="AO3359" s="72"/>
      <c r="AP3359" s="64">
        <f>AP3357-AP3358</f>
        <v>-5902.7022395801159</v>
      </c>
      <c r="AQ3359" s="44"/>
      <c r="AR3359" s="72"/>
      <c r="AS3359" s="64">
        <f>AS3357-AS3358</f>
        <v>-7655.0371344392224</v>
      </c>
      <c r="AT3359" s="44"/>
      <c r="AU3359" s="72"/>
    </row>
    <row r="3360" spans="15:47" ht="13" x14ac:dyDescent="0.3">
      <c r="O3360" s="6" t="s">
        <v>75</v>
      </c>
      <c r="P3360" s="6">
        <v>3</v>
      </c>
      <c r="Q3360" s="65"/>
      <c r="R3360" s="85">
        <f>(F_LP_h/F_P_h)^2*(R3357-('Valve Sizing'!$V$4*'Valve Sizing'!$G$7))</f>
        <v>43.964227288846736</v>
      </c>
      <c r="S3360" s="58"/>
      <c r="T3360" s="73"/>
      <c r="U3360" s="53">
        <f>(U$29/U$27)^2*(U3357-('Valve Sizing'!$V$4*'Valve Sizing'!$G$7))</f>
        <v>37.656371028250312</v>
      </c>
      <c r="V3360" s="41"/>
      <c r="W3360" s="73"/>
      <c r="X3360" s="53">
        <f>(X$29/X$27)^2*(X3357-('Valve Sizing'!$V$4*'Valve Sizing'!$G$7))</f>
        <v>-5.5299974062706232</v>
      </c>
      <c r="Y3360" s="41"/>
      <c r="Z3360" s="73"/>
      <c r="AA3360" s="53">
        <f>(AA$29/AA$27)^2*(AA3357-('Valve Sizing'!$V$4*'Valve Sizing'!$G$7))</f>
        <v>-134.72432198681031</v>
      </c>
      <c r="AB3360" s="41"/>
      <c r="AC3360" s="73"/>
      <c r="AD3360" s="53">
        <f>(AD$29/AD$27)^2*(AD3357-('Valve Sizing'!$V$4*'Valve Sizing'!$G$7))</f>
        <v>-409.50495443982334</v>
      </c>
      <c r="AE3360" s="41"/>
      <c r="AF3360" s="73"/>
      <c r="AG3360" s="53">
        <f>(AG$29/AG$27)^2*(AG3357-('Valve Sizing'!$V$4*'Valve Sizing'!$G$7))</f>
        <v>-854.91136896955265</v>
      </c>
      <c r="AH3360" s="41"/>
      <c r="AI3360" s="73"/>
      <c r="AJ3360" s="53">
        <f>(AJ$29/AJ$27)^2*(AJ3357-('Valve Sizing'!$V$4*'Valve Sizing'!$G$7))</f>
        <v>-1392.7534885249684</v>
      </c>
      <c r="AK3360" s="41"/>
      <c r="AL3360" s="73"/>
      <c r="AM3360" s="53">
        <f>(AM$29/AM$27)^2*(AM3357-('Valve Sizing'!$V$4*'Valve Sizing'!$G$7))</f>
        <v>-1728.6850797717591</v>
      </c>
      <c r="AN3360" s="41"/>
      <c r="AO3360" s="73"/>
      <c r="AP3360" s="53">
        <f>(AP$29/AP$27)^2*(AP3357-('Valve Sizing'!$V$4*'Valve Sizing'!$G$7))</f>
        <v>-1929.4589142191098</v>
      </c>
      <c r="AQ3360" s="41"/>
      <c r="AR3360" s="73"/>
      <c r="AS3360" s="53">
        <f>(AS$29/AS$27)^2*(AS3357-('Valve Sizing'!$V$4*'Valve Sizing'!$G$7))</f>
        <v>-2388.3452173266323</v>
      </c>
      <c r="AT3360" s="41"/>
      <c r="AU3360" s="73"/>
    </row>
    <row r="3361" spans="15:47" ht="13" x14ac:dyDescent="0.25">
      <c r="O3361" s="1" t="s">
        <v>69</v>
      </c>
      <c r="P3361" s="17">
        <v>7</v>
      </c>
      <c r="Q3361" s="65"/>
      <c r="R3361" s="53">
        <f>(R3355/(N_1*F_P_h))*SQRT('Valve Sizing'!$G$6/R3359)</f>
        <v>59.604426071527627</v>
      </c>
      <c r="S3361" s="58"/>
      <c r="T3361" s="73"/>
      <c r="U3361" s="64">
        <f>(U3355/(N_1*U$27))*SQRT('Valve Sizing'!$G$6/U3359)</f>
        <v>130.71374858055233</v>
      </c>
      <c r="V3361" s="41"/>
      <c r="W3361" s="73"/>
      <c r="X3361" s="64" t="e">
        <f>(X3355/(N_1*X$27))*SQRT('Valve Sizing'!$G$6/X3359)</f>
        <v>#NUM!</v>
      </c>
      <c r="Y3361" s="41"/>
      <c r="Z3361" s="73"/>
      <c r="AA3361" s="64" t="e">
        <f>(AA3355/(N_1*AA$27))*SQRT('Valve Sizing'!$G$6/AA3359)</f>
        <v>#NUM!</v>
      </c>
      <c r="AB3361" s="41"/>
      <c r="AC3361" s="73"/>
      <c r="AD3361" s="64" t="e">
        <f>(AD3355/(N_1*AD$27))*SQRT('Valve Sizing'!$G$6/AD3359)</f>
        <v>#NUM!</v>
      </c>
      <c r="AE3361" s="41"/>
      <c r="AF3361" s="73"/>
      <c r="AG3361" s="64" t="e">
        <f>(AG3355/(N_1*AG$27))*SQRT('Valve Sizing'!$G$6/AG3359)</f>
        <v>#NUM!</v>
      </c>
      <c r="AH3361" s="41"/>
      <c r="AI3361" s="73"/>
      <c r="AJ3361" s="64" t="e">
        <f>(AJ3355/(N_1*AJ$27))*SQRT('Valve Sizing'!$G$6/AJ3359)</f>
        <v>#NUM!</v>
      </c>
      <c r="AK3361" s="41"/>
      <c r="AL3361" s="73"/>
      <c r="AM3361" s="64" t="e">
        <f>(AM3355/(N_1*AM$27))*SQRT('Valve Sizing'!$G$6/AM3359)</f>
        <v>#NUM!</v>
      </c>
      <c r="AN3361" s="41"/>
      <c r="AO3361" s="73"/>
      <c r="AP3361" s="64" t="e">
        <f>(AP3355/(N_1*AP$27))*SQRT('Valve Sizing'!$G$6/AP3359)</f>
        <v>#NUM!</v>
      </c>
      <c r="AQ3361" s="41"/>
      <c r="AR3361" s="73"/>
      <c r="AS3361" s="64" t="e">
        <f>(AS3355/(N_1*AS$27))*SQRT('Valve Sizing'!$G$6/AS3359)</f>
        <v>#NUM!</v>
      </c>
      <c r="AT3361" s="41"/>
      <c r="AU3361" s="73"/>
    </row>
    <row r="3362" spans="15:47" ht="13" x14ac:dyDescent="0.3">
      <c r="O3362" s="1" t="s">
        <v>72</v>
      </c>
      <c r="P3362" s="17">
        <v>7</v>
      </c>
      <c r="Q3362" s="65"/>
      <c r="R3362" s="53">
        <f>(R3355/(N_1*F_P_h))*SQRT('Valve Sizing'!$G$6/R3360)</f>
        <v>47.737059677976134</v>
      </c>
      <c r="S3362" s="56"/>
      <c r="T3362" s="72"/>
      <c r="U3362" s="85">
        <f>(U3355/(N_1*U$27))*SQRT('Valve Sizing'!$G$6/U3360)</f>
        <v>93.029829437921833</v>
      </c>
      <c r="V3362" s="44"/>
      <c r="W3362" s="72"/>
      <c r="X3362" s="85" t="e">
        <f>(X3355/(N_1*X$27))*SQRT('Valve Sizing'!$G$6/X3360)</f>
        <v>#NUM!</v>
      </c>
      <c r="Y3362" s="44"/>
      <c r="Z3362" s="72"/>
      <c r="AA3362" s="85" t="e">
        <f>(AA3355/(N_1*AA$27))*SQRT('Valve Sizing'!$G$6/AA3360)</f>
        <v>#NUM!</v>
      </c>
      <c r="AB3362" s="44"/>
      <c r="AC3362" s="72"/>
      <c r="AD3362" s="85" t="e">
        <f>(AD3355/(N_1*AD$27))*SQRT('Valve Sizing'!$G$6/AD3360)</f>
        <v>#NUM!</v>
      </c>
      <c r="AE3362" s="44"/>
      <c r="AF3362" s="72"/>
      <c r="AG3362" s="85" t="e">
        <f>(AG3355/(N_1*AG$27))*SQRT('Valve Sizing'!$G$6/AG3360)</f>
        <v>#NUM!</v>
      </c>
      <c r="AH3362" s="44"/>
      <c r="AI3362" s="72"/>
      <c r="AJ3362" s="85" t="e">
        <f>(AJ3355/(N_1*AJ$27))*SQRT('Valve Sizing'!$G$6/AJ3360)</f>
        <v>#NUM!</v>
      </c>
      <c r="AK3362" s="44"/>
      <c r="AL3362" s="72"/>
      <c r="AM3362" s="85" t="e">
        <f>(AM3355/(N_1*AM$27))*SQRT('Valve Sizing'!$G$6/AM3360)</f>
        <v>#NUM!</v>
      </c>
      <c r="AN3362" s="44"/>
      <c r="AO3362" s="72"/>
      <c r="AP3362" s="85" t="e">
        <f>(AP3355/(N_1*AP$27))*SQRT('Valve Sizing'!$G$6/AP3360)</f>
        <v>#NUM!</v>
      </c>
      <c r="AQ3362" s="44"/>
      <c r="AR3362" s="72"/>
      <c r="AS3362" s="85" t="e">
        <f>(AS3355/(N_1*AS$27))*SQRT('Valve Sizing'!$G$6/AS3360)</f>
        <v>#NUM!</v>
      </c>
      <c r="AT3362" s="44"/>
      <c r="AU3362" s="72"/>
    </row>
    <row r="3363" spans="15:47" x14ac:dyDescent="0.25">
      <c r="O3363" s="1" t="s">
        <v>246</v>
      </c>
      <c r="P3363" s="18"/>
      <c r="Q3363" s="65"/>
      <c r="R3363" s="53">
        <f>IF(R3359&lt;R3360,R3361,R3362)</f>
        <v>59.604426071527627</v>
      </c>
      <c r="S3363" s="49"/>
      <c r="T3363" s="72"/>
      <c r="U3363" s="64">
        <f>IF(U3359&lt;U3360,U3361,U3362)</f>
        <v>130.71374858055233</v>
      </c>
      <c r="V3363" s="44"/>
      <c r="W3363" s="72"/>
      <c r="X3363" s="64" t="e">
        <f>IF(X3359&lt;X3360,X3361,X3362)</f>
        <v>#NUM!</v>
      </c>
      <c r="Y3363" s="44"/>
      <c r="Z3363" s="72"/>
      <c r="AA3363" s="64" t="e">
        <f>IF(AA3359&lt;AA3360,AA3361,AA3362)</f>
        <v>#NUM!</v>
      </c>
      <c r="AB3363" s="44"/>
      <c r="AC3363" s="72"/>
      <c r="AD3363" s="64" t="e">
        <f>IF(AD3359&lt;AD3360,AD3361,AD3362)</f>
        <v>#NUM!</v>
      </c>
      <c r="AE3363" s="44"/>
      <c r="AF3363" s="72"/>
      <c r="AG3363" s="64" t="e">
        <f>IF(AG3359&lt;AG3360,AG3361,AG3362)</f>
        <v>#NUM!</v>
      </c>
      <c r="AH3363" s="44"/>
      <c r="AI3363" s="72"/>
      <c r="AJ3363" s="64" t="e">
        <f>IF(AJ3359&lt;AJ3360,AJ3361,AJ3362)</f>
        <v>#NUM!</v>
      </c>
      <c r="AK3363" s="44"/>
      <c r="AL3363" s="72"/>
      <c r="AM3363" s="64" t="e">
        <f>IF(AM3359&lt;AM3360,AM3361,AM3362)</f>
        <v>#NUM!</v>
      </c>
      <c r="AN3363" s="44"/>
      <c r="AO3363" s="72"/>
      <c r="AP3363" s="64" t="e">
        <f>IF(AP3359&lt;AP3360,AP3361,AP3362)</f>
        <v>#NUM!</v>
      </c>
      <c r="AQ3363" s="44"/>
      <c r="AR3363" s="72"/>
      <c r="AS3363" s="64" t="e">
        <f>IF(AS3359&lt;AS3360,AS3361,AS3362)</f>
        <v>#NUM!</v>
      </c>
      <c r="AT3363" s="44"/>
      <c r="AU3363" s="72"/>
    </row>
    <row r="3364" spans="15:47" ht="13" x14ac:dyDescent="0.3">
      <c r="O3364" s="7" t="s">
        <v>264</v>
      </c>
      <c r="Q3364" s="61"/>
      <c r="R3364" s="53"/>
      <c r="S3364" s="69">
        <f>IFERROR(ABS(C_h-R3363),Q_max*10)</f>
        <v>54.604426071527627</v>
      </c>
      <c r="T3364" s="76">
        <f>R3355</f>
        <v>316.47678574977783</v>
      </c>
      <c r="U3364" s="61"/>
      <c r="V3364" s="69">
        <f>IFERROR(ABS(U$23-U3363),Q_max*10)</f>
        <v>118.71374858055233</v>
      </c>
      <c r="W3364" s="75">
        <f>U3355</f>
        <v>570.39510060151179</v>
      </c>
      <c r="X3364" s="61"/>
      <c r="Y3364" s="69">
        <f>IFERROR(ABS(X$23-X3363),Q_max*10)</f>
        <v>5500</v>
      </c>
      <c r="Z3364" s="75">
        <f>X3355</f>
        <v>1369.167807854396</v>
      </c>
      <c r="AA3364" s="61"/>
      <c r="AB3364" s="69">
        <f>IFERROR(ABS(AA$23-AA3363),Q_max*10)</f>
        <v>5500</v>
      </c>
      <c r="AC3364" s="75">
        <f>AA3355</f>
        <v>2614.2431290043196</v>
      </c>
      <c r="AD3364" s="61"/>
      <c r="AE3364" s="69">
        <f>IFERROR(ABS(AD$23-AD3363),Q_max*10)</f>
        <v>5500</v>
      </c>
      <c r="AF3364" s="75">
        <f>AD3355</f>
        <v>4299.4674399972273</v>
      </c>
      <c r="AG3364" s="61"/>
      <c r="AH3364" s="69">
        <f>IFERROR(ABS(AG$23-AG3363),Q_max*10)</f>
        <v>5500</v>
      </c>
      <c r="AI3364" s="75">
        <f>AG3355</f>
        <v>6401.3211451552597</v>
      </c>
      <c r="AJ3364" s="61"/>
      <c r="AK3364" s="69">
        <f>IFERROR(ABS(AJ$23-AJ3363),Q_max*10)</f>
        <v>5500</v>
      </c>
      <c r="AL3364" s="75">
        <f>AJ3355</f>
        <v>8542.5878833615006</v>
      </c>
      <c r="AM3364" s="61"/>
      <c r="AN3364" s="69">
        <f>IFERROR(ABS(AM$23-AM3363),Q_max*10)</f>
        <v>5500</v>
      </c>
      <c r="AO3364" s="75">
        <f>AM3355</f>
        <v>10423.58065065789</v>
      </c>
      <c r="AP3364" s="61"/>
      <c r="AQ3364" s="69">
        <f>IFERROR(ABS(AP$23-AP3363),Q_max*10)</f>
        <v>5500</v>
      </c>
      <c r="AR3364" s="75">
        <f>AP3355</f>
        <v>12101.45353920922</v>
      </c>
      <c r="AS3364" s="61"/>
      <c r="AT3364" s="69">
        <f>IFERROR(ABS(AS$23-AS3363),Q_max*10)</f>
        <v>5500</v>
      </c>
      <c r="AU3364" s="75">
        <f>AS3355</f>
        <v>13772.582956449665</v>
      </c>
    </row>
    <row r="3365" spans="15:47" ht="14.5" x14ac:dyDescent="0.35">
      <c r="O3365" s="8"/>
      <c r="P3365" s="6"/>
      <c r="Q3365" s="60"/>
      <c r="R3365" s="67"/>
      <c r="S3365" s="56"/>
      <c r="T3365" s="72"/>
      <c r="V3365" s="11"/>
      <c r="W3365" s="38"/>
      <c r="Y3365" s="11"/>
      <c r="Z3365" s="38"/>
      <c r="AB3365" s="11"/>
      <c r="AC3365" s="38"/>
      <c r="AE3365" s="11"/>
      <c r="AF3365" s="38"/>
      <c r="AH3365" s="11"/>
      <c r="AI3365" s="38"/>
      <c r="AK3365" s="11"/>
      <c r="AL3365" s="38"/>
      <c r="AN3365" s="11"/>
      <c r="AO3365" s="38"/>
      <c r="AQ3365" s="11"/>
      <c r="AR3365" s="38"/>
      <c r="AT3365" s="11"/>
      <c r="AU3365" s="38"/>
    </row>
    <row r="3366" spans="15:47" ht="14" x14ac:dyDescent="0.3">
      <c r="O3366" s="8" t="s">
        <v>235</v>
      </c>
      <c r="P3366" s="6"/>
      <c r="Q3366" s="60"/>
      <c r="R3366" s="53">
        <f>R3355*1.02</f>
        <v>322.80632146477342</v>
      </c>
      <c r="S3366" s="58" t="s">
        <v>238</v>
      </c>
      <c r="T3366" s="73" t="s">
        <v>241</v>
      </c>
      <c r="U3366" s="84">
        <f>U3355*1.01</f>
        <v>576.09905160752692</v>
      </c>
      <c r="V3366" s="58" t="s">
        <v>238</v>
      </c>
      <c r="W3366" s="73" t="s">
        <v>241</v>
      </c>
      <c r="X3366" s="84">
        <f>X3355*1.01</f>
        <v>1382.8594859329398</v>
      </c>
      <c r="Y3366" s="58" t="s">
        <v>238</v>
      </c>
      <c r="Z3366" s="73" t="s">
        <v>241</v>
      </c>
      <c r="AA3366" s="84">
        <f>AA3355*1.01</f>
        <v>2640.3855602943627</v>
      </c>
      <c r="AB3366" s="58" t="s">
        <v>238</v>
      </c>
      <c r="AC3366" s="73" t="s">
        <v>241</v>
      </c>
      <c r="AD3366" s="84">
        <f>AD3355*1.01</f>
        <v>4342.4621143971999</v>
      </c>
      <c r="AE3366" s="58" t="s">
        <v>238</v>
      </c>
      <c r="AF3366" s="73" t="s">
        <v>241</v>
      </c>
      <c r="AG3366" s="84">
        <f>AG3355*1.01</f>
        <v>6465.3343566068124</v>
      </c>
      <c r="AH3366" s="58" t="s">
        <v>238</v>
      </c>
      <c r="AI3366" s="73" t="s">
        <v>241</v>
      </c>
      <c r="AJ3366" s="84">
        <f>AJ3355*1.01</f>
        <v>8628.0137621951162</v>
      </c>
      <c r="AK3366" s="58" t="s">
        <v>238</v>
      </c>
      <c r="AL3366" s="73" t="s">
        <v>241</v>
      </c>
      <c r="AM3366" s="84">
        <f>AM3355*1.01</f>
        <v>10527.816457164468</v>
      </c>
      <c r="AN3366" s="58" t="s">
        <v>238</v>
      </c>
      <c r="AO3366" s="73" t="s">
        <v>241</v>
      </c>
      <c r="AP3366" s="84">
        <f>AP3355*1.01</f>
        <v>12222.468074601313</v>
      </c>
      <c r="AQ3366" s="58" t="s">
        <v>238</v>
      </c>
      <c r="AR3366" s="73" t="s">
        <v>241</v>
      </c>
      <c r="AS3366" s="84">
        <f>AS3355*1.01</f>
        <v>13910.308786014162</v>
      </c>
      <c r="AT3366" s="58" t="s">
        <v>238</v>
      </c>
      <c r="AU3366" s="73" t="s">
        <v>241</v>
      </c>
    </row>
    <row r="3367" spans="15:47" ht="13" x14ac:dyDescent="0.25">
      <c r="O3367" s="6"/>
      <c r="P3367" s="6"/>
      <c r="Q3367" s="60"/>
      <c r="R3367" s="70"/>
      <c r="S3367" s="63" t="s">
        <v>250</v>
      </c>
      <c r="T3367" s="71" t="s">
        <v>242</v>
      </c>
      <c r="U3367" s="61"/>
      <c r="V3367" s="63" t="s">
        <v>250</v>
      </c>
      <c r="W3367" s="71" t="s">
        <v>242</v>
      </c>
      <c r="X3367" s="61"/>
      <c r="Y3367" s="63" t="s">
        <v>250</v>
      </c>
      <c r="Z3367" s="71" t="s">
        <v>242</v>
      </c>
      <c r="AA3367" s="61"/>
      <c r="AB3367" s="63" t="s">
        <v>250</v>
      </c>
      <c r="AC3367" s="71" t="s">
        <v>242</v>
      </c>
      <c r="AD3367" s="61"/>
      <c r="AE3367" s="63" t="s">
        <v>250</v>
      </c>
      <c r="AF3367" s="71" t="s">
        <v>242</v>
      </c>
      <c r="AG3367" s="61"/>
      <c r="AH3367" s="63" t="s">
        <v>250</v>
      </c>
      <c r="AI3367" s="71" t="s">
        <v>242</v>
      </c>
      <c r="AJ3367" s="61"/>
      <c r="AK3367" s="63" t="s">
        <v>250</v>
      </c>
      <c r="AL3367" s="71" t="s">
        <v>242</v>
      </c>
      <c r="AM3367" s="61"/>
      <c r="AN3367" s="63" t="s">
        <v>250</v>
      </c>
      <c r="AO3367" s="71" t="s">
        <v>242</v>
      </c>
      <c r="AP3367" s="61"/>
      <c r="AQ3367" s="63" t="s">
        <v>250</v>
      </c>
      <c r="AR3367" s="71" t="s">
        <v>242</v>
      </c>
      <c r="AS3367" s="61"/>
      <c r="AT3367" s="63" t="s">
        <v>250</v>
      </c>
      <c r="AU3367" s="71" t="s">
        <v>242</v>
      </c>
    </row>
    <row r="3368" spans="15:47" ht="13" x14ac:dyDescent="0.3">
      <c r="O3368" s="6" t="s">
        <v>231</v>
      </c>
      <c r="P3368" s="6"/>
      <c r="Q3368" s="60"/>
      <c r="R3368" s="85">
        <f>P_1_minQ-(R3366^2*R_up)+dpup_minQ</f>
        <v>53.396929375966948</v>
      </c>
      <c r="S3368" s="56"/>
      <c r="T3368" s="72"/>
      <c r="U3368" s="53">
        <f>P_1_minQ-(U3366^2*R_up)+dpup_minQ</f>
        <v>45.707425962070516</v>
      </c>
      <c r="V3368" s="44"/>
      <c r="W3368" s="72"/>
      <c r="X3368" s="53">
        <f>P_1_minQ-(X3366^2*R_up)+dpup_minQ</f>
        <v>-7.6667800687171495</v>
      </c>
      <c r="Y3368" s="44"/>
      <c r="Z3368" s="72"/>
      <c r="AA3368" s="53">
        <f>P_1_minQ-(AA3366^2*R_up)+dpup_minQ</f>
        <v>-178.53255342826665</v>
      </c>
      <c r="AB3368" s="44"/>
      <c r="AC3368" s="72"/>
      <c r="AD3368" s="53">
        <f>P_1_minQ-(AD3366^2*R_up)+dpup_minQ</f>
        <v>-579.9287475506585</v>
      </c>
      <c r="AE3368" s="44"/>
      <c r="AF3368" s="72"/>
      <c r="AG3368" s="53">
        <f>P_1_minQ-(AG3366^2*R_up)+dpup_minQ</f>
        <v>-1354.7876171131518</v>
      </c>
      <c r="AH3368" s="44"/>
      <c r="AI3368" s="72"/>
      <c r="AJ3368" s="53">
        <f>P_1_minQ-(AJ3366^2*R_up)+dpup_minQ</f>
        <v>-2457.1879257219971</v>
      </c>
      <c r="AK3368" s="44"/>
      <c r="AL3368" s="72"/>
      <c r="AM3368" s="53">
        <f>P_1_minQ-(AM3366^2*R_up)+dpup_minQ</f>
        <v>-3686.2422274820342</v>
      </c>
      <c r="AN3368" s="44"/>
      <c r="AO3368" s="72"/>
      <c r="AP3368" s="53">
        <f>P_1_minQ-(AP3366^2*R_up)+dpup_minQ</f>
        <v>-4988.2958066412812</v>
      </c>
      <c r="AQ3368" s="44"/>
      <c r="AR3368" s="72"/>
      <c r="AS3368" s="53">
        <f>P_1_minQ-(AS3366^2*R_up)+dpup_minQ</f>
        <v>-6477.9264951794266</v>
      </c>
      <c r="AT3368" s="44"/>
      <c r="AU3368" s="72"/>
    </row>
    <row r="3369" spans="15:47" ht="13" x14ac:dyDescent="0.3">
      <c r="O3369" s="6" t="s">
        <v>233</v>
      </c>
      <c r="P3369" s="6"/>
      <c r="Q3369" s="60"/>
      <c r="R3369" s="85">
        <f>P_2_minQ+(R3366^2*R_dn)-dpdn_minQ</f>
        <v>25.360614124806613</v>
      </c>
      <c r="S3369" s="66"/>
      <c r="T3369" s="74"/>
      <c r="U3369" s="53">
        <f>P_2_minQ+(U3366^2*R_dn)-dpdn_minQ</f>
        <v>26.898514807585897</v>
      </c>
      <c r="V3369" s="45"/>
      <c r="W3369" s="74"/>
      <c r="X3369" s="53">
        <f>P_2_minQ+(X3366^2*R_dn)-dpdn_minQ</f>
        <v>37.573356013743435</v>
      </c>
      <c r="Y3369" s="45"/>
      <c r="Z3369" s="74"/>
      <c r="AA3369" s="53">
        <f>P_2_minQ+(AA3366^2*R_dn)-dpdn_minQ</f>
        <v>71.746510685653334</v>
      </c>
      <c r="AB3369" s="45"/>
      <c r="AC3369" s="74"/>
      <c r="AD3369" s="53">
        <f>P_2_minQ+(AD3366^2*R_dn)-dpdn_minQ</f>
        <v>152.0257495101317</v>
      </c>
      <c r="AE3369" s="45"/>
      <c r="AF3369" s="74"/>
      <c r="AG3369" s="53">
        <f>P_2_minQ+(AG3366^2*R_dn)-dpdn_minQ</f>
        <v>306.99752342263031</v>
      </c>
      <c r="AH3369" s="45"/>
      <c r="AI3369" s="74"/>
      <c r="AJ3369" s="53">
        <f>P_2_minQ+(AJ3366^2*R_dn)-dpdn_minQ</f>
        <v>527.47758514439931</v>
      </c>
      <c r="AK3369" s="45"/>
      <c r="AL3369" s="74"/>
      <c r="AM3369" s="53">
        <f>P_2_minQ+(AM3366^2*R_dn)-dpdn_minQ</f>
        <v>773.28844549640678</v>
      </c>
      <c r="AN3369" s="45"/>
      <c r="AO3369" s="74"/>
      <c r="AP3369" s="53">
        <f>P_2_minQ+(AP3366^2*R_dn)-dpdn_minQ</f>
        <v>1033.6991613282562</v>
      </c>
      <c r="AQ3369" s="45"/>
      <c r="AR3369" s="74"/>
      <c r="AS3369" s="53">
        <f>P_2_minQ+(AS3366^2*R_dn)-dpdn_minQ</f>
        <v>1331.6252990358851</v>
      </c>
      <c r="AT3369" s="45"/>
      <c r="AU3369" s="74"/>
    </row>
    <row r="3370" spans="15:47" x14ac:dyDescent="0.25">
      <c r="O3370" s="6" t="s">
        <v>243</v>
      </c>
      <c r="Q3370" s="60"/>
      <c r="R3370" s="53">
        <f>R3368-R3369</f>
        <v>28.036315251160335</v>
      </c>
      <c r="S3370" s="56"/>
      <c r="T3370" s="72"/>
      <c r="U3370" s="64">
        <f>U3368-U3369</f>
        <v>18.808911154484619</v>
      </c>
      <c r="V3370" s="44"/>
      <c r="W3370" s="72"/>
      <c r="X3370" s="64">
        <f>X3368-X3369</f>
        <v>-45.240136082460587</v>
      </c>
      <c r="Y3370" s="44"/>
      <c r="Z3370" s="72"/>
      <c r="AA3370" s="64">
        <f>AA3368-AA3369</f>
        <v>-250.27906411391999</v>
      </c>
      <c r="AB3370" s="44"/>
      <c r="AC3370" s="72"/>
      <c r="AD3370" s="64">
        <f>AD3368-AD3369</f>
        <v>-731.95449706079023</v>
      </c>
      <c r="AE3370" s="44"/>
      <c r="AF3370" s="72"/>
      <c r="AG3370" s="64">
        <f>AG3368-AG3369</f>
        <v>-1661.7851405357821</v>
      </c>
      <c r="AH3370" s="44"/>
      <c r="AI3370" s="72"/>
      <c r="AJ3370" s="64">
        <f>AJ3368-AJ3369</f>
        <v>-2984.6655108663963</v>
      </c>
      <c r="AK3370" s="44"/>
      <c r="AL3370" s="72"/>
      <c r="AM3370" s="64">
        <f>AM3368-AM3369</f>
        <v>-4459.5306729784406</v>
      </c>
      <c r="AN3370" s="44"/>
      <c r="AO3370" s="72"/>
      <c r="AP3370" s="64">
        <f>AP3368-AP3369</f>
        <v>-6021.9949679695374</v>
      </c>
      <c r="AQ3370" s="44"/>
      <c r="AR3370" s="72"/>
      <c r="AS3370" s="64">
        <f>AS3368-AS3369</f>
        <v>-7809.5517942153119</v>
      </c>
      <c r="AT3370" s="44"/>
      <c r="AU3370" s="72"/>
    </row>
    <row r="3371" spans="15:47" ht="13" x14ac:dyDescent="0.3">
      <c r="O3371" s="6" t="s">
        <v>75</v>
      </c>
      <c r="P3371" s="6">
        <v>3</v>
      </c>
      <c r="Q3371" s="65"/>
      <c r="R3371" s="85">
        <f>(F_LP_h/F_P_h)^2*(R3368-('Valve Sizing'!$V$4*'Valve Sizing'!$G$7))</f>
        <v>43.851069476350766</v>
      </c>
      <c r="S3371" s="58"/>
      <c r="T3371" s="73"/>
      <c r="U3371" s="53">
        <f>(U$29/U$27)^2*(U3368-('Valve Sizing'!$V$4*'Valve Sizing'!$G$7))</f>
        <v>37.473540504416242</v>
      </c>
      <c r="V3371" s="41"/>
      <c r="W3371" s="73"/>
      <c r="X3371" s="53">
        <f>(X$29/X$27)^2*(X3368-('Valve Sizing'!$V$4*'Valve Sizing'!$G$7))</f>
        <v>-6.559676655414922</v>
      </c>
      <c r="Y3371" s="41"/>
      <c r="Z3371" s="73"/>
      <c r="AA3371" s="53">
        <f>(AA$29/AA$27)^2*(AA3368-('Valve Sizing'!$V$4*'Valve Sizing'!$G$7))</f>
        <v>-138.30953655428863</v>
      </c>
      <c r="AB3371" s="41"/>
      <c r="AC3371" s="73"/>
      <c r="AD3371" s="53">
        <f>(AD$29/AD$27)^2*(AD3368-('Valve Sizing'!$V$4*'Valve Sizing'!$G$7))</f>
        <v>-418.55467384198982</v>
      </c>
      <c r="AE3371" s="41"/>
      <c r="AF3371" s="73"/>
      <c r="AG3371" s="53">
        <f>(AG$29/AG$27)^2*(AG3368-('Valve Sizing'!$V$4*'Valve Sizing'!$G$7))</f>
        <v>-872.82618641935699</v>
      </c>
      <c r="AH3371" s="41"/>
      <c r="AI3371" s="73"/>
      <c r="AJ3371" s="53">
        <f>(AJ$29/AJ$27)^2*(AJ3368-('Valve Sizing'!$V$4*'Valve Sizing'!$G$7))</f>
        <v>-1421.4043750930275</v>
      </c>
      <c r="AK3371" s="41"/>
      <c r="AL3371" s="73"/>
      <c r="AM3371" s="53">
        <f>(AM$29/AM$27)^2*(AM3368-('Valve Sizing'!$V$4*'Valve Sizing'!$G$7))</f>
        <v>-1763.9747967790915</v>
      </c>
      <c r="AN3371" s="41"/>
      <c r="AO3371" s="73"/>
      <c r="AP3371" s="53">
        <f>(AP$29/AP$27)^2*(AP3368-('Valve Sizing'!$V$4*'Valve Sizing'!$G$7))</f>
        <v>-1968.6890066618134</v>
      </c>
      <c r="AQ3371" s="41"/>
      <c r="AR3371" s="73"/>
      <c r="AS3371" s="53">
        <f>(AS$29/AS$27)^2*(AS3368-('Valve Sizing'!$V$4*'Valve Sizing'!$G$7))</f>
        <v>-2436.7779396840156</v>
      </c>
      <c r="AT3371" s="41"/>
      <c r="AU3371" s="73"/>
    </row>
    <row r="3372" spans="15:47" ht="13" x14ac:dyDescent="0.25">
      <c r="O3372" s="1" t="s">
        <v>69</v>
      </c>
      <c r="P3372" s="17">
        <v>7</v>
      </c>
      <c r="Q3372" s="65"/>
      <c r="R3372" s="53">
        <f>(R3366/(N_1*F_P_h))*SQRT('Valve Sizing'!$G$6/R3370)</f>
        <v>60.974056960663354</v>
      </c>
      <c r="S3372" s="58"/>
      <c r="T3372" s="73"/>
      <c r="U3372" s="64">
        <f>(U3366/(N_1*U$27))*SQRT('Valve Sizing'!$G$6/U3370)</f>
        <v>132.9477535031088</v>
      </c>
      <c r="V3372" s="41"/>
      <c r="W3372" s="73"/>
      <c r="X3372" s="64" t="e">
        <f>(X3366/(N_1*X$27))*SQRT('Valve Sizing'!$G$6/X3370)</f>
        <v>#NUM!</v>
      </c>
      <c r="Y3372" s="41"/>
      <c r="Z3372" s="73"/>
      <c r="AA3372" s="64" t="e">
        <f>(AA3366/(N_1*AA$27))*SQRT('Valve Sizing'!$G$6/AA3370)</f>
        <v>#NUM!</v>
      </c>
      <c r="AB3372" s="41"/>
      <c r="AC3372" s="73"/>
      <c r="AD3372" s="64" t="e">
        <f>(AD3366/(N_1*AD$27))*SQRT('Valve Sizing'!$G$6/AD3370)</f>
        <v>#NUM!</v>
      </c>
      <c r="AE3372" s="41"/>
      <c r="AF3372" s="73"/>
      <c r="AG3372" s="64" t="e">
        <f>(AG3366/(N_1*AG$27))*SQRT('Valve Sizing'!$G$6/AG3370)</f>
        <v>#NUM!</v>
      </c>
      <c r="AH3372" s="41"/>
      <c r="AI3372" s="73"/>
      <c r="AJ3372" s="64" t="e">
        <f>(AJ3366/(N_1*AJ$27))*SQRT('Valve Sizing'!$G$6/AJ3370)</f>
        <v>#NUM!</v>
      </c>
      <c r="AK3372" s="41"/>
      <c r="AL3372" s="73"/>
      <c r="AM3372" s="64" t="e">
        <f>(AM3366/(N_1*AM$27))*SQRT('Valve Sizing'!$G$6/AM3370)</f>
        <v>#NUM!</v>
      </c>
      <c r="AN3372" s="41"/>
      <c r="AO3372" s="73"/>
      <c r="AP3372" s="64" t="e">
        <f>(AP3366/(N_1*AP$27))*SQRT('Valve Sizing'!$G$6/AP3370)</f>
        <v>#NUM!</v>
      </c>
      <c r="AQ3372" s="41"/>
      <c r="AR3372" s="73"/>
      <c r="AS3372" s="64" t="e">
        <f>(AS3366/(N_1*AS$27))*SQRT('Valve Sizing'!$G$6/AS3370)</f>
        <v>#NUM!</v>
      </c>
      <c r="AT3372" s="41"/>
      <c r="AU3372" s="73"/>
    </row>
    <row r="3373" spans="15:47" ht="13" x14ac:dyDescent="0.3">
      <c r="O3373" s="1" t="s">
        <v>72</v>
      </c>
      <c r="P3373" s="17">
        <v>7</v>
      </c>
      <c r="Q3373" s="65"/>
      <c r="R3373" s="53">
        <f>(R3366/(N_1*F_P_h))*SQRT('Valve Sizing'!$G$6/R3371)</f>
        <v>48.754585060915801</v>
      </c>
      <c r="S3373" s="56"/>
      <c r="T3373" s="72"/>
      <c r="U3373" s="85">
        <f>(U3366/(N_1*U$27))*SQRT('Valve Sizing'!$G$6/U3371)</f>
        <v>94.189060955792925</v>
      </c>
      <c r="V3373" s="44"/>
      <c r="W3373" s="72"/>
      <c r="X3373" s="85" t="e">
        <f>(X3366/(N_1*X$27))*SQRT('Valve Sizing'!$G$6/X3371)</f>
        <v>#NUM!</v>
      </c>
      <c r="Y3373" s="44"/>
      <c r="Z3373" s="72"/>
      <c r="AA3373" s="85" t="e">
        <f>(AA3366/(N_1*AA$27))*SQRT('Valve Sizing'!$G$6/AA3371)</f>
        <v>#NUM!</v>
      </c>
      <c r="AB3373" s="44"/>
      <c r="AC3373" s="72"/>
      <c r="AD3373" s="85" t="e">
        <f>(AD3366/(N_1*AD$27))*SQRT('Valve Sizing'!$G$6/AD3371)</f>
        <v>#NUM!</v>
      </c>
      <c r="AE3373" s="44"/>
      <c r="AF3373" s="72"/>
      <c r="AG3373" s="85" t="e">
        <f>(AG3366/(N_1*AG$27))*SQRT('Valve Sizing'!$G$6/AG3371)</f>
        <v>#NUM!</v>
      </c>
      <c r="AH3373" s="44"/>
      <c r="AI3373" s="72"/>
      <c r="AJ3373" s="85" t="e">
        <f>(AJ3366/(N_1*AJ$27))*SQRT('Valve Sizing'!$G$6/AJ3371)</f>
        <v>#NUM!</v>
      </c>
      <c r="AK3373" s="44"/>
      <c r="AL3373" s="72"/>
      <c r="AM3373" s="85" t="e">
        <f>(AM3366/(N_1*AM$27))*SQRT('Valve Sizing'!$G$6/AM3371)</f>
        <v>#NUM!</v>
      </c>
      <c r="AN3373" s="44"/>
      <c r="AO3373" s="72"/>
      <c r="AP3373" s="85" t="e">
        <f>(AP3366/(N_1*AP$27))*SQRT('Valve Sizing'!$G$6/AP3371)</f>
        <v>#NUM!</v>
      </c>
      <c r="AQ3373" s="44"/>
      <c r="AR3373" s="72"/>
      <c r="AS3373" s="85" t="e">
        <f>(AS3366/(N_1*AS$27))*SQRT('Valve Sizing'!$G$6/AS3371)</f>
        <v>#NUM!</v>
      </c>
      <c r="AT3373" s="44"/>
      <c r="AU3373" s="72"/>
    </row>
    <row r="3374" spans="15:47" x14ac:dyDescent="0.25">
      <c r="O3374" s="1" t="s">
        <v>246</v>
      </c>
      <c r="P3374" s="18"/>
      <c r="Q3374" s="65"/>
      <c r="R3374" s="53">
        <f>IF(R3370&lt;R3371,R3372,R3373)</f>
        <v>60.974056960663354</v>
      </c>
      <c r="S3374" s="49"/>
      <c r="T3374" s="72"/>
      <c r="U3374" s="64">
        <f>IF(U3370&lt;U3371,U3372,U3373)</f>
        <v>132.9477535031088</v>
      </c>
      <c r="V3374" s="44"/>
      <c r="W3374" s="72"/>
      <c r="X3374" s="64" t="e">
        <f>IF(X3370&lt;X3371,X3372,X3373)</f>
        <v>#NUM!</v>
      </c>
      <c r="Y3374" s="44"/>
      <c r="Z3374" s="72"/>
      <c r="AA3374" s="64" t="e">
        <f>IF(AA3370&lt;AA3371,AA3372,AA3373)</f>
        <v>#NUM!</v>
      </c>
      <c r="AB3374" s="44"/>
      <c r="AC3374" s="72"/>
      <c r="AD3374" s="64" t="e">
        <f>IF(AD3370&lt;AD3371,AD3372,AD3373)</f>
        <v>#NUM!</v>
      </c>
      <c r="AE3374" s="44"/>
      <c r="AF3374" s="72"/>
      <c r="AG3374" s="64" t="e">
        <f>IF(AG3370&lt;AG3371,AG3372,AG3373)</f>
        <v>#NUM!</v>
      </c>
      <c r="AH3374" s="44"/>
      <c r="AI3374" s="72"/>
      <c r="AJ3374" s="64" t="e">
        <f>IF(AJ3370&lt;AJ3371,AJ3372,AJ3373)</f>
        <v>#NUM!</v>
      </c>
      <c r="AK3374" s="44"/>
      <c r="AL3374" s="72"/>
      <c r="AM3374" s="64" t="e">
        <f>IF(AM3370&lt;AM3371,AM3372,AM3373)</f>
        <v>#NUM!</v>
      </c>
      <c r="AN3374" s="44"/>
      <c r="AO3374" s="72"/>
      <c r="AP3374" s="64" t="e">
        <f>IF(AP3370&lt;AP3371,AP3372,AP3373)</f>
        <v>#NUM!</v>
      </c>
      <c r="AQ3374" s="44"/>
      <c r="AR3374" s="72"/>
      <c r="AS3374" s="64" t="e">
        <f>IF(AS3370&lt;AS3371,AS3372,AS3373)</f>
        <v>#NUM!</v>
      </c>
      <c r="AT3374" s="44"/>
      <c r="AU3374" s="72"/>
    </row>
    <row r="3375" spans="15:47" ht="13" x14ac:dyDescent="0.3">
      <c r="O3375" s="7" t="s">
        <v>264</v>
      </c>
      <c r="Q3375" s="61"/>
      <c r="R3375" s="53"/>
      <c r="S3375" s="69">
        <f>IFERROR(ABS(C_h-R3374),Q_max*10)</f>
        <v>55.974056960663354</v>
      </c>
      <c r="T3375" s="76">
        <f>R3366</f>
        <v>322.80632146477342</v>
      </c>
      <c r="U3375" s="61"/>
      <c r="V3375" s="69">
        <f>IFERROR(ABS(U$23-U3374),Q_max*10)</f>
        <v>120.9477535031088</v>
      </c>
      <c r="W3375" s="75">
        <f>U3366</f>
        <v>576.09905160752692</v>
      </c>
      <c r="X3375" s="61"/>
      <c r="Y3375" s="69">
        <f>IFERROR(ABS(X$23-X3374),Q_max*10)</f>
        <v>5500</v>
      </c>
      <c r="Z3375" s="75">
        <f>X3366</f>
        <v>1382.8594859329398</v>
      </c>
      <c r="AA3375" s="61"/>
      <c r="AB3375" s="69">
        <f>IFERROR(ABS(AA$23-AA3374),Q_max*10)</f>
        <v>5500</v>
      </c>
      <c r="AC3375" s="75">
        <f>AA3366</f>
        <v>2640.3855602943627</v>
      </c>
      <c r="AD3375" s="61"/>
      <c r="AE3375" s="69">
        <f>IFERROR(ABS(AD$23-AD3374),Q_max*10)</f>
        <v>5500</v>
      </c>
      <c r="AF3375" s="75">
        <f>AD3366</f>
        <v>4342.4621143971999</v>
      </c>
      <c r="AG3375" s="61"/>
      <c r="AH3375" s="69">
        <f>IFERROR(ABS(AG$23-AG3374),Q_max*10)</f>
        <v>5500</v>
      </c>
      <c r="AI3375" s="75">
        <f>AG3366</f>
        <v>6465.3343566068124</v>
      </c>
      <c r="AJ3375" s="61"/>
      <c r="AK3375" s="69">
        <f>IFERROR(ABS(AJ$23-AJ3374),Q_max*10)</f>
        <v>5500</v>
      </c>
      <c r="AL3375" s="75">
        <f>AJ3366</f>
        <v>8628.0137621951162</v>
      </c>
      <c r="AM3375" s="61"/>
      <c r="AN3375" s="69">
        <f>IFERROR(ABS(AM$23-AM3374),Q_max*10)</f>
        <v>5500</v>
      </c>
      <c r="AO3375" s="75">
        <f>AM3366</f>
        <v>10527.816457164468</v>
      </c>
      <c r="AP3375" s="61"/>
      <c r="AQ3375" s="69">
        <f>IFERROR(ABS(AP$23-AP3374),Q_max*10)</f>
        <v>5500</v>
      </c>
      <c r="AR3375" s="75">
        <f>AP3366</f>
        <v>12222.468074601313</v>
      </c>
      <c r="AS3375" s="61"/>
      <c r="AT3375" s="69">
        <f>IFERROR(ABS(AS$23-AS3374),Q_max*10)</f>
        <v>5500</v>
      </c>
      <c r="AU3375" s="75">
        <f>AS3366</f>
        <v>13910.308786014162</v>
      </c>
    </row>
    <row r="3376" spans="15:47" ht="14.5" x14ac:dyDescent="0.35">
      <c r="O3376" s="6"/>
      <c r="P3376" s="6"/>
      <c r="Q3376" s="60"/>
      <c r="R3376" s="67"/>
      <c r="S3376" s="56"/>
      <c r="T3376" s="72"/>
      <c r="V3376" s="11"/>
      <c r="W3376" s="38"/>
      <c r="Y3376" s="11"/>
      <c r="Z3376" s="38"/>
      <c r="AB3376" s="11"/>
      <c r="AC3376" s="38"/>
      <c r="AE3376" s="11"/>
      <c r="AF3376" s="38"/>
      <c r="AH3376" s="11"/>
      <c r="AI3376" s="38"/>
      <c r="AK3376" s="11"/>
      <c r="AL3376" s="38"/>
      <c r="AN3376" s="11"/>
      <c r="AO3376" s="38"/>
      <c r="AQ3376" s="11"/>
      <c r="AR3376" s="38"/>
      <c r="AT3376" s="11"/>
      <c r="AU3376" s="38"/>
    </row>
    <row r="3377" spans="15:47" ht="14" x14ac:dyDescent="0.3">
      <c r="O3377" s="8" t="s">
        <v>235</v>
      </c>
      <c r="P3377" s="6"/>
      <c r="Q3377" s="60"/>
      <c r="R3377" s="53">
        <f>R3366*1.02</f>
        <v>329.26244789406888</v>
      </c>
      <c r="S3377" s="58" t="s">
        <v>238</v>
      </c>
      <c r="T3377" s="73" t="s">
        <v>241</v>
      </c>
      <c r="U3377" s="84">
        <f>U3366*1.01</f>
        <v>581.86004212360217</v>
      </c>
      <c r="V3377" s="58" t="s">
        <v>238</v>
      </c>
      <c r="W3377" s="73" t="s">
        <v>241</v>
      </c>
      <c r="X3377" s="84">
        <f>X3366*1.01</f>
        <v>1396.6880807922691</v>
      </c>
      <c r="Y3377" s="58" t="s">
        <v>238</v>
      </c>
      <c r="Z3377" s="73" t="s">
        <v>241</v>
      </c>
      <c r="AA3377" s="84">
        <f>AA3366*1.01</f>
        <v>2666.7894158973063</v>
      </c>
      <c r="AB3377" s="58" t="s">
        <v>238</v>
      </c>
      <c r="AC3377" s="73" t="s">
        <v>241</v>
      </c>
      <c r="AD3377" s="84">
        <f>AD3366*1.01</f>
        <v>4385.8867355411721</v>
      </c>
      <c r="AE3377" s="58" t="s">
        <v>238</v>
      </c>
      <c r="AF3377" s="73" t="s">
        <v>241</v>
      </c>
      <c r="AG3377" s="84">
        <f>AG3366*1.01</f>
        <v>6529.987700172881</v>
      </c>
      <c r="AH3377" s="58" t="s">
        <v>238</v>
      </c>
      <c r="AI3377" s="73" t="s">
        <v>241</v>
      </c>
      <c r="AJ3377" s="84">
        <f>AJ3366*1.01</f>
        <v>8714.2938998170666</v>
      </c>
      <c r="AK3377" s="58" t="s">
        <v>238</v>
      </c>
      <c r="AL3377" s="73" t="s">
        <v>241</v>
      </c>
      <c r="AM3377" s="84">
        <f>AM3366*1.01</f>
        <v>10633.094621736112</v>
      </c>
      <c r="AN3377" s="58" t="s">
        <v>238</v>
      </c>
      <c r="AO3377" s="73" t="s">
        <v>241</v>
      </c>
      <c r="AP3377" s="84">
        <f>AP3366*1.01</f>
        <v>12344.692755347325</v>
      </c>
      <c r="AQ3377" s="58" t="s">
        <v>238</v>
      </c>
      <c r="AR3377" s="73" t="s">
        <v>241</v>
      </c>
      <c r="AS3377" s="84">
        <f>AS3366*1.01</f>
        <v>14049.411873874304</v>
      </c>
      <c r="AT3377" s="58" t="s">
        <v>238</v>
      </c>
      <c r="AU3377" s="73" t="s">
        <v>241</v>
      </c>
    </row>
    <row r="3378" spans="15:47" ht="13" x14ac:dyDescent="0.25">
      <c r="O3378" s="6"/>
      <c r="P3378" s="6"/>
      <c r="Q3378" s="60"/>
      <c r="R3378" s="70"/>
      <c r="S3378" s="63" t="s">
        <v>250</v>
      </c>
      <c r="T3378" s="71" t="s">
        <v>242</v>
      </c>
      <c r="U3378" s="61"/>
      <c r="V3378" s="63" t="s">
        <v>250</v>
      </c>
      <c r="W3378" s="71" t="s">
        <v>242</v>
      </c>
      <c r="X3378" s="61"/>
      <c r="Y3378" s="63" t="s">
        <v>250</v>
      </c>
      <c r="Z3378" s="71" t="s">
        <v>242</v>
      </c>
      <c r="AA3378" s="61"/>
      <c r="AB3378" s="63" t="s">
        <v>250</v>
      </c>
      <c r="AC3378" s="71" t="s">
        <v>242</v>
      </c>
      <c r="AD3378" s="61"/>
      <c r="AE3378" s="63" t="s">
        <v>250</v>
      </c>
      <c r="AF3378" s="71" t="s">
        <v>242</v>
      </c>
      <c r="AG3378" s="61"/>
      <c r="AH3378" s="63" t="s">
        <v>250</v>
      </c>
      <c r="AI3378" s="71" t="s">
        <v>242</v>
      </c>
      <c r="AJ3378" s="61"/>
      <c r="AK3378" s="63" t="s">
        <v>250</v>
      </c>
      <c r="AL3378" s="71" t="s">
        <v>242</v>
      </c>
      <c r="AM3378" s="61"/>
      <c r="AN3378" s="63" t="s">
        <v>250</v>
      </c>
      <c r="AO3378" s="71" t="s">
        <v>242</v>
      </c>
      <c r="AP3378" s="61"/>
      <c r="AQ3378" s="63" t="s">
        <v>250</v>
      </c>
      <c r="AR3378" s="71" t="s">
        <v>242</v>
      </c>
      <c r="AS3378" s="61"/>
      <c r="AT3378" s="63" t="s">
        <v>250</v>
      </c>
      <c r="AU3378" s="71" t="s">
        <v>242</v>
      </c>
    </row>
    <row r="3379" spans="15:47" ht="13" x14ac:dyDescent="0.3">
      <c r="O3379" s="6" t="s">
        <v>231</v>
      </c>
      <c r="P3379" s="6"/>
      <c r="Q3379" s="60"/>
      <c r="R3379" s="85">
        <f>P_1_minQ-(R3377^2*R_up)+dpup_minQ</f>
        <v>53.254753137683402</v>
      </c>
      <c r="S3379" s="56"/>
      <c r="T3379" s="72"/>
      <c r="U3379" s="53">
        <f>P_1_minQ-(U3377^2*R_up)+dpup_minQ</f>
        <v>45.482130745691315</v>
      </c>
      <c r="V3379" s="44"/>
      <c r="W3379" s="72"/>
      <c r="X3379" s="53">
        <f>P_1_minQ-(X3377^2*R_up)+dpup_minQ</f>
        <v>-8.9648968263151723</v>
      </c>
      <c r="Y3379" s="44"/>
      <c r="Z3379" s="72"/>
      <c r="AA3379" s="53">
        <f>P_1_minQ-(AA3377^2*R_up)+dpup_minQ</f>
        <v>-183.26507223039167</v>
      </c>
      <c r="AB3379" s="44"/>
      <c r="AC3379" s="72"/>
      <c r="AD3379" s="53">
        <f>P_1_minQ-(AD3377^2*R_up)+dpup_minQ</f>
        <v>-592.72932985464377</v>
      </c>
      <c r="AE3379" s="44"/>
      <c r="AF3379" s="72"/>
      <c r="AG3379" s="53">
        <f>P_1_minQ-(AG3377^2*R_up)+dpup_minQ</f>
        <v>-1383.1628626953432</v>
      </c>
      <c r="AH3379" s="44"/>
      <c r="AI3379" s="72"/>
      <c r="AJ3379" s="53">
        <f>P_1_minQ-(AJ3377^2*R_up)+dpup_minQ</f>
        <v>-2507.7214175072259</v>
      </c>
      <c r="AK3379" s="44"/>
      <c r="AL3379" s="72"/>
      <c r="AM3379" s="53">
        <f>P_1_minQ-(AM3377^2*R_up)+dpup_minQ</f>
        <v>-3761.4797107326394</v>
      </c>
      <c r="AN3379" s="44"/>
      <c r="AO3379" s="72"/>
      <c r="AP3379" s="53">
        <f>P_1_minQ-(AP3377^2*R_up)+dpup_minQ</f>
        <v>-5089.7045668329874</v>
      </c>
      <c r="AQ3379" s="44"/>
      <c r="AR3379" s="72"/>
      <c r="AS3379" s="53">
        <f>P_1_minQ-(AS3377^2*R_up)+dpup_minQ</f>
        <v>-6609.2768322107495</v>
      </c>
      <c r="AT3379" s="44"/>
      <c r="AU3379" s="72"/>
    </row>
    <row r="3380" spans="15:47" ht="13" x14ac:dyDescent="0.3">
      <c r="O3380" s="6" t="s">
        <v>233</v>
      </c>
      <c r="P3380" s="6"/>
      <c r="Q3380" s="60"/>
      <c r="R3380" s="85">
        <f>P_2_minQ+(R3377^2*R_dn)-dpdn_minQ</f>
        <v>25.389049372463319</v>
      </c>
      <c r="S3380" s="66"/>
      <c r="T3380" s="74"/>
      <c r="U3380" s="53">
        <f>P_2_minQ+(U3377^2*R_dn)-dpdn_minQ</f>
        <v>26.943573850861739</v>
      </c>
      <c r="V3380" s="45"/>
      <c r="W3380" s="74"/>
      <c r="X3380" s="53">
        <f>P_2_minQ+(X3377^2*R_dn)-dpdn_minQ</f>
        <v>37.832979365263043</v>
      </c>
      <c r="Y3380" s="45"/>
      <c r="Z3380" s="74"/>
      <c r="AA3380" s="53">
        <f>P_2_minQ+(AA3377^2*R_dn)-dpdn_minQ</f>
        <v>72.693014446078337</v>
      </c>
      <c r="AB3380" s="45"/>
      <c r="AC3380" s="74"/>
      <c r="AD3380" s="53">
        <f>P_2_minQ+(AD3377^2*R_dn)-dpdn_minQ</f>
        <v>154.58586597092872</v>
      </c>
      <c r="AE3380" s="45"/>
      <c r="AF3380" s="74"/>
      <c r="AG3380" s="53">
        <f>P_2_minQ+(AG3377^2*R_dn)-dpdn_minQ</f>
        <v>312.6725725390686</v>
      </c>
      <c r="AH3380" s="45"/>
      <c r="AI3380" s="74"/>
      <c r="AJ3380" s="53">
        <f>P_2_minQ+(AJ3377^2*R_dn)-dpdn_minQ</f>
        <v>537.58428350144504</v>
      </c>
      <c r="AK3380" s="45"/>
      <c r="AL3380" s="74"/>
      <c r="AM3380" s="53">
        <f>P_2_minQ+(AM3377^2*R_dn)-dpdn_minQ</f>
        <v>788.33594214652783</v>
      </c>
      <c r="AN3380" s="45"/>
      <c r="AO3380" s="74"/>
      <c r="AP3380" s="53">
        <f>P_2_minQ+(AP3377^2*R_dn)-dpdn_minQ</f>
        <v>1053.9809133665974</v>
      </c>
      <c r="AQ3380" s="45"/>
      <c r="AR3380" s="74"/>
      <c r="AS3380" s="53">
        <f>P_2_minQ+(AS3377^2*R_dn)-dpdn_minQ</f>
        <v>1357.8953664421499</v>
      </c>
      <c r="AT3380" s="45"/>
      <c r="AU3380" s="74"/>
    </row>
    <row r="3381" spans="15:47" x14ac:dyDescent="0.25">
      <c r="O3381" s="6" t="s">
        <v>243</v>
      </c>
      <c r="Q3381" s="60"/>
      <c r="R3381" s="53">
        <f>R3379-R3380</f>
        <v>27.865703765220083</v>
      </c>
      <c r="S3381" s="56"/>
      <c r="T3381" s="72"/>
      <c r="U3381" s="64">
        <f>U3379-U3380</f>
        <v>18.538556894829576</v>
      </c>
      <c r="V3381" s="44"/>
      <c r="W3381" s="72"/>
      <c r="X3381" s="64">
        <f>X3379-X3380</f>
        <v>-46.797876191578212</v>
      </c>
      <c r="Y3381" s="44"/>
      <c r="Z3381" s="72"/>
      <c r="AA3381" s="64">
        <f>AA3379-AA3380</f>
        <v>-255.95808667647</v>
      </c>
      <c r="AB3381" s="44"/>
      <c r="AC3381" s="72"/>
      <c r="AD3381" s="64">
        <f>AD3379-AD3380</f>
        <v>-747.31519582557246</v>
      </c>
      <c r="AE3381" s="44"/>
      <c r="AF3381" s="72"/>
      <c r="AG3381" s="64">
        <f>AG3379-AG3380</f>
        <v>-1695.8354352344118</v>
      </c>
      <c r="AH3381" s="44"/>
      <c r="AI3381" s="72"/>
      <c r="AJ3381" s="64">
        <f>AJ3379-AJ3380</f>
        <v>-3045.3057010086709</v>
      </c>
      <c r="AK3381" s="44"/>
      <c r="AL3381" s="72"/>
      <c r="AM3381" s="64">
        <f>AM3379-AM3380</f>
        <v>-4549.8156528791669</v>
      </c>
      <c r="AN3381" s="44"/>
      <c r="AO3381" s="72"/>
      <c r="AP3381" s="64">
        <f>AP3379-AP3380</f>
        <v>-6143.6854801995851</v>
      </c>
      <c r="AQ3381" s="44"/>
      <c r="AR3381" s="72"/>
      <c r="AS3381" s="64">
        <f>AS3379-AS3380</f>
        <v>-7967.1721986528992</v>
      </c>
      <c r="AT3381" s="44"/>
      <c r="AU3381" s="72"/>
    </row>
    <row r="3382" spans="15:47" ht="13" x14ac:dyDescent="0.3">
      <c r="O3382" s="6" t="s">
        <v>75</v>
      </c>
      <c r="P3382" s="6">
        <v>3</v>
      </c>
      <c r="Q3382" s="65"/>
      <c r="R3382" s="85">
        <f>(F_LP_h/F_P_h)^2*(R3379-('Valve Sizing'!$V$4*'Valve Sizing'!$G$7))</f>
        <v>43.733340088229959</v>
      </c>
      <c r="S3382" s="58"/>
      <c r="T3382" s="73"/>
      <c r="U3382" s="53">
        <f>(U$29/U$27)^2*(U3379-('Valve Sizing'!$V$4*'Valve Sizing'!$G$7))</f>
        <v>37.287035087053106</v>
      </c>
      <c r="V3382" s="41"/>
      <c r="W3382" s="73"/>
      <c r="X3382" s="53">
        <f>(X$29/X$27)^2*(X3379-('Valve Sizing'!$V$4*'Valve Sizing'!$G$7))</f>
        <v>-7.610052457467015</v>
      </c>
      <c r="Y3382" s="41"/>
      <c r="Z3382" s="73"/>
      <c r="AA3382" s="53">
        <f>(AA$29/AA$27)^2*(AA3379-('Valve Sizing'!$V$4*'Valve Sizing'!$G$7))</f>
        <v>-141.96681393457328</v>
      </c>
      <c r="AB3382" s="41"/>
      <c r="AC3382" s="73"/>
      <c r="AD3382" s="53">
        <f>(AD$29/AD$27)^2*(AD3379-('Valve Sizing'!$V$4*'Valve Sizing'!$G$7))</f>
        <v>-427.78629260413999</v>
      </c>
      <c r="AE3382" s="41"/>
      <c r="AF3382" s="73"/>
      <c r="AG3382" s="53">
        <f>(AG$29/AG$27)^2*(AG3379-('Valve Sizing'!$V$4*'Valve Sizing'!$G$7))</f>
        <v>-891.10109169990233</v>
      </c>
      <c r="AH3382" s="41"/>
      <c r="AI3382" s="73"/>
      <c r="AJ3382" s="53">
        <f>(AJ$29/AJ$27)^2*(AJ3379-('Valve Sizing'!$V$4*'Valve Sizing'!$G$7))</f>
        <v>-1450.6311444811042</v>
      </c>
      <c r="AK3382" s="41"/>
      <c r="AL3382" s="73"/>
      <c r="AM3382" s="53">
        <f>(AM$29/AM$27)^2*(AM3379-('Valve Sizing'!$V$4*'Valve Sizing'!$G$7))</f>
        <v>-1799.9738370982714</v>
      </c>
      <c r="AN3382" s="41"/>
      <c r="AO3382" s="73"/>
      <c r="AP3382" s="53">
        <f>(AP$29/AP$27)^2*(AP3379-('Valve Sizing'!$V$4*'Valve Sizing'!$G$7))</f>
        <v>-2008.7076239626153</v>
      </c>
      <c r="AQ3382" s="41"/>
      <c r="AR3382" s="73"/>
      <c r="AS3382" s="53">
        <f>(AS$29/AS$27)^2*(AS3379-('Valve Sizing'!$V$4*'Valve Sizing'!$G$7))</f>
        <v>-2486.1841597607813</v>
      </c>
      <c r="AT3382" s="41"/>
      <c r="AU3382" s="73"/>
    </row>
    <row r="3383" spans="15:47" ht="13" x14ac:dyDescent="0.25">
      <c r="O3383" s="1" t="s">
        <v>69</v>
      </c>
      <c r="P3383" s="17">
        <v>7</v>
      </c>
      <c r="Q3383" s="65"/>
      <c r="R3383" s="53">
        <f>(R3377/(N_1*F_P_h))*SQRT('Valve Sizing'!$G$6/R3381)</f>
        <v>62.383641674159101</v>
      </c>
      <c r="S3383" s="58"/>
      <c r="T3383" s="73"/>
      <c r="U3383" s="64">
        <f>(U3377/(N_1*U$27))*SQRT('Valve Sizing'!$G$6/U3381)</f>
        <v>135.25279308510574</v>
      </c>
      <c r="V3383" s="41"/>
      <c r="W3383" s="73"/>
      <c r="X3383" s="64" t="e">
        <f>(X3377/(N_1*X$27))*SQRT('Valve Sizing'!$G$6/X3381)</f>
        <v>#NUM!</v>
      </c>
      <c r="Y3383" s="41"/>
      <c r="Z3383" s="73"/>
      <c r="AA3383" s="64" t="e">
        <f>(AA3377/(N_1*AA$27))*SQRT('Valve Sizing'!$G$6/AA3381)</f>
        <v>#NUM!</v>
      </c>
      <c r="AB3383" s="41"/>
      <c r="AC3383" s="73"/>
      <c r="AD3383" s="64" t="e">
        <f>(AD3377/(N_1*AD$27))*SQRT('Valve Sizing'!$G$6/AD3381)</f>
        <v>#NUM!</v>
      </c>
      <c r="AE3383" s="41"/>
      <c r="AF3383" s="73"/>
      <c r="AG3383" s="64" t="e">
        <f>(AG3377/(N_1*AG$27))*SQRT('Valve Sizing'!$G$6/AG3381)</f>
        <v>#NUM!</v>
      </c>
      <c r="AH3383" s="41"/>
      <c r="AI3383" s="73"/>
      <c r="AJ3383" s="64" t="e">
        <f>(AJ3377/(N_1*AJ$27))*SQRT('Valve Sizing'!$G$6/AJ3381)</f>
        <v>#NUM!</v>
      </c>
      <c r="AK3383" s="41"/>
      <c r="AL3383" s="73"/>
      <c r="AM3383" s="64" t="e">
        <f>(AM3377/(N_1*AM$27))*SQRT('Valve Sizing'!$G$6/AM3381)</f>
        <v>#NUM!</v>
      </c>
      <c r="AN3383" s="41"/>
      <c r="AO3383" s="73"/>
      <c r="AP3383" s="64" t="e">
        <f>(AP3377/(N_1*AP$27))*SQRT('Valve Sizing'!$G$6/AP3381)</f>
        <v>#NUM!</v>
      </c>
      <c r="AQ3383" s="41"/>
      <c r="AR3383" s="73"/>
      <c r="AS3383" s="64" t="e">
        <f>(AS3377/(N_1*AS$27))*SQRT('Valve Sizing'!$G$6/AS3381)</f>
        <v>#NUM!</v>
      </c>
      <c r="AT3383" s="41"/>
      <c r="AU3383" s="73"/>
    </row>
    <row r="3384" spans="15:47" ht="13" x14ac:dyDescent="0.3">
      <c r="O3384" s="1" t="s">
        <v>72</v>
      </c>
      <c r="P3384" s="17">
        <v>7</v>
      </c>
      <c r="Q3384" s="65"/>
      <c r="R3384" s="53">
        <f>(R3377/(N_1*F_P_h))*SQRT('Valve Sizing'!$G$6/R3382)</f>
        <v>49.796567486112743</v>
      </c>
      <c r="S3384" s="56"/>
      <c r="T3384" s="72"/>
      <c r="U3384" s="85">
        <f>(U3377/(N_1*U$27))*SQRT('Valve Sizing'!$G$6/U3382)</f>
        <v>95.368571782342769</v>
      </c>
      <c r="V3384" s="44"/>
      <c r="W3384" s="72"/>
      <c r="X3384" s="85" t="e">
        <f>(X3377/(N_1*X$27))*SQRT('Valve Sizing'!$G$6/X3382)</f>
        <v>#NUM!</v>
      </c>
      <c r="Y3384" s="44"/>
      <c r="Z3384" s="72"/>
      <c r="AA3384" s="85" t="e">
        <f>(AA3377/(N_1*AA$27))*SQRT('Valve Sizing'!$G$6/AA3382)</f>
        <v>#NUM!</v>
      </c>
      <c r="AB3384" s="44"/>
      <c r="AC3384" s="72"/>
      <c r="AD3384" s="85" t="e">
        <f>(AD3377/(N_1*AD$27))*SQRT('Valve Sizing'!$G$6/AD3382)</f>
        <v>#NUM!</v>
      </c>
      <c r="AE3384" s="44"/>
      <c r="AF3384" s="72"/>
      <c r="AG3384" s="85" t="e">
        <f>(AG3377/(N_1*AG$27))*SQRT('Valve Sizing'!$G$6/AG3382)</f>
        <v>#NUM!</v>
      </c>
      <c r="AH3384" s="44"/>
      <c r="AI3384" s="72"/>
      <c r="AJ3384" s="85" t="e">
        <f>(AJ3377/(N_1*AJ$27))*SQRT('Valve Sizing'!$G$6/AJ3382)</f>
        <v>#NUM!</v>
      </c>
      <c r="AK3384" s="44"/>
      <c r="AL3384" s="72"/>
      <c r="AM3384" s="85" t="e">
        <f>(AM3377/(N_1*AM$27))*SQRT('Valve Sizing'!$G$6/AM3382)</f>
        <v>#NUM!</v>
      </c>
      <c r="AN3384" s="44"/>
      <c r="AO3384" s="72"/>
      <c r="AP3384" s="85" t="e">
        <f>(AP3377/(N_1*AP$27))*SQRT('Valve Sizing'!$G$6/AP3382)</f>
        <v>#NUM!</v>
      </c>
      <c r="AQ3384" s="44"/>
      <c r="AR3384" s="72"/>
      <c r="AS3384" s="85" t="e">
        <f>(AS3377/(N_1*AS$27))*SQRT('Valve Sizing'!$G$6/AS3382)</f>
        <v>#NUM!</v>
      </c>
      <c r="AT3384" s="44"/>
      <c r="AU3384" s="72"/>
    </row>
    <row r="3385" spans="15:47" x14ac:dyDescent="0.25">
      <c r="O3385" s="1" t="s">
        <v>246</v>
      </c>
      <c r="P3385" s="18"/>
      <c r="Q3385" s="65"/>
      <c r="R3385" s="53">
        <f>IF(R3381&lt;R3382,R3383,R3384)</f>
        <v>62.383641674159101</v>
      </c>
      <c r="S3385" s="49"/>
      <c r="T3385" s="72"/>
      <c r="U3385" s="64">
        <f>IF(U3381&lt;U3382,U3383,U3384)</f>
        <v>135.25279308510574</v>
      </c>
      <c r="V3385" s="44"/>
      <c r="W3385" s="72"/>
      <c r="X3385" s="64" t="e">
        <f>IF(X3381&lt;X3382,X3383,X3384)</f>
        <v>#NUM!</v>
      </c>
      <c r="Y3385" s="44"/>
      <c r="Z3385" s="72"/>
      <c r="AA3385" s="64" t="e">
        <f>IF(AA3381&lt;AA3382,AA3383,AA3384)</f>
        <v>#NUM!</v>
      </c>
      <c r="AB3385" s="44"/>
      <c r="AC3385" s="72"/>
      <c r="AD3385" s="64" t="e">
        <f>IF(AD3381&lt;AD3382,AD3383,AD3384)</f>
        <v>#NUM!</v>
      </c>
      <c r="AE3385" s="44"/>
      <c r="AF3385" s="72"/>
      <c r="AG3385" s="64" t="e">
        <f>IF(AG3381&lt;AG3382,AG3383,AG3384)</f>
        <v>#NUM!</v>
      </c>
      <c r="AH3385" s="44"/>
      <c r="AI3385" s="72"/>
      <c r="AJ3385" s="64" t="e">
        <f>IF(AJ3381&lt;AJ3382,AJ3383,AJ3384)</f>
        <v>#NUM!</v>
      </c>
      <c r="AK3385" s="44"/>
      <c r="AL3385" s="72"/>
      <c r="AM3385" s="64" t="e">
        <f>IF(AM3381&lt;AM3382,AM3383,AM3384)</f>
        <v>#NUM!</v>
      </c>
      <c r="AN3385" s="44"/>
      <c r="AO3385" s="72"/>
      <c r="AP3385" s="64" t="e">
        <f>IF(AP3381&lt;AP3382,AP3383,AP3384)</f>
        <v>#NUM!</v>
      </c>
      <c r="AQ3385" s="44"/>
      <c r="AR3385" s="72"/>
      <c r="AS3385" s="64" t="e">
        <f>IF(AS3381&lt;AS3382,AS3383,AS3384)</f>
        <v>#NUM!</v>
      </c>
      <c r="AT3385" s="44"/>
      <c r="AU3385" s="72"/>
    </row>
    <row r="3386" spans="15:47" ht="13" x14ac:dyDescent="0.3">
      <c r="O3386" s="7" t="s">
        <v>264</v>
      </c>
      <c r="Q3386" s="61"/>
      <c r="R3386" s="53"/>
      <c r="S3386" s="69">
        <f>IFERROR(ABS(C_h-R3385),Q_max*10)</f>
        <v>57.383641674159101</v>
      </c>
      <c r="T3386" s="76">
        <f>R3377</f>
        <v>329.26244789406888</v>
      </c>
      <c r="U3386" s="61"/>
      <c r="V3386" s="69">
        <f>IFERROR(ABS(U$23-U3385),Q_max*10)</f>
        <v>123.25279308510574</v>
      </c>
      <c r="W3386" s="75">
        <f>U3377</f>
        <v>581.86004212360217</v>
      </c>
      <c r="X3386" s="61"/>
      <c r="Y3386" s="69">
        <f>IFERROR(ABS(X$23-X3385),Q_max*10)</f>
        <v>5500</v>
      </c>
      <c r="Z3386" s="75">
        <f>X3377</f>
        <v>1396.6880807922691</v>
      </c>
      <c r="AA3386" s="61"/>
      <c r="AB3386" s="69">
        <f>IFERROR(ABS(AA$23-AA3385),Q_max*10)</f>
        <v>5500</v>
      </c>
      <c r="AC3386" s="75">
        <f>AA3377</f>
        <v>2666.7894158973063</v>
      </c>
      <c r="AD3386" s="61"/>
      <c r="AE3386" s="69">
        <f>IFERROR(ABS(AD$23-AD3385),Q_max*10)</f>
        <v>5500</v>
      </c>
      <c r="AF3386" s="75">
        <f>AD3377</f>
        <v>4385.8867355411721</v>
      </c>
      <c r="AG3386" s="61"/>
      <c r="AH3386" s="69">
        <f>IFERROR(ABS(AG$23-AG3385),Q_max*10)</f>
        <v>5500</v>
      </c>
      <c r="AI3386" s="75">
        <f>AG3377</f>
        <v>6529.987700172881</v>
      </c>
      <c r="AJ3386" s="61"/>
      <c r="AK3386" s="69">
        <f>IFERROR(ABS(AJ$23-AJ3385),Q_max*10)</f>
        <v>5500</v>
      </c>
      <c r="AL3386" s="75">
        <f>AJ3377</f>
        <v>8714.2938998170666</v>
      </c>
      <c r="AM3386" s="61"/>
      <c r="AN3386" s="69">
        <f>IFERROR(ABS(AM$23-AM3385),Q_max*10)</f>
        <v>5500</v>
      </c>
      <c r="AO3386" s="75">
        <f>AM3377</f>
        <v>10633.094621736112</v>
      </c>
      <c r="AP3386" s="61"/>
      <c r="AQ3386" s="69">
        <f>IFERROR(ABS(AP$23-AP3385),Q_max*10)</f>
        <v>5500</v>
      </c>
      <c r="AR3386" s="75">
        <f>AP3377</f>
        <v>12344.692755347325</v>
      </c>
      <c r="AS3386" s="61"/>
      <c r="AT3386" s="69">
        <f>IFERROR(ABS(AS$23-AS3385),Q_max*10)</f>
        <v>5500</v>
      </c>
      <c r="AU3386" s="75">
        <f>AS3377</f>
        <v>14049.411873874304</v>
      </c>
    </row>
    <row r="3387" spans="15:47" ht="14.5" x14ac:dyDescent="0.35">
      <c r="O3387" s="6"/>
      <c r="P3387" s="6"/>
      <c r="Q3387" s="60"/>
      <c r="R3387" s="67"/>
      <c r="S3387" s="56"/>
      <c r="T3387" s="72"/>
      <c r="V3387" s="11"/>
      <c r="W3387" s="38"/>
      <c r="Y3387" s="11"/>
      <c r="Z3387" s="38"/>
      <c r="AB3387" s="11"/>
      <c r="AC3387" s="38"/>
      <c r="AE3387" s="11"/>
      <c r="AF3387" s="38"/>
      <c r="AH3387" s="11"/>
      <c r="AI3387" s="38"/>
      <c r="AK3387" s="11"/>
      <c r="AL3387" s="38"/>
      <c r="AN3387" s="11"/>
      <c r="AO3387" s="38"/>
      <c r="AQ3387" s="11"/>
      <c r="AR3387" s="38"/>
      <c r="AT3387" s="11"/>
      <c r="AU3387" s="38"/>
    </row>
    <row r="3388" spans="15:47" ht="14" x14ac:dyDescent="0.3">
      <c r="O3388" s="8" t="s">
        <v>235</v>
      </c>
      <c r="P3388" s="6"/>
      <c r="Q3388" s="60"/>
      <c r="R3388" s="53">
        <f>R3377*1.02</f>
        <v>335.84769685195027</v>
      </c>
      <c r="S3388" s="58" t="s">
        <v>238</v>
      </c>
      <c r="T3388" s="73" t="s">
        <v>241</v>
      </c>
      <c r="U3388" s="84">
        <f>U3377*1.01</f>
        <v>587.67864254483823</v>
      </c>
      <c r="V3388" s="58" t="s">
        <v>238</v>
      </c>
      <c r="W3388" s="73" t="s">
        <v>241</v>
      </c>
      <c r="X3388" s="84">
        <f>X3377*1.01</f>
        <v>1410.6549616001919</v>
      </c>
      <c r="Y3388" s="58" t="s">
        <v>238</v>
      </c>
      <c r="Z3388" s="73" t="s">
        <v>241</v>
      </c>
      <c r="AA3388" s="84">
        <f>AA3377*1.01</f>
        <v>2693.4573100562793</v>
      </c>
      <c r="AB3388" s="58" t="s">
        <v>238</v>
      </c>
      <c r="AC3388" s="73" t="s">
        <v>241</v>
      </c>
      <c r="AD3388" s="84">
        <f>AD3377*1.01</f>
        <v>4429.7456028965835</v>
      </c>
      <c r="AE3388" s="58" t="s">
        <v>238</v>
      </c>
      <c r="AF3388" s="73" t="s">
        <v>241</v>
      </c>
      <c r="AG3388" s="84">
        <f>AG3377*1.01</f>
        <v>6595.2875771746094</v>
      </c>
      <c r="AH3388" s="58" t="s">
        <v>238</v>
      </c>
      <c r="AI3388" s="73" t="s">
        <v>241</v>
      </c>
      <c r="AJ3388" s="84">
        <f>AJ3377*1.01</f>
        <v>8801.4368388152379</v>
      </c>
      <c r="AK3388" s="58" t="s">
        <v>238</v>
      </c>
      <c r="AL3388" s="73" t="s">
        <v>241</v>
      </c>
      <c r="AM3388" s="84">
        <f>AM3377*1.01</f>
        <v>10739.425567953474</v>
      </c>
      <c r="AN3388" s="58" t="s">
        <v>238</v>
      </c>
      <c r="AO3388" s="73" t="s">
        <v>241</v>
      </c>
      <c r="AP3388" s="84">
        <f>AP3377*1.01</f>
        <v>12468.139682900799</v>
      </c>
      <c r="AQ3388" s="58" t="s">
        <v>238</v>
      </c>
      <c r="AR3388" s="73" t="s">
        <v>241</v>
      </c>
      <c r="AS3388" s="84">
        <f>AS3377*1.01</f>
        <v>14189.905992613047</v>
      </c>
      <c r="AT3388" s="58" t="s">
        <v>238</v>
      </c>
      <c r="AU3388" s="73" t="s">
        <v>241</v>
      </c>
    </row>
    <row r="3389" spans="15:47" ht="13" x14ac:dyDescent="0.25">
      <c r="O3389" s="6"/>
      <c r="P3389" s="6"/>
      <c r="Q3389" s="60"/>
      <c r="R3389" s="70"/>
      <c r="S3389" s="63" t="s">
        <v>250</v>
      </c>
      <c r="T3389" s="71" t="s">
        <v>242</v>
      </c>
      <c r="U3389" s="61"/>
      <c r="V3389" s="63" t="s">
        <v>250</v>
      </c>
      <c r="W3389" s="71" t="s">
        <v>242</v>
      </c>
      <c r="X3389" s="61"/>
      <c r="Y3389" s="63" t="s">
        <v>250</v>
      </c>
      <c r="Z3389" s="71" t="s">
        <v>242</v>
      </c>
      <c r="AA3389" s="61"/>
      <c r="AB3389" s="63" t="s">
        <v>250</v>
      </c>
      <c r="AC3389" s="71" t="s">
        <v>242</v>
      </c>
      <c r="AD3389" s="61"/>
      <c r="AE3389" s="63" t="s">
        <v>250</v>
      </c>
      <c r="AF3389" s="71" t="s">
        <v>242</v>
      </c>
      <c r="AG3389" s="61"/>
      <c r="AH3389" s="63" t="s">
        <v>250</v>
      </c>
      <c r="AI3389" s="71" t="s">
        <v>242</v>
      </c>
      <c r="AJ3389" s="61"/>
      <c r="AK3389" s="63" t="s">
        <v>250</v>
      </c>
      <c r="AL3389" s="71" t="s">
        <v>242</v>
      </c>
      <c r="AM3389" s="61"/>
      <c r="AN3389" s="63" t="s">
        <v>250</v>
      </c>
      <c r="AO3389" s="71" t="s">
        <v>242</v>
      </c>
      <c r="AP3389" s="61"/>
      <c r="AQ3389" s="63" t="s">
        <v>250</v>
      </c>
      <c r="AR3389" s="71" t="s">
        <v>242</v>
      </c>
      <c r="AS3389" s="61"/>
      <c r="AT3389" s="63" t="s">
        <v>250</v>
      </c>
      <c r="AU3389" s="71" t="s">
        <v>242</v>
      </c>
    </row>
    <row r="3390" spans="15:47" ht="13" x14ac:dyDescent="0.3">
      <c r="O3390" s="6" t="s">
        <v>231</v>
      </c>
      <c r="P3390" s="6"/>
      <c r="Q3390" s="60"/>
      <c r="R3390" s="85">
        <f>P_1_minQ-(R3388^2*R_up)+dpup_minQ</f>
        <v>53.106832979373202</v>
      </c>
      <c r="S3390" s="56"/>
      <c r="T3390" s="72"/>
      <c r="U3390" s="53">
        <f>P_1_minQ-(U3388^2*R_up)+dpup_minQ</f>
        <v>45.252307095462889</v>
      </c>
      <c r="V3390" s="44"/>
      <c r="W3390" s="72"/>
      <c r="X3390" s="53">
        <f>P_1_minQ-(X3388^2*R_up)+dpup_minQ</f>
        <v>-10.289105730740932</v>
      </c>
      <c r="Y3390" s="44"/>
      <c r="Z3390" s="72"/>
      <c r="AA3390" s="53">
        <f>P_1_minQ-(AA3388^2*R_up)+dpup_minQ</f>
        <v>-188.09271466043933</v>
      </c>
      <c r="AB3390" s="44"/>
      <c r="AC3390" s="72"/>
      <c r="AD3390" s="53">
        <f>P_1_minQ-(AD3388^2*R_up)+dpup_minQ</f>
        <v>-605.78720386293878</v>
      </c>
      <c r="AE3390" s="44"/>
      <c r="AF3390" s="72"/>
      <c r="AG3390" s="53">
        <f>P_1_minQ-(AG3388^2*R_up)+dpup_minQ</f>
        <v>-1412.1084507137364</v>
      </c>
      <c r="AH3390" s="44"/>
      <c r="AI3390" s="72"/>
      <c r="AJ3390" s="53">
        <f>P_1_minQ-(AJ3388^2*R_up)+dpup_minQ</f>
        <v>-2559.270632477338</v>
      </c>
      <c r="AK3390" s="44"/>
      <c r="AL3390" s="72"/>
      <c r="AM3390" s="53">
        <f>P_1_minQ-(AM3388^2*R_up)+dpup_minQ</f>
        <v>-3838.229467396583</v>
      </c>
      <c r="AN3390" s="44"/>
      <c r="AO3390" s="72"/>
      <c r="AP3390" s="53">
        <f>P_1_minQ-(AP3388^2*R_up)+dpup_minQ</f>
        <v>-5193.1516431045475</v>
      </c>
      <c r="AQ3390" s="44"/>
      <c r="AR3390" s="72"/>
      <c r="AS3390" s="53">
        <f>P_1_minQ-(AS3388^2*R_up)+dpup_minQ</f>
        <v>-6743.2673110164023</v>
      </c>
      <c r="AT3390" s="44"/>
      <c r="AU3390" s="72"/>
    </row>
    <row r="3391" spans="15:47" ht="13" x14ac:dyDescent="0.3">
      <c r="O3391" s="6" t="s">
        <v>233</v>
      </c>
      <c r="P3391" s="6"/>
      <c r="Q3391" s="60"/>
      <c r="R3391" s="85">
        <f>P_2_minQ+(R3388^2*R_dn)-dpdn_minQ</f>
        <v>25.418633404125362</v>
      </c>
      <c r="S3391" s="66"/>
      <c r="T3391" s="74"/>
      <c r="U3391" s="53">
        <f>P_2_minQ+(U3388^2*R_dn)-dpdn_minQ</f>
        <v>26.989538580907421</v>
      </c>
      <c r="V3391" s="45"/>
      <c r="W3391" s="74"/>
      <c r="X3391" s="53">
        <f>P_2_minQ+(X3388^2*R_dn)-dpdn_minQ</f>
        <v>38.097821146148192</v>
      </c>
      <c r="Y3391" s="45"/>
      <c r="Z3391" s="74"/>
      <c r="AA3391" s="53">
        <f>P_2_minQ+(AA3388^2*R_dn)-dpdn_minQ</f>
        <v>73.658542932087869</v>
      </c>
      <c r="AB3391" s="45"/>
      <c r="AC3391" s="74"/>
      <c r="AD3391" s="53">
        <f>P_2_minQ+(AD3388^2*R_dn)-dpdn_minQ</f>
        <v>157.19744077258778</v>
      </c>
      <c r="AE3391" s="45"/>
      <c r="AF3391" s="74"/>
      <c r="AG3391" s="53">
        <f>P_2_minQ+(AG3388^2*R_dn)-dpdn_minQ</f>
        <v>318.46169014274722</v>
      </c>
      <c r="AH3391" s="45"/>
      <c r="AI3391" s="74"/>
      <c r="AJ3391" s="53">
        <f>P_2_minQ+(AJ3388^2*R_dn)-dpdn_minQ</f>
        <v>547.8941264954675</v>
      </c>
      <c r="AK3391" s="45"/>
      <c r="AL3391" s="74"/>
      <c r="AM3391" s="53">
        <f>P_2_minQ+(AM3388^2*R_dn)-dpdn_minQ</f>
        <v>803.68589347931652</v>
      </c>
      <c r="AN3391" s="45"/>
      <c r="AO3391" s="74"/>
      <c r="AP3391" s="53">
        <f>P_2_minQ+(AP3388^2*R_dn)-dpdn_minQ</f>
        <v>1074.6703286209095</v>
      </c>
      <c r="AQ3391" s="45"/>
      <c r="AR3391" s="74"/>
      <c r="AS3391" s="53">
        <f>P_2_minQ+(AS3388^2*R_dn)-dpdn_minQ</f>
        <v>1384.6934622032804</v>
      </c>
      <c r="AT3391" s="45"/>
      <c r="AU3391" s="74"/>
    </row>
    <row r="3392" spans="15:47" x14ac:dyDescent="0.25">
      <c r="O3392" s="6" t="s">
        <v>243</v>
      </c>
      <c r="Q3392" s="60"/>
      <c r="R3392" s="53">
        <f>R3390-R3391</f>
        <v>27.68819957524784</v>
      </c>
      <c r="S3392" s="56"/>
      <c r="T3392" s="72"/>
      <c r="U3392" s="64">
        <f>U3390-U3391</f>
        <v>18.262768514555468</v>
      </c>
      <c r="V3392" s="44"/>
      <c r="W3392" s="72"/>
      <c r="X3392" s="64">
        <f>X3390-X3391</f>
        <v>-48.38692687688912</v>
      </c>
      <c r="Y3392" s="44"/>
      <c r="Z3392" s="72"/>
      <c r="AA3392" s="64">
        <f>AA3390-AA3391</f>
        <v>-261.75125759252717</v>
      </c>
      <c r="AB3392" s="44"/>
      <c r="AC3392" s="72"/>
      <c r="AD3392" s="64">
        <f>AD3390-AD3391</f>
        <v>-762.98464463552659</v>
      </c>
      <c r="AE3392" s="44"/>
      <c r="AF3392" s="72"/>
      <c r="AG3392" s="64">
        <f>AG3390-AG3391</f>
        <v>-1730.5701408564837</v>
      </c>
      <c r="AH3392" s="44"/>
      <c r="AI3392" s="72"/>
      <c r="AJ3392" s="64">
        <f>AJ3390-AJ3391</f>
        <v>-3107.1647589728054</v>
      </c>
      <c r="AK3392" s="44"/>
      <c r="AL3392" s="72"/>
      <c r="AM3392" s="64">
        <f>AM3390-AM3391</f>
        <v>-4641.9153608758998</v>
      </c>
      <c r="AN3392" s="44"/>
      <c r="AO3392" s="72"/>
      <c r="AP3392" s="64">
        <f>AP3390-AP3391</f>
        <v>-6267.8219717254569</v>
      </c>
      <c r="AQ3392" s="44"/>
      <c r="AR3392" s="72"/>
      <c r="AS3392" s="64">
        <f>AS3390-AS3391</f>
        <v>-8127.9607732196828</v>
      </c>
      <c r="AT3392" s="44"/>
      <c r="AU3392" s="72"/>
    </row>
    <row r="3393" spans="15:47" ht="13" x14ac:dyDescent="0.3">
      <c r="O3393" s="6" t="s">
        <v>75</v>
      </c>
      <c r="P3393" s="6">
        <v>3</v>
      </c>
      <c r="Q3393" s="65"/>
      <c r="R3393" s="85">
        <f>(F_LP_h/F_P_h)^2*(R3390-('Valve Sizing'!$V$4*'Valve Sizing'!$G$7))</f>
        <v>43.610854432829072</v>
      </c>
      <c r="S3393" s="58"/>
      <c r="T3393" s="73"/>
      <c r="U3393" s="53">
        <f>(U$29/U$27)^2*(U3390-('Valve Sizing'!$V$4*'Valve Sizing'!$G$7))</f>
        <v>37.096780910800973</v>
      </c>
      <c r="V3393" s="41"/>
      <c r="W3393" s="73"/>
      <c r="X3393" s="53">
        <f>(X$29/X$27)^2*(X3390-('Valve Sizing'!$V$4*'Valve Sizing'!$G$7))</f>
        <v>-8.6815408131403693</v>
      </c>
      <c r="Y3393" s="41"/>
      <c r="Z3393" s="73"/>
      <c r="AA3393" s="53">
        <f>(AA$29/AA$27)^2*(AA3390-('Valve Sizing'!$V$4*'Valve Sizing'!$G$7))</f>
        <v>-145.6976025902016</v>
      </c>
      <c r="AB3393" s="41"/>
      <c r="AC3393" s="73"/>
      <c r="AD3393" s="53">
        <f>(AD$29/AD$27)^2*(AD3390-('Valve Sizing'!$V$4*'Valve Sizing'!$G$7))</f>
        <v>-437.20346690340909</v>
      </c>
      <c r="AE3393" s="41"/>
      <c r="AF3393" s="73"/>
      <c r="AG3393" s="53">
        <f>(AG$29/AG$27)^2*(AG3390-('Valve Sizing'!$V$4*'Valve Sizing'!$G$7))</f>
        <v>-909.74332257658648</v>
      </c>
      <c r="AH3393" s="41"/>
      <c r="AI3393" s="73"/>
      <c r="AJ3393" s="53">
        <f>(AJ$29/AJ$27)^2*(AJ3390-('Valve Sizing'!$V$4*'Valve Sizing'!$G$7))</f>
        <v>-1480.4453719338815</v>
      </c>
      <c r="AK3393" s="41"/>
      <c r="AL3393" s="73"/>
      <c r="AM3393" s="53">
        <f>(AM$29/AM$27)^2*(AM3390-('Valve Sizing'!$V$4*'Valve Sizing'!$G$7))</f>
        <v>-1836.6964581278671</v>
      </c>
      <c r="AN3393" s="41"/>
      <c r="AO3393" s="73"/>
      <c r="AP3393" s="53">
        <f>(AP$29/AP$27)^2*(AP3390-('Valve Sizing'!$V$4*'Valve Sizing'!$G$7))</f>
        <v>-2049.5306154711634</v>
      </c>
      <c r="AQ3393" s="41"/>
      <c r="AR3393" s="73"/>
      <c r="AS3393" s="53">
        <f>(AS$29/AS$27)^2*(AS3390-('Valve Sizing'!$V$4*'Valve Sizing'!$G$7))</f>
        <v>-2536.5834448610908</v>
      </c>
      <c r="AT3393" s="41"/>
      <c r="AU3393" s="73"/>
    </row>
    <row r="3394" spans="15:47" ht="13" x14ac:dyDescent="0.25">
      <c r="O3394" s="1" t="s">
        <v>69</v>
      </c>
      <c r="P3394" s="17">
        <v>7</v>
      </c>
      <c r="Q3394" s="65"/>
      <c r="R3394" s="53">
        <f>(R3388/(N_1*F_P_h))*SQRT('Valve Sizing'!$G$6/R3392)</f>
        <v>63.834953253029873</v>
      </c>
      <c r="S3394" s="58"/>
      <c r="T3394" s="73"/>
      <c r="U3394" s="64">
        <f>(U3388/(N_1*U$27))*SQRT('Valve Sizing'!$G$6/U3392)</f>
        <v>137.63290326655186</v>
      </c>
      <c r="V3394" s="41"/>
      <c r="W3394" s="73"/>
      <c r="X3394" s="64" t="e">
        <f>(X3388/(N_1*X$27))*SQRT('Valve Sizing'!$G$6/X3392)</f>
        <v>#NUM!</v>
      </c>
      <c r="Y3394" s="41"/>
      <c r="Z3394" s="73"/>
      <c r="AA3394" s="64" t="e">
        <f>(AA3388/(N_1*AA$27))*SQRT('Valve Sizing'!$G$6/AA3392)</f>
        <v>#NUM!</v>
      </c>
      <c r="AB3394" s="41"/>
      <c r="AC3394" s="73"/>
      <c r="AD3394" s="64" t="e">
        <f>(AD3388/(N_1*AD$27))*SQRT('Valve Sizing'!$G$6/AD3392)</f>
        <v>#NUM!</v>
      </c>
      <c r="AE3394" s="41"/>
      <c r="AF3394" s="73"/>
      <c r="AG3394" s="64" t="e">
        <f>(AG3388/(N_1*AG$27))*SQRT('Valve Sizing'!$G$6/AG3392)</f>
        <v>#NUM!</v>
      </c>
      <c r="AH3394" s="41"/>
      <c r="AI3394" s="73"/>
      <c r="AJ3394" s="64" t="e">
        <f>(AJ3388/(N_1*AJ$27))*SQRT('Valve Sizing'!$G$6/AJ3392)</f>
        <v>#NUM!</v>
      </c>
      <c r="AK3394" s="41"/>
      <c r="AL3394" s="73"/>
      <c r="AM3394" s="64" t="e">
        <f>(AM3388/(N_1*AM$27))*SQRT('Valve Sizing'!$G$6/AM3392)</f>
        <v>#NUM!</v>
      </c>
      <c r="AN3394" s="41"/>
      <c r="AO3394" s="73"/>
      <c r="AP3394" s="64" t="e">
        <f>(AP3388/(N_1*AP$27))*SQRT('Valve Sizing'!$G$6/AP3392)</f>
        <v>#NUM!</v>
      </c>
      <c r="AQ3394" s="41"/>
      <c r="AR3394" s="73"/>
      <c r="AS3394" s="64" t="e">
        <f>(AS3388/(N_1*AS$27))*SQRT('Valve Sizing'!$G$6/AS3392)</f>
        <v>#NUM!</v>
      </c>
      <c r="AT3394" s="41"/>
      <c r="AU3394" s="73"/>
    </row>
    <row r="3395" spans="15:47" ht="13" x14ac:dyDescent="0.3">
      <c r="O3395" s="1" t="s">
        <v>72</v>
      </c>
      <c r="P3395" s="17">
        <v>7</v>
      </c>
      <c r="Q3395" s="65"/>
      <c r="R3395" s="53">
        <f>(R3388/(N_1*F_P_h))*SQRT('Valve Sizing'!$G$6/R3393)</f>
        <v>50.863776851179779</v>
      </c>
      <c r="S3395" s="56"/>
      <c r="T3395" s="72"/>
      <c r="U3395" s="85">
        <f>(U3388/(N_1*U$27))*SQRT('Valve Sizing'!$G$6/U3393)</f>
        <v>96.568940299857971</v>
      </c>
      <c r="V3395" s="44"/>
      <c r="W3395" s="72"/>
      <c r="X3395" s="85" t="e">
        <f>(X3388/(N_1*X$27))*SQRT('Valve Sizing'!$G$6/X3393)</f>
        <v>#NUM!</v>
      </c>
      <c r="Y3395" s="44"/>
      <c r="Z3395" s="72"/>
      <c r="AA3395" s="85" t="e">
        <f>(AA3388/(N_1*AA$27))*SQRT('Valve Sizing'!$G$6/AA3393)</f>
        <v>#NUM!</v>
      </c>
      <c r="AB3395" s="44"/>
      <c r="AC3395" s="72"/>
      <c r="AD3395" s="85" t="e">
        <f>(AD3388/(N_1*AD$27))*SQRT('Valve Sizing'!$G$6/AD3393)</f>
        <v>#NUM!</v>
      </c>
      <c r="AE3395" s="44"/>
      <c r="AF3395" s="72"/>
      <c r="AG3395" s="85" t="e">
        <f>(AG3388/(N_1*AG$27))*SQRT('Valve Sizing'!$G$6/AG3393)</f>
        <v>#NUM!</v>
      </c>
      <c r="AH3395" s="44"/>
      <c r="AI3395" s="72"/>
      <c r="AJ3395" s="85" t="e">
        <f>(AJ3388/(N_1*AJ$27))*SQRT('Valve Sizing'!$G$6/AJ3393)</f>
        <v>#NUM!</v>
      </c>
      <c r="AK3395" s="44"/>
      <c r="AL3395" s="72"/>
      <c r="AM3395" s="85" t="e">
        <f>(AM3388/(N_1*AM$27))*SQRT('Valve Sizing'!$G$6/AM3393)</f>
        <v>#NUM!</v>
      </c>
      <c r="AN3395" s="44"/>
      <c r="AO3395" s="72"/>
      <c r="AP3395" s="85" t="e">
        <f>(AP3388/(N_1*AP$27))*SQRT('Valve Sizing'!$G$6/AP3393)</f>
        <v>#NUM!</v>
      </c>
      <c r="AQ3395" s="44"/>
      <c r="AR3395" s="72"/>
      <c r="AS3395" s="85" t="e">
        <f>(AS3388/(N_1*AS$27))*SQRT('Valve Sizing'!$G$6/AS3393)</f>
        <v>#NUM!</v>
      </c>
      <c r="AT3395" s="44"/>
      <c r="AU3395" s="72"/>
    </row>
    <row r="3396" spans="15:47" x14ac:dyDescent="0.25">
      <c r="O3396" s="1" t="s">
        <v>246</v>
      </c>
      <c r="P3396" s="18"/>
      <c r="Q3396" s="65"/>
      <c r="R3396" s="53">
        <f>IF(R3392&lt;R3393,R3394,R3395)</f>
        <v>63.834953253029873</v>
      </c>
      <c r="S3396" s="49"/>
      <c r="T3396" s="72"/>
      <c r="U3396" s="64">
        <f>IF(U3392&lt;U3393,U3394,U3395)</f>
        <v>137.63290326655186</v>
      </c>
      <c r="V3396" s="44"/>
      <c r="W3396" s="72"/>
      <c r="X3396" s="64" t="e">
        <f>IF(X3392&lt;X3393,X3394,X3395)</f>
        <v>#NUM!</v>
      </c>
      <c r="Y3396" s="44"/>
      <c r="Z3396" s="72"/>
      <c r="AA3396" s="64" t="e">
        <f>IF(AA3392&lt;AA3393,AA3394,AA3395)</f>
        <v>#NUM!</v>
      </c>
      <c r="AB3396" s="44"/>
      <c r="AC3396" s="72"/>
      <c r="AD3396" s="64" t="e">
        <f>IF(AD3392&lt;AD3393,AD3394,AD3395)</f>
        <v>#NUM!</v>
      </c>
      <c r="AE3396" s="44"/>
      <c r="AF3396" s="72"/>
      <c r="AG3396" s="64" t="e">
        <f>IF(AG3392&lt;AG3393,AG3394,AG3395)</f>
        <v>#NUM!</v>
      </c>
      <c r="AH3396" s="44"/>
      <c r="AI3396" s="72"/>
      <c r="AJ3396" s="64" t="e">
        <f>IF(AJ3392&lt;AJ3393,AJ3394,AJ3395)</f>
        <v>#NUM!</v>
      </c>
      <c r="AK3396" s="44"/>
      <c r="AL3396" s="72"/>
      <c r="AM3396" s="64" t="e">
        <f>IF(AM3392&lt;AM3393,AM3394,AM3395)</f>
        <v>#NUM!</v>
      </c>
      <c r="AN3396" s="44"/>
      <c r="AO3396" s="72"/>
      <c r="AP3396" s="64" t="e">
        <f>IF(AP3392&lt;AP3393,AP3394,AP3395)</f>
        <v>#NUM!</v>
      </c>
      <c r="AQ3396" s="44"/>
      <c r="AR3396" s="72"/>
      <c r="AS3396" s="64" t="e">
        <f>IF(AS3392&lt;AS3393,AS3394,AS3395)</f>
        <v>#NUM!</v>
      </c>
      <c r="AT3396" s="44"/>
      <c r="AU3396" s="72"/>
    </row>
    <row r="3397" spans="15:47" ht="13" x14ac:dyDescent="0.3">
      <c r="O3397" s="7" t="s">
        <v>264</v>
      </c>
      <c r="Q3397" s="61"/>
      <c r="R3397" s="53"/>
      <c r="S3397" s="69">
        <f>IFERROR(ABS(C_h-R3396),Q_max*10)</f>
        <v>58.834953253029873</v>
      </c>
      <c r="T3397" s="76">
        <f>R3388</f>
        <v>335.84769685195027</v>
      </c>
      <c r="U3397" s="61"/>
      <c r="V3397" s="69">
        <f>IFERROR(ABS(U$23-U3396),Q_max*10)</f>
        <v>125.63290326655186</v>
      </c>
      <c r="W3397" s="75">
        <f>U3388</f>
        <v>587.67864254483823</v>
      </c>
      <c r="X3397" s="61"/>
      <c r="Y3397" s="69">
        <f>IFERROR(ABS(X$23-X3396),Q_max*10)</f>
        <v>5500</v>
      </c>
      <c r="Z3397" s="75">
        <f>X3388</f>
        <v>1410.6549616001919</v>
      </c>
      <c r="AA3397" s="61"/>
      <c r="AB3397" s="69">
        <f>IFERROR(ABS(AA$23-AA3396),Q_max*10)</f>
        <v>5500</v>
      </c>
      <c r="AC3397" s="75">
        <f>AA3388</f>
        <v>2693.4573100562793</v>
      </c>
      <c r="AD3397" s="61"/>
      <c r="AE3397" s="69">
        <f>IFERROR(ABS(AD$23-AD3396),Q_max*10)</f>
        <v>5500</v>
      </c>
      <c r="AF3397" s="75">
        <f>AD3388</f>
        <v>4429.7456028965835</v>
      </c>
      <c r="AG3397" s="61"/>
      <c r="AH3397" s="69">
        <f>IFERROR(ABS(AG$23-AG3396),Q_max*10)</f>
        <v>5500</v>
      </c>
      <c r="AI3397" s="75">
        <f>AG3388</f>
        <v>6595.2875771746094</v>
      </c>
      <c r="AJ3397" s="61"/>
      <c r="AK3397" s="69">
        <f>IFERROR(ABS(AJ$23-AJ3396),Q_max*10)</f>
        <v>5500</v>
      </c>
      <c r="AL3397" s="75">
        <f>AJ3388</f>
        <v>8801.4368388152379</v>
      </c>
      <c r="AM3397" s="61"/>
      <c r="AN3397" s="69">
        <f>IFERROR(ABS(AM$23-AM3396),Q_max*10)</f>
        <v>5500</v>
      </c>
      <c r="AO3397" s="75">
        <f>AM3388</f>
        <v>10739.425567953474</v>
      </c>
      <c r="AP3397" s="61"/>
      <c r="AQ3397" s="69">
        <f>IFERROR(ABS(AP$23-AP3396),Q_max*10)</f>
        <v>5500</v>
      </c>
      <c r="AR3397" s="75">
        <f>AP3388</f>
        <v>12468.139682900799</v>
      </c>
      <c r="AS3397" s="61"/>
      <c r="AT3397" s="69">
        <f>IFERROR(ABS(AS$23-AS3396),Q_max*10)</f>
        <v>5500</v>
      </c>
      <c r="AU3397" s="75">
        <f>AS3388</f>
        <v>14189.905992613047</v>
      </c>
    </row>
    <row r="3398" spans="15:47" ht="14.5" x14ac:dyDescent="0.35">
      <c r="O3398" s="6"/>
      <c r="P3398" s="6"/>
      <c r="Q3398" s="60"/>
      <c r="R3398" s="67"/>
      <c r="S3398" s="58"/>
      <c r="T3398" s="73"/>
      <c r="V3398" s="11"/>
      <c r="W3398" s="38"/>
      <c r="Y3398" s="11"/>
      <c r="Z3398" s="38"/>
      <c r="AB3398" s="11"/>
      <c r="AC3398" s="38"/>
      <c r="AE3398" s="11"/>
      <c r="AF3398" s="38"/>
      <c r="AH3398" s="11"/>
      <c r="AI3398" s="38"/>
      <c r="AK3398" s="11"/>
      <c r="AL3398" s="38"/>
      <c r="AN3398" s="11"/>
      <c r="AO3398" s="38"/>
      <c r="AQ3398" s="11"/>
      <c r="AR3398" s="38"/>
      <c r="AT3398" s="11"/>
      <c r="AU3398" s="38"/>
    </row>
    <row r="3399" spans="15:47" ht="14" x14ac:dyDescent="0.3">
      <c r="O3399" s="8" t="s">
        <v>235</v>
      </c>
      <c r="P3399" s="6"/>
      <c r="Q3399" s="60"/>
      <c r="R3399" s="53">
        <f>R3388*1.02</f>
        <v>342.5646507889893</v>
      </c>
      <c r="S3399" s="58" t="s">
        <v>238</v>
      </c>
      <c r="T3399" s="73" t="s">
        <v>241</v>
      </c>
      <c r="U3399" s="84">
        <f>U3388*1.01</f>
        <v>593.55542897028658</v>
      </c>
      <c r="V3399" s="58" t="s">
        <v>238</v>
      </c>
      <c r="W3399" s="73" t="s">
        <v>241</v>
      </c>
      <c r="X3399" s="84">
        <f>X3388*1.01</f>
        <v>1424.7615112161939</v>
      </c>
      <c r="Y3399" s="58" t="s">
        <v>238</v>
      </c>
      <c r="Z3399" s="73" t="s">
        <v>241</v>
      </c>
      <c r="AA3399" s="84">
        <f>AA3388*1.01</f>
        <v>2720.3918831568421</v>
      </c>
      <c r="AB3399" s="58" t="s">
        <v>238</v>
      </c>
      <c r="AC3399" s="73" t="s">
        <v>241</v>
      </c>
      <c r="AD3399" s="84">
        <f>AD3388*1.01</f>
        <v>4474.0430589255493</v>
      </c>
      <c r="AE3399" s="58" t="s">
        <v>238</v>
      </c>
      <c r="AF3399" s="73" t="s">
        <v>241</v>
      </c>
      <c r="AG3399" s="84">
        <f>AG3388*1.01</f>
        <v>6661.2404529463556</v>
      </c>
      <c r="AH3399" s="58" t="s">
        <v>238</v>
      </c>
      <c r="AI3399" s="73" t="s">
        <v>241</v>
      </c>
      <c r="AJ3399" s="84">
        <f>AJ3388*1.01</f>
        <v>8889.4512072033904</v>
      </c>
      <c r="AK3399" s="58" t="s">
        <v>238</v>
      </c>
      <c r="AL3399" s="73" t="s">
        <v>241</v>
      </c>
      <c r="AM3399" s="84">
        <f>AM3388*1.01</f>
        <v>10846.81982363301</v>
      </c>
      <c r="AN3399" s="58" t="s">
        <v>238</v>
      </c>
      <c r="AO3399" s="73" t="s">
        <v>241</v>
      </c>
      <c r="AP3399" s="84">
        <f>AP3388*1.01</f>
        <v>12592.821079729807</v>
      </c>
      <c r="AQ3399" s="58" t="s">
        <v>238</v>
      </c>
      <c r="AR3399" s="73" t="s">
        <v>241</v>
      </c>
      <c r="AS3399" s="84">
        <f>AS3388*1.01</f>
        <v>14331.805052539177</v>
      </c>
      <c r="AT3399" s="58" t="s">
        <v>238</v>
      </c>
      <c r="AU3399" s="73" t="s">
        <v>241</v>
      </c>
    </row>
    <row r="3400" spans="15:47" ht="13" x14ac:dyDescent="0.25">
      <c r="O3400" s="6"/>
      <c r="P3400" s="6"/>
      <c r="Q3400" s="60"/>
      <c r="R3400" s="70"/>
      <c r="S3400" s="63" t="s">
        <v>250</v>
      </c>
      <c r="T3400" s="71" t="s">
        <v>242</v>
      </c>
      <c r="U3400" s="61"/>
      <c r="V3400" s="63" t="s">
        <v>250</v>
      </c>
      <c r="W3400" s="71" t="s">
        <v>242</v>
      </c>
      <c r="X3400" s="61"/>
      <c r="Y3400" s="63" t="s">
        <v>250</v>
      </c>
      <c r="Z3400" s="71" t="s">
        <v>242</v>
      </c>
      <c r="AA3400" s="61"/>
      <c r="AB3400" s="63" t="s">
        <v>250</v>
      </c>
      <c r="AC3400" s="71" t="s">
        <v>242</v>
      </c>
      <c r="AD3400" s="61"/>
      <c r="AE3400" s="63" t="s">
        <v>250</v>
      </c>
      <c r="AF3400" s="71" t="s">
        <v>242</v>
      </c>
      <c r="AG3400" s="61"/>
      <c r="AH3400" s="63" t="s">
        <v>250</v>
      </c>
      <c r="AI3400" s="71" t="s">
        <v>242</v>
      </c>
      <c r="AJ3400" s="61"/>
      <c r="AK3400" s="63" t="s">
        <v>250</v>
      </c>
      <c r="AL3400" s="71" t="s">
        <v>242</v>
      </c>
      <c r="AM3400" s="61"/>
      <c r="AN3400" s="63" t="s">
        <v>250</v>
      </c>
      <c r="AO3400" s="71" t="s">
        <v>242</v>
      </c>
      <c r="AP3400" s="61"/>
      <c r="AQ3400" s="63" t="s">
        <v>250</v>
      </c>
      <c r="AR3400" s="71" t="s">
        <v>242</v>
      </c>
      <c r="AS3400" s="61"/>
      <c r="AT3400" s="63" t="s">
        <v>250</v>
      </c>
      <c r="AU3400" s="71" t="s">
        <v>242</v>
      </c>
    </row>
    <row r="3401" spans="15:47" ht="13" x14ac:dyDescent="0.3">
      <c r="O3401" s="6" t="s">
        <v>231</v>
      </c>
      <c r="P3401" s="6"/>
      <c r="Q3401" s="60"/>
      <c r="R3401" s="85">
        <f>P_1_minQ-(R3399^2*R_up)+dpup_minQ</f>
        <v>52.952936846667271</v>
      </c>
      <c r="S3401" s="56"/>
      <c r="T3401" s="72"/>
      <c r="U3401" s="53">
        <f>P_1_minQ-(U3399^2*R_up)+dpup_minQ</f>
        <v>45.017863989864878</v>
      </c>
      <c r="V3401" s="44"/>
      <c r="W3401" s="72"/>
      <c r="X3401" s="53">
        <f>P_1_minQ-(X3399^2*R_up)+dpup_minQ</f>
        <v>-11.639931234145639</v>
      </c>
      <c r="Y3401" s="44"/>
      <c r="Z3401" s="72"/>
      <c r="AA3401" s="53">
        <f>P_1_minQ-(AA3399^2*R_up)+dpup_minQ</f>
        <v>-193.01739270333101</v>
      </c>
      <c r="AB3401" s="44"/>
      <c r="AC3401" s="72"/>
      <c r="AD3401" s="53">
        <f>P_1_minQ-(AD3399^2*R_up)+dpup_minQ</f>
        <v>-619.10754113880057</v>
      </c>
      <c r="AE3401" s="44"/>
      <c r="AF3401" s="72"/>
      <c r="AG3401" s="53">
        <f>P_1_minQ-(AG3399^2*R_up)+dpup_minQ</f>
        <v>-1441.6358450512992</v>
      </c>
      <c r="AH3401" s="44"/>
      <c r="AI3401" s="72"/>
      <c r="AJ3401" s="53">
        <f>P_1_minQ-(AJ3399^2*R_up)+dpup_minQ</f>
        <v>-2611.8559866683495</v>
      </c>
      <c r="AK3401" s="44"/>
      <c r="AL3401" s="72"/>
      <c r="AM3401" s="53">
        <f>P_1_minQ-(AM3399^2*R_up)+dpup_minQ</f>
        <v>-3916.5218941694716</v>
      </c>
      <c r="AN3401" s="44"/>
      <c r="AO3401" s="72"/>
      <c r="AP3401" s="53">
        <f>P_1_minQ-(AP3399^2*R_up)+dpup_minQ</f>
        <v>-5298.6780056091657</v>
      </c>
      <c r="AQ3401" s="44"/>
      <c r="AR3401" s="72"/>
      <c r="AS3401" s="53">
        <f>P_1_minQ-(AS3399^2*R_up)+dpup_minQ</f>
        <v>-6879.9509984460492</v>
      </c>
      <c r="AT3401" s="44"/>
      <c r="AU3401" s="72"/>
    </row>
    <row r="3402" spans="15:47" ht="13" x14ac:dyDescent="0.3">
      <c r="O3402" s="6" t="s">
        <v>233</v>
      </c>
      <c r="P3402" s="6"/>
      <c r="Q3402" s="60"/>
      <c r="R3402" s="85">
        <f>P_2_minQ+(R3399^2*R_dn)-dpdn_minQ</f>
        <v>25.449412630666547</v>
      </c>
      <c r="S3402" s="66"/>
      <c r="T3402" s="74"/>
      <c r="U3402" s="53">
        <f>P_2_minQ+(U3399^2*R_dn)-dpdn_minQ</f>
        <v>27.036427202027024</v>
      </c>
      <c r="V3402" s="45"/>
      <c r="W3402" s="74"/>
      <c r="X3402" s="53">
        <f>P_2_minQ+(X3399^2*R_dn)-dpdn_minQ</f>
        <v>38.367986246829133</v>
      </c>
      <c r="Y3402" s="45"/>
      <c r="Z3402" s="74"/>
      <c r="AA3402" s="53">
        <f>P_2_minQ+(AA3399^2*R_dn)-dpdn_minQ</f>
        <v>74.643478540666194</v>
      </c>
      <c r="AB3402" s="45"/>
      <c r="AC3402" s="74"/>
      <c r="AD3402" s="53">
        <f>P_2_minQ+(AD3399^2*R_dn)-dpdn_minQ</f>
        <v>159.86150822776014</v>
      </c>
      <c r="AE3402" s="45"/>
      <c r="AF3402" s="74"/>
      <c r="AG3402" s="53">
        <f>P_2_minQ+(AG3399^2*R_dn)-dpdn_minQ</f>
        <v>324.36716901025977</v>
      </c>
      <c r="AH3402" s="45"/>
      <c r="AI3402" s="74"/>
      <c r="AJ3402" s="53">
        <f>P_2_minQ+(AJ3399^2*R_dn)-dpdn_minQ</f>
        <v>558.41119733366986</v>
      </c>
      <c r="AK3402" s="45"/>
      <c r="AL3402" s="74"/>
      <c r="AM3402" s="53">
        <f>P_2_minQ+(AM3399^2*R_dn)-dpdn_minQ</f>
        <v>819.34437883389421</v>
      </c>
      <c r="AN3402" s="45"/>
      <c r="AO3402" s="74"/>
      <c r="AP3402" s="53">
        <f>P_2_minQ+(AP3399^2*R_dn)-dpdn_minQ</f>
        <v>1095.775601121833</v>
      </c>
      <c r="AQ3402" s="45"/>
      <c r="AR3402" s="74"/>
      <c r="AS3402" s="53">
        <f>P_2_minQ+(AS3399^2*R_dn)-dpdn_minQ</f>
        <v>1412.0301996892097</v>
      </c>
      <c r="AT3402" s="45"/>
      <c r="AU3402" s="74"/>
    </row>
    <row r="3403" spans="15:47" x14ac:dyDescent="0.25">
      <c r="O3403" s="6" t="s">
        <v>243</v>
      </c>
      <c r="Q3403" s="60"/>
      <c r="R3403" s="53">
        <f>R3401-R3402</f>
        <v>27.503524216000724</v>
      </c>
      <c r="S3403" s="56"/>
      <c r="T3403" s="72"/>
      <c r="U3403" s="64">
        <f>U3401-U3402</f>
        <v>17.981436787837854</v>
      </c>
      <c r="V3403" s="44"/>
      <c r="W3403" s="72"/>
      <c r="X3403" s="64">
        <f>X3401-X3402</f>
        <v>-50.007917480974768</v>
      </c>
      <c r="Y3403" s="44"/>
      <c r="Z3403" s="72"/>
      <c r="AA3403" s="64">
        <f>AA3401-AA3402</f>
        <v>-267.66087124399724</v>
      </c>
      <c r="AB3403" s="44"/>
      <c r="AC3403" s="72"/>
      <c r="AD3403" s="64">
        <f>AD3401-AD3402</f>
        <v>-778.96904936656074</v>
      </c>
      <c r="AE3403" s="44"/>
      <c r="AF3403" s="72"/>
      <c r="AG3403" s="64">
        <f>AG3401-AG3402</f>
        <v>-1766.003014061559</v>
      </c>
      <c r="AH3403" s="44"/>
      <c r="AI3403" s="72"/>
      <c r="AJ3403" s="64">
        <f>AJ3401-AJ3402</f>
        <v>-3170.2671840020193</v>
      </c>
      <c r="AK3403" s="44"/>
      <c r="AL3403" s="72"/>
      <c r="AM3403" s="64">
        <f>AM3401-AM3402</f>
        <v>-4735.8662730033657</v>
      </c>
      <c r="AN3403" s="44"/>
      <c r="AO3403" s="72"/>
      <c r="AP3403" s="64">
        <f>AP3401-AP3402</f>
        <v>-6394.4536067309982</v>
      </c>
      <c r="AQ3403" s="44"/>
      <c r="AR3403" s="72"/>
      <c r="AS3403" s="64">
        <f>AS3401-AS3402</f>
        <v>-8291.9811981352595</v>
      </c>
      <c r="AT3403" s="44"/>
      <c r="AU3403" s="72"/>
    </row>
    <row r="3404" spans="15:47" ht="13" x14ac:dyDescent="0.3">
      <c r="O3404" s="6" t="s">
        <v>75</v>
      </c>
      <c r="P3404" s="6">
        <v>3</v>
      </c>
      <c r="Q3404" s="65"/>
      <c r="R3404" s="85">
        <f>(F_LP_h/F_P_h)^2*(R3401-('Valve Sizing'!$V$4*'Valve Sizing'!$G$7))</f>
        <v>43.483420356949992</v>
      </c>
      <c r="S3404" s="58"/>
      <c r="T3404" s="73"/>
      <c r="U3404" s="53">
        <f>(U$29/U$27)^2*(U3401-('Valve Sizing'!$V$4*'Valve Sizing'!$G$7))</f>
        <v>36.902702625606182</v>
      </c>
      <c r="V3404" s="41"/>
      <c r="W3404" s="73"/>
      <c r="X3404" s="53">
        <f>(X$29/X$27)^2*(X3401-('Valve Sizing'!$V$4*'Valve Sizing'!$G$7))</f>
        <v>-9.774566084762748</v>
      </c>
      <c r="Y3404" s="41"/>
      <c r="Z3404" s="73"/>
      <c r="AA3404" s="53">
        <f>(AA$29/AA$27)^2*(AA3401-('Valve Sizing'!$V$4*'Valve Sizing'!$G$7))</f>
        <v>-149.5033800978081</v>
      </c>
      <c r="AB3404" s="41"/>
      <c r="AC3404" s="73"/>
      <c r="AD3404" s="53">
        <f>(AD$29/AD$27)^2*(AD3401-('Valve Sizing'!$V$4*'Valve Sizing'!$G$7))</f>
        <v>-446.80992640609355</v>
      </c>
      <c r="AE3404" s="41"/>
      <c r="AF3404" s="73"/>
      <c r="AG3404" s="53">
        <f>(AG$29/AG$27)^2*(AG3401-('Valve Sizing'!$V$4*'Valve Sizing'!$G$7))</f>
        <v>-928.76026229389186</v>
      </c>
      <c r="AH3404" s="41"/>
      <c r="AI3404" s="73"/>
      <c r="AJ3404" s="53">
        <f>(AJ$29/AJ$27)^2*(AJ3401-('Valve Sizing'!$V$4*'Valve Sizing'!$G$7))</f>
        <v>-1510.8588653584598</v>
      </c>
      <c r="AK3404" s="41"/>
      <c r="AL3404" s="73"/>
      <c r="AM3404" s="53">
        <f>(AM$29/AM$27)^2*(AM3401-('Valve Sizing'!$V$4*'Valve Sizing'!$G$7))</f>
        <v>-1874.157203840158</v>
      </c>
      <c r="AN3404" s="41"/>
      <c r="AO3404" s="73"/>
      <c r="AP3404" s="53">
        <f>(AP$29/AP$27)^2*(AP3401-('Valve Sizing'!$V$4*'Valve Sizing'!$G$7))</f>
        <v>-2091.1741491090334</v>
      </c>
      <c r="AQ3404" s="41"/>
      <c r="AR3404" s="73"/>
      <c r="AS3404" s="53">
        <f>(AS$29/AS$27)^2*(AS3401-('Valve Sizing'!$V$4*'Valve Sizing'!$G$7))</f>
        <v>-2587.9957555919163</v>
      </c>
      <c r="AT3404" s="41"/>
      <c r="AU3404" s="73"/>
    </row>
    <row r="3405" spans="15:47" ht="13" x14ac:dyDescent="0.25">
      <c r="O3405" s="1" t="s">
        <v>69</v>
      </c>
      <c r="P3405" s="17">
        <v>7</v>
      </c>
      <c r="Q3405" s="65"/>
      <c r="R3405" s="53">
        <f>(R3399/(N_1*F_P_h))*SQRT('Valve Sizing'!$G$6/R3403)</f>
        <v>65.329886174134245</v>
      </c>
      <c r="S3405" s="58"/>
      <c r="T3405" s="73"/>
      <c r="U3405" s="64">
        <f>(U3399/(N_1*U$27))*SQRT('Valve Sizing'!$G$6/U3403)</f>
        <v>140.09245846865187</v>
      </c>
      <c r="V3405" s="41"/>
      <c r="W3405" s="73"/>
      <c r="X3405" s="64" t="e">
        <f>(X3399/(N_1*X$27))*SQRT('Valve Sizing'!$G$6/X3403)</f>
        <v>#NUM!</v>
      </c>
      <c r="Y3405" s="41"/>
      <c r="Z3405" s="73"/>
      <c r="AA3405" s="64" t="e">
        <f>(AA3399/(N_1*AA$27))*SQRT('Valve Sizing'!$G$6/AA3403)</f>
        <v>#NUM!</v>
      </c>
      <c r="AB3405" s="41"/>
      <c r="AC3405" s="73"/>
      <c r="AD3405" s="64" t="e">
        <f>(AD3399/(N_1*AD$27))*SQRT('Valve Sizing'!$G$6/AD3403)</f>
        <v>#NUM!</v>
      </c>
      <c r="AE3405" s="41"/>
      <c r="AF3405" s="73"/>
      <c r="AG3405" s="64" t="e">
        <f>(AG3399/(N_1*AG$27))*SQRT('Valve Sizing'!$G$6/AG3403)</f>
        <v>#NUM!</v>
      </c>
      <c r="AH3405" s="41"/>
      <c r="AI3405" s="73"/>
      <c r="AJ3405" s="64" t="e">
        <f>(AJ3399/(N_1*AJ$27))*SQRT('Valve Sizing'!$G$6/AJ3403)</f>
        <v>#NUM!</v>
      </c>
      <c r="AK3405" s="41"/>
      <c r="AL3405" s="73"/>
      <c r="AM3405" s="64" t="e">
        <f>(AM3399/(N_1*AM$27))*SQRT('Valve Sizing'!$G$6/AM3403)</f>
        <v>#NUM!</v>
      </c>
      <c r="AN3405" s="41"/>
      <c r="AO3405" s="73"/>
      <c r="AP3405" s="64" t="e">
        <f>(AP3399/(N_1*AP$27))*SQRT('Valve Sizing'!$G$6/AP3403)</f>
        <v>#NUM!</v>
      </c>
      <c r="AQ3405" s="41"/>
      <c r="AR3405" s="73"/>
      <c r="AS3405" s="64" t="e">
        <f>(AS3399/(N_1*AS$27))*SQRT('Valve Sizing'!$G$6/AS3403)</f>
        <v>#NUM!</v>
      </c>
      <c r="AT3405" s="41"/>
      <c r="AU3405" s="73"/>
    </row>
    <row r="3406" spans="15:47" ht="13" x14ac:dyDescent="0.3">
      <c r="O3406" s="1" t="s">
        <v>72</v>
      </c>
      <c r="P3406" s="17">
        <v>7</v>
      </c>
      <c r="Q3406" s="65"/>
      <c r="R3406" s="53">
        <f>(R3399/(N_1*F_P_h))*SQRT('Valve Sizing'!$G$6/R3404)</f>
        <v>51.957019010487109</v>
      </c>
      <c r="S3406" s="56"/>
      <c r="T3406" s="72"/>
      <c r="U3406" s="85">
        <f>(U3399/(N_1*U$27))*SQRT('Valve Sizing'!$G$6/U3404)</f>
        <v>97.790769894558764</v>
      </c>
      <c r="V3406" s="44"/>
      <c r="W3406" s="72"/>
      <c r="X3406" s="85" t="e">
        <f>(X3399/(N_1*X$27))*SQRT('Valve Sizing'!$G$6/X3404)</f>
        <v>#NUM!</v>
      </c>
      <c r="Y3406" s="44"/>
      <c r="Z3406" s="72"/>
      <c r="AA3406" s="85" t="e">
        <f>(AA3399/(N_1*AA$27))*SQRT('Valve Sizing'!$G$6/AA3404)</f>
        <v>#NUM!</v>
      </c>
      <c r="AB3406" s="44"/>
      <c r="AC3406" s="72"/>
      <c r="AD3406" s="85" t="e">
        <f>(AD3399/(N_1*AD$27))*SQRT('Valve Sizing'!$G$6/AD3404)</f>
        <v>#NUM!</v>
      </c>
      <c r="AE3406" s="44"/>
      <c r="AF3406" s="72"/>
      <c r="AG3406" s="85" t="e">
        <f>(AG3399/(N_1*AG$27))*SQRT('Valve Sizing'!$G$6/AG3404)</f>
        <v>#NUM!</v>
      </c>
      <c r="AH3406" s="44"/>
      <c r="AI3406" s="72"/>
      <c r="AJ3406" s="85" t="e">
        <f>(AJ3399/(N_1*AJ$27))*SQRT('Valve Sizing'!$G$6/AJ3404)</f>
        <v>#NUM!</v>
      </c>
      <c r="AK3406" s="44"/>
      <c r="AL3406" s="72"/>
      <c r="AM3406" s="85" t="e">
        <f>(AM3399/(N_1*AM$27))*SQRT('Valve Sizing'!$G$6/AM3404)</f>
        <v>#NUM!</v>
      </c>
      <c r="AN3406" s="44"/>
      <c r="AO3406" s="72"/>
      <c r="AP3406" s="85" t="e">
        <f>(AP3399/(N_1*AP$27))*SQRT('Valve Sizing'!$G$6/AP3404)</f>
        <v>#NUM!</v>
      </c>
      <c r="AQ3406" s="44"/>
      <c r="AR3406" s="72"/>
      <c r="AS3406" s="85" t="e">
        <f>(AS3399/(N_1*AS$27))*SQRT('Valve Sizing'!$G$6/AS3404)</f>
        <v>#NUM!</v>
      </c>
      <c r="AT3406" s="44"/>
      <c r="AU3406" s="72"/>
    </row>
    <row r="3407" spans="15:47" x14ac:dyDescent="0.25">
      <c r="O3407" s="1" t="s">
        <v>246</v>
      </c>
      <c r="P3407" s="18"/>
      <c r="Q3407" s="65"/>
      <c r="R3407" s="53">
        <f>IF(R3403&lt;R3404,R3405,R3406)</f>
        <v>65.329886174134245</v>
      </c>
      <c r="S3407" s="49"/>
      <c r="T3407" s="72"/>
      <c r="U3407" s="64">
        <f>IF(U3403&lt;U3404,U3405,U3406)</f>
        <v>140.09245846865187</v>
      </c>
      <c r="V3407" s="44"/>
      <c r="W3407" s="72"/>
      <c r="X3407" s="64" t="e">
        <f>IF(X3403&lt;X3404,X3405,X3406)</f>
        <v>#NUM!</v>
      </c>
      <c r="Y3407" s="44"/>
      <c r="Z3407" s="72"/>
      <c r="AA3407" s="64" t="e">
        <f>IF(AA3403&lt;AA3404,AA3405,AA3406)</f>
        <v>#NUM!</v>
      </c>
      <c r="AB3407" s="44"/>
      <c r="AC3407" s="72"/>
      <c r="AD3407" s="64" t="e">
        <f>IF(AD3403&lt;AD3404,AD3405,AD3406)</f>
        <v>#NUM!</v>
      </c>
      <c r="AE3407" s="44"/>
      <c r="AF3407" s="72"/>
      <c r="AG3407" s="64" t="e">
        <f>IF(AG3403&lt;AG3404,AG3405,AG3406)</f>
        <v>#NUM!</v>
      </c>
      <c r="AH3407" s="44"/>
      <c r="AI3407" s="72"/>
      <c r="AJ3407" s="64" t="e">
        <f>IF(AJ3403&lt;AJ3404,AJ3405,AJ3406)</f>
        <v>#NUM!</v>
      </c>
      <c r="AK3407" s="44"/>
      <c r="AL3407" s="72"/>
      <c r="AM3407" s="64" t="e">
        <f>IF(AM3403&lt;AM3404,AM3405,AM3406)</f>
        <v>#NUM!</v>
      </c>
      <c r="AN3407" s="44"/>
      <c r="AO3407" s="72"/>
      <c r="AP3407" s="64" t="e">
        <f>IF(AP3403&lt;AP3404,AP3405,AP3406)</f>
        <v>#NUM!</v>
      </c>
      <c r="AQ3407" s="44"/>
      <c r="AR3407" s="72"/>
      <c r="AS3407" s="64" t="e">
        <f>IF(AS3403&lt;AS3404,AS3405,AS3406)</f>
        <v>#NUM!</v>
      </c>
      <c r="AT3407" s="44"/>
      <c r="AU3407" s="72"/>
    </row>
    <row r="3408" spans="15:47" ht="13" x14ac:dyDescent="0.3">
      <c r="O3408" s="7" t="s">
        <v>264</v>
      </c>
      <c r="Q3408" s="61"/>
      <c r="R3408" s="53"/>
      <c r="S3408" s="69">
        <f>IFERROR(ABS(C_h-R3407),Q_max*10)</f>
        <v>60.329886174134245</v>
      </c>
      <c r="T3408" s="76">
        <f>R3399</f>
        <v>342.5646507889893</v>
      </c>
      <c r="U3408" s="61"/>
      <c r="V3408" s="69">
        <f>IFERROR(ABS(U$23-U3407),Q_max*10)</f>
        <v>128.09245846865187</v>
      </c>
      <c r="W3408" s="75">
        <f>U3399</f>
        <v>593.55542897028658</v>
      </c>
      <c r="X3408" s="61"/>
      <c r="Y3408" s="69">
        <f>IFERROR(ABS(X$23-X3407),Q_max*10)</f>
        <v>5500</v>
      </c>
      <c r="Z3408" s="75">
        <f>X3399</f>
        <v>1424.7615112161939</v>
      </c>
      <c r="AA3408" s="61"/>
      <c r="AB3408" s="69">
        <f>IFERROR(ABS(AA$23-AA3407),Q_max*10)</f>
        <v>5500</v>
      </c>
      <c r="AC3408" s="75">
        <f>AA3399</f>
        <v>2720.3918831568421</v>
      </c>
      <c r="AD3408" s="61"/>
      <c r="AE3408" s="69">
        <f>IFERROR(ABS(AD$23-AD3407),Q_max*10)</f>
        <v>5500</v>
      </c>
      <c r="AF3408" s="75">
        <f>AD3399</f>
        <v>4474.0430589255493</v>
      </c>
      <c r="AG3408" s="61"/>
      <c r="AH3408" s="69">
        <f>IFERROR(ABS(AG$23-AG3407),Q_max*10)</f>
        <v>5500</v>
      </c>
      <c r="AI3408" s="75">
        <f>AG3399</f>
        <v>6661.2404529463556</v>
      </c>
      <c r="AJ3408" s="61"/>
      <c r="AK3408" s="69">
        <f>IFERROR(ABS(AJ$23-AJ3407),Q_max*10)</f>
        <v>5500</v>
      </c>
      <c r="AL3408" s="75">
        <f>AJ3399</f>
        <v>8889.4512072033904</v>
      </c>
      <c r="AM3408" s="61"/>
      <c r="AN3408" s="69">
        <f>IFERROR(ABS(AM$23-AM3407),Q_max*10)</f>
        <v>5500</v>
      </c>
      <c r="AO3408" s="75">
        <f>AM3399</f>
        <v>10846.81982363301</v>
      </c>
      <c r="AP3408" s="61"/>
      <c r="AQ3408" s="69">
        <f>IFERROR(ABS(AP$23-AP3407),Q_max*10)</f>
        <v>5500</v>
      </c>
      <c r="AR3408" s="75">
        <f>AP3399</f>
        <v>12592.821079729807</v>
      </c>
      <c r="AS3408" s="61"/>
      <c r="AT3408" s="69">
        <f>IFERROR(ABS(AS$23-AS3407),Q_max*10)</f>
        <v>5500</v>
      </c>
      <c r="AU3408" s="75">
        <f>AS3399</f>
        <v>14331.805052539177</v>
      </c>
    </row>
    <row r="3409" spans="15:47" ht="14.5" x14ac:dyDescent="0.35">
      <c r="O3409" s="8"/>
      <c r="P3409" s="6"/>
      <c r="Q3409" s="60"/>
      <c r="R3409" s="67"/>
      <c r="S3409" s="56"/>
      <c r="T3409" s="72"/>
      <c r="V3409" s="11"/>
      <c r="W3409" s="38"/>
      <c r="Y3409" s="11"/>
      <c r="Z3409" s="38"/>
      <c r="AB3409" s="11"/>
      <c r="AC3409" s="38"/>
      <c r="AE3409" s="11"/>
      <c r="AF3409" s="38"/>
      <c r="AH3409" s="11"/>
      <c r="AI3409" s="38"/>
      <c r="AK3409" s="11"/>
      <c r="AL3409" s="38"/>
      <c r="AN3409" s="11"/>
      <c r="AO3409" s="38"/>
      <c r="AQ3409" s="11"/>
      <c r="AR3409" s="38"/>
      <c r="AT3409" s="11"/>
      <c r="AU3409" s="38"/>
    </row>
    <row r="3410" spans="15:47" ht="14" x14ac:dyDescent="0.3">
      <c r="O3410" s="8" t="s">
        <v>235</v>
      </c>
      <c r="P3410" s="6"/>
      <c r="Q3410" s="60"/>
      <c r="R3410" s="53">
        <f>R3399*1.02</f>
        <v>349.41594380476909</v>
      </c>
      <c r="S3410" s="58" t="s">
        <v>238</v>
      </c>
      <c r="T3410" s="73" t="s">
        <v>241</v>
      </c>
      <c r="U3410" s="84">
        <f>U3399*1.01</f>
        <v>599.49098325998943</v>
      </c>
      <c r="V3410" s="58" t="s">
        <v>238</v>
      </c>
      <c r="W3410" s="73" t="s">
        <v>241</v>
      </c>
      <c r="X3410" s="84">
        <f>X3399*1.01</f>
        <v>1439.0091263283557</v>
      </c>
      <c r="Y3410" s="58" t="s">
        <v>238</v>
      </c>
      <c r="Z3410" s="73" t="s">
        <v>241</v>
      </c>
      <c r="AA3410" s="84">
        <f>AA3399*1.01</f>
        <v>2747.5958019884106</v>
      </c>
      <c r="AB3410" s="58" t="s">
        <v>238</v>
      </c>
      <c r="AC3410" s="73" t="s">
        <v>241</v>
      </c>
      <c r="AD3410" s="84">
        <f>AD3399*1.01</f>
        <v>4518.7834895148044</v>
      </c>
      <c r="AE3410" s="58" t="s">
        <v>238</v>
      </c>
      <c r="AF3410" s="73" t="s">
        <v>241</v>
      </c>
      <c r="AG3410" s="84">
        <f>AG3399*1.01</f>
        <v>6727.8528574758193</v>
      </c>
      <c r="AH3410" s="58" t="s">
        <v>238</v>
      </c>
      <c r="AI3410" s="73" t="s">
        <v>241</v>
      </c>
      <c r="AJ3410" s="84">
        <f>AJ3399*1.01</f>
        <v>8978.3457192754249</v>
      </c>
      <c r="AK3410" s="58" t="s">
        <v>238</v>
      </c>
      <c r="AL3410" s="73" t="s">
        <v>241</v>
      </c>
      <c r="AM3410" s="84">
        <f>AM3399*1.01</f>
        <v>10955.288021869341</v>
      </c>
      <c r="AN3410" s="58" t="s">
        <v>238</v>
      </c>
      <c r="AO3410" s="73" t="s">
        <v>241</v>
      </c>
      <c r="AP3410" s="84">
        <f>AP3399*1.01</f>
        <v>12718.749290527105</v>
      </c>
      <c r="AQ3410" s="58" t="s">
        <v>238</v>
      </c>
      <c r="AR3410" s="73" t="s">
        <v>241</v>
      </c>
      <c r="AS3410" s="84">
        <f>AS3399*1.01</f>
        <v>14475.123103064569</v>
      </c>
      <c r="AT3410" s="58" t="s">
        <v>238</v>
      </c>
      <c r="AU3410" s="73" t="s">
        <v>241</v>
      </c>
    </row>
    <row r="3411" spans="15:47" ht="13" x14ac:dyDescent="0.25">
      <c r="O3411" s="6"/>
      <c r="P3411" s="6"/>
      <c r="Q3411" s="60"/>
      <c r="R3411" s="70"/>
      <c r="S3411" s="63" t="s">
        <v>250</v>
      </c>
      <c r="T3411" s="71" t="s">
        <v>242</v>
      </c>
      <c r="U3411" s="61"/>
      <c r="V3411" s="63" t="s">
        <v>250</v>
      </c>
      <c r="W3411" s="71" t="s">
        <v>242</v>
      </c>
      <c r="X3411" s="61"/>
      <c r="Y3411" s="63" t="s">
        <v>250</v>
      </c>
      <c r="Z3411" s="71" t="s">
        <v>242</v>
      </c>
      <c r="AA3411" s="61"/>
      <c r="AB3411" s="63" t="s">
        <v>250</v>
      </c>
      <c r="AC3411" s="71" t="s">
        <v>242</v>
      </c>
      <c r="AD3411" s="61"/>
      <c r="AE3411" s="63" t="s">
        <v>250</v>
      </c>
      <c r="AF3411" s="71" t="s">
        <v>242</v>
      </c>
      <c r="AG3411" s="61"/>
      <c r="AH3411" s="63" t="s">
        <v>250</v>
      </c>
      <c r="AI3411" s="71" t="s">
        <v>242</v>
      </c>
      <c r="AJ3411" s="61"/>
      <c r="AK3411" s="63" t="s">
        <v>250</v>
      </c>
      <c r="AL3411" s="71" t="s">
        <v>242</v>
      </c>
      <c r="AM3411" s="61"/>
      <c r="AN3411" s="63" t="s">
        <v>250</v>
      </c>
      <c r="AO3411" s="71" t="s">
        <v>242</v>
      </c>
      <c r="AP3411" s="61"/>
      <c r="AQ3411" s="63" t="s">
        <v>250</v>
      </c>
      <c r="AR3411" s="71" t="s">
        <v>242</v>
      </c>
      <c r="AS3411" s="61"/>
      <c r="AT3411" s="63" t="s">
        <v>250</v>
      </c>
      <c r="AU3411" s="71" t="s">
        <v>242</v>
      </c>
    </row>
    <row r="3412" spans="15:47" ht="13" x14ac:dyDescent="0.3">
      <c r="O3412" s="6" t="s">
        <v>231</v>
      </c>
      <c r="P3412" s="6"/>
      <c r="Q3412" s="60"/>
      <c r="R3412" s="85">
        <f>P_1_minQ-(R3410^2*R_up)+dpup_minQ</f>
        <v>52.792823310200014</v>
      </c>
      <c r="S3412" s="56"/>
      <c r="T3412" s="72"/>
      <c r="U3412" s="53">
        <f>P_1_minQ-(U3410^2*R_up)+dpup_minQ</f>
        <v>44.778708577844341</v>
      </c>
      <c r="V3412" s="44"/>
      <c r="W3412" s="72"/>
      <c r="X3412" s="53">
        <f>P_1_minQ-(X3410^2*R_up)+dpup_minQ</f>
        <v>-13.017908330168783</v>
      </c>
      <c r="Y3412" s="44"/>
      <c r="Z3412" s="72"/>
      <c r="AA3412" s="53">
        <f>P_1_minQ-(AA3410^2*R_up)+dpup_minQ</f>
        <v>-198.04105677488477</v>
      </c>
      <c r="AB3412" s="44"/>
      <c r="AC3412" s="72"/>
      <c r="AD3412" s="53">
        <f>P_1_minQ-(AD3410^2*R_up)+dpup_minQ</f>
        <v>-632.6956171939072</v>
      </c>
      <c r="AE3412" s="44"/>
      <c r="AF3412" s="72"/>
      <c r="AG3412" s="53">
        <f>P_1_minQ-(AG3410^2*R_up)+dpup_minQ</f>
        <v>-1471.7567400150472</v>
      </c>
      <c r="AH3412" s="44"/>
      <c r="AI3412" s="72"/>
      <c r="AJ3412" s="53">
        <f>P_1_minQ-(AJ3410^2*R_up)+dpup_minQ</f>
        <v>-2665.4983064786006</v>
      </c>
      <c r="AK3412" s="44"/>
      <c r="AL3412" s="72"/>
      <c r="AM3412" s="53">
        <f>P_1_minQ-(AM3410^2*R_up)+dpup_minQ</f>
        <v>-3996.387998720495</v>
      </c>
      <c r="AN3412" s="44"/>
      <c r="AO3412" s="72"/>
      <c r="AP3412" s="53">
        <f>P_1_minQ-(AP3410^2*R_up)+dpup_minQ</f>
        <v>-5406.3254480001269</v>
      </c>
      <c r="AQ3412" s="44"/>
      <c r="AR3412" s="72"/>
      <c r="AS3412" s="53">
        <f>P_1_minQ-(AS3410^2*R_up)+dpup_minQ</f>
        <v>-7019.3820279930314</v>
      </c>
      <c r="AT3412" s="44"/>
      <c r="AU3412" s="72"/>
    </row>
    <row r="3413" spans="15:47" ht="13" x14ac:dyDescent="0.3">
      <c r="O3413" s="6" t="s">
        <v>233</v>
      </c>
      <c r="P3413" s="6"/>
      <c r="Q3413" s="60"/>
      <c r="R3413" s="85">
        <f>P_2_minQ+(R3410^2*R_dn)-dpdn_minQ</f>
        <v>25.481435337959997</v>
      </c>
      <c r="S3413" s="66"/>
      <c r="T3413" s="74"/>
      <c r="U3413" s="53">
        <f>P_2_minQ+(U3410^2*R_dn)-dpdn_minQ</f>
        <v>27.084258284431133</v>
      </c>
      <c r="V3413" s="45"/>
      <c r="W3413" s="74"/>
      <c r="X3413" s="53">
        <f>P_2_minQ+(X3410^2*R_dn)-dpdn_minQ</f>
        <v>38.643581666033761</v>
      </c>
      <c r="Y3413" s="45"/>
      <c r="Z3413" s="74"/>
      <c r="AA3413" s="53">
        <f>P_2_minQ+(AA3410^2*R_dn)-dpdn_minQ</f>
        <v>75.648211354976951</v>
      </c>
      <c r="AB3413" s="45"/>
      <c r="AC3413" s="74"/>
      <c r="AD3413" s="53">
        <f>P_2_minQ+(AD3410^2*R_dn)-dpdn_minQ</f>
        <v>162.57912343878147</v>
      </c>
      <c r="AE3413" s="45"/>
      <c r="AF3413" s="74"/>
      <c r="AG3413" s="53">
        <f>P_2_minQ+(AG3410^2*R_dn)-dpdn_minQ</f>
        <v>330.3913480030094</v>
      </c>
      <c r="AH3413" s="45"/>
      <c r="AI3413" s="74"/>
      <c r="AJ3413" s="53">
        <f>P_2_minQ+(AJ3410^2*R_dn)-dpdn_minQ</f>
        <v>569.13966129572009</v>
      </c>
      <c r="AK3413" s="45"/>
      <c r="AL3413" s="74"/>
      <c r="AM3413" s="53">
        <f>P_2_minQ+(AM3410^2*R_dn)-dpdn_minQ</f>
        <v>835.31759974409897</v>
      </c>
      <c r="AN3413" s="45"/>
      <c r="AO3413" s="74"/>
      <c r="AP3413" s="53">
        <f>P_2_minQ+(AP3410^2*R_dn)-dpdn_minQ</f>
        <v>1117.3050896000252</v>
      </c>
      <c r="AQ3413" s="45"/>
      <c r="AR3413" s="74"/>
      <c r="AS3413" s="53">
        <f>P_2_minQ+(AS3410^2*R_dn)-dpdn_minQ</f>
        <v>1439.9164055986062</v>
      </c>
      <c r="AT3413" s="45"/>
      <c r="AU3413" s="74"/>
    </row>
    <row r="3414" spans="15:47" x14ac:dyDescent="0.25">
      <c r="O3414" s="6" t="s">
        <v>243</v>
      </c>
      <c r="Q3414" s="60"/>
      <c r="R3414" s="53">
        <f>R3412-R3413</f>
        <v>27.311387972240016</v>
      </c>
      <c r="S3414" s="56"/>
      <c r="T3414" s="72"/>
      <c r="U3414" s="64">
        <f>U3412-U3413</f>
        <v>17.694450293413208</v>
      </c>
      <c r="V3414" s="44"/>
      <c r="W3414" s="72"/>
      <c r="X3414" s="64">
        <f>X3412-X3413</f>
        <v>-51.661489996202548</v>
      </c>
      <c r="Y3414" s="44"/>
      <c r="Z3414" s="72"/>
      <c r="AA3414" s="64">
        <f>AA3412-AA3413</f>
        <v>-273.68926812986172</v>
      </c>
      <c r="AB3414" s="44"/>
      <c r="AC3414" s="72"/>
      <c r="AD3414" s="64">
        <f>AD3412-AD3413</f>
        <v>-795.27474063268869</v>
      </c>
      <c r="AE3414" s="44"/>
      <c r="AF3414" s="72"/>
      <c r="AG3414" s="64">
        <f>AG3412-AG3413</f>
        <v>-1802.1480880180566</v>
      </c>
      <c r="AH3414" s="44"/>
      <c r="AI3414" s="72"/>
      <c r="AJ3414" s="64">
        <f>AJ3412-AJ3413</f>
        <v>-3234.6379677743207</v>
      </c>
      <c r="AK3414" s="44"/>
      <c r="AL3414" s="72"/>
      <c r="AM3414" s="64">
        <f>AM3412-AM3413</f>
        <v>-4831.705598464594</v>
      </c>
      <c r="AN3414" s="44"/>
      <c r="AO3414" s="72"/>
      <c r="AP3414" s="64">
        <f>AP3412-AP3413</f>
        <v>-6523.6305376001519</v>
      </c>
      <c r="AQ3414" s="44"/>
      <c r="AR3414" s="72"/>
      <c r="AS3414" s="64">
        <f>AS3412-AS3413</f>
        <v>-8459.2984335916371</v>
      </c>
      <c r="AT3414" s="44"/>
      <c r="AU3414" s="72"/>
    </row>
    <row r="3415" spans="15:47" ht="13" x14ac:dyDescent="0.3">
      <c r="O3415" s="6" t="s">
        <v>75</v>
      </c>
      <c r="P3415" s="6">
        <v>3</v>
      </c>
      <c r="Q3415" s="65"/>
      <c r="R3415" s="85">
        <f>(F_LP_h/F_P_h)^2*(R3412-('Valve Sizing'!$V$4*'Valve Sizing'!$G$7))</f>
        <v>43.350837944405392</v>
      </c>
      <c r="S3415" s="58"/>
      <c r="T3415" s="73"/>
      <c r="U3415" s="53">
        <f>(U$29/U$27)^2*(U3412-('Valve Sizing'!$V$4*'Valve Sizing'!$G$7))</f>
        <v>36.704723366878966</v>
      </c>
      <c r="V3415" s="41"/>
      <c r="W3415" s="73"/>
      <c r="X3415" s="53">
        <f>(X$29/X$27)^2*(X3412-('Valve Sizing'!$V$4*'Valve Sizing'!$G$7))</f>
        <v>-10.889561164344741</v>
      </c>
      <c r="Y3415" s="41"/>
      <c r="Z3415" s="73"/>
      <c r="AA3415" s="53">
        <f>(AA$29/AA$27)^2*(AA3412-('Valve Sizing'!$V$4*'Valve Sizing'!$G$7))</f>
        <v>-153.38565373331744</v>
      </c>
      <c r="AB3415" s="41"/>
      <c r="AC3415" s="73"/>
      <c r="AD3415" s="53">
        <f>(AD$29/AD$27)^2*(AD3412-('Valve Sizing'!$V$4*'Valve Sizing'!$G$7))</f>
        <v>-456.60947574478195</v>
      </c>
      <c r="AE3415" s="41"/>
      <c r="AF3415" s="73"/>
      <c r="AG3415" s="53">
        <f>(AG$29/AG$27)^2*(AG3412-('Valve Sizing'!$V$4*'Valve Sizing'!$G$7))</f>
        <v>-948.15944249951531</v>
      </c>
      <c r="AH3415" s="41"/>
      <c r="AI3415" s="73"/>
      <c r="AJ3415" s="53">
        <f>(AJ$29/AJ$27)^2*(AJ3412-('Valve Sizing'!$V$4*'Valve Sizing'!$G$7))</f>
        <v>-1541.8836700008721</v>
      </c>
      <c r="AK3415" s="41"/>
      <c r="AL3415" s="73"/>
      <c r="AM3415" s="53">
        <f>(AM$29/AM$27)^2*(AM3412-('Valve Sizing'!$V$4*'Valve Sizing'!$G$7))</f>
        <v>-1912.3709105412654</v>
      </c>
      <c r="AN3415" s="41"/>
      <c r="AO3415" s="73"/>
      <c r="AP3415" s="53">
        <f>(AP$29/AP$27)^2*(AP3412-('Valve Sizing'!$V$4*'Valve Sizing'!$G$7))</f>
        <v>-2133.6547177730245</v>
      </c>
      <c r="AQ3415" s="41"/>
      <c r="AR3415" s="73"/>
      <c r="AS3415" s="53">
        <f>(AS$29/AS$27)^2*(AS3412-('Valve Sizing'!$V$4*'Valve Sizing'!$G$7))</f>
        <v>-2640.4414537684315</v>
      </c>
      <c r="AT3415" s="41"/>
      <c r="AU3415" s="73"/>
    </row>
    <row r="3416" spans="15:47" ht="13" x14ac:dyDescent="0.25">
      <c r="O3416" s="1" t="s">
        <v>69</v>
      </c>
      <c r="P3416" s="17">
        <v>7</v>
      </c>
      <c r="Q3416" s="65"/>
      <c r="R3416" s="53">
        <f>(R3410/(N_1*F_P_h))*SQRT('Valve Sizing'!$G$6/R3414)</f>
        <v>66.870467698398926</v>
      </c>
      <c r="S3416" s="58"/>
      <c r="T3416" s="73"/>
      <c r="U3416" s="64">
        <f>(U3410/(N_1*U$27))*SQRT('Valve Sizing'!$G$6/U3414)</f>
        <v>142.63620922396964</v>
      </c>
      <c r="V3416" s="41"/>
      <c r="W3416" s="73"/>
      <c r="X3416" s="64" t="e">
        <f>(X3410/(N_1*X$27))*SQRT('Valve Sizing'!$G$6/X3414)</f>
        <v>#NUM!</v>
      </c>
      <c r="Y3416" s="41"/>
      <c r="Z3416" s="73"/>
      <c r="AA3416" s="64" t="e">
        <f>(AA3410/(N_1*AA$27))*SQRT('Valve Sizing'!$G$6/AA3414)</f>
        <v>#NUM!</v>
      </c>
      <c r="AB3416" s="41"/>
      <c r="AC3416" s="73"/>
      <c r="AD3416" s="64" t="e">
        <f>(AD3410/(N_1*AD$27))*SQRT('Valve Sizing'!$G$6/AD3414)</f>
        <v>#NUM!</v>
      </c>
      <c r="AE3416" s="41"/>
      <c r="AF3416" s="73"/>
      <c r="AG3416" s="64" t="e">
        <f>(AG3410/(N_1*AG$27))*SQRT('Valve Sizing'!$G$6/AG3414)</f>
        <v>#NUM!</v>
      </c>
      <c r="AH3416" s="41"/>
      <c r="AI3416" s="73"/>
      <c r="AJ3416" s="64" t="e">
        <f>(AJ3410/(N_1*AJ$27))*SQRT('Valve Sizing'!$G$6/AJ3414)</f>
        <v>#NUM!</v>
      </c>
      <c r="AK3416" s="41"/>
      <c r="AL3416" s="73"/>
      <c r="AM3416" s="64" t="e">
        <f>(AM3410/(N_1*AM$27))*SQRT('Valve Sizing'!$G$6/AM3414)</f>
        <v>#NUM!</v>
      </c>
      <c r="AN3416" s="41"/>
      <c r="AO3416" s="73"/>
      <c r="AP3416" s="64" t="e">
        <f>(AP3410/(N_1*AP$27))*SQRT('Valve Sizing'!$G$6/AP3414)</f>
        <v>#NUM!</v>
      </c>
      <c r="AQ3416" s="41"/>
      <c r="AR3416" s="73"/>
      <c r="AS3416" s="64" t="e">
        <f>(AS3410/(N_1*AS$27))*SQRT('Valve Sizing'!$G$6/AS3414)</f>
        <v>#NUM!</v>
      </c>
      <c r="AT3416" s="41"/>
      <c r="AU3416" s="73"/>
    </row>
    <row r="3417" spans="15:47" ht="13" x14ac:dyDescent="0.3">
      <c r="O3417" s="1" t="s">
        <v>72</v>
      </c>
      <c r="P3417" s="17">
        <v>7</v>
      </c>
      <c r="Q3417" s="65"/>
      <c r="R3417" s="53">
        <f>(R3410/(N_1*F_P_h))*SQRT('Valve Sizing'!$G$6/R3415)</f>
        <v>53.077138155107768</v>
      </c>
      <c r="S3417" s="56"/>
      <c r="T3417" s="72"/>
      <c r="U3417" s="85">
        <f>(U3410/(N_1*U$27))*SQRT('Valve Sizing'!$G$6/U3415)</f>
        <v>99.034690393609381</v>
      </c>
      <c r="V3417" s="44"/>
      <c r="W3417" s="72"/>
      <c r="X3417" s="85" t="e">
        <f>(X3410/(N_1*X$27))*SQRT('Valve Sizing'!$G$6/X3415)</f>
        <v>#NUM!</v>
      </c>
      <c r="Y3417" s="44"/>
      <c r="Z3417" s="72"/>
      <c r="AA3417" s="85" t="e">
        <f>(AA3410/(N_1*AA$27))*SQRT('Valve Sizing'!$G$6/AA3415)</f>
        <v>#NUM!</v>
      </c>
      <c r="AB3417" s="44"/>
      <c r="AC3417" s="72"/>
      <c r="AD3417" s="85" t="e">
        <f>(AD3410/(N_1*AD$27))*SQRT('Valve Sizing'!$G$6/AD3415)</f>
        <v>#NUM!</v>
      </c>
      <c r="AE3417" s="44"/>
      <c r="AF3417" s="72"/>
      <c r="AG3417" s="85" t="e">
        <f>(AG3410/(N_1*AG$27))*SQRT('Valve Sizing'!$G$6/AG3415)</f>
        <v>#NUM!</v>
      </c>
      <c r="AH3417" s="44"/>
      <c r="AI3417" s="72"/>
      <c r="AJ3417" s="85" t="e">
        <f>(AJ3410/(N_1*AJ$27))*SQRT('Valve Sizing'!$G$6/AJ3415)</f>
        <v>#NUM!</v>
      </c>
      <c r="AK3417" s="44"/>
      <c r="AL3417" s="72"/>
      <c r="AM3417" s="85" t="e">
        <f>(AM3410/(N_1*AM$27))*SQRT('Valve Sizing'!$G$6/AM3415)</f>
        <v>#NUM!</v>
      </c>
      <c r="AN3417" s="44"/>
      <c r="AO3417" s="72"/>
      <c r="AP3417" s="85" t="e">
        <f>(AP3410/(N_1*AP$27))*SQRT('Valve Sizing'!$G$6/AP3415)</f>
        <v>#NUM!</v>
      </c>
      <c r="AQ3417" s="44"/>
      <c r="AR3417" s="72"/>
      <c r="AS3417" s="85" t="e">
        <f>(AS3410/(N_1*AS$27))*SQRT('Valve Sizing'!$G$6/AS3415)</f>
        <v>#NUM!</v>
      </c>
      <c r="AT3417" s="44"/>
      <c r="AU3417" s="72"/>
    </row>
    <row r="3418" spans="15:47" x14ac:dyDescent="0.25">
      <c r="O3418" s="1" t="s">
        <v>246</v>
      </c>
      <c r="P3418" s="18"/>
      <c r="Q3418" s="65"/>
      <c r="R3418" s="53">
        <f>IF(R3414&lt;R3415,R3416,R3417)</f>
        <v>66.870467698398926</v>
      </c>
      <c r="S3418" s="49"/>
      <c r="T3418" s="72"/>
      <c r="U3418" s="64">
        <f>IF(U3414&lt;U3415,U3416,U3417)</f>
        <v>142.63620922396964</v>
      </c>
      <c r="V3418" s="44"/>
      <c r="W3418" s="72"/>
      <c r="X3418" s="64" t="e">
        <f>IF(X3414&lt;X3415,X3416,X3417)</f>
        <v>#NUM!</v>
      </c>
      <c r="Y3418" s="44"/>
      <c r="Z3418" s="72"/>
      <c r="AA3418" s="64" t="e">
        <f>IF(AA3414&lt;AA3415,AA3416,AA3417)</f>
        <v>#NUM!</v>
      </c>
      <c r="AB3418" s="44"/>
      <c r="AC3418" s="72"/>
      <c r="AD3418" s="64" t="e">
        <f>IF(AD3414&lt;AD3415,AD3416,AD3417)</f>
        <v>#NUM!</v>
      </c>
      <c r="AE3418" s="44"/>
      <c r="AF3418" s="72"/>
      <c r="AG3418" s="64" t="e">
        <f>IF(AG3414&lt;AG3415,AG3416,AG3417)</f>
        <v>#NUM!</v>
      </c>
      <c r="AH3418" s="44"/>
      <c r="AI3418" s="72"/>
      <c r="AJ3418" s="64" t="e">
        <f>IF(AJ3414&lt;AJ3415,AJ3416,AJ3417)</f>
        <v>#NUM!</v>
      </c>
      <c r="AK3418" s="44"/>
      <c r="AL3418" s="72"/>
      <c r="AM3418" s="64" t="e">
        <f>IF(AM3414&lt;AM3415,AM3416,AM3417)</f>
        <v>#NUM!</v>
      </c>
      <c r="AN3418" s="44"/>
      <c r="AO3418" s="72"/>
      <c r="AP3418" s="64" t="e">
        <f>IF(AP3414&lt;AP3415,AP3416,AP3417)</f>
        <v>#NUM!</v>
      </c>
      <c r="AQ3418" s="44"/>
      <c r="AR3418" s="72"/>
      <c r="AS3418" s="64" t="e">
        <f>IF(AS3414&lt;AS3415,AS3416,AS3417)</f>
        <v>#NUM!</v>
      </c>
      <c r="AT3418" s="44"/>
      <c r="AU3418" s="72"/>
    </row>
    <row r="3419" spans="15:47" ht="13" x14ac:dyDescent="0.3">
      <c r="O3419" s="7" t="s">
        <v>264</v>
      </c>
      <c r="Q3419" s="61"/>
      <c r="R3419" s="53"/>
      <c r="S3419" s="69">
        <f>IFERROR(ABS(C_h-R3418),Q_max*10)</f>
        <v>61.870467698398926</v>
      </c>
      <c r="T3419" s="76">
        <f>R3410</f>
        <v>349.41594380476909</v>
      </c>
      <c r="U3419" s="61"/>
      <c r="V3419" s="69">
        <f>IFERROR(ABS(U$23-U3418),Q_max*10)</f>
        <v>130.63620922396964</v>
      </c>
      <c r="W3419" s="75">
        <f>U3410</f>
        <v>599.49098325998943</v>
      </c>
      <c r="X3419" s="61"/>
      <c r="Y3419" s="69">
        <f>IFERROR(ABS(X$23-X3418),Q_max*10)</f>
        <v>5500</v>
      </c>
      <c r="Z3419" s="75">
        <f>X3410</f>
        <v>1439.0091263283557</v>
      </c>
      <c r="AA3419" s="61"/>
      <c r="AB3419" s="69">
        <f>IFERROR(ABS(AA$23-AA3418),Q_max*10)</f>
        <v>5500</v>
      </c>
      <c r="AC3419" s="75">
        <f>AA3410</f>
        <v>2747.5958019884106</v>
      </c>
      <c r="AD3419" s="61"/>
      <c r="AE3419" s="69">
        <f>IFERROR(ABS(AD$23-AD3418),Q_max*10)</f>
        <v>5500</v>
      </c>
      <c r="AF3419" s="75">
        <f>AD3410</f>
        <v>4518.7834895148044</v>
      </c>
      <c r="AG3419" s="61"/>
      <c r="AH3419" s="69">
        <f>IFERROR(ABS(AG$23-AG3418),Q_max*10)</f>
        <v>5500</v>
      </c>
      <c r="AI3419" s="75">
        <f>AG3410</f>
        <v>6727.8528574758193</v>
      </c>
      <c r="AJ3419" s="61"/>
      <c r="AK3419" s="69">
        <f>IFERROR(ABS(AJ$23-AJ3418),Q_max*10)</f>
        <v>5500</v>
      </c>
      <c r="AL3419" s="75">
        <f>AJ3410</f>
        <v>8978.3457192754249</v>
      </c>
      <c r="AM3419" s="61"/>
      <c r="AN3419" s="69">
        <f>IFERROR(ABS(AM$23-AM3418),Q_max*10)</f>
        <v>5500</v>
      </c>
      <c r="AO3419" s="75">
        <f>AM3410</f>
        <v>10955.288021869341</v>
      </c>
      <c r="AP3419" s="61"/>
      <c r="AQ3419" s="69">
        <f>IFERROR(ABS(AP$23-AP3418),Q_max*10)</f>
        <v>5500</v>
      </c>
      <c r="AR3419" s="75">
        <f>AP3410</f>
        <v>12718.749290527105</v>
      </c>
      <c r="AS3419" s="61"/>
      <c r="AT3419" s="69">
        <f>IFERROR(ABS(AS$23-AS3418),Q_max*10)</f>
        <v>5500</v>
      </c>
      <c r="AU3419" s="75">
        <f>AS3410</f>
        <v>14475.123103064569</v>
      </c>
    </row>
    <row r="3420" spans="15:47" ht="14.5" x14ac:dyDescent="0.35">
      <c r="O3420" s="6"/>
      <c r="P3420" s="6"/>
      <c r="Q3420" s="60"/>
      <c r="R3420" s="67"/>
      <c r="S3420" s="66"/>
      <c r="T3420" s="74"/>
      <c r="V3420" s="11"/>
      <c r="W3420" s="38"/>
      <c r="Y3420" s="11"/>
      <c r="Z3420" s="38"/>
      <c r="AB3420" s="11"/>
      <c r="AC3420" s="38"/>
      <c r="AE3420" s="11"/>
      <c r="AF3420" s="38"/>
      <c r="AH3420" s="11"/>
      <c r="AI3420" s="38"/>
      <c r="AK3420" s="11"/>
      <c r="AL3420" s="38"/>
      <c r="AN3420" s="11"/>
      <c r="AO3420" s="38"/>
      <c r="AQ3420" s="11"/>
      <c r="AR3420" s="38"/>
      <c r="AT3420" s="11"/>
      <c r="AU3420" s="38"/>
    </row>
    <row r="3421" spans="15:47" ht="14" x14ac:dyDescent="0.3">
      <c r="O3421" s="8" t="s">
        <v>235</v>
      </c>
      <c r="P3421" s="6"/>
      <c r="Q3421" s="60"/>
      <c r="R3421" s="53">
        <f>R3410*1.02</f>
        <v>356.40426268086446</v>
      </c>
      <c r="S3421" s="58" t="s">
        <v>238</v>
      </c>
      <c r="T3421" s="73" t="s">
        <v>241</v>
      </c>
      <c r="U3421" s="84">
        <f>U3410*1.01</f>
        <v>605.48589309258932</v>
      </c>
      <c r="V3421" s="58" t="s">
        <v>238</v>
      </c>
      <c r="W3421" s="73" t="s">
        <v>241</v>
      </c>
      <c r="X3421" s="84">
        <f>X3410*1.01</f>
        <v>1453.3992175916392</v>
      </c>
      <c r="Y3421" s="58" t="s">
        <v>238</v>
      </c>
      <c r="Z3421" s="73" t="s">
        <v>241</v>
      </c>
      <c r="AA3421" s="84">
        <f>AA3410*1.01</f>
        <v>2775.0717600082949</v>
      </c>
      <c r="AB3421" s="58" t="s">
        <v>238</v>
      </c>
      <c r="AC3421" s="73" t="s">
        <v>241</v>
      </c>
      <c r="AD3421" s="84">
        <f>AD3410*1.01</f>
        <v>4563.9713244099521</v>
      </c>
      <c r="AE3421" s="58" t="s">
        <v>238</v>
      </c>
      <c r="AF3421" s="73" t="s">
        <v>241</v>
      </c>
      <c r="AG3421" s="84">
        <f>AG3410*1.01</f>
        <v>6795.1313860505779</v>
      </c>
      <c r="AH3421" s="58" t="s">
        <v>238</v>
      </c>
      <c r="AI3421" s="73" t="s">
        <v>241</v>
      </c>
      <c r="AJ3421" s="84">
        <f>AJ3410*1.01</f>
        <v>9068.1291764681791</v>
      </c>
      <c r="AK3421" s="58" t="s">
        <v>238</v>
      </c>
      <c r="AL3421" s="73" t="s">
        <v>241</v>
      </c>
      <c r="AM3421" s="84">
        <f>AM3410*1.01</f>
        <v>11064.840902088034</v>
      </c>
      <c r="AN3421" s="58" t="s">
        <v>238</v>
      </c>
      <c r="AO3421" s="73" t="s">
        <v>241</v>
      </c>
      <c r="AP3421" s="84">
        <f>AP3410*1.01</f>
        <v>12845.936783432377</v>
      </c>
      <c r="AQ3421" s="58" t="s">
        <v>238</v>
      </c>
      <c r="AR3421" s="73" t="s">
        <v>241</v>
      </c>
      <c r="AS3421" s="84">
        <f>AS3410*1.01</f>
        <v>14619.874334095215</v>
      </c>
      <c r="AT3421" s="58" t="s">
        <v>238</v>
      </c>
      <c r="AU3421" s="73" t="s">
        <v>241</v>
      </c>
    </row>
    <row r="3422" spans="15:47" ht="13" x14ac:dyDescent="0.25">
      <c r="O3422" s="6"/>
      <c r="P3422" s="6"/>
      <c r="Q3422" s="60"/>
      <c r="R3422" s="70"/>
      <c r="S3422" s="63" t="s">
        <v>250</v>
      </c>
      <c r="T3422" s="71" t="s">
        <v>242</v>
      </c>
      <c r="U3422" s="61"/>
      <c r="V3422" s="63" t="s">
        <v>250</v>
      </c>
      <c r="W3422" s="71" t="s">
        <v>242</v>
      </c>
      <c r="X3422" s="61"/>
      <c r="Y3422" s="63" t="s">
        <v>250</v>
      </c>
      <c r="Z3422" s="71" t="s">
        <v>242</v>
      </c>
      <c r="AA3422" s="61"/>
      <c r="AB3422" s="63" t="s">
        <v>250</v>
      </c>
      <c r="AC3422" s="71" t="s">
        <v>242</v>
      </c>
      <c r="AD3422" s="61"/>
      <c r="AE3422" s="63" t="s">
        <v>250</v>
      </c>
      <c r="AF3422" s="71" t="s">
        <v>242</v>
      </c>
      <c r="AG3422" s="61"/>
      <c r="AH3422" s="63" t="s">
        <v>250</v>
      </c>
      <c r="AI3422" s="71" t="s">
        <v>242</v>
      </c>
      <c r="AJ3422" s="61"/>
      <c r="AK3422" s="63" t="s">
        <v>250</v>
      </c>
      <c r="AL3422" s="71" t="s">
        <v>242</v>
      </c>
      <c r="AM3422" s="61"/>
      <c r="AN3422" s="63" t="s">
        <v>250</v>
      </c>
      <c r="AO3422" s="71" t="s">
        <v>242</v>
      </c>
      <c r="AP3422" s="61"/>
      <c r="AQ3422" s="63" t="s">
        <v>250</v>
      </c>
      <c r="AR3422" s="71" t="s">
        <v>242</v>
      </c>
      <c r="AS3422" s="61"/>
      <c r="AT3422" s="63" t="s">
        <v>250</v>
      </c>
      <c r="AU3422" s="71" t="s">
        <v>242</v>
      </c>
    </row>
    <row r="3423" spans="15:47" ht="13" x14ac:dyDescent="0.3">
      <c r="O3423" s="6" t="s">
        <v>231</v>
      </c>
      <c r="P3423" s="6"/>
      <c r="Q3423" s="60"/>
      <c r="R3423" s="85">
        <f>P_1_minQ-(R3421^2*R_up)+dpup_minQ</f>
        <v>52.626241186859488</v>
      </c>
      <c r="S3423" s="56"/>
      <c r="T3423" s="72"/>
      <c r="U3423" s="53">
        <f>P_1_minQ-(U3421^2*R_up)+dpup_minQ</f>
        <v>44.534746142042195</v>
      </c>
      <c r="V3423" s="44"/>
      <c r="W3423" s="72"/>
      <c r="X3423" s="53">
        <f>P_1_minQ-(X3421^2*R_up)+dpup_minQ</f>
        <v>-14.42358276582198</v>
      </c>
      <c r="Y3423" s="44"/>
      <c r="Z3423" s="72"/>
      <c r="AA3423" s="53">
        <f>P_1_minQ-(AA3421^2*R_up)+dpup_minQ</f>
        <v>-203.16569649427683</v>
      </c>
      <c r="AB3423" s="44"/>
      <c r="AC3423" s="72"/>
      <c r="AD3423" s="53">
        <f>P_1_minQ-(AD3421^2*R_up)+dpup_minQ</f>
        <v>-646.55681357772141</v>
      </c>
      <c r="AE3423" s="44"/>
      <c r="AF3423" s="72"/>
      <c r="AG3423" s="53">
        <f>P_1_minQ-(AG3421^2*R_up)+dpup_minQ</f>
        <v>-1502.4830649675669</v>
      </c>
      <c r="AH3423" s="44"/>
      <c r="AI3423" s="72"/>
      <c r="AJ3423" s="53">
        <f>P_1_minQ-(AJ3421^2*R_up)+dpup_minQ</f>
        <v>-2720.2188369170367</v>
      </c>
      <c r="AK3423" s="44"/>
      <c r="AL3423" s="72"/>
      <c r="AM3423" s="53">
        <f>P_1_minQ-(AM3421^2*R_up)+dpup_minQ</f>
        <v>-4077.8594119729937</v>
      </c>
      <c r="AN3423" s="44"/>
      <c r="AO3423" s="72"/>
      <c r="AP3423" s="53">
        <f>P_1_minQ-(AP3421^2*R_up)+dpup_minQ</f>
        <v>-5516.1366039831464</v>
      </c>
      <c r="AQ3423" s="44"/>
      <c r="AR3423" s="72"/>
      <c r="AS3423" s="53">
        <f>P_1_minQ-(AS3421^2*R_up)+dpup_minQ</f>
        <v>-7161.6156212339083</v>
      </c>
      <c r="AT3423" s="44"/>
      <c r="AU3423" s="72"/>
    </row>
    <row r="3424" spans="15:47" ht="13" x14ac:dyDescent="0.3">
      <c r="O3424" s="6" t="s">
        <v>233</v>
      </c>
      <c r="P3424" s="6"/>
      <c r="Q3424" s="60"/>
      <c r="R3424" s="85">
        <f>P_2_minQ+(R3421^2*R_dn)-dpdn_minQ</f>
        <v>25.514751762628105</v>
      </c>
      <c r="S3424" s="66"/>
      <c r="T3424" s="74"/>
      <c r="U3424" s="53">
        <f>P_2_minQ+(U3421^2*R_dn)-dpdn_minQ</f>
        <v>27.133050771591563</v>
      </c>
      <c r="V3424" s="45"/>
      <c r="W3424" s="74"/>
      <c r="X3424" s="53">
        <f>P_2_minQ+(X3421^2*R_dn)-dpdn_minQ</f>
        <v>38.924716553164401</v>
      </c>
      <c r="Y3424" s="45"/>
      <c r="Z3424" s="74"/>
      <c r="AA3424" s="53">
        <f>P_2_minQ+(AA3421^2*R_dn)-dpdn_minQ</f>
        <v>76.673139298855347</v>
      </c>
      <c r="AB3424" s="45"/>
      <c r="AC3424" s="74"/>
      <c r="AD3424" s="53">
        <f>P_2_minQ+(AD3421^2*R_dn)-dpdn_minQ</f>
        <v>165.3513627155443</v>
      </c>
      <c r="AE3424" s="45"/>
      <c r="AF3424" s="74"/>
      <c r="AG3424" s="53">
        <f>P_2_minQ+(AG3421^2*R_dn)-dpdn_minQ</f>
        <v>336.5366129935133</v>
      </c>
      <c r="AH3424" s="45"/>
      <c r="AI3424" s="74"/>
      <c r="AJ3424" s="53">
        <f>P_2_minQ+(AJ3421^2*R_dn)-dpdn_minQ</f>
        <v>580.08376738340735</v>
      </c>
      <c r="AK3424" s="45"/>
      <c r="AL3424" s="74"/>
      <c r="AM3424" s="53">
        <f>P_2_minQ+(AM3421^2*R_dn)-dpdn_minQ</f>
        <v>851.61188239459864</v>
      </c>
      <c r="AN3424" s="45"/>
      <c r="AO3424" s="74"/>
      <c r="AP3424" s="53">
        <f>P_2_minQ+(AP3421^2*R_dn)-dpdn_minQ</f>
        <v>1139.2673207966293</v>
      </c>
      <c r="AQ3424" s="45"/>
      <c r="AR3424" s="74"/>
      <c r="AS3424" s="53">
        <f>P_2_minQ+(AS3421^2*R_dn)-dpdn_minQ</f>
        <v>1468.3631242467816</v>
      </c>
      <c r="AT3424" s="45"/>
      <c r="AU3424" s="74"/>
    </row>
    <row r="3425" spans="15:47" x14ac:dyDescent="0.25">
      <c r="O3425" s="6" t="s">
        <v>243</v>
      </c>
      <c r="Q3425" s="60"/>
      <c r="R3425" s="53">
        <f>R3423-R3424</f>
        <v>27.111489424231383</v>
      </c>
      <c r="S3425" s="56"/>
      <c r="T3425" s="72"/>
      <c r="U3425" s="64">
        <f>U3423-U3424</f>
        <v>17.401695370450632</v>
      </c>
      <c r="V3425" s="44"/>
      <c r="W3425" s="72"/>
      <c r="X3425" s="64">
        <f>X3423-X3424</f>
        <v>-53.348299318986378</v>
      </c>
      <c r="Y3425" s="44"/>
      <c r="Z3425" s="72"/>
      <c r="AA3425" s="64">
        <f>AA3423-AA3424</f>
        <v>-279.83883579313215</v>
      </c>
      <c r="AB3425" s="44"/>
      <c r="AC3425" s="72"/>
      <c r="AD3425" s="64">
        <f>AD3423-AD3424</f>
        <v>-811.90817629326568</v>
      </c>
      <c r="AE3425" s="44"/>
      <c r="AF3425" s="72"/>
      <c r="AG3425" s="64">
        <f>AG3423-AG3424</f>
        <v>-1839.0196779610801</v>
      </c>
      <c r="AH3425" s="44"/>
      <c r="AI3425" s="72"/>
      <c r="AJ3425" s="64">
        <f>AJ3423-AJ3424</f>
        <v>-3300.3026043004438</v>
      </c>
      <c r="AK3425" s="44"/>
      <c r="AL3425" s="72"/>
      <c r="AM3425" s="64">
        <f>AM3423-AM3424</f>
        <v>-4929.4712943675922</v>
      </c>
      <c r="AN3425" s="44"/>
      <c r="AO3425" s="72"/>
      <c r="AP3425" s="64">
        <f>AP3423-AP3424</f>
        <v>-6655.4039247797755</v>
      </c>
      <c r="AQ3425" s="44"/>
      <c r="AR3425" s="72"/>
      <c r="AS3425" s="64">
        <f>AS3423-AS3424</f>
        <v>-8629.9787454806901</v>
      </c>
      <c r="AT3425" s="44"/>
      <c r="AU3425" s="72"/>
    </row>
    <row r="3426" spans="15:47" ht="13" x14ac:dyDescent="0.3">
      <c r="O3426" s="6" t="s">
        <v>75</v>
      </c>
      <c r="P3426" s="6">
        <v>3</v>
      </c>
      <c r="Q3426" s="65"/>
      <c r="R3426" s="85">
        <f>(F_LP_h/F_P_h)^2*(R3423-('Valve Sizing'!$V$4*'Valve Sizing'!$G$7))</f>
        <v>43.212899202393999</v>
      </c>
      <c r="S3426" s="58"/>
      <c r="T3426" s="73"/>
      <c r="U3426" s="53">
        <f>(U$29/U$27)^2*(U3423-('Valve Sizing'!$V$4*'Valve Sizing'!$G$7))</f>
        <v>36.502764725051335</v>
      </c>
      <c r="V3426" s="41"/>
      <c r="W3426" s="73"/>
      <c r="X3426" s="53">
        <f>(X$29/X$27)^2*(X3423-('Valve Sizing'!$V$4*'Valve Sizing'!$G$7))</f>
        <v>-12.026967645026321</v>
      </c>
      <c r="Y3426" s="41"/>
      <c r="Z3426" s="73"/>
      <c r="AA3426" s="53">
        <f>(AA$29/AA$27)^2*(AA3423-('Valve Sizing'!$V$4*'Valve Sizing'!$G$7))</f>
        <v>-157.34596106890058</v>
      </c>
      <c r="AB3426" s="41"/>
      <c r="AC3426" s="73"/>
      <c r="AD3426" s="53">
        <f>(AD$29/AD$27)^2*(AD3423-('Valve Sizing'!$V$4*'Valve Sizing'!$G$7))</f>
        <v>-466.605996025178</v>
      </c>
      <c r="AE3426" s="41"/>
      <c r="AF3426" s="73"/>
      <c r="AG3426" s="53">
        <f>(AG$29/AG$27)^2*(AG3423-('Valve Sizing'!$V$4*'Valve Sizing'!$G$7))</f>
        <v>-967.948546227272</v>
      </c>
      <c r="AH3426" s="41"/>
      <c r="AI3426" s="73"/>
      <c r="AJ3426" s="53">
        <f>(AJ$29/AJ$27)^2*(AJ3423-('Valve Sizing'!$V$4*'Valve Sizing'!$G$7))</f>
        <v>-1573.5320732165962</v>
      </c>
      <c r="AK3426" s="41"/>
      <c r="AL3426" s="73"/>
      <c r="AM3426" s="53">
        <f>(AM$29/AM$27)^2*(AM3423-('Valve Sizing'!$V$4*'Valve Sizing'!$G$7))</f>
        <v>-1951.3527127470652</v>
      </c>
      <c r="AN3426" s="41"/>
      <c r="AO3426" s="73"/>
      <c r="AP3426" s="53">
        <f>(AP$29/AP$27)^2*(AP3423-('Valve Sizing'!$V$4*'Valve Sizing'!$G$7))</f>
        <v>-2176.9891458671618</v>
      </c>
      <c r="AQ3426" s="41"/>
      <c r="AR3426" s="73"/>
      <c r="AS3426" s="53">
        <f>(AS$29/AS$27)^2*(AS3423-('Valve Sizing'!$V$4*'Valve Sizing'!$G$7))</f>
        <v>-2693.9413104782943</v>
      </c>
      <c r="AT3426" s="41"/>
      <c r="AU3426" s="73"/>
    </row>
    <row r="3427" spans="15:47" ht="13" x14ac:dyDescent="0.25">
      <c r="O3427" s="1" t="s">
        <v>69</v>
      </c>
      <c r="P3427" s="17">
        <v>7</v>
      </c>
      <c r="Q3427" s="65"/>
      <c r="R3427" s="53">
        <f>(R3421/(N_1*F_P_h))*SQRT('Valve Sizing'!$G$6/R3425)</f>
        <v>68.458870548654048</v>
      </c>
      <c r="S3427" s="58"/>
      <c r="T3427" s="73"/>
      <c r="U3427" s="64">
        <f>(U3421/(N_1*U$27))*SQRT('Valve Sizing'!$G$6/U3425)</f>
        <v>145.26932506246794</v>
      </c>
      <c r="V3427" s="41"/>
      <c r="W3427" s="73"/>
      <c r="X3427" s="64" t="e">
        <f>(X3421/(N_1*X$27))*SQRT('Valve Sizing'!$G$6/X3425)</f>
        <v>#NUM!</v>
      </c>
      <c r="Y3427" s="41"/>
      <c r="Z3427" s="73"/>
      <c r="AA3427" s="64" t="e">
        <f>(AA3421/(N_1*AA$27))*SQRT('Valve Sizing'!$G$6/AA3425)</f>
        <v>#NUM!</v>
      </c>
      <c r="AB3427" s="41"/>
      <c r="AC3427" s="73"/>
      <c r="AD3427" s="64" t="e">
        <f>(AD3421/(N_1*AD$27))*SQRT('Valve Sizing'!$G$6/AD3425)</f>
        <v>#NUM!</v>
      </c>
      <c r="AE3427" s="41"/>
      <c r="AF3427" s="73"/>
      <c r="AG3427" s="64" t="e">
        <f>(AG3421/(N_1*AG$27))*SQRT('Valve Sizing'!$G$6/AG3425)</f>
        <v>#NUM!</v>
      </c>
      <c r="AH3427" s="41"/>
      <c r="AI3427" s="73"/>
      <c r="AJ3427" s="64" t="e">
        <f>(AJ3421/(N_1*AJ$27))*SQRT('Valve Sizing'!$G$6/AJ3425)</f>
        <v>#NUM!</v>
      </c>
      <c r="AK3427" s="41"/>
      <c r="AL3427" s="73"/>
      <c r="AM3427" s="64" t="e">
        <f>(AM3421/(N_1*AM$27))*SQRT('Valve Sizing'!$G$6/AM3425)</f>
        <v>#NUM!</v>
      </c>
      <c r="AN3427" s="41"/>
      <c r="AO3427" s="73"/>
      <c r="AP3427" s="64" t="e">
        <f>(AP3421/(N_1*AP$27))*SQRT('Valve Sizing'!$G$6/AP3425)</f>
        <v>#NUM!</v>
      </c>
      <c r="AQ3427" s="41"/>
      <c r="AR3427" s="73"/>
      <c r="AS3427" s="64" t="e">
        <f>(AS3421/(N_1*AS$27))*SQRT('Valve Sizing'!$G$6/AS3425)</f>
        <v>#NUM!</v>
      </c>
      <c r="AT3427" s="41"/>
      <c r="AU3427" s="73"/>
    </row>
    <row r="3428" spans="15:47" ht="13" x14ac:dyDescent="0.3">
      <c r="O3428" s="1" t="s">
        <v>72</v>
      </c>
      <c r="P3428" s="17">
        <v>7</v>
      </c>
      <c r="Q3428" s="65"/>
      <c r="R3428" s="53">
        <f>(R3421/(N_1*F_P_h))*SQRT('Valve Sizing'!$G$6/R3426)</f>
        <v>54.225019392506674</v>
      </c>
      <c r="S3428" s="56"/>
      <c r="T3428" s="72"/>
      <c r="U3428" s="85">
        <f>(U3421/(N_1*U$27))*SQRT('Valve Sizing'!$G$6/U3426)</f>
        <v>100.30135960467021</v>
      </c>
      <c r="V3428" s="44"/>
      <c r="W3428" s="72"/>
      <c r="X3428" s="85" t="e">
        <f>(X3421/(N_1*X$27))*SQRT('Valve Sizing'!$G$6/X3426)</f>
        <v>#NUM!</v>
      </c>
      <c r="Y3428" s="44"/>
      <c r="Z3428" s="72"/>
      <c r="AA3428" s="85" t="e">
        <f>(AA3421/(N_1*AA$27))*SQRT('Valve Sizing'!$G$6/AA3426)</f>
        <v>#NUM!</v>
      </c>
      <c r="AB3428" s="44"/>
      <c r="AC3428" s="72"/>
      <c r="AD3428" s="85" t="e">
        <f>(AD3421/(N_1*AD$27))*SQRT('Valve Sizing'!$G$6/AD3426)</f>
        <v>#NUM!</v>
      </c>
      <c r="AE3428" s="44"/>
      <c r="AF3428" s="72"/>
      <c r="AG3428" s="85" t="e">
        <f>(AG3421/(N_1*AG$27))*SQRT('Valve Sizing'!$G$6/AG3426)</f>
        <v>#NUM!</v>
      </c>
      <c r="AH3428" s="44"/>
      <c r="AI3428" s="72"/>
      <c r="AJ3428" s="85" t="e">
        <f>(AJ3421/(N_1*AJ$27))*SQRT('Valve Sizing'!$G$6/AJ3426)</f>
        <v>#NUM!</v>
      </c>
      <c r="AK3428" s="44"/>
      <c r="AL3428" s="72"/>
      <c r="AM3428" s="85" t="e">
        <f>(AM3421/(N_1*AM$27))*SQRT('Valve Sizing'!$G$6/AM3426)</f>
        <v>#NUM!</v>
      </c>
      <c r="AN3428" s="44"/>
      <c r="AO3428" s="72"/>
      <c r="AP3428" s="85" t="e">
        <f>(AP3421/(N_1*AP$27))*SQRT('Valve Sizing'!$G$6/AP3426)</f>
        <v>#NUM!</v>
      </c>
      <c r="AQ3428" s="44"/>
      <c r="AR3428" s="72"/>
      <c r="AS3428" s="85" t="e">
        <f>(AS3421/(N_1*AS$27))*SQRT('Valve Sizing'!$G$6/AS3426)</f>
        <v>#NUM!</v>
      </c>
      <c r="AT3428" s="44"/>
      <c r="AU3428" s="72"/>
    </row>
    <row r="3429" spans="15:47" x14ac:dyDescent="0.25">
      <c r="O3429" s="1" t="s">
        <v>246</v>
      </c>
      <c r="P3429" s="18"/>
      <c r="Q3429" s="65"/>
      <c r="R3429" s="53">
        <f>IF(R3425&lt;R3426,R3427,R3428)</f>
        <v>68.458870548654048</v>
      </c>
      <c r="S3429" s="49"/>
      <c r="T3429" s="72"/>
      <c r="U3429" s="64">
        <f>IF(U3425&lt;U3426,U3427,U3428)</f>
        <v>145.26932506246794</v>
      </c>
      <c r="V3429" s="44"/>
      <c r="W3429" s="72"/>
      <c r="X3429" s="64" t="e">
        <f>IF(X3425&lt;X3426,X3427,X3428)</f>
        <v>#NUM!</v>
      </c>
      <c r="Y3429" s="44"/>
      <c r="Z3429" s="72"/>
      <c r="AA3429" s="64" t="e">
        <f>IF(AA3425&lt;AA3426,AA3427,AA3428)</f>
        <v>#NUM!</v>
      </c>
      <c r="AB3429" s="44"/>
      <c r="AC3429" s="72"/>
      <c r="AD3429" s="64" t="e">
        <f>IF(AD3425&lt;AD3426,AD3427,AD3428)</f>
        <v>#NUM!</v>
      </c>
      <c r="AE3429" s="44"/>
      <c r="AF3429" s="72"/>
      <c r="AG3429" s="64" t="e">
        <f>IF(AG3425&lt;AG3426,AG3427,AG3428)</f>
        <v>#NUM!</v>
      </c>
      <c r="AH3429" s="44"/>
      <c r="AI3429" s="72"/>
      <c r="AJ3429" s="64" t="e">
        <f>IF(AJ3425&lt;AJ3426,AJ3427,AJ3428)</f>
        <v>#NUM!</v>
      </c>
      <c r="AK3429" s="44"/>
      <c r="AL3429" s="72"/>
      <c r="AM3429" s="64" t="e">
        <f>IF(AM3425&lt;AM3426,AM3427,AM3428)</f>
        <v>#NUM!</v>
      </c>
      <c r="AN3429" s="44"/>
      <c r="AO3429" s="72"/>
      <c r="AP3429" s="64" t="e">
        <f>IF(AP3425&lt;AP3426,AP3427,AP3428)</f>
        <v>#NUM!</v>
      </c>
      <c r="AQ3429" s="44"/>
      <c r="AR3429" s="72"/>
      <c r="AS3429" s="64" t="e">
        <f>IF(AS3425&lt;AS3426,AS3427,AS3428)</f>
        <v>#NUM!</v>
      </c>
      <c r="AT3429" s="44"/>
      <c r="AU3429" s="72"/>
    </row>
    <row r="3430" spans="15:47" ht="13" x14ac:dyDescent="0.3">
      <c r="O3430" s="7" t="s">
        <v>264</v>
      </c>
      <c r="Q3430" s="61"/>
      <c r="R3430" s="53"/>
      <c r="S3430" s="69">
        <f>IFERROR(ABS(C_h-R3429),Q_max*10)</f>
        <v>63.458870548654048</v>
      </c>
      <c r="T3430" s="76">
        <f>R3421</f>
        <v>356.40426268086446</v>
      </c>
      <c r="U3430" s="61"/>
      <c r="V3430" s="69">
        <f>IFERROR(ABS(U$23-U3429),Q_max*10)</f>
        <v>133.26932506246794</v>
      </c>
      <c r="W3430" s="75">
        <f>U3421</f>
        <v>605.48589309258932</v>
      </c>
      <c r="X3430" s="61"/>
      <c r="Y3430" s="69">
        <f>IFERROR(ABS(X$23-X3429),Q_max*10)</f>
        <v>5500</v>
      </c>
      <c r="Z3430" s="75">
        <f>X3421</f>
        <v>1453.3992175916392</v>
      </c>
      <c r="AA3430" s="61"/>
      <c r="AB3430" s="69">
        <f>IFERROR(ABS(AA$23-AA3429),Q_max*10)</f>
        <v>5500</v>
      </c>
      <c r="AC3430" s="75">
        <f>AA3421</f>
        <v>2775.0717600082949</v>
      </c>
      <c r="AD3430" s="61"/>
      <c r="AE3430" s="69">
        <f>IFERROR(ABS(AD$23-AD3429),Q_max*10)</f>
        <v>5500</v>
      </c>
      <c r="AF3430" s="75">
        <f>AD3421</f>
        <v>4563.9713244099521</v>
      </c>
      <c r="AG3430" s="61"/>
      <c r="AH3430" s="69">
        <f>IFERROR(ABS(AG$23-AG3429),Q_max*10)</f>
        <v>5500</v>
      </c>
      <c r="AI3430" s="75">
        <f>AG3421</f>
        <v>6795.1313860505779</v>
      </c>
      <c r="AJ3430" s="61"/>
      <c r="AK3430" s="69">
        <f>IFERROR(ABS(AJ$23-AJ3429),Q_max*10)</f>
        <v>5500</v>
      </c>
      <c r="AL3430" s="75">
        <f>AJ3421</f>
        <v>9068.1291764681791</v>
      </c>
      <c r="AM3430" s="61"/>
      <c r="AN3430" s="69">
        <f>IFERROR(ABS(AM$23-AM3429),Q_max*10)</f>
        <v>5500</v>
      </c>
      <c r="AO3430" s="75">
        <f>AM3421</f>
        <v>11064.840902088034</v>
      </c>
      <c r="AP3430" s="61"/>
      <c r="AQ3430" s="69">
        <f>IFERROR(ABS(AP$23-AP3429),Q_max*10)</f>
        <v>5500</v>
      </c>
      <c r="AR3430" s="75">
        <f>AP3421</f>
        <v>12845.936783432377</v>
      </c>
      <c r="AS3430" s="61"/>
      <c r="AT3430" s="69">
        <f>IFERROR(ABS(AS$23-AS3429),Q_max*10)</f>
        <v>5500</v>
      </c>
      <c r="AU3430" s="75">
        <f>AS3421</f>
        <v>14619.874334095215</v>
      </c>
    </row>
    <row r="3431" spans="15:47" ht="14.5" x14ac:dyDescent="0.35">
      <c r="O3431" s="8"/>
      <c r="P3431" s="6"/>
      <c r="Q3431" s="60"/>
      <c r="R3431" s="67"/>
      <c r="S3431" s="56"/>
      <c r="T3431" s="72"/>
      <c r="V3431" s="11"/>
      <c r="W3431" s="38"/>
      <c r="Y3431" s="11"/>
      <c r="Z3431" s="38"/>
      <c r="AB3431" s="11"/>
      <c r="AC3431" s="38"/>
      <c r="AE3431" s="11"/>
      <c r="AF3431" s="38"/>
      <c r="AH3431" s="11"/>
      <c r="AI3431" s="38"/>
      <c r="AK3431" s="11"/>
      <c r="AL3431" s="38"/>
      <c r="AN3431" s="11"/>
      <c r="AO3431" s="38"/>
      <c r="AQ3431" s="11"/>
      <c r="AR3431" s="38"/>
      <c r="AT3431" s="11"/>
      <c r="AU3431" s="38"/>
    </row>
    <row r="3432" spans="15:47" ht="14" x14ac:dyDescent="0.3">
      <c r="O3432" s="8" t="s">
        <v>235</v>
      </c>
      <c r="P3432" s="6"/>
      <c r="Q3432" s="60"/>
      <c r="R3432" s="53">
        <f>R3421*1.02</f>
        <v>363.53234793448178</v>
      </c>
      <c r="S3432" s="58" t="s">
        <v>238</v>
      </c>
      <c r="T3432" s="73" t="s">
        <v>241</v>
      </c>
      <c r="U3432" s="84">
        <f>U3421*1.01</f>
        <v>611.54075202351521</v>
      </c>
      <c r="V3432" s="58" t="s">
        <v>238</v>
      </c>
      <c r="W3432" s="73" t="s">
        <v>241</v>
      </c>
      <c r="X3432" s="84">
        <f>X3421*1.01</f>
        <v>1467.9332097675556</v>
      </c>
      <c r="Y3432" s="58" t="s">
        <v>238</v>
      </c>
      <c r="Z3432" s="73" t="s">
        <v>241</v>
      </c>
      <c r="AA3432" s="84">
        <f>AA3421*1.01</f>
        <v>2802.822477608378</v>
      </c>
      <c r="AB3432" s="58" t="s">
        <v>238</v>
      </c>
      <c r="AC3432" s="73" t="s">
        <v>241</v>
      </c>
      <c r="AD3432" s="84">
        <f>AD3421*1.01</f>
        <v>4609.6110376540519</v>
      </c>
      <c r="AE3432" s="58" t="s">
        <v>238</v>
      </c>
      <c r="AF3432" s="73" t="s">
        <v>241</v>
      </c>
      <c r="AG3432" s="84">
        <f>AG3421*1.01</f>
        <v>6863.0826999110841</v>
      </c>
      <c r="AH3432" s="58" t="s">
        <v>238</v>
      </c>
      <c r="AI3432" s="73" t="s">
        <v>241</v>
      </c>
      <c r="AJ3432" s="84">
        <f>AJ3421*1.01</f>
        <v>9158.8104682328612</v>
      </c>
      <c r="AK3432" s="58" t="s">
        <v>238</v>
      </c>
      <c r="AL3432" s="73" t="s">
        <v>241</v>
      </c>
      <c r="AM3432" s="84">
        <f>AM3421*1.01</f>
        <v>11175.489311108913</v>
      </c>
      <c r="AN3432" s="58" t="s">
        <v>238</v>
      </c>
      <c r="AO3432" s="73" t="s">
        <v>241</v>
      </c>
      <c r="AP3432" s="84">
        <f>AP3421*1.01</f>
        <v>12974.396151266701</v>
      </c>
      <c r="AQ3432" s="58" t="s">
        <v>238</v>
      </c>
      <c r="AR3432" s="73" t="s">
        <v>241</v>
      </c>
      <c r="AS3432" s="84">
        <f>AS3421*1.01</f>
        <v>14766.073077436167</v>
      </c>
      <c r="AT3432" s="58" t="s">
        <v>238</v>
      </c>
      <c r="AU3432" s="73" t="s">
        <v>241</v>
      </c>
    </row>
    <row r="3433" spans="15:47" ht="13" x14ac:dyDescent="0.25">
      <c r="O3433" s="6"/>
      <c r="P3433" s="6"/>
      <c r="Q3433" s="60"/>
      <c r="R3433" s="70"/>
      <c r="S3433" s="63" t="s">
        <v>250</v>
      </c>
      <c r="T3433" s="71" t="s">
        <v>242</v>
      </c>
      <c r="U3433" s="61"/>
      <c r="V3433" s="63" t="s">
        <v>250</v>
      </c>
      <c r="W3433" s="71" t="s">
        <v>242</v>
      </c>
      <c r="X3433" s="61"/>
      <c r="Y3433" s="63" t="s">
        <v>250</v>
      </c>
      <c r="Z3433" s="71" t="s">
        <v>242</v>
      </c>
      <c r="AA3433" s="61"/>
      <c r="AB3433" s="63" t="s">
        <v>250</v>
      </c>
      <c r="AC3433" s="71" t="s">
        <v>242</v>
      </c>
      <c r="AD3433" s="61"/>
      <c r="AE3433" s="63" t="s">
        <v>250</v>
      </c>
      <c r="AF3433" s="71" t="s">
        <v>242</v>
      </c>
      <c r="AG3433" s="61"/>
      <c r="AH3433" s="63" t="s">
        <v>250</v>
      </c>
      <c r="AI3433" s="71" t="s">
        <v>242</v>
      </c>
      <c r="AJ3433" s="61"/>
      <c r="AK3433" s="63" t="s">
        <v>250</v>
      </c>
      <c r="AL3433" s="71" t="s">
        <v>242</v>
      </c>
      <c r="AM3433" s="61"/>
      <c r="AN3433" s="63" t="s">
        <v>250</v>
      </c>
      <c r="AO3433" s="71" t="s">
        <v>242</v>
      </c>
      <c r="AP3433" s="61"/>
      <c r="AQ3433" s="63" t="s">
        <v>250</v>
      </c>
      <c r="AR3433" s="71" t="s">
        <v>242</v>
      </c>
      <c r="AS3433" s="61"/>
      <c r="AT3433" s="63" t="s">
        <v>250</v>
      </c>
      <c r="AU3433" s="71" t="s">
        <v>242</v>
      </c>
    </row>
    <row r="3434" spans="15:47" ht="13" x14ac:dyDescent="0.3">
      <c r="O3434" s="6" t="s">
        <v>231</v>
      </c>
      <c r="P3434" s="6"/>
      <c r="Q3434" s="60"/>
      <c r="R3434" s="85">
        <f>P_1_minQ-(R3432^2*R_up)+dpup_minQ</f>
        <v>52.452929145736</v>
      </c>
      <c r="S3434" s="56"/>
      <c r="T3434" s="72"/>
      <c r="U3434" s="53">
        <f>P_1_minQ-(U3432^2*R_up)+dpup_minQ</f>
        <v>44.28588006128043</v>
      </c>
      <c r="V3434" s="44"/>
      <c r="W3434" s="72"/>
      <c r="X3434" s="53">
        <f>P_1_minQ-(X3432^2*R_up)+dpup_minQ</f>
        <v>-15.857511257631831</v>
      </c>
      <c r="Y3434" s="44"/>
      <c r="Z3434" s="72"/>
      <c r="AA3434" s="53">
        <f>P_1_minQ-(AA3432^2*R_up)+dpup_minQ</f>
        <v>-208.39334147202865</v>
      </c>
      <c r="AB3434" s="44"/>
      <c r="AC3434" s="72"/>
      <c r="AD3434" s="53">
        <f>P_1_minQ-(AD3432^2*R_up)+dpup_minQ</f>
        <v>-660.69662000885046</v>
      </c>
      <c r="AE3434" s="44"/>
      <c r="AF3434" s="72"/>
      <c r="AG3434" s="53">
        <f>P_1_minQ-(AG3432^2*R_up)+dpup_minQ</f>
        <v>-1533.8269890516317</v>
      </c>
      <c r="AH3434" s="44"/>
      <c r="AI3434" s="72"/>
      <c r="AJ3434" s="53">
        <f>P_1_minQ-(AJ3432^2*R_up)+dpup_minQ</f>
        <v>-2776.0392500172866</v>
      </c>
      <c r="AK3434" s="44"/>
      <c r="AL3434" s="72"/>
      <c r="AM3434" s="53">
        <f>P_1_minQ-(AM3432^2*R_up)+dpup_minQ</f>
        <v>-4160.9684006318676</v>
      </c>
      <c r="AN3434" s="44"/>
      <c r="AO3434" s="72"/>
      <c r="AP3434" s="53">
        <f>P_1_minQ-(AP3432^2*R_up)+dpup_minQ</f>
        <v>-5628.1549642014252</v>
      </c>
      <c r="AQ3434" s="44"/>
      <c r="AR3434" s="72"/>
      <c r="AS3434" s="53">
        <f>P_1_minQ-(AS3432^2*R_up)+dpup_minQ</f>
        <v>-7306.7081096989277</v>
      </c>
      <c r="AT3434" s="44"/>
      <c r="AU3434" s="72"/>
    </row>
    <row r="3435" spans="15:47" ht="13" x14ac:dyDescent="0.3">
      <c r="O3435" s="6" t="s">
        <v>233</v>
      </c>
      <c r="P3435" s="6"/>
      <c r="Q3435" s="60"/>
      <c r="R3435" s="85">
        <f>P_2_minQ+(R3432^2*R_dn)-dpdn_minQ</f>
        <v>25.549414170852803</v>
      </c>
      <c r="S3435" s="66"/>
      <c r="T3435" s="74"/>
      <c r="U3435" s="53">
        <f>P_2_minQ+(U3432^2*R_dn)-dpdn_minQ</f>
        <v>27.182823987743916</v>
      </c>
      <c r="V3435" s="45"/>
      <c r="W3435" s="74"/>
      <c r="X3435" s="53">
        <f>P_2_minQ+(X3432^2*R_dn)-dpdn_minQ</f>
        <v>39.211502251526369</v>
      </c>
      <c r="Y3435" s="45"/>
      <c r="Z3435" s="74"/>
      <c r="AA3435" s="53">
        <f>P_2_minQ+(AA3432^2*R_dn)-dpdn_minQ</f>
        <v>77.718668294405717</v>
      </c>
      <c r="AB3435" s="45"/>
      <c r="AC3435" s="74"/>
      <c r="AD3435" s="53">
        <f>P_2_minQ+(AD3432^2*R_dn)-dpdn_minQ</f>
        <v>168.17932400177008</v>
      </c>
      <c r="AE3435" s="45"/>
      <c r="AF3435" s="74"/>
      <c r="AG3435" s="53">
        <f>P_2_minQ+(AG3432^2*R_dn)-dpdn_minQ</f>
        <v>342.80539781032627</v>
      </c>
      <c r="AH3435" s="45"/>
      <c r="AI3435" s="74"/>
      <c r="AJ3435" s="53">
        <f>P_2_minQ+(AJ3432^2*R_dn)-dpdn_minQ</f>
        <v>591.2478500034573</v>
      </c>
      <c r="AK3435" s="45"/>
      <c r="AL3435" s="74"/>
      <c r="AM3435" s="53">
        <f>P_2_minQ+(AM3432^2*R_dn)-dpdn_minQ</f>
        <v>868.23368012637332</v>
      </c>
      <c r="AN3435" s="45"/>
      <c r="AO3435" s="74"/>
      <c r="AP3435" s="53">
        <f>P_2_minQ+(AP3432^2*R_dn)-dpdn_minQ</f>
        <v>1161.670992840285</v>
      </c>
      <c r="AQ3435" s="45"/>
      <c r="AR3435" s="74"/>
      <c r="AS3435" s="53">
        <f>P_2_minQ+(AS3432^2*R_dn)-dpdn_minQ</f>
        <v>1497.3816219397854</v>
      </c>
      <c r="AT3435" s="45"/>
      <c r="AU3435" s="74"/>
    </row>
    <row r="3436" spans="15:47" x14ac:dyDescent="0.25">
      <c r="O3436" s="6" t="s">
        <v>243</v>
      </c>
      <c r="Q3436" s="60"/>
      <c r="R3436" s="53">
        <f>R3434-R3435</f>
        <v>26.903514974883198</v>
      </c>
      <c r="S3436" s="56"/>
      <c r="T3436" s="72"/>
      <c r="U3436" s="64">
        <f>U3434-U3435</f>
        <v>17.103056073536514</v>
      </c>
      <c r="V3436" s="44"/>
      <c r="W3436" s="72"/>
      <c r="X3436" s="64">
        <f>X3434-X3435</f>
        <v>-55.069013509158196</v>
      </c>
      <c r="Y3436" s="44"/>
      <c r="Z3436" s="72"/>
      <c r="AA3436" s="64">
        <f>AA3434-AA3435</f>
        <v>-286.11200976643437</v>
      </c>
      <c r="AB3436" s="44"/>
      <c r="AC3436" s="72"/>
      <c r="AD3436" s="64">
        <f>AD3434-AD3435</f>
        <v>-828.87594401062051</v>
      </c>
      <c r="AE3436" s="44"/>
      <c r="AF3436" s="72"/>
      <c r="AG3436" s="64">
        <f>AG3434-AG3435</f>
        <v>-1876.6323868619579</v>
      </c>
      <c r="AH3436" s="44"/>
      <c r="AI3436" s="72"/>
      <c r="AJ3436" s="64">
        <f>AJ3434-AJ3435</f>
        <v>-3367.2871000207438</v>
      </c>
      <c r="AK3436" s="44"/>
      <c r="AL3436" s="72"/>
      <c r="AM3436" s="64">
        <f>AM3434-AM3435</f>
        <v>-5029.2020807582412</v>
      </c>
      <c r="AN3436" s="44"/>
      <c r="AO3436" s="72"/>
      <c r="AP3436" s="64">
        <f>AP3434-AP3435</f>
        <v>-6789.8259570417104</v>
      </c>
      <c r="AQ3436" s="44"/>
      <c r="AR3436" s="72"/>
      <c r="AS3436" s="64">
        <f>AS3434-AS3435</f>
        <v>-8804.0897316387127</v>
      </c>
      <c r="AT3436" s="44"/>
      <c r="AU3436" s="72"/>
    </row>
    <row r="3437" spans="15:47" ht="13" x14ac:dyDescent="0.3">
      <c r="O3437" s="6" t="s">
        <v>75</v>
      </c>
      <c r="P3437" s="6">
        <v>3</v>
      </c>
      <c r="Q3437" s="65"/>
      <c r="R3437" s="85">
        <f>(F_LP_h/F_P_h)^2*(R3434-('Valve Sizing'!$V$4*'Valve Sizing'!$G$7))</f>
        <v>43.069387735205339</v>
      </c>
      <c r="S3437" s="58"/>
      <c r="T3437" s="73"/>
      <c r="U3437" s="53">
        <f>(U$29/U$27)^2*(U3434-('Valve Sizing'!$V$4*'Valve Sizing'!$G$7))</f>
        <v>36.296746714522968</v>
      </c>
      <c r="V3437" s="41"/>
      <c r="W3437" s="73"/>
      <c r="X3437" s="53">
        <f>(X$29/X$27)^2*(X3434-('Valve Sizing'!$V$4*'Valve Sizing'!$G$7))</f>
        <v>-13.187235995969623</v>
      </c>
      <c r="Y3437" s="41"/>
      <c r="Z3437" s="73"/>
      <c r="AA3437" s="53">
        <f>(AA$29/AA$27)^2*(AA3434-('Valve Sizing'!$V$4*'Valve Sizing'!$G$7))</f>
        <v>-161.38587058192894</v>
      </c>
      <c r="AB3437" s="41"/>
      <c r="AC3437" s="73"/>
      <c r="AD3437" s="53">
        <f>(AD$29/AD$27)^2*(AD3434-('Valve Sizing'!$V$4*'Valve Sizing'!$G$7))</f>
        <v>-476.80344636321013</v>
      </c>
      <c r="AE3437" s="41"/>
      <c r="AF3437" s="73"/>
      <c r="AG3437" s="53">
        <f>(AG$29/AG$27)^2*(AG3434-('Valve Sizing'!$V$4*'Valve Sizing'!$G$7))</f>
        <v>-988.13541093995627</v>
      </c>
      <c r="AH3437" s="41"/>
      <c r="AI3437" s="73"/>
      <c r="AJ3437" s="53">
        <f>(AJ$29/AJ$27)^2*(AJ3434-('Valve Sizing'!$V$4*'Valve Sizing'!$G$7))</f>
        <v>-1605.8166093369573</v>
      </c>
      <c r="AK3437" s="41"/>
      <c r="AL3437" s="73"/>
      <c r="AM3437" s="53">
        <f>(AM$29/AM$27)^2*(AM3434-('Valve Sizing'!$V$4*'Valve Sizing'!$G$7))</f>
        <v>-1991.1180491772013</v>
      </c>
      <c r="AN3437" s="41"/>
      <c r="AO3437" s="73"/>
      <c r="AP3437" s="53">
        <f>(AP$29/AP$27)^2*(AP3434-('Valve Sizing'!$V$4*'Valve Sizing'!$G$7))</f>
        <v>-2221.1945959659915</v>
      </c>
      <c r="AQ3437" s="41"/>
      <c r="AR3437" s="73"/>
      <c r="AS3437" s="53">
        <f>(AS$29/AS$27)^2*(AS3434-('Valve Sizing'!$V$4*'Valve Sizing'!$G$7))</f>
        <v>-2748.5165143080262</v>
      </c>
      <c r="AT3437" s="41"/>
      <c r="AU3437" s="73"/>
    </row>
    <row r="3438" spans="15:47" ht="13" x14ac:dyDescent="0.25">
      <c r="O3438" s="1" t="s">
        <v>69</v>
      </c>
      <c r="P3438" s="17">
        <v>7</v>
      </c>
      <c r="Q3438" s="65"/>
      <c r="R3438" s="53">
        <f>(R3432/(N_1*F_P_h))*SQRT('Valve Sizing'!$G$6/R3436)</f>
        <v>70.097427105341964</v>
      </c>
      <c r="S3438" s="58"/>
      <c r="T3438" s="73"/>
      <c r="U3438" s="64">
        <f>(U3432/(N_1*U$27))*SQRT('Valve Sizing'!$G$6/U3436)</f>
        <v>147.99744354495087</v>
      </c>
      <c r="V3438" s="41"/>
      <c r="W3438" s="73"/>
      <c r="X3438" s="64" t="e">
        <f>(X3432/(N_1*X$27))*SQRT('Valve Sizing'!$G$6/X3436)</f>
        <v>#NUM!</v>
      </c>
      <c r="Y3438" s="41"/>
      <c r="Z3438" s="73"/>
      <c r="AA3438" s="64" t="e">
        <f>(AA3432/(N_1*AA$27))*SQRT('Valve Sizing'!$G$6/AA3436)</f>
        <v>#NUM!</v>
      </c>
      <c r="AB3438" s="41"/>
      <c r="AC3438" s="73"/>
      <c r="AD3438" s="64" t="e">
        <f>(AD3432/(N_1*AD$27))*SQRT('Valve Sizing'!$G$6/AD3436)</f>
        <v>#NUM!</v>
      </c>
      <c r="AE3438" s="41"/>
      <c r="AF3438" s="73"/>
      <c r="AG3438" s="64" t="e">
        <f>(AG3432/(N_1*AG$27))*SQRT('Valve Sizing'!$G$6/AG3436)</f>
        <v>#NUM!</v>
      </c>
      <c r="AH3438" s="41"/>
      <c r="AI3438" s="73"/>
      <c r="AJ3438" s="64" t="e">
        <f>(AJ3432/(N_1*AJ$27))*SQRT('Valve Sizing'!$G$6/AJ3436)</f>
        <v>#NUM!</v>
      </c>
      <c r="AK3438" s="41"/>
      <c r="AL3438" s="73"/>
      <c r="AM3438" s="64" t="e">
        <f>(AM3432/(N_1*AM$27))*SQRT('Valve Sizing'!$G$6/AM3436)</f>
        <v>#NUM!</v>
      </c>
      <c r="AN3438" s="41"/>
      <c r="AO3438" s="73"/>
      <c r="AP3438" s="64" t="e">
        <f>(AP3432/(N_1*AP$27))*SQRT('Valve Sizing'!$G$6/AP3436)</f>
        <v>#NUM!</v>
      </c>
      <c r="AQ3438" s="41"/>
      <c r="AR3438" s="73"/>
      <c r="AS3438" s="64" t="e">
        <f>(AS3432/(N_1*AS$27))*SQRT('Valve Sizing'!$G$6/AS3436)</f>
        <v>#NUM!</v>
      </c>
      <c r="AT3438" s="41"/>
      <c r="AU3438" s="73"/>
    </row>
    <row r="3439" spans="15:47" ht="13" x14ac:dyDescent="0.3">
      <c r="O3439" s="1" t="s">
        <v>72</v>
      </c>
      <c r="P3439" s="17">
        <v>7</v>
      </c>
      <c r="Q3439" s="65"/>
      <c r="R3439" s="53">
        <f>(R3432/(N_1*F_P_h))*SQRT('Valve Sizing'!$G$6/R3437)</f>
        <v>55.401591546029749</v>
      </c>
      <c r="S3439" s="56"/>
      <c r="T3439" s="72"/>
      <c r="U3439" s="85">
        <f>(U3432/(N_1*U$27))*SQRT('Valve Sizing'!$G$6/U3437)</f>
        <v>101.59146496676838</v>
      </c>
      <c r="V3439" s="44"/>
      <c r="W3439" s="72"/>
      <c r="X3439" s="85" t="e">
        <f>(X3432/(N_1*X$27))*SQRT('Valve Sizing'!$G$6/X3437)</f>
        <v>#NUM!</v>
      </c>
      <c r="Y3439" s="44"/>
      <c r="Z3439" s="72"/>
      <c r="AA3439" s="85" t="e">
        <f>(AA3432/(N_1*AA$27))*SQRT('Valve Sizing'!$G$6/AA3437)</f>
        <v>#NUM!</v>
      </c>
      <c r="AB3439" s="44"/>
      <c r="AC3439" s="72"/>
      <c r="AD3439" s="85" t="e">
        <f>(AD3432/(N_1*AD$27))*SQRT('Valve Sizing'!$G$6/AD3437)</f>
        <v>#NUM!</v>
      </c>
      <c r="AE3439" s="44"/>
      <c r="AF3439" s="72"/>
      <c r="AG3439" s="85" t="e">
        <f>(AG3432/(N_1*AG$27))*SQRT('Valve Sizing'!$G$6/AG3437)</f>
        <v>#NUM!</v>
      </c>
      <c r="AH3439" s="44"/>
      <c r="AI3439" s="72"/>
      <c r="AJ3439" s="85" t="e">
        <f>(AJ3432/(N_1*AJ$27))*SQRT('Valve Sizing'!$G$6/AJ3437)</f>
        <v>#NUM!</v>
      </c>
      <c r="AK3439" s="44"/>
      <c r="AL3439" s="72"/>
      <c r="AM3439" s="85" t="e">
        <f>(AM3432/(N_1*AM$27))*SQRT('Valve Sizing'!$G$6/AM3437)</f>
        <v>#NUM!</v>
      </c>
      <c r="AN3439" s="44"/>
      <c r="AO3439" s="72"/>
      <c r="AP3439" s="85" t="e">
        <f>(AP3432/(N_1*AP$27))*SQRT('Valve Sizing'!$G$6/AP3437)</f>
        <v>#NUM!</v>
      </c>
      <c r="AQ3439" s="44"/>
      <c r="AR3439" s="72"/>
      <c r="AS3439" s="85" t="e">
        <f>(AS3432/(N_1*AS$27))*SQRT('Valve Sizing'!$G$6/AS3437)</f>
        <v>#NUM!</v>
      </c>
      <c r="AT3439" s="44"/>
      <c r="AU3439" s="72"/>
    </row>
    <row r="3440" spans="15:47" x14ac:dyDescent="0.25">
      <c r="O3440" s="1" t="s">
        <v>246</v>
      </c>
      <c r="P3440" s="18"/>
      <c r="Q3440" s="65"/>
      <c r="R3440" s="53">
        <f>IF(R3436&lt;R3437,R3438,R3439)</f>
        <v>70.097427105341964</v>
      </c>
      <c r="S3440" s="49"/>
      <c r="T3440" s="72"/>
      <c r="U3440" s="64">
        <f>IF(U3436&lt;U3437,U3438,U3439)</f>
        <v>147.99744354495087</v>
      </c>
      <c r="V3440" s="44"/>
      <c r="W3440" s="72"/>
      <c r="X3440" s="64" t="e">
        <f>IF(X3436&lt;X3437,X3438,X3439)</f>
        <v>#NUM!</v>
      </c>
      <c r="Y3440" s="44"/>
      <c r="Z3440" s="72"/>
      <c r="AA3440" s="64" t="e">
        <f>IF(AA3436&lt;AA3437,AA3438,AA3439)</f>
        <v>#NUM!</v>
      </c>
      <c r="AB3440" s="44"/>
      <c r="AC3440" s="72"/>
      <c r="AD3440" s="64" t="e">
        <f>IF(AD3436&lt;AD3437,AD3438,AD3439)</f>
        <v>#NUM!</v>
      </c>
      <c r="AE3440" s="44"/>
      <c r="AF3440" s="72"/>
      <c r="AG3440" s="64" t="e">
        <f>IF(AG3436&lt;AG3437,AG3438,AG3439)</f>
        <v>#NUM!</v>
      </c>
      <c r="AH3440" s="44"/>
      <c r="AI3440" s="72"/>
      <c r="AJ3440" s="64" t="e">
        <f>IF(AJ3436&lt;AJ3437,AJ3438,AJ3439)</f>
        <v>#NUM!</v>
      </c>
      <c r="AK3440" s="44"/>
      <c r="AL3440" s="72"/>
      <c r="AM3440" s="64" t="e">
        <f>IF(AM3436&lt;AM3437,AM3438,AM3439)</f>
        <v>#NUM!</v>
      </c>
      <c r="AN3440" s="44"/>
      <c r="AO3440" s="72"/>
      <c r="AP3440" s="64" t="e">
        <f>IF(AP3436&lt;AP3437,AP3438,AP3439)</f>
        <v>#NUM!</v>
      </c>
      <c r="AQ3440" s="44"/>
      <c r="AR3440" s="72"/>
      <c r="AS3440" s="64" t="e">
        <f>IF(AS3436&lt;AS3437,AS3438,AS3439)</f>
        <v>#NUM!</v>
      </c>
      <c r="AT3440" s="44"/>
      <c r="AU3440" s="72"/>
    </row>
    <row r="3441" spans="15:47" ht="13" x14ac:dyDescent="0.3">
      <c r="O3441" s="7" t="s">
        <v>264</v>
      </c>
      <c r="Q3441" s="61"/>
      <c r="R3441" s="53"/>
      <c r="S3441" s="69">
        <f>IFERROR(ABS(C_h-R3440),Q_max*10)</f>
        <v>65.097427105341964</v>
      </c>
      <c r="T3441" s="76">
        <f>R3432</f>
        <v>363.53234793448178</v>
      </c>
      <c r="U3441" s="61"/>
      <c r="V3441" s="69">
        <f>IFERROR(ABS(U$23-U3440),Q_max*10)</f>
        <v>135.99744354495087</v>
      </c>
      <c r="W3441" s="75">
        <f>U3432</f>
        <v>611.54075202351521</v>
      </c>
      <c r="X3441" s="61"/>
      <c r="Y3441" s="69">
        <f>IFERROR(ABS(X$23-X3440),Q_max*10)</f>
        <v>5500</v>
      </c>
      <c r="Z3441" s="75">
        <f>X3432</f>
        <v>1467.9332097675556</v>
      </c>
      <c r="AA3441" s="61"/>
      <c r="AB3441" s="69">
        <f>IFERROR(ABS(AA$23-AA3440),Q_max*10)</f>
        <v>5500</v>
      </c>
      <c r="AC3441" s="75">
        <f>AA3432</f>
        <v>2802.822477608378</v>
      </c>
      <c r="AD3441" s="61"/>
      <c r="AE3441" s="69">
        <f>IFERROR(ABS(AD$23-AD3440),Q_max*10)</f>
        <v>5500</v>
      </c>
      <c r="AF3441" s="75">
        <f>AD3432</f>
        <v>4609.6110376540519</v>
      </c>
      <c r="AG3441" s="61"/>
      <c r="AH3441" s="69">
        <f>IFERROR(ABS(AG$23-AG3440),Q_max*10)</f>
        <v>5500</v>
      </c>
      <c r="AI3441" s="75">
        <f>AG3432</f>
        <v>6863.0826999110841</v>
      </c>
      <c r="AJ3441" s="61"/>
      <c r="AK3441" s="69">
        <f>IFERROR(ABS(AJ$23-AJ3440),Q_max*10)</f>
        <v>5500</v>
      </c>
      <c r="AL3441" s="75">
        <f>AJ3432</f>
        <v>9158.8104682328612</v>
      </c>
      <c r="AM3441" s="61"/>
      <c r="AN3441" s="69">
        <f>IFERROR(ABS(AM$23-AM3440),Q_max*10)</f>
        <v>5500</v>
      </c>
      <c r="AO3441" s="75">
        <f>AM3432</f>
        <v>11175.489311108913</v>
      </c>
      <c r="AP3441" s="61"/>
      <c r="AQ3441" s="69">
        <f>IFERROR(ABS(AP$23-AP3440),Q_max*10)</f>
        <v>5500</v>
      </c>
      <c r="AR3441" s="75">
        <f>AP3432</f>
        <v>12974.396151266701</v>
      </c>
      <c r="AS3441" s="61"/>
      <c r="AT3441" s="69">
        <f>IFERROR(ABS(AS$23-AS3440),Q_max*10)</f>
        <v>5500</v>
      </c>
      <c r="AU3441" s="75">
        <f>AS3432</f>
        <v>14766.073077436167</v>
      </c>
    </row>
    <row r="3442" spans="15:47" ht="14.5" x14ac:dyDescent="0.35">
      <c r="O3442" s="6"/>
      <c r="P3442" s="6"/>
      <c r="Q3442" s="60"/>
      <c r="R3442" s="67"/>
      <c r="S3442" s="58"/>
      <c r="T3442" s="73"/>
      <c r="V3442" s="11"/>
      <c r="W3442" s="38"/>
      <c r="Y3442" s="11"/>
      <c r="Z3442" s="38"/>
      <c r="AB3442" s="11"/>
      <c r="AC3442" s="38"/>
      <c r="AE3442" s="11"/>
      <c r="AF3442" s="38"/>
      <c r="AH3442" s="11"/>
      <c r="AI3442" s="38"/>
      <c r="AK3442" s="11"/>
      <c r="AL3442" s="38"/>
      <c r="AN3442" s="11"/>
      <c r="AO3442" s="38"/>
      <c r="AQ3442" s="11"/>
      <c r="AR3442" s="38"/>
      <c r="AT3442" s="11"/>
      <c r="AU3442" s="38"/>
    </row>
    <row r="3443" spans="15:47" ht="14" x14ac:dyDescent="0.3">
      <c r="O3443" s="8" t="s">
        <v>235</v>
      </c>
      <c r="P3443" s="6"/>
      <c r="Q3443" s="60"/>
      <c r="R3443" s="53">
        <f>R3432*1.02</f>
        <v>370.80299489317144</v>
      </c>
      <c r="S3443" s="58" t="s">
        <v>238</v>
      </c>
      <c r="T3443" s="73" t="s">
        <v>241</v>
      </c>
      <c r="U3443" s="84">
        <f>U3432*1.01</f>
        <v>617.65615954375039</v>
      </c>
      <c r="V3443" s="58" t="s">
        <v>238</v>
      </c>
      <c r="W3443" s="73" t="s">
        <v>241</v>
      </c>
      <c r="X3443" s="84">
        <f>X3432*1.01</f>
        <v>1482.6125418652312</v>
      </c>
      <c r="Y3443" s="58" t="s">
        <v>238</v>
      </c>
      <c r="Z3443" s="73" t="s">
        <v>241</v>
      </c>
      <c r="AA3443" s="84">
        <f>AA3432*1.01</f>
        <v>2830.8507023844618</v>
      </c>
      <c r="AB3443" s="58" t="s">
        <v>238</v>
      </c>
      <c r="AC3443" s="73" t="s">
        <v>241</v>
      </c>
      <c r="AD3443" s="84">
        <f>AD3432*1.01</f>
        <v>4655.7071480305922</v>
      </c>
      <c r="AE3443" s="58" t="s">
        <v>238</v>
      </c>
      <c r="AF3443" s="73" t="s">
        <v>241</v>
      </c>
      <c r="AG3443" s="84">
        <f>AG3432*1.01</f>
        <v>6931.7135269101946</v>
      </c>
      <c r="AH3443" s="58" t="s">
        <v>238</v>
      </c>
      <c r="AI3443" s="73" t="s">
        <v>241</v>
      </c>
      <c r="AJ3443" s="84">
        <f>AJ3432*1.01</f>
        <v>9250.39857291519</v>
      </c>
      <c r="AK3443" s="58" t="s">
        <v>238</v>
      </c>
      <c r="AL3443" s="73" t="s">
        <v>241</v>
      </c>
      <c r="AM3443" s="84">
        <f>AM3432*1.01</f>
        <v>11287.244204220002</v>
      </c>
      <c r="AN3443" s="58" t="s">
        <v>238</v>
      </c>
      <c r="AO3443" s="73" t="s">
        <v>241</v>
      </c>
      <c r="AP3443" s="84">
        <f>AP3432*1.01</f>
        <v>13104.140112779369</v>
      </c>
      <c r="AQ3443" s="58" t="s">
        <v>238</v>
      </c>
      <c r="AR3443" s="73" t="s">
        <v>241</v>
      </c>
      <c r="AS3443" s="84">
        <f>AS3432*1.01</f>
        <v>14913.733808210529</v>
      </c>
      <c r="AT3443" s="58" t="s">
        <v>238</v>
      </c>
      <c r="AU3443" s="73" t="s">
        <v>241</v>
      </c>
    </row>
    <row r="3444" spans="15:47" ht="13" x14ac:dyDescent="0.25">
      <c r="O3444" s="6"/>
      <c r="P3444" s="6"/>
      <c r="Q3444" s="60"/>
      <c r="R3444" s="70"/>
      <c r="S3444" s="63" t="s">
        <v>250</v>
      </c>
      <c r="T3444" s="71" t="s">
        <v>242</v>
      </c>
      <c r="U3444" s="61"/>
      <c r="V3444" s="63" t="s">
        <v>250</v>
      </c>
      <c r="W3444" s="71" t="s">
        <v>242</v>
      </c>
      <c r="X3444" s="61"/>
      <c r="Y3444" s="63" t="s">
        <v>250</v>
      </c>
      <c r="Z3444" s="71" t="s">
        <v>242</v>
      </c>
      <c r="AA3444" s="61"/>
      <c r="AB3444" s="63" t="s">
        <v>250</v>
      </c>
      <c r="AC3444" s="71" t="s">
        <v>242</v>
      </c>
      <c r="AD3444" s="61"/>
      <c r="AE3444" s="63" t="s">
        <v>250</v>
      </c>
      <c r="AF3444" s="71" t="s">
        <v>242</v>
      </c>
      <c r="AG3444" s="61"/>
      <c r="AH3444" s="63" t="s">
        <v>250</v>
      </c>
      <c r="AI3444" s="71" t="s">
        <v>242</v>
      </c>
      <c r="AJ3444" s="61"/>
      <c r="AK3444" s="63" t="s">
        <v>250</v>
      </c>
      <c r="AL3444" s="71" t="s">
        <v>242</v>
      </c>
      <c r="AM3444" s="61"/>
      <c r="AN3444" s="63" t="s">
        <v>250</v>
      </c>
      <c r="AO3444" s="71" t="s">
        <v>242</v>
      </c>
      <c r="AP3444" s="61"/>
      <c r="AQ3444" s="63" t="s">
        <v>250</v>
      </c>
      <c r="AR3444" s="71" t="s">
        <v>242</v>
      </c>
      <c r="AS3444" s="61"/>
      <c r="AT3444" s="63" t="s">
        <v>250</v>
      </c>
      <c r="AU3444" s="71" t="s">
        <v>242</v>
      </c>
    </row>
    <row r="3445" spans="15:47" ht="13" x14ac:dyDescent="0.3">
      <c r="O3445" s="6" t="s">
        <v>231</v>
      </c>
      <c r="P3445" s="6"/>
      <c r="Q3445" s="60"/>
      <c r="R3445" s="85">
        <f>P_1_minQ-(R3443^2*R_up)+dpup_minQ</f>
        <v>52.272615298151116</v>
      </c>
      <c r="S3445" s="56"/>
      <c r="T3445" s="72"/>
      <c r="U3445" s="53">
        <f>P_1_minQ-(U3443^2*R_up)+dpup_minQ</f>
        <v>44.032011772295341</v>
      </c>
      <c r="V3445" s="44"/>
      <c r="W3445" s="72"/>
      <c r="X3445" s="53">
        <f>P_1_minQ-(X3443^2*R_up)+dpup_minQ</f>
        <v>-17.320261712127053</v>
      </c>
      <c r="Y3445" s="44"/>
      <c r="Z3445" s="72"/>
      <c r="AA3445" s="53">
        <f>P_1_minQ-(AA3443^2*R_up)+dpup_minQ</f>
        <v>-213.72606211383325</v>
      </c>
      <c r="AB3445" s="44"/>
      <c r="AC3445" s="72"/>
      <c r="AD3445" s="53">
        <f>P_1_minQ-(AD3443^2*R_up)+dpup_minQ</f>
        <v>-675.12063654924509</v>
      </c>
      <c r="AE3445" s="44"/>
      <c r="AF3445" s="72"/>
      <c r="AG3445" s="53">
        <f>P_1_minQ-(AG3443^2*R_up)+dpup_minQ</f>
        <v>-1565.8009260097863</v>
      </c>
      <c r="AH3445" s="44"/>
      <c r="AI3445" s="72"/>
      <c r="AJ3445" s="53">
        <f>P_1_minQ-(AJ3443^2*R_up)+dpup_minQ</f>
        <v>-2832.9816534208508</v>
      </c>
      <c r="AK3445" s="44"/>
      <c r="AL3445" s="72"/>
      <c r="AM3445" s="53">
        <f>P_1_minQ-(AM3443^2*R_up)+dpup_minQ</f>
        <v>-4245.7478799627843</v>
      </c>
      <c r="AN3445" s="44"/>
      <c r="AO3445" s="72"/>
      <c r="AP3445" s="53">
        <f>P_1_minQ-(AP3443^2*R_up)+dpup_minQ</f>
        <v>-5742.424893460091</v>
      </c>
      <c r="AQ3445" s="44"/>
      <c r="AR3445" s="72"/>
      <c r="AS3445" s="53">
        <f>P_1_minQ-(AS3443^2*R_up)+dpup_minQ</f>
        <v>-7454.7169571820932</v>
      </c>
      <c r="AT3445" s="44"/>
      <c r="AU3445" s="72"/>
    </row>
    <row r="3446" spans="15:47" ht="13" x14ac:dyDescent="0.3">
      <c r="O3446" s="6" t="s">
        <v>233</v>
      </c>
      <c r="P3446" s="6"/>
      <c r="Q3446" s="60"/>
      <c r="R3446" s="85">
        <f>P_2_minQ+(R3443^2*R_dn)-dpdn_minQ</f>
        <v>25.585476940369777</v>
      </c>
      <c r="S3446" s="66"/>
      <c r="T3446" s="74"/>
      <c r="U3446" s="53">
        <f>P_2_minQ+(U3443^2*R_dn)-dpdn_minQ</f>
        <v>27.233597645540932</v>
      </c>
      <c r="V3446" s="45"/>
      <c r="W3446" s="74"/>
      <c r="X3446" s="53">
        <f>P_2_minQ+(X3443^2*R_dn)-dpdn_minQ</f>
        <v>39.50405234242541</v>
      </c>
      <c r="Y3446" s="45"/>
      <c r="Z3446" s="74"/>
      <c r="AA3446" s="53">
        <f>P_2_minQ+(AA3443^2*R_dn)-dpdn_minQ</f>
        <v>78.785212422766648</v>
      </c>
      <c r="AB3446" s="45"/>
      <c r="AC3446" s="74"/>
      <c r="AD3446" s="53">
        <f>P_2_minQ+(AD3443^2*R_dn)-dpdn_minQ</f>
        <v>171.06412730984906</v>
      </c>
      <c r="AE3446" s="45"/>
      <c r="AF3446" s="74"/>
      <c r="AG3446" s="53">
        <f>P_2_minQ+(AG3443^2*R_dn)-dpdn_minQ</f>
        <v>349.2001852019572</v>
      </c>
      <c r="AH3446" s="45"/>
      <c r="AI3446" s="74"/>
      <c r="AJ3446" s="53">
        <f>P_2_minQ+(AJ3443^2*R_dn)-dpdn_minQ</f>
        <v>602.63633068417016</v>
      </c>
      <c r="AK3446" s="45"/>
      <c r="AL3446" s="74"/>
      <c r="AM3446" s="53">
        <f>P_2_minQ+(AM3443^2*R_dn)-dpdn_minQ</f>
        <v>885.18957599255668</v>
      </c>
      <c r="AN3446" s="45"/>
      <c r="AO3446" s="74"/>
      <c r="AP3446" s="53">
        <f>P_2_minQ+(AP3443^2*R_dn)-dpdn_minQ</f>
        <v>1184.5249786920181</v>
      </c>
      <c r="AQ3446" s="45"/>
      <c r="AR3446" s="74"/>
      <c r="AS3446" s="53">
        <f>P_2_minQ+(AS3443^2*R_dn)-dpdn_minQ</f>
        <v>1526.9833914364185</v>
      </c>
      <c r="AT3446" s="45"/>
      <c r="AU3446" s="74"/>
    </row>
    <row r="3447" spans="15:47" x14ac:dyDescent="0.25">
      <c r="O3447" s="6" t="s">
        <v>243</v>
      </c>
      <c r="Q3447" s="60"/>
      <c r="R3447" s="53">
        <f>R3445-R3446</f>
        <v>26.68713835778134</v>
      </c>
      <c r="S3447" s="56"/>
      <c r="T3447" s="72"/>
      <c r="U3447" s="64">
        <f>U3445-U3446</f>
        <v>16.798414126754409</v>
      </c>
      <c r="V3447" s="44"/>
      <c r="W3447" s="72"/>
      <c r="X3447" s="64">
        <f>X3445-X3446</f>
        <v>-56.82431405455246</v>
      </c>
      <c r="Y3447" s="44"/>
      <c r="Z3447" s="72"/>
      <c r="AA3447" s="64">
        <f>AA3445-AA3446</f>
        <v>-292.5112745365999</v>
      </c>
      <c r="AB3447" s="44"/>
      <c r="AC3447" s="72"/>
      <c r="AD3447" s="64">
        <f>AD3445-AD3446</f>
        <v>-846.18476385909412</v>
      </c>
      <c r="AE3447" s="44"/>
      <c r="AF3447" s="72"/>
      <c r="AG3447" s="64">
        <f>AG3445-AG3446</f>
        <v>-1915.0011112117436</v>
      </c>
      <c r="AH3447" s="44"/>
      <c r="AI3447" s="72"/>
      <c r="AJ3447" s="64">
        <f>AJ3445-AJ3446</f>
        <v>-3435.6179841050207</v>
      </c>
      <c r="AK3447" s="44"/>
      <c r="AL3447" s="72"/>
      <c r="AM3447" s="64">
        <f>AM3445-AM3446</f>
        <v>-5130.9374559553407</v>
      </c>
      <c r="AN3447" s="44"/>
      <c r="AO3447" s="72"/>
      <c r="AP3447" s="64">
        <f>AP3445-AP3446</f>
        <v>-6926.9498721521086</v>
      </c>
      <c r="AQ3447" s="44"/>
      <c r="AR3447" s="72"/>
      <c r="AS3447" s="64">
        <f>AS3445-AS3446</f>
        <v>-8981.7003486185113</v>
      </c>
      <c r="AT3447" s="44"/>
      <c r="AU3447" s="72"/>
    </row>
    <row r="3448" spans="15:47" ht="13" x14ac:dyDescent="0.3">
      <c r="O3448" s="6" t="s">
        <v>75</v>
      </c>
      <c r="P3448" s="6">
        <v>3</v>
      </c>
      <c r="Q3448" s="65"/>
      <c r="R3448" s="85">
        <f>(F_LP_h/F_P_h)^2*(R3445-('Valve Sizing'!$V$4*'Valve Sizing'!$G$7))</f>
        <v>42.920078404742249</v>
      </c>
      <c r="S3448" s="58"/>
      <c r="T3448" s="73"/>
      <c r="U3448" s="53">
        <f>(U$29/U$27)^2*(U3445-('Valve Sizing'!$V$4*'Valve Sizing'!$G$7))</f>
        <v>36.086587741982981</v>
      </c>
      <c r="V3448" s="41"/>
      <c r="W3448" s="73"/>
      <c r="X3448" s="53">
        <f>(X$29/X$27)^2*(X3445-('Valve Sizing'!$V$4*'Valve Sizing'!$G$7))</f>
        <v>-14.370825740766877</v>
      </c>
      <c r="Y3448" s="41"/>
      <c r="Z3448" s="73"/>
      <c r="AA3448" s="53">
        <f>(AA$29/AA$27)^2*(AA3445-('Valve Sizing'!$V$4*'Valve Sizing'!$G$7))</f>
        <v>-165.50698227616914</v>
      </c>
      <c r="AB3448" s="41"/>
      <c r="AC3448" s="73"/>
      <c r="AD3448" s="53">
        <f>(AD$29/AD$27)^2*(AD3445-('Valve Sizing'!$V$4*'Valve Sizing'!$G$7))</f>
        <v>-487.20586545303661</v>
      </c>
      <c r="AE3448" s="41"/>
      <c r="AF3448" s="73"/>
      <c r="AG3448" s="53">
        <f>(AG$29/AG$27)^2*(AG3445-('Valve Sizing'!$V$4*'Valve Sizing'!$G$7))</f>
        <v>-1008.7280316333655</v>
      </c>
      <c r="AH3448" s="41"/>
      <c r="AI3448" s="73"/>
      <c r="AJ3448" s="53">
        <f>(AJ$29/AJ$27)^2*(AJ3445-('Valve Sizing'!$V$4*'Valve Sizing'!$G$7))</f>
        <v>-1638.7500646333372</v>
      </c>
      <c r="AK3448" s="41"/>
      <c r="AL3448" s="73"/>
      <c r="AM3448" s="53">
        <f>(AM$29/AM$27)^2*(AM3445-('Valve Sizing'!$V$4*'Valve Sizing'!$G$7))</f>
        <v>-2031.682668869583</v>
      </c>
      <c r="AN3448" s="41"/>
      <c r="AO3448" s="73"/>
      <c r="AP3448" s="53">
        <f>(AP$29/AP$27)^2*(AP3445-('Valve Sizing'!$V$4*'Valve Sizing'!$G$7))</f>
        <v>-2266.2885756118076</v>
      </c>
      <c r="AQ3448" s="41"/>
      <c r="AR3448" s="73"/>
      <c r="AS3448" s="53">
        <f>(AS$29/AS$27)^2*(AS3445-('Valve Sizing'!$V$4*'Valve Sizing'!$G$7))</f>
        <v>-2804.1886797347352</v>
      </c>
      <c r="AT3448" s="41"/>
      <c r="AU3448" s="73"/>
    </row>
    <row r="3449" spans="15:47" ht="13" x14ac:dyDescent="0.25">
      <c r="O3449" s="1" t="s">
        <v>69</v>
      </c>
      <c r="P3449" s="17">
        <v>7</v>
      </c>
      <c r="Q3449" s="65"/>
      <c r="R3449" s="53">
        <f>(R3443/(N_1*F_P_h))*SQRT('Valve Sizing'!$G$6/R3447)</f>
        <v>71.788645339861688</v>
      </c>
      <c r="S3449" s="58"/>
      <c r="T3449" s="73"/>
      <c r="U3449" s="64">
        <f>(U3443/(N_1*U$27))*SQRT('Valve Sizing'!$G$6/U3447)</f>
        <v>150.82672651476858</v>
      </c>
      <c r="V3449" s="41"/>
      <c r="W3449" s="73"/>
      <c r="X3449" s="64" t="e">
        <f>(X3443/(N_1*X$27))*SQRT('Valve Sizing'!$G$6/X3447)</f>
        <v>#NUM!</v>
      </c>
      <c r="Y3449" s="41"/>
      <c r="Z3449" s="73"/>
      <c r="AA3449" s="64" t="e">
        <f>(AA3443/(N_1*AA$27))*SQRT('Valve Sizing'!$G$6/AA3447)</f>
        <v>#NUM!</v>
      </c>
      <c r="AB3449" s="41"/>
      <c r="AC3449" s="73"/>
      <c r="AD3449" s="64" t="e">
        <f>(AD3443/(N_1*AD$27))*SQRT('Valve Sizing'!$G$6/AD3447)</f>
        <v>#NUM!</v>
      </c>
      <c r="AE3449" s="41"/>
      <c r="AF3449" s="73"/>
      <c r="AG3449" s="64" t="e">
        <f>(AG3443/(N_1*AG$27))*SQRT('Valve Sizing'!$G$6/AG3447)</f>
        <v>#NUM!</v>
      </c>
      <c r="AH3449" s="41"/>
      <c r="AI3449" s="73"/>
      <c r="AJ3449" s="64" t="e">
        <f>(AJ3443/(N_1*AJ$27))*SQRT('Valve Sizing'!$G$6/AJ3447)</f>
        <v>#NUM!</v>
      </c>
      <c r="AK3449" s="41"/>
      <c r="AL3449" s="73"/>
      <c r="AM3449" s="64" t="e">
        <f>(AM3443/(N_1*AM$27))*SQRT('Valve Sizing'!$G$6/AM3447)</f>
        <v>#NUM!</v>
      </c>
      <c r="AN3449" s="41"/>
      <c r="AO3449" s="73"/>
      <c r="AP3449" s="64" t="e">
        <f>(AP3443/(N_1*AP$27))*SQRT('Valve Sizing'!$G$6/AP3447)</f>
        <v>#NUM!</v>
      </c>
      <c r="AQ3449" s="41"/>
      <c r="AR3449" s="73"/>
      <c r="AS3449" s="64" t="e">
        <f>(AS3443/(N_1*AS$27))*SQRT('Valve Sizing'!$G$6/AS3447)</f>
        <v>#NUM!</v>
      </c>
      <c r="AT3449" s="41"/>
      <c r="AU3449" s="73"/>
    </row>
    <row r="3450" spans="15:47" ht="13" x14ac:dyDescent="0.3">
      <c r="O3450" s="1" t="s">
        <v>72</v>
      </c>
      <c r="P3450" s="17">
        <v>7</v>
      </c>
      <c r="Q3450" s="65"/>
      <c r="R3450" s="53">
        <f>(R3443/(N_1*F_P_h))*SQRT('Valve Sizing'!$G$6/R3448)</f>
        <v>56.607830196606763</v>
      </c>
      <c r="S3450" s="56"/>
      <c r="T3450" s="72"/>
      <c r="U3450" s="85">
        <f>(U3443/(N_1*U$27))*SQRT('Valve Sizing'!$G$6/U3448)</f>
        <v>102.90572532214328</v>
      </c>
      <c r="V3450" s="44"/>
      <c r="W3450" s="72"/>
      <c r="X3450" s="85" t="e">
        <f>(X3443/(N_1*X$27))*SQRT('Valve Sizing'!$G$6/X3448)</f>
        <v>#NUM!</v>
      </c>
      <c r="Y3450" s="44"/>
      <c r="Z3450" s="72"/>
      <c r="AA3450" s="85" t="e">
        <f>(AA3443/(N_1*AA$27))*SQRT('Valve Sizing'!$G$6/AA3448)</f>
        <v>#NUM!</v>
      </c>
      <c r="AB3450" s="44"/>
      <c r="AC3450" s="72"/>
      <c r="AD3450" s="85" t="e">
        <f>(AD3443/(N_1*AD$27))*SQRT('Valve Sizing'!$G$6/AD3448)</f>
        <v>#NUM!</v>
      </c>
      <c r="AE3450" s="44"/>
      <c r="AF3450" s="72"/>
      <c r="AG3450" s="85" t="e">
        <f>(AG3443/(N_1*AG$27))*SQRT('Valve Sizing'!$G$6/AG3448)</f>
        <v>#NUM!</v>
      </c>
      <c r="AH3450" s="44"/>
      <c r="AI3450" s="72"/>
      <c r="AJ3450" s="85" t="e">
        <f>(AJ3443/(N_1*AJ$27))*SQRT('Valve Sizing'!$G$6/AJ3448)</f>
        <v>#NUM!</v>
      </c>
      <c r="AK3450" s="44"/>
      <c r="AL3450" s="72"/>
      <c r="AM3450" s="85" t="e">
        <f>(AM3443/(N_1*AM$27))*SQRT('Valve Sizing'!$G$6/AM3448)</f>
        <v>#NUM!</v>
      </c>
      <c r="AN3450" s="44"/>
      <c r="AO3450" s="72"/>
      <c r="AP3450" s="85" t="e">
        <f>(AP3443/(N_1*AP$27))*SQRT('Valve Sizing'!$G$6/AP3448)</f>
        <v>#NUM!</v>
      </c>
      <c r="AQ3450" s="44"/>
      <c r="AR3450" s="72"/>
      <c r="AS3450" s="85" t="e">
        <f>(AS3443/(N_1*AS$27))*SQRT('Valve Sizing'!$G$6/AS3448)</f>
        <v>#NUM!</v>
      </c>
      <c r="AT3450" s="44"/>
      <c r="AU3450" s="72"/>
    </row>
    <row r="3451" spans="15:47" x14ac:dyDescent="0.25">
      <c r="O3451" s="1" t="s">
        <v>246</v>
      </c>
      <c r="P3451" s="18"/>
      <c r="Q3451" s="65"/>
      <c r="R3451" s="53">
        <f>IF(R3447&lt;R3448,R3449,R3450)</f>
        <v>71.788645339861688</v>
      </c>
      <c r="S3451" s="49"/>
      <c r="T3451" s="72"/>
      <c r="U3451" s="64">
        <f>IF(U3447&lt;U3448,U3449,U3450)</f>
        <v>150.82672651476858</v>
      </c>
      <c r="V3451" s="44"/>
      <c r="W3451" s="72"/>
      <c r="X3451" s="64" t="e">
        <f>IF(X3447&lt;X3448,X3449,X3450)</f>
        <v>#NUM!</v>
      </c>
      <c r="Y3451" s="44"/>
      <c r="Z3451" s="72"/>
      <c r="AA3451" s="64" t="e">
        <f>IF(AA3447&lt;AA3448,AA3449,AA3450)</f>
        <v>#NUM!</v>
      </c>
      <c r="AB3451" s="44"/>
      <c r="AC3451" s="72"/>
      <c r="AD3451" s="64" t="e">
        <f>IF(AD3447&lt;AD3448,AD3449,AD3450)</f>
        <v>#NUM!</v>
      </c>
      <c r="AE3451" s="44"/>
      <c r="AF3451" s="72"/>
      <c r="AG3451" s="64" t="e">
        <f>IF(AG3447&lt;AG3448,AG3449,AG3450)</f>
        <v>#NUM!</v>
      </c>
      <c r="AH3451" s="44"/>
      <c r="AI3451" s="72"/>
      <c r="AJ3451" s="64" t="e">
        <f>IF(AJ3447&lt;AJ3448,AJ3449,AJ3450)</f>
        <v>#NUM!</v>
      </c>
      <c r="AK3451" s="44"/>
      <c r="AL3451" s="72"/>
      <c r="AM3451" s="64" t="e">
        <f>IF(AM3447&lt;AM3448,AM3449,AM3450)</f>
        <v>#NUM!</v>
      </c>
      <c r="AN3451" s="44"/>
      <c r="AO3451" s="72"/>
      <c r="AP3451" s="64" t="e">
        <f>IF(AP3447&lt;AP3448,AP3449,AP3450)</f>
        <v>#NUM!</v>
      </c>
      <c r="AQ3451" s="44"/>
      <c r="AR3451" s="72"/>
      <c r="AS3451" s="64" t="e">
        <f>IF(AS3447&lt;AS3448,AS3449,AS3450)</f>
        <v>#NUM!</v>
      </c>
      <c r="AT3451" s="44"/>
      <c r="AU3451" s="72"/>
    </row>
    <row r="3452" spans="15:47" ht="13" x14ac:dyDescent="0.3">
      <c r="O3452" s="7" t="s">
        <v>264</v>
      </c>
      <c r="Q3452" s="61"/>
      <c r="R3452" s="53"/>
      <c r="S3452" s="69">
        <f>IFERROR(ABS(C_h-R3451),Q_max*10)</f>
        <v>66.788645339861688</v>
      </c>
      <c r="T3452" s="76">
        <f>R3443</f>
        <v>370.80299489317144</v>
      </c>
      <c r="U3452" s="61"/>
      <c r="V3452" s="69">
        <f>IFERROR(ABS(U$23-U3451),Q_max*10)</f>
        <v>138.82672651476858</v>
      </c>
      <c r="W3452" s="75">
        <f>U3443</f>
        <v>617.65615954375039</v>
      </c>
      <c r="X3452" s="61"/>
      <c r="Y3452" s="69">
        <f>IFERROR(ABS(X$23-X3451),Q_max*10)</f>
        <v>5500</v>
      </c>
      <c r="Z3452" s="75">
        <f>X3443</f>
        <v>1482.6125418652312</v>
      </c>
      <c r="AA3452" s="61"/>
      <c r="AB3452" s="69">
        <f>IFERROR(ABS(AA$23-AA3451),Q_max*10)</f>
        <v>5500</v>
      </c>
      <c r="AC3452" s="75">
        <f>AA3443</f>
        <v>2830.8507023844618</v>
      </c>
      <c r="AD3452" s="61"/>
      <c r="AE3452" s="69">
        <f>IFERROR(ABS(AD$23-AD3451),Q_max*10)</f>
        <v>5500</v>
      </c>
      <c r="AF3452" s="75">
        <f>AD3443</f>
        <v>4655.7071480305922</v>
      </c>
      <c r="AG3452" s="61"/>
      <c r="AH3452" s="69">
        <f>IFERROR(ABS(AG$23-AG3451),Q_max*10)</f>
        <v>5500</v>
      </c>
      <c r="AI3452" s="75">
        <f>AG3443</f>
        <v>6931.7135269101946</v>
      </c>
      <c r="AJ3452" s="61"/>
      <c r="AK3452" s="69">
        <f>IFERROR(ABS(AJ$23-AJ3451),Q_max*10)</f>
        <v>5500</v>
      </c>
      <c r="AL3452" s="75">
        <f>AJ3443</f>
        <v>9250.39857291519</v>
      </c>
      <c r="AM3452" s="61"/>
      <c r="AN3452" s="69">
        <f>IFERROR(ABS(AM$23-AM3451),Q_max*10)</f>
        <v>5500</v>
      </c>
      <c r="AO3452" s="75">
        <f>AM3443</f>
        <v>11287.244204220002</v>
      </c>
      <c r="AP3452" s="61"/>
      <c r="AQ3452" s="69">
        <f>IFERROR(ABS(AP$23-AP3451),Q_max*10)</f>
        <v>5500</v>
      </c>
      <c r="AR3452" s="75">
        <f>AP3443</f>
        <v>13104.140112779369</v>
      </c>
      <c r="AS3452" s="61"/>
      <c r="AT3452" s="69">
        <f>IFERROR(ABS(AS$23-AS3451),Q_max*10)</f>
        <v>5500</v>
      </c>
      <c r="AU3452" s="75">
        <f>AS3443</f>
        <v>14913.733808210529</v>
      </c>
    </row>
    <row r="3453" spans="15:47" ht="14.5" x14ac:dyDescent="0.35">
      <c r="O3453" s="8"/>
      <c r="P3453" s="6"/>
      <c r="Q3453" s="60"/>
      <c r="R3453" s="67"/>
      <c r="S3453" s="56"/>
      <c r="T3453" s="72"/>
      <c r="V3453" s="11"/>
      <c r="W3453" s="38"/>
      <c r="Y3453" s="11"/>
      <c r="Z3453" s="38"/>
      <c r="AB3453" s="11"/>
      <c r="AC3453" s="38"/>
      <c r="AE3453" s="11"/>
      <c r="AF3453" s="38"/>
      <c r="AH3453" s="11"/>
      <c r="AI3453" s="38"/>
      <c r="AK3453" s="11"/>
      <c r="AL3453" s="38"/>
      <c r="AN3453" s="11"/>
      <c r="AO3453" s="38"/>
      <c r="AQ3453" s="11"/>
      <c r="AR3453" s="38"/>
      <c r="AT3453" s="11"/>
      <c r="AU3453" s="38"/>
    </row>
    <row r="3454" spans="15:47" ht="14" x14ac:dyDescent="0.3">
      <c r="O3454" s="8" t="s">
        <v>235</v>
      </c>
      <c r="P3454" s="6"/>
      <c r="Q3454" s="60"/>
      <c r="R3454" s="53">
        <f>R3443*1.02</f>
        <v>378.21905479103486</v>
      </c>
      <c r="S3454" s="58" t="s">
        <v>238</v>
      </c>
      <c r="T3454" s="73" t="s">
        <v>241</v>
      </c>
      <c r="U3454" s="84">
        <f>U3443*1.01</f>
        <v>623.83272113918792</v>
      </c>
      <c r="V3454" s="58" t="s">
        <v>238</v>
      </c>
      <c r="W3454" s="73" t="s">
        <v>241</v>
      </c>
      <c r="X3454" s="84">
        <f>X3443*1.01</f>
        <v>1497.4386672838834</v>
      </c>
      <c r="Y3454" s="58" t="s">
        <v>238</v>
      </c>
      <c r="Z3454" s="73" t="s">
        <v>241</v>
      </c>
      <c r="AA3454" s="84">
        <f>AA3443*1.01</f>
        <v>2859.1592094083067</v>
      </c>
      <c r="AB3454" s="58" t="s">
        <v>238</v>
      </c>
      <c r="AC3454" s="73" t="s">
        <v>241</v>
      </c>
      <c r="AD3454" s="84">
        <f>AD3443*1.01</f>
        <v>4702.2642195108983</v>
      </c>
      <c r="AE3454" s="58" t="s">
        <v>238</v>
      </c>
      <c r="AF3454" s="73" t="s">
        <v>241</v>
      </c>
      <c r="AG3454" s="84">
        <f>AG3443*1.01</f>
        <v>7001.030662179297</v>
      </c>
      <c r="AH3454" s="58" t="s">
        <v>238</v>
      </c>
      <c r="AI3454" s="73" t="s">
        <v>241</v>
      </c>
      <c r="AJ3454" s="84">
        <f>AJ3443*1.01</f>
        <v>9342.9025586443422</v>
      </c>
      <c r="AK3454" s="58" t="s">
        <v>238</v>
      </c>
      <c r="AL3454" s="73" t="s">
        <v>241</v>
      </c>
      <c r="AM3454" s="84">
        <f>AM3443*1.01</f>
        <v>11400.116646262202</v>
      </c>
      <c r="AN3454" s="58" t="s">
        <v>238</v>
      </c>
      <c r="AO3454" s="73" t="s">
        <v>241</v>
      </c>
      <c r="AP3454" s="84">
        <f>AP3443*1.01</f>
        <v>13235.181513907162</v>
      </c>
      <c r="AQ3454" s="58" t="s">
        <v>238</v>
      </c>
      <c r="AR3454" s="73" t="s">
        <v>241</v>
      </c>
      <c r="AS3454" s="84">
        <f>AS3443*1.01</f>
        <v>15062.871146292635</v>
      </c>
      <c r="AT3454" s="58" t="s">
        <v>238</v>
      </c>
      <c r="AU3454" s="73" t="s">
        <v>241</v>
      </c>
    </row>
    <row r="3455" spans="15:47" ht="13" x14ac:dyDescent="0.25">
      <c r="O3455" s="6"/>
      <c r="P3455" s="6"/>
      <c r="Q3455" s="60"/>
      <c r="R3455" s="70"/>
      <c r="S3455" s="63" t="s">
        <v>250</v>
      </c>
      <c r="T3455" s="71" t="s">
        <v>242</v>
      </c>
      <c r="U3455" s="61"/>
      <c r="V3455" s="63" t="s">
        <v>250</v>
      </c>
      <c r="W3455" s="71" t="s">
        <v>242</v>
      </c>
      <c r="X3455" s="61"/>
      <c r="Y3455" s="63" t="s">
        <v>250</v>
      </c>
      <c r="Z3455" s="71" t="s">
        <v>242</v>
      </c>
      <c r="AA3455" s="61"/>
      <c r="AB3455" s="63" t="s">
        <v>250</v>
      </c>
      <c r="AC3455" s="71" t="s">
        <v>242</v>
      </c>
      <c r="AD3455" s="61"/>
      <c r="AE3455" s="63" t="s">
        <v>250</v>
      </c>
      <c r="AF3455" s="71" t="s">
        <v>242</v>
      </c>
      <c r="AG3455" s="61"/>
      <c r="AH3455" s="63" t="s">
        <v>250</v>
      </c>
      <c r="AI3455" s="71" t="s">
        <v>242</v>
      </c>
      <c r="AJ3455" s="61"/>
      <c r="AK3455" s="63" t="s">
        <v>250</v>
      </c>
      <c r="AL3455" s="71" t="s">
        <v>242</v>
      </c>
      <c r="AM3455" s="61"/>
      <c r="AN3455" s="63" t="s">
        <v>250</v>
      </c>
      <c r="AO3455" s="71" t="s">
        <v>242</v>
      </c>
      <c r="AP3455" s="61"/>
      <c r="AQ3455" s="63" t="s">
        <v>250</v>
      </c>
      <c r="AR3455" s="71" t="s">
        <v>242</v>
      </c>
      <c r="AS3455" s="61"/>
      <c r="AT3455" s="63" t="s">
        <v>250</v>
      </c>
      <c r="AU3455" s="71" t="s">
        <v>242</v>
      </c>
    </row>
    <row r="3456" spans="15:47" ht="13" x14ac:dyDescent="0.3">
      <c r="O3456" s="6" t="s">
        <v>231</v>
      </c>
      <c r="P3456" s="6"/>
      <c r="Q3456" s="60"/>
      <c r="R3456" s="85">
        <f>P_1_minQ-(R3454^2*R_up)+dpup_minQ</f>
        <v>52.085016771123811</v>
      </c>
      <c r="S3456" s="56"/>
      <c r="T3456" s="72"/>
      <c r="U3456" s="53">
        <f>P_1_minQ-(U3454^2*R_up)+dpup_minQ</f>
        <v>43.773040730701659</v>
      </c>
      <c r="V3456" s="44"/>
      <c r="W3456" s="72"/>
      <c r="X3456" s="53">
        <f>P_1_minQ-(X3454^2*R_up)+dpup_minQ</f>
        <v>-18.812413450757607</v>
      </c>
      <c r="Y3456" s="44"/>
      <c r="Z3456" s="72"/>
      <c r="AA3456" s="53">
        <f>P_1_minQ-(AA3454^2*R_up)+dpup_minQ</f>
        <v>-219.16597044053813</v>
      </c>
      <c r="AB3456" s="44"/>
      <c r="AC3456" s="72"/>
      <c r="AD3456" s="53">
        <f>P_1_minQ-(AD3454^2*R_up)+dpup_minQ</f>
        <v>-689.8345758221019</v>
      </c>
      <c r="AE3456" s="44"/>
      <c r="AF3456" s="72"/>
      <c r="AG3456" s="53">
        <f>P_1_minQ-(AG3454^2*R_up)+dpup_minQ</f>
        <v>-1598.4175391008</v>
      </c>
      <c r="AH3456" s="44"/>
      <c r="AI3456" s="72"/>
      <c r="AJ3456" s="53">
        <f>P_1_minQ-(AJ3454^2*R_up)+dpup_minQ</f>
        <v>-2891.0685991328269</v>
      </c>
      <c r="AK3456" s="44"/>
      <c r="AL3456" s="72"/>
      <c r="AM3456" s="53">
        <f>P_1_minQ-(AM3454^2*R_up)+dpup_minQ</f>
        <v>-4332.2314268282535</v>
      </c>
      <c r="AN3456" s="44"/>
      <c r="AO3456" s="72"/>
      <c r="AP3456" s="53">
        <f>P_1_minQ-(AP3454^2*R_up)+dpup_minQ</f>
        <v>-5858.9916482968565</v>
      </c>
      <c r="AQ3456" s="44"/>
      <c r="AR3456" s="72"/>
      <c r="AS3456" s="53">
        <f>P_1_minQ-(AS3454^2*R_up)+dpup_minQ</f>
        <v>-7605.7007824996699</v>
      </c>
      <c r="AT3456" s="44"/>
      <c r="AU3456" s="72"/>
    </row>
    <row r="3457" spans="15:47" ht="13" x14ac:dyDescent="0.3">
      <c r="O3457" s="6" t="s">
        <v>233</v>
      </c>
      <c r="P3457" s="6"/>
      <c r="Q3457" s="60"/>
      <c r="R3457" s="85">
        <f>P_2_minQ+(R3454^2*R_dn)-dpdn_minQ</f>
        <v>25.622996645775238</v>
      </c>
      <c r="S3457" s="66"/>
      <c r="T3457" s="74"/>
      <c r="U3457" s="53">
        <f>P_2_minQ+(U3454^2*R_dn)-dpdn_minQ</f>
        <v>27.285391853859668</v>
      </c>
      <c r="V3457" s="45"/>
      <c r="W3457" s="74"/>
      <c r="X3457" s="53">
        <f>P_2_minQ+(X3454^2*R_dn)-dpdn_minQ</f>
        <v>39.802482690151528</v>
      </c>
      <c r="Y3457" s="45"/>
      <c r="Z3457" s="74"/>
      <c r="AA3457" s="53">
        <f>P_2_minQ+(AA3454^2*R_dn)-dpdn_minQ</f>
        <v>79.873194088107624</v>
      </c>
      <c r="AB3457" s="45"/>
      <c r="AC3457" s="74"/>
      <c r="AD3457" s="53">
        <f>P_2_minQ+(AD3454^2*R_dn)-dpdn_minQ</f>
        <v>174.00691516442041</v>
      </c>
      <c r="AE3457" s="45"/>
      <c r="AF3457" s="74"/>
      <c r="AG3457" s="53">
        <f>P_2_minQ+(AG3454^2*R_dn)-dpdn_minQ</f>
        <v>355.72350782015991</v>
      </c>
      <c r="AH3457" s="45"/>
      <c r="AI3457" s="74"/>
      <c r="AJ3457" s="53">
        <f>P_2_minQ+(AJ3454^2*R_dn)-dpdn_minQ</f>
        <v>614.25371982656532</v>
      </c>
      <c r="AK3457" s="45"/>
      <c r="AL3457" s="74"/>
      <c r="AM3457" s="53">
        <f>P_2_minQ+(AM3454^2*R_dn)-dpdn_minQ</f>
        <v>902.48628536565047</v>
      </c>
      <c r="AN3457" s="45"/>
      <c r="AO3457" s="74"/>
      <c r="AP3457" s="53">
        <f>P_2_minQ+(AP3454^2*R_dn)-dpdn_minQ</f>
        <v>1207.8383296593711</v>
      </c>
      <c r="AQ3457" s="45"/>
      <c r="AR3457" s="74"/>
      <c r="AS3457" s="53">
        <f>P_2_minQ+(AS3454^2*R_dn)-dpdn_minQ</f>
        <v>1557.1801564999337</v>
      </c>
      <c r="AT3457" s="45"/>
      <c r="AU3457" s="74"/>
    </row>
    <row r="3458" spans="15:47" x14ac:dyDescent="0.25">
      <c r="O3458" s="6" t="s">
        <v>243</v>
      </c>
      <c r="Q3458" s="60"/>
      <c r="R3458" s="53">
        <f>R3456-R3457</f>
        <v>26.462020125348573</v>
      </c>
      <c r="S3458" s="56"/>
      <c r="T3458" s="72"/>
      <c r="U3458" s="64">
        <f>U3456-U3457</f>
        <v>16.487648876841991</v>
      </c>
      <c r="V3458" s="44"/>
      <c r="W3458" s="72"/>
      <c r="X3458" s="64">
        <f>X3456-X3457</f>
        <v>-58.614896140909138</v>
      </c>
      <c r="Y3458" s="44"/>
      <c r="Z3458" s="72"/>
      <c r="AA3458" s="64">
        <f>AA3456-AA3457</f>
        <v>-299.03916452864576</v>
      </c>
      <c r="AB3458" s="44"/>
      <c r="AC3458" s="72"/>
      <c r="AD3458" s="64">
        <f>AD3456-AD3457</f>
        <v>-863.84149098652233</v>
      </c>
      <c r="AE3458" s="44"/>
      <c r="AF3458" s="72"/>
      <c r="AG3458" s="64">
        <f>AG3456-AG3457</f>
        <v>-1954.14104692096</v>
      </c>
      <c r="AH3458" s="44"/>
      <c r="AI3458" s="72"/>
      <c r="AJ3458" s="64">
        <f>AJ3456-AJ3457</f>
        <v>-3505.3223189593923</v>
      </c>
      <c r="AK3458" s="44"/>
      <c r="AL3458" s="72"/>
      <c r="AM3458" s="64">
        <f>AM3456-AM3457</f>
        <v>-5234.7177121939039</v>
      </c>
      <c r="AN3458" s="44"/>
      <c r="AO3458" s="72"/>
      <c r="AP3458" s="64">
        <f>AP3456-AP3457</f>
        <v>-7066.8299779562276</v>
      </c>
      <c r="AQ3458" s="44"/>
      <c r="AR3458" s="72"/>
      <c r="AS3458" s="64">
        <f>AS3456-AS3457</f>
        <v>-9162.880938999604</v>
      </c>
      <c r="AT3458" s="44"/>
      <c r="AU3458" s="72"/>
    </row>
    <row r="3459" spans="15:47" ht="13" x14ac:dyDescent="0.3">
      <c r="O3459" s="6" t="s">
        <v>75</v>
      </c>
      <c r="P3459" s="6">
        <v>3</v>
      </c>
      <c r="Q3459" s="65"/>
      <c r="R3459" s="85">
        <f>(F_LP_h/F_P_h)^2*(R3456-('Valve Sizing'!$V$4*'Valve Sizing'!$G$7))</f>
        <v>42.764736977328461</v>
      </c>
      <c r="S3459" s="58"/>
      <c r="T3459" s="73"/>
      <c r="U3459" s="53">
        <f>(U$29/U$27)^2*(U3456-('Valve Sizing'!$V$4*'Valve Sizing'!$G$7))</f>
        <v>35.872204574094937</v>
      </c>
      <c r="V3459" s="41"/>
      <c r="W3459" s="73"/>
      <c r="X3459" s="53">
        <f>(X$29/X$27)^2*(X3456-('Valve Sizing'!$V$4*'Valve Sizing'!$G$7))</f>
        <v>-15.578205639434538</v>
      </c>
      <c r="Y3459" s="41"/>
      <c r="Z3459" s="73"/>
      <c r="AA3459" s="53">
        <f>(AA$29/AA$27)^2*(AA3456-('Valve Sizing'!$V$4*'Valve Sizing'!$G$7))</f>
        <v>-169.71092831546358</v>
      </c>
      <c r="AB3459" s="41"/>
      <c r="AC3459" s="73"/>
      <c r="AD3459" s="53">
        <f>(AD$29/AD$27)^2*(AD3456-('Valve Sizing'!$V$4*'Valve Sizing'!$G$7))</f>
        <v>-497.81737316656876</v>
      </c>
      <c r="AE3459" s="41"/>
      <c r="AF3459" s="73"/>
      <c r="AG3459" s="53">
        <f>(AG$29/AG$27)^2*(AG3456-('Valve Sizing'!$V$4*'Valve Sizing'!$G$7))</f>
        <v>-1029.7345640027124</v>
      </c>
      <c r="AH3459" s="41"/>
      <c r="AI3459" s="73"/>
      <c r="AJ3459" s="53">
        <f>(AJ$29/AJ$27)^2*(AJ3456-('Valve Sizing'!$V$4*'Valve Sizing'!$G$7))</f>
        <v>-1672.3454823811744</v>
      </c>
      <c r="AK3459" s="41"/>
      <c r="AL3459" s="73"/>
      <c r="AM3459" s="53">
        <f>(AM$29/AM$27)^2*(AM3456-('Valve Sizing'!$V$4*'Valve Sizing'!$G$7))</f>
        <v>-2073.0626374177823</v>
      </c>
      <c r="AN3459" s="41"/>
      <c r="AO3459" s="73"/>
      <c r="AP3459" s="53">
        <f>(AP$29/AP$27)^2*(AP3456-('Valve Sizing'!$V$4*'Valve Sizing'!$G$7))</f>
        <v>-2312.2889442485048</v>
      </c>
      <c r="AQ3459" s="41"/>
      <c r="AR3459" s="73"/>
      <c r="AS3459" s="53">
        <f>(AS$29/AS$27)^2*(AS3456-('Valve Sizing'!$V$4*'Valve Sizing'!$G$7))</f>
        <v>-2860.9798556865208</v>
      </c>
      <c r="AT3459" s="41"/>
      <c r="AU3459" s="73"/>
    </row>
    <row r="3460" spans="15:47" ht="13" x14ac:dyDescent="0.25">
      <c r="O3460" s="1" t="s">
        <v>69</v>
      </c>
      <c r="P3460" s="17">
        <v>7</v>
      </c>
      <c r="Q3460" s="65"/>
      <c r="R3460" s="53">
        <f>(R3454/(N_1*F_P_h))*SQRT('Valve Sizing'!$G$6/R3458)</f>
        <v>73.535226742931442</v>
      </c>
      <c r="S3460" s="58"/>
      <c r="T3460" s="73"/>
      <c r="U3460" s="64">
        <f>(U3454/(N_1*U$27))*SQRT('Valve Sizing'!$G$6/U3458)</f>
        <v>153.76392486001649</v>
      </c>
      <c r="V3460" s="41"/>
      <c r="W3460" s="73"/>
      <c r="X3460" s="64" t="e">
        <f>(X3454/(N_1*X$27))*SQRT('Valve Sizing'!$G$6/X3458)</f>
        <v>#NUM!</v>
      </c>
      <c r="Y3460" s="41"/>
      <c r="Z3460" s="73"/>
      <c r="AA3460" s="64" t="e">
        <f>(AA3454/(N_1*AA$27))*SQRT('Valve Sizing'!$G$6/AA3458)</f>
        <v>#NUM!</v>
      </c>
      <c r="AB3460" s="41"/>
      <c r="AC3460" s="73"/>
      <c r="AD3460" s="64" t="e">
        <f>(AD3454/(N_1*AD$27))*SQRT('Valve Sizing'!$G$6/AD3458)</f>
        <v>#NUM!</v>
      </c>
      <c r="AE3460" s="41"/>
      <c r="AF3460" s="73"/>
      <c r="AG3460" s="64" t="e">
        <f>(AG3454/(N_1*AG$27))*SQRT('Valve Sizing'!$G$6/AG3458)</f>
        <v>#NUM!</v>
      </c>
      <c r="AH3460" s="41"/>
      <c r="AI3460" s="73"/>
      <c r="AJ3460" s="64" t="e">
        <f>(AJ3454/(N_1*AJ$27))*SQRT('Valve Sizing'!$G$6/AJ3458)</f>
        <v>#NUM!</v>
      </c>
      <c r="AK3460" s="41"/>
      <c r="AL3460" s="73"/>
      <c r="AM3460" s="64" t="e">
        <f>(AM3454/(N_1*AM$27))*SQRT('Valve Sizing'!$G$6/AM3458)</f>
        <v>#NUM!</v>
      </c>
      <c r="AN3460" s="41"/>
      <c r="AO3460" s="73"/>
      <c r="AP3460" s="64" t="e">
        <f>(AP3454/(N_1*AP$27))*SQRT('Valve Sizing'!$G$6/AP3458)</f>
        <v>#NUM!</v>
      </c>
      <c r="AQ3460" s="41"/>
      <c r="AR3460" s="73"/>
      <c r="AS3460" s="64" t="e">
        <f>(AS3454/(N_1*AS$27))*SQRT('Valve Sizing'!$G$6/AS3458)</f>
        <v>#NUM!</v>
      </c>
      <c r="AT3460" s="41"/>
      <c r="AU3460" s="73"/>
    </row>
    <row r="3461" spans="15:47" ht="13" x14ac:dyDescent="0.3">
      <c r="O3461" s="1" t="s">
        <v>72</v>
      </c>
      <c r="P3461" s="17">
        <v>7</v>
      </c>
      <c r="Q3461" s="65"/>
      <c r="R3461" s="53">
        <f>(R3454/(N_1*F_P_h))*SQRT('Valve Sizing'!$G$6/R3459)</f>
        <v>57.844760991758001</v>
      </c>
      <c r="S3461" s="56"/>
      <c r="T3461" s="72"/>
      <c r="U3461" s="85">
        <f>(U3454/(N_1*U$27))*SQRT('Valve Sizing'!$G$6/U3459)</f>
        <v>104.24489281970511</v>
      </c>
      <c r="V3461" s="44"/>
      <c r="W3461" s="72"/>
      <c r="X3461" s="85" t="e">
        <f>(X3454/(N_1*X$27))*SQRT('Valve Sizing'!$G$6/X3459)</f>
        <v>#NUM!</v>
      </c>
      <c r="Y3461" s="44"/>
      <c r="Z3461" s="72"/>
      <c r="AA3461" s="85" t="e">
        <f>(AA3454/(N_1*AA$27))*SQRT('Valve Sizing'!$G$6/AA3459)</f>
        <v>#NUM!</v>
      </c>
      <c r="AB3461" s="44"/>
      <c r="AC3461" s="72"/>
      <c r="AD3461" s="85" t="e">
        <f>(AD3454/(N_1*AD$27))*SQRT('Valve Sizing'!$G$6/AD3459)</f>
        <v>#NUM!</v>
      </c>
      <c r="AE3461" s="44"/>
      <c r="AF3461" s="72"/>
      <c r="AG3461" s="85" t="e">
        <f>(AG3454/(N_1*AG$27))*SQRT('Valve Sizing'!$G$6/AG3459)</f>
        <v>#NUM!</v>
      </c>
      <c r="AH3461" s="44"/>
      <c r="AI3461" s="72"/>
      <c r="AJ3461" s="85" t="e">
        <f>(AJ3454/(N_1*AJ$27))*SQRT('Valve Sizing'!$G$6/AJ3459)</f>
        <v>#NUM!</v>
      </c>
      <c r="AK3461" s="44"/>
      <c r="AL3461" s="72"/>
      <c r="AM3461" s="85" t="e">
        <f>(AM3454/(N_1*AM$27))*SQRT('Valve Sizing'!$G$6/AM3459)</f>
        <v>#NUM!</v>
      </c>
      <c r="AN3461" s="44"/>
      <c r="AO3461" s="72"/>
      <c r="AP3461" s="85" t="e">
        <f>(AP3454/(N_1*AP$27))*SQRT('Valve Sizing'!$G$6/AP3459)</f>
        <v>#NUM!</v>
      </c>
      <c r="AQ3461" s="44"/>
      <c r="AR3461" s="72"/>
      <c r="AS3461" s="85" t="e">
        <f>(AS3454/(N_1*AS$27))*SQRT('Valve Sizing'!$G$6/AS3459)</f>
        <v>#NUM!</v>
      </c>
      <c r="AT3461" s="44"/>
      <c r="AU3461" s="72"/>
    </row>
    <row r="3462" spans="15:47" x14ac:dyDescent="0.25">
      <c r="O3462" s="1" t="s">
        <v>246</v>
      </c>
      <c r="P3462" s="18"/>
      <c r="Q3462" s="65"/>
      <c r="R3462" s="53">
        <f>IF(R3458&lt;R3459,R3460,R3461)</f>
        <v>73.535226742931442</v>
      </c>
      <c r="S3462" s="49"/>
      <c r="T3462" s="72"/>
      <c r="U3462" s="64">
        <f>IF(U3458&lt;U3459,U3460,U3461)</f>
        <v>153.76392486001649</v>
      </c>
      <c r="V3462" s="44"/>
      <c r="W3462" s="72"/>
      <c r="X3462" s="64" t="e">
        <f>IF(X3458&lt;X3459,X3460,X3461)</f>
        <v>#NUM!</v>
      </c>
      <c r="Y3462" s="44"/>
      <c r="Z3462" s="72"/>
      <c r="AA3462" s="64" t="e">
        <f>IF(AA3458&lt;AA3459,AA3460,AA3461)</f>
        <v>#NUM!</v>
      </c>
      <c r="AB3462" s="44"/>
      <c r="AC3462" s="72"/>
      <c r="AD3462" s="64" t="e">
        <f>IF(AD3458&lt;AD3459,AD3460,AD3461)</f>
        <v>#NUM!</v>
      </c>
      <c r="AE3462" s="44"/>
      <c r="AF3462" s="72"/>
      <c r="AG3462" s="64" t="e">
        <f>IF(AG3458&lt;AG3459,AG3460,AG3461)</f>
        <v>#NUM!</v>
      </c>
      <c r="AH3462" s="44"/>
      <c r="AI3462" s="72"/>
      <c r="AJ3462" s="64" t="e">
        <f>IF(AJ3458&lt;AJ3459,AJ3460,AJ3461)</f>
        <v>#NUM!</v>
      </c>
      <c r="AK3462" s="44"/>
      <c r="AL3462" s="72"/>
      <c r="AM3462" s="64" t="e">
        <f>IF(AM3458&lt;AM3459,AM3460,AM3461)</f>
        <v>#NUM!</v>
      </c>
      <c r="AN3462" s="44"/>
      <c r="AO3462" s="72"/>
      <c r="AP3462" s="64" t="e">
        <f>IF(AP3458&lt;AP3459,AP3460,AP3461)</f>
        <v>#NUM!</v>
      </c>
      <c r="AQ3462" s="44"/>
      <c r="AR3462" s="72"/>
      <c r="AS3462" s="64" t="e">
        <f>IF(AS3458&lt;AS3459,AS3460,AS3461)</f>
        <v>#NUM!</v>
      </c>
      <c r="AT3462" s="44"/>
      <c r="AU3462" s="72"/>
    </row>
    <row r="3463" spans="15:47" ht="13" x14ac:dyDescent="0.3">
      <c r="O3463" s="7" t="s">
        <v>264</v>
      </c>
      <c r="Q3463" s="61"/>
      <c r="R3463" s="53"/>
      <c r="S3463" s="69">
        <f>IFERROR(ABS(C_h-R3462),Q_max*10)</f>
        <v>68.535226742931442</v>
      </c>
      <c r="T3463" s="76">
        <f>R3454</f>
        <v>378.21905479103486</v>
      </c>
      <c r="U3463" s="61"/>
      <c r="V3463" s="69">
        <f>IFERROR(ABS(U$23-U3462),Q_max*10)</f>
        <v>141.76392486001649</v>
      </c>
      <c r="W3463" s="75">
        <f>U3454</f>
        <v>623.83272113918792</v>
      </c>
      <c r="X3463" s="61"/>
      <c r="Y3463" s="69">
        <f>IFERROR(ABS(X$23-X3462),Q_max*10)</f>
        <v>5500</v>
      </c>
      <c r="Z3463" s="75">
        <f>X3454</f>
        <v>1497.4386672838834</v>
      </c>
      <c r="AA3463" s="61"/>
      <c r="AB3463" s="69">
        <f>IFERROR(ABS(AA$23-AA3462),Q_max*10)</f>
        <v>5500</v>
      </c>
      <c r="AC3463" s="75">
        <f>AA3454</f>
        <v>2859.1592094083067</v>
      </c>
      <c r="AD3463" s="61"/>
      <c r="AE3463" s="69">
        <f>IFERROR(ABS(AD$23-AD3462),Q_max*10)</f>
        <v>5500</v>
      </c>
      <c r="AF3463" s="75">
        <f>AD3454</f>
        <v>4702.2642195108983</v>
      </c>
      <c r="AG3463" s="61"/>
      <c r="AH3463" s="69">
        <f>IFERROR(ABS(AG$23-AG3462),Q_max*10)</f>
        <v>5500</v>
      </c>
      <c r="AI3463" s="75">
        <f>AG3454</f>
        <v>7001.030662179297</v>
      </c>
      <c r="AJ3463" s="61"/>
      <c r="AK3463" s="69">
        <f>IFERROR(ABS(AJ$23-AJ3462),Q_max*10)</f>
        <v>5500</v>
      </c>
      <c r="AL3463" s="75">
        <f>AJ3454</f>
        <v>9342.9025586443422</v>
      </c>
      <c r="AM3463" s="61"/>
      <c r="AN3463" s="69">
        <f>IFERROR(ABS(AM$23-AM3462),Q_max*10)</f>
        <v>5500</v>
      </c>
      <c r="AO3463" s="75">
        <f>AM3454</f>
        <v>11400.116646262202</v>
      </c>
      <c r="AP3463" s="61"/>
      <c r="AQ3463" s="69">
        <f>IFERROR(ABS(AP$23-AP3462),Q_max*10)</f>
        <v>5500</v>
      </c>
      <c r="AR3463" s="75">
        <f>AP3454</f>
        <v>13235.181513907162</v>
      </c>
      <c r="AS3463" s="61"/>
      <c r="AT3463" s="69">
        <f>IFERROR(ABS(AS$23-AS3462),Q_max*10)</f>
        <v>5500</v>
      </c>
      <c r="AU3463" s="75">
        <f>AS3454</f>
        <v>15062.871146292635</v>
      </c>
    </row>
    <row r="3464" spans="15:47" ht="14.5" x14ac:dyDescent="0.35">
      <c r="O3464" s="6"/>
      <c r="P3464" s="6"/>
      <c r="Q3464" s="60"/>
      <c r="R3464" s="67"/>
      <c r="S3464" s="56"/>
      <c r="T3464" s="72"/>
      <c r="V3464" s="11"/>
      <c r="W3464" s="38"/>
      <c r="Y3464" s="11"/>
      <c r="Z3464" s="38"/>
      <c r="AB3464" s="11"/>
      <c r="AC3464" s="38"/>
      <c r="AE3464" s="11"/>
      <c r="AF3464" s="38"/>
      <c r="AH3464" s="11"/>
      <c r="AI3464" s="38"/>
      <c r="AK3464" s="11"/>
      <c r="AL3464" s="38"/>
      <c r="AN3464" s="11"/>
      <c r="AO3464" s="38"/>
      <c r="AQ3464" s="11"/>
      <c r="AR3464" s="38"/>
      <c r="AT3464" s="11"/>
      <c r="AU3464" s="38"/>
    </row>
    <row r="3465" spans="15:47" ht="14" x14ac:dyDescent="0.3">
      <c r="O3465" s="8" t="s">
        <v>235</v>
      </c>
      <c r="P3465" s="6"/>
      <c r="Q3465" s="60"/>
      <c r="R3465" s="53">
        <f>R3454*1.02</f>
        <v>385.78343588685556</v>
      </c>
      <c r="S3465" s="58" t="s">
        <v>238</v>
      </c>
      <c r="T3465" s="73" t="s">
        <v>241</v>
      </c>
      <c r="U3465" s="84">
        <f>U3454*1.01</f>
        <v>630.07104835057976</v>
      </c>
      <c r="V3465" s="58" t="s">
        <v>238</v>
      </c>
      <c r="W3465" s="73" t="s">
        <v>241</v>
      </c>
      <c r="X3465" s="84">
        <f>X3454*1.01</f>
        <v>1512.4130539567223</v>
      </c>
      <c r="Y3465" s="58" t="s">
        <v>238</v>
      </c>
      <c r="Z3465" s="73" t="s">
        <v>241</v>
      </c>
      <c r="AA3465" s="84">
        <f>AA3454*1.01</f>
        <v>2887.7508015023895</v>
      </c>
      <c r="AB3465" s="58" t="s">
        <v>238</v>
      </c>
      <c r="AC3465" s="73" t="s">
        <v>241</v>
      </c>
      <c r="AD3465" s="84">
        <f>AD3454*1.01</f>
        <v>4749.2868617060076</v>
      </c>
      <c r="AE3465" s="58" t="s">
        <v>238</v>
      </c>
      <c r="AF3465" s="73" t="s">
        <v>241</v>
      </c>
      <c r="AG3465" s="84">
        <f>AG3454*1.01</f>
        <v>7071.0409688010905</v>
      </c>
      <c r="AH3465" s="58" t="s">
        <v>238</v>
      </c>
      <c r="AI3465" s="73" t="s">
        <v>241</v>
      </c>
      <c r="AJ3465" s="84">
        <f>AJ3454*1.01</f>
        <v>9436.3315842307857</v>
      </c>
      <c r="AK3465" s="58" t="s">
        <v>238</v>
      </c>
      <c r="AL3465" s="73" t="s">
        <v>241</v>
      </c>
      <c r="AM3465" s="84">
        <f>AM3454*1.01</f>
        <v>11514.117812724824</v>
      </c>
      <c r="AN3465" s="58" t="s">
        <v>238</v>
      </c>
      <c r="AO3465" s="73" t="s">
        <v>241</v>
      </c>
      <c r="AP3465" s="84">
        <f>AP3454*1.01</f>
        <v>13367.533329046235</v>
      </c>
      <c r="AQ3465" s="58" t="s">
        <v>238</v>
      </c>
      <c r="AR3465" s="73" t="s">
        <v>241</v>
      </c>
      <c r="AS3465" s="84">
        <f>AS3454*1.01</f>
        <v>15213.499857755562</v>
      </c>
      <c r="AT3465" s="58" t="s">
        <v>238</v>
      </c>
      <c r="AU3465" s="73" t="s">
        <v>241</v>
      </c>
    </row>
    <row r="3466" spans="15:47" ht="13" x14ac:dyDescent="0.25">
      <c r="O3466" s="6"/>
      <c r="P3466" s="6"/>
      <c r="Q3466" s="60"/>
      <c r="R3466" s="70"/>
      <c r="S3466" s="63" t="s">
        <v>250</v>
      </c>
      <c r="T3466" s="71" t="s">
        <v>242</v>
      </c>
      <c r="U3466" s="61"/>
      <c r="V3466" s="63" t="s">
        <v>250</v>
      </c>
      <c r="W3466" s="71" t="s">
        <v>242</v>
      </c>
      <c r="X3466" s="61"/>
      <c r="Y3466" s="63" t="s">
        <v>250</v>
      </c>
      <c r="Z3466" s="71" t="s">
        <v>242</v>
      </c>
      <c r="AA3466" s="61"/>
      <c r="AB3466" s="63" t="s">
        <v>250</v>
      </c>
      <c r="AC3466" s="71" t="s">
        <v>242</v>
      </c>
      <c r="AD3466" s="61"/>
      <c r="AE3466" s="63" t="s">
        <v>250</v>
      </c>
      <c r="AF3466" s="71" t="s">
        <v>242</v>
      </c>
      <c r="AG3466" s="61"/>
      <c r="AH3466" s="63" t="s">
        <v>250</v>
      </c>
      <c r="AI3466" s="71" t="s">
        <v>242</v>
      </c>
      <c r="AJ3466" s="61"/>
      <c r="AK3466" s="63" t="s">
        <v>250</v>
      </c>
      <c r="AL3466" s="71" t="s">
        <v>242</v>
      </c>
      <c r="AM3466" s="61"/>
      <c r="AN3466" s="63" t="s">
        <v>250</v>
      </c>
      <c r="AO3466" s="71" t="s">
        <v>242</v>
      </c>
      <c r="AP3466" s="61"/>
      <c r="AQ3466" s="63" t="s">
        <v>250</v>
      </c>
      <c r="AR3466" s="71" t="s">
        <v>242</v>
      </c>
      <c r="AS3466" s="61"/>
      <c r="AT3466" s="63" t="s">
        <v>250</v>
      </c>
      <c r="AU3466" s="71" t="s">
        <v>242</v>
      </c>
    </row>
    <row r="3467" spans="15:47" ht="13" x14ac:dyDescent="0.3">
      <c r="O3467" s="6" t="s">
        <v>231</v>
      </c>
      <c r="P3467" s="6"/>
      <c r="Q3467" s="60"/>
      <c r="R3467" s="85">
        <f>P_1_minQ-(R3465^2*R_up)+dpup_minQ</f>
        <v>51.889839263604607</v>
      </c>
      <c r="S3467" s="56"/>
      <c r="T3467" s="72"/>
      <c r="U3467" s="53">
        <f>P_1_minQ-(U3465^2*R_up)+dpup_minQ</f>
        <v>43.508864371171946</v>
      </c>
      <c r="V3467" s="44"/>
      <c r="W3467" s="72"/>
      <c r="X3467" s="53">
        <f>P_1_minQ-(X3465^2*R_up)+dpup_minQ</f>
        <v>-20.334557439334663</v>
      </c>
      <c r="Y3467" s="44"/>
      <c r="Z3467" s="72"/>
      <c r="AA3467" s="53">
        <f>P_1_minQ-(AA3465^2*R_up)+dpup_minQ</f>
        <v>-224.71522092460972</v>
      </c>
      <c r="AB3467" s="44"/>
      <c r="AC3467" s="72"/>
      <c r="AD3467" s="53">
        <f>P_1_minQ-(AD3465^2*R_up)+dpup_minQ</f>
        <v>-704.844265274343</v>
      </c>
      <c r="AE3467" s="44"/>
      <c r="AF3467" s="72"/>
      <c r="AG3467" s="53">
        <f>P_1_minQ-(AG3465^2*R_up)+dpup_minQ</f>
        <v>-1631.6897461149431</v>
      </c>
      <c r="AH3467" s="44"/>
      <c r="AI3467" s="72"/>
      <c r="AJ3467" s="53">
        <f>P_1_minQ-(AJ3465^2*R_up)+dpup_minQ</f>
        <v>-2950.3230924536138</v>
      </c>
      <c r="AK3467" s="44"/>
      <c r="AL3467" s="72"/>
      <c r="AM3467" s="53">
        <f>P_1_minQ-(AM3465^2*R_up)+dpup_minQ</f>
        <v>-4420.4532929857187</v>
      </c>
      <c r="AN3467" s="44"/>
      <c r="AO3467" s="72"/>
      <c r="AP3467" s="53">
        <f>P_1_minQ-(AP3465^2*R_up)+dpup_minQ</f>
        <v>-5977.9013949058408</v>
      </c>
      <c r="AQ3467" s="44"/>
      <c r="AR3467" s="72"/>
      <c r="AS3467" s="53">
        <f>P_1_minQ-(AS3465^2*R_up)+dpup_minQ</f>
        <v>-7759.719382706131</v>
      </c>
      <c r="AT3467" s="44"/>
      <c r="AU3467" s="72"/>
    </row>
    <row r="3468" spans="15:47" ht="13" x14ac:dyDescent="0.3">
      <c r="O3468" s="6" t="s">
        <v>233</v>
      </c>
      <c r="P3468" s="6"/>
      <c r="Q3468" s="60"/>
      <c r="R3468" s="85">
        <f>P_2_minQ+(R3465^2*R_dn)-dpdn_minQ</f>
        <v>25.662032147279081</v>
      </c>
      <c r="S3468" s="66"/>
      <c r="T3468" s="74"/>
      <c r="U3468" s="53">
        <f>P_2_minQ+(U3465^2*R_dn)-dpdn_minQ</f>
        <v>27.338227125765613</v>
      </c>
      <c r="V3468" s="45"/>
      <c r="W3468" s="74"/>
      <c r="X3468" s="53">
        <f>P_2_minQ+(X3465^2*R_dn)-dpdn_minQ</f>
        <v>40.106911487866938</v>
      </c>
      <c r="Y3468" s="45"/>
      <c r="Z3468" s="74"/>
      <c r="AA3468" s="53">
        <f>P_2_minQ+(AA3465^2*R_dn)-dpdn_minQ</f>
        <v>80.983044184921937</v>
      </c>
      <c r="AB3468" s="45"/>
      <c r="AC3468" s="74"/>
      <c r="AD3468" s="53">
        <f>P_2_minQ+(AD3465^2*R_dn)-dpdn_minQ</f>
        <v>177.00885305486864</v>
      </c>
      <c r="AE3468" s="45"/>
      <c r="AF3468" s="74"/>
      <c r="AG3468" s="53">
        <f>P_2_minQ+(AG3465^2*R_dn)-dpdn_minQ</f>
        <v>362.37794922298855</v>
      </c>
      <c r="AH3468" s="45"/>
      <c r="AI3468" s="74"/>
      <c r="AJ3468" s="53">
        <f>P_2_minQ+(AJ3465^2*R_dn)-dpdn_minQ</f>
        <v>626.10461849072271</v>
      </c>
      <c r="AK3468" s="45"/>
      <c r="AL3468" s="74"/>
      <c r="AM3468" s="53">
        <f>P_2_minQ+(AM3465^2*R_dn)-dpdn_minQ</f>
        <v>920.13065859714345</v>
      </c>
      <c r="AN3468" s="45"/>
      <c r="AO3468" s="74"/>
      <c r="AP3468" s="53">
        <f>P_2_minQ+(AP3465^2*R_dn)-dpdn_minQ</f>
        <v>1231.620278981168</v>
      </c>
      <c r="AQ3468" s="45"/>
      <c r="AR3468" s="74"/>
      <c r="AS3468" s="53">
        <f>P_2_minQ+(AS3465^2*R_dn)-dpdn_minQ</f>
        <v>1587.983876541226</v>
      </c>
      <c r="AT3468" s="45"/>
      <c r="AU3468" s="74"/>
    </row>
    <row r="3469" spans="15:47" x14ac:dyDescent="0.25">
      <c r="O3469" s="6" t="s">
        <v>243</v>
      </c>
      <c r="Q3469" s="60"/>
      <c r="R3469" s="53">
        <f>R3467-R3468</f>
        <v>26.227807116325526</v>
      </c>
      <c r="S3469" s="56"/>
      <c r="T3469" s="72"/>
      <c r="U3469" s="64">
        <f>U3467-U3468</f>
        <v>16.170637245406333</v>
      </c>
      <c r="V3469" s="44"/>
      <c r="W3469" s="72"/>
      <c r="X3469" s="64">
        <f>X3467-X3468</f>
        <v>-60.441468927201598</v>
      </c>
      <c r="Y3469" s="44"/>
      <c r="Z3469" s="72"/>
      <c r="AA3469" s="64">
        <f>AA3467-AA3468</f>
        <v>-305.69826510953169</v>
      </c>
      <c r="AB3469" s="44"/>
      <c r="AC3469" s="72"/>
      <c r="AD3469" s="64">
        <f>AD3467-AD3468</f>
        <v>-881.85311832921161</v>
      </c>
      <c r="AE3469" s="44"/>
      <c r="AF3469" s="72"/>
      <c r="AG3469" s="64">
        <f>AG3467-AG3468</f>
        <v>-1994.0676953379316</v>
      </c>
      <c r="AH3469" s="44"/>
      <c r="AI3469" s="72"/>
      <c r="AJ3469" s="64">
        <f>AJ3467-AJ3468</f>
        <v>-3576.4277109443365</v>
      </c>
      <c r="AK3469" s="44"/>
      <c r="AL3469" s="72"/>
      <c r="AM3469" s="64">
        <f>AM3467-AM3468</f>
        <v>-5340.583951582862</v>
      </c>
      <c r="AN3469" s="44"/>
      <c r="AO3469" s="72"/>
      <c r="AP3469" s="64">
        <f>AP3467-AP3468</f>
        <v>-7209.5216738870085</v>
      </c>
      <c r="AQ3469" s="44"/>
      <c r="AR3469" s="72"/>
      <c r="AS3469" s="64">
        <f>AS3467-AS3468</f>
        <v>-9347.703259247357</v>
      </c>
      <c r="AT3469" s="44"/>
      <c r="AU3469" s="72"/>
    </row>
    <row r="3470" spans="15:47" ht="13" x14ac:dyDescent="0.3">
      <c r="O3470" s="6" t="s">
        <v>75</v>
      </c>
      <c r="P3470" s="6">
        <v>3</v>
      </c>
      <c r="Q3470" s="65"/>
      <c r="R3470" s="85">
        <f>(F_LP_h/F_P_h)^2*(R3467-('Valve Sizing'!$V$4*'Valve Sizing'!$G$7))</f>
        <v>42.603119756247153</v>
      </c>
      <c r="S3470" s="58"/>
      <c r="T3470" s="73"/>
      <c r="U3470" s="53">
        <f>(U$29/U$27)^2*(U3467-('Valve Sizing'!$V$4*'Valve Sizing'!$G$7))</f>
        <v>35.653512304532349</v>
      </c>
      <c r="V3470" s="41"/>
      <c r="W3470" s="73"/>
      <c r="X3470" s="53">
        <f>(X$29/X$27)^2*(X3467-('Valve Sizing'!$V$4*'Valve Sizing'!$G$7))</f>
        <v>-16.809853874065443</v>
      </c>
      <c r="Y3470" s="41"/>
      <c r="Z3470" s="73"/>
      <c r="AA3470" s="53">
        <f>(AA$29/AA$27)^2*(AA3467-('Valve Sizing'!$V$4*'Valve Sizing'!$G$7))</f>
        <v>-173.99937367014778</v>
      </c>
      <c r="AB3470" s="41"/>
      <c r="AC3470" s="73"/>
      <c r="AD3470" s="53">
        <f>(AD$29/AD$27)^2*(AD3467-('Valve Sizing'!$V$4*'Valve Sizing'!$G$7))</f>
        <v>-508.64217218514284</v>
      </c>
      <c r="AE3470" s="41"/>
      <c r="AF3470" s="73"/>
      <c r="AG3470" s="53">
        <f>(AG$29/AG$27)^2*(AG3467-('Valve Sizing'!$V$4*'Valve Sizing'!$G$7))</f>
        <v>-1051.1633276726832</v>
      </c>
      <c r="AH3470" s="41"/>
      <c r="AI3470" s="73"/>
      <c r="AJ3470" s="53">
        <f>(AJ$29/AJ$27)^2*(AJ3467-('Valve Sizing'!$V$4*'Valve Sizing'!$G$7))</f>
        <v>-1706.6161680257433</v>
      </c>
      <c r="AK3470" s="41"/>
      <c r="AL3470" s="73"/>
      <c r="AM3470" s="53">
        <f>(AM$29/AM$27)^2*(AM3467-('Valve Sizing'!$V$4*'Valve Sizing'!$G$7))</f>
        <v>-2115.2743433338001</v>
      </c>
      <c r="AN3470" s="41"/>
      <c r="AO3470" s="73"/>
      <c r="AP3470" s="53">
        <f>(AP$29/AP$27)^2*(AP3467-('Valve Sizing'!$V$4*'Valve Sizing'!$G$7))</f>
        <v>-2359.2139202947992</v>
      </c>
      <c r="AQ3470" s="41"/>
      <c r="AR3470" s="73"/>
      <c r="AS3470" s="53">
        <f>(AS$29/AS$27)^2*(AS3467-('Valve Sizing'!$V$4*'Valve Sizing'!$G$7))</f>
        <v>-2918.9125342749376</v>
      </c>
      <c r="AT3470" s="41"/>
      <c r="AU3470" s="73"/>
    </row>
    <row r="3471" spans="15:47" ht="13" x14ac:dyDescent="0.25">
      <c r="O3471" s="1" t="s">
        <v>69</v>
      </c>
      <c r="P3471" s="17">
        <v>7</v>
      </c>
      <c r="Q3471" s="65"/>
      <c r="R3471" s="53">
        <f>(R3465/(N_1*F_P_h))*SQRT('Valve Sizing'!$G$6/R3469)</f>
        <v>75.340086550450025</v>
      </c>
      <c r="S3471" s="58"/>
      <c r="T3471" s="73"/>
      <c r="U3471" s="64">
        <f>(U3465/(N_1*U$27))*SQRT('Valve Sizing'!$G$6/U3469)</f>
        <v>156.81645335320258</v>
      </c>
      <c r="V3471" s="41"/>
      <c r="W3471" s="73"/>
      <c r="X3471" s="64" t="e">
        <f>(X3465/(N_1*X$27))*SQRT('Valve Sizing'!$G$6/X3469)</f>
        <v>#NUM!</v>
      </c>
      <c r="Y3471" s="41"/>
      <c r="Z3471" s="73"/>
      <c r="AA3471" s="64" t="e">
        <f>(AA3465/(N_1*AA$27))*SQRT('Valve Sizing'!$G$6/AA3469)</f>
        <v>#NUM!</v>
      </c>
      <c r="AB3471" s="41"/>
      <c r="AC3471" s="73"/>
      <c r="AD3471" s="64" t="e">
        <f>(AD3465/(N_1*AD$27))*SQRT('Valve Sizing'!$G$6/AD3469)</f>
        <v>#NUM!</v>
      </c>
      <c r="AE3471" s="41"/>
      <c r="AF3471" s="73"/>
      <c r="AG3471" s="64" t="e">
        <f>(AG3465/(N_1*AG$27))*SQRT('Valve Sizing'!$G$6/AG3469)</f>
        <v>#NUM!</v>
      </c>
      <c r="AH3471" s="41"/>
      <c r="AI3471" s="73"/>
      <c r="AJ3471" s="64" t="e">
        <f>(AJ3465/(N_1*AJ$27))*SQRT('Valve Sizing'!$G$6/AJ3469)</f>
        <v>#NUM!</v>
      </c>
      <c r="AK3471" s="41"/>
      <c r="AL3471" s="73"/>
      <c r="AM3471" s="64" t="e">
        <f>(AM3465/(N_1*AM$27))*SQRT('Valve Sizing'!$G$6/AM3469)</f>
        <v>#NUM!</v>
      </c>
      <c r="AN3471" s="41"/>
      <c r="AO3471" s="73"/>
      <c r="AP3471" s="64" t="e">
        <f>(AP3465/(N_1*AP$27))*SQRT('Valve Sizing'!$G$6/AP3469)</f>
        <v>#NUM!</v>
      </c>
      <c r="AQ3471" s="41"/>
      <c r="AR3471" s="73"/>
      <c r="AS3471" s="64" t="e">
        <f>(AS3465/(N_1*AS$27))*SQRT('Valve Sizing'!$G$6/AS3469)</f>
        <v>#NUM!</v>
      </c>
      <c r="AT3471" s="41"/>
      <c r="AU3471" s="73"/>
    </row>
    <row r="3472" spans="15:47" ht="13" x14ac:dyDescent="0.3">
      <c r="O3472" s="1" t="s">
        <v>72</v>
      </c>
      <c r="P3472" s="17">
        <v>7</v>
      </c>
      <c r="Q3472" s="65"/>
      <c r="R3472" s="53">
        <f>(R3465/(N_1*F_P_h))*SQRT('Valve Sizing'!$G$6/R3470)</f>
        <v>59.113463250040603</v>
      </c>
      <c r="S3472" s="56"/>
      <c r="T3472" s="72"/>
      <c r="U3472" s="85">
        <f>(U3465/(N_1*U$27))*SQRT('Valve Sizing'!$G$6/U3470)</f>
        <v>105.60975496184007</v>
      </c>
      <c r="V3472" s="44"/>
      <c r="W3472" s="72"/>
      <c r="X3472" s="85" t="e">
        <f>(X3465/(N_1*X$27))*SQRT('Valve Sizing'!$G$6/X3470)</f>
        <v>#NUM!</v>
      </c>
      <c r="Y3472" s="44"/>
      <c r="Z3472" s="72"/>
      <c r="AA3472" s="85" t="e">
        <f>(AA3465/(N_1*AA$27))*SQRT('Valve Sizing'!$G$6/AA3470)</f>
        <v>#NUM!</v>
      </c>
      <c r="AB3472" s="44"/>
      <c r="AC3472" s="72"/>
      <c r="AD3472" s="85" t="e">
        <f>(AD3465/(N_1*AD$27))*SQRT('Valve Sizing'!$G$6/AD3470)</f>
        <v>#NUM!</v>
      </c>
      <c r="AE3472" s="44"/>
      <c r="AF3472" s="72"/>
      <c r="AG3472" s="85" t="e">
        <f>(AG3465/(N_1*AG$27))*SQRT('Valve Sizing'!$G$6/AG3470)</f>
        <v>#NUM!</v>
      </c>
      <c r="AH3472" s="44"/>
      <c r="AI3472" s="72"/>
      <c r="AJ3472" s="85" t="e">
        <f>(AJ3465/(N_1*AJ$27))*SQRT('Valve Sizing'!$G$6/AJ3470)</f>
        <v>#NUM!</v>
      </c>
      <c r="AK3472" s="44"/>
      <c r="AL3472" s="72"/>
      <c r="AM3472" s="85" t="e">
        <f>(AM3465/(N_1*AM$27))*SQRT('Valve Sizing'!$G$6/AM3470)</f>
        <v>#NUM!</v>
      </c>
      <c r="AN3472" s="44"/>
      <c r="AO3472" s="72"/>
      <c r="AP3472" s="85" t="e">
        <f>(AP3465/(N_1*AP$27))*SQRT('Valve Sizing'!$G$6/AP3470)</f>
        <v>#NUM!</v>
      </c>
      <c r="AQ3472" s="44"/>
      <c r="AR3472" s="72"/>
      <c r="AS3472" s="85" t="e">
        <f>(AS3465/(N_1*AS$27))*SQRT('Valve Sizing'!$G$6/AS3470)</f>
        <v>#NUM!</v>
      </c>
      <c r="AT3472" s="44"/>
      <c r="AU3472" s="72"/>
    </row>
    <row r="3473" spans="15:47" x14ac:dyDescent="0.25">
      <c r="O3473" s="1" t="s">
        <v>246</v>
      </c>
      <c r="P3473" s="18"/>
      <c r="Q3473" s="65"/>
      <c r="R3473" s="53">
        <f>IF(R3469&lt;R3470,R3471,R3472)</f>
        <v>75.340086550450025</v>
      </c>
      <c r="S3473" s="49"/>
      <c r="T3473" s="72"/>
      <c r="U3473" s="64">
        <f>IF(U3469&lt;U3470,U3471,U3472)</f>
        <v>156.81645335320258</v>
      </c>
      <c r="V3473" s="44"/>
      <c r="W3473" s="72"/>
      <c r="X3473" s="64" t="e">
        <f>IF(X3469&lt;X3470,X3471,X3472)</f>
        <v>#NUM!</v>
      </c>
      <c r="Y3473" s="44"/>
      <c r="Z3473" s="72"/>
      <c r="AA3473" s="64" t="e">
        <f>IF(AA3469&lt;AA3470,AA3471,AA3472)</f>
        <v>#NUM!</v>
      </c>
      <c r="AB3473" s="44"/>
      <c r="AC3473" s="72"/>
      <c r="AD3473" s="64" t="e">
        <f>IF(AD3469&lt;AD3470,AD3471,AD3472)</f>
        <v>#NUM!</v>
      </c>
      <c r="AE3473" s="44"/>
      <c r="AF3473" s="72"/>
      <c r="AG3473" s="64" t="e">
        <f>IF(AG3469&lt;AG3470,AG3471,AG3472)</f>
        <v>#NUM!</v>
      </c>
      <c r="AH3473" s="44"/>
      <c r="AI3473" s="72"/>
      <c r="AJ3473" s="64" t="e">
        <f>IF(AJ3469&lt;AJ3470,AJ3471,AJ3472)</f>
        <v>#NUM!</v>
      </c>
      <c r="AK3473" s="44"/>
      <c r="AL3473" s="72"/>
      <c r="AM3473" s="64" t="e">
        <f>IF(AM3469&lt;AM3470,AM3471,AM3472)</f>
        <v>#NUM!</v>
      </c>
      <c r="AN3473" s="44"/>
      <c r="AO3473" s="72"/>
      <c r="AP3473" s="64" t="e">
        <f>IF(AP3469&lt;AP3470,AP3471,AP3472)</f>
        <v>#NUM!</v>
      </c>
      <c r="AQ3473" s="44"/>
      <c r="AR3473" s="72"/>
      <c r="AS3473" s="64" t="e">
        <f>IF(AS3469&lt;AS3470,AS3471,AS3472)</f>
        <v>#NUM!</v>
      </c>
      <c r="AT3473" s="44"/>
      <c r="AU3473" s="72"/>
    </row>
    <row r="3474" spans="15:47" ht="13" x14ac:dyDescent="0.3">
      <c r="O3474" s="7" t="s">
        <v>264</v>
      </c>
      <c r="Q3474" s="61"/>
      <c r="R3474" s="53"/>
      <c r="S3474" s="69">
        <f>IFERROR(ABS(C_h-R3473),Q_max*10)</f>
        <v>70.340086550450025</v>
      </c>
      <c r="T3474" s="76">
        <f>R3465</f>
        <v>385.78343588685556</v>
      </c>
      <c r="U3474" s="61"/>
      <c r="V3474" s="69">
        <f>IFERROR(ABS(U$23-U3473),Q_max*10)</f>
        <v>144.81645335320258</v>
      </c>
      <c r="W3474" s="75">
        <f>U3465</f>
        <v>630.07104835057976</v>
      </c>
      <c r="X3474" s="61"/>
      <c r="Y3474" s="69">
        <f>IFERROR(ABS(X$23-X3473),Q_max*10)</f>
        <v>5500</v>
      </c>
      <c r="Z3474" s="75">
        <f>X3465</f>
        <v>1512.4130539567223</v>
      </c>
      <c r="AA3474" s="61"/>
      <c r="AB3474" s="69">
        <f>IFERROR(ABS(AA$23-AA3473),Q_max*10)</f>
        <v>5500</v>
      </c>
      <c r="AC3474" s="75">
        <f>AA3465</f>
        <v>2887.7508015023895</v>
      </c>
      <c r="AD3474" s="61"/>
      <c r="AE3474" s="69">
        <f>IFERROR(ABS(AD$23-AD3473),Q_max*10)</f>
        <v>5500</v>
      </c>
      <c r="AF3474" s="75">
        <f>AD3465</f>
        <v>4749.2868617060076</v>
      </c>
      <c r="AG3474" s="61"/>
      <c r="AH3474" s="69">
        <f>IFERROR(ABS(AG$23-AG3473),Q_max*10)</f>
        <v>5500</v>
      </c>
      <c r="AI3474" s="75">
        <f>AG3465</f>
        <v>7071.0409688010905</v>
      </c>
      <c r="AJ3474" s="61"/>
      <c r="AK3474" s="69">
        <f>IFERROR(ABS(AJ$23-AJ3473),Q_max*10)</f>
        <v>5500</v>
      </c>
      <c r="AL3474" s="75">
        <f>AJ3465</f>
        <v>9436.3315842307857</v>
      </c>
      <c r="AM3474" s="61"/>
      <c r="AN3474" s="69">
        <f>IFERROR(ABS(AM$23-AM3473),Q_max*10)</f>
        <v>5500</v>
      </c>
      <c r="AO3474" s="75">
        <f>AM3465</f>
        <v>11514.117812724824</v>
      </c>
      <c r="AP3474" s="61"/>
      <c r="AQ3474" s="69">
        <f>IFERROR(ABS(AP$23-AP3473),Q_max*10)</f>
        <v>5500</v>
      </c>
      <c r="AR3474" s="75">
        <f>AP3465</f>
        <v>13367.533329046235</v>
      </c>
      <c r="AS3474" s="61"/>
      <c r="AT3474" s="69">
        <f>IFERROR(ABS(AS$23-AS3473),Q_max*10)</f>
        <v>5500</v>
      </c>
      <c r="AU3474" s="75">
        <f>AS3465</f>
        <v>15213.499857755562</v>
      </c>
    </row>
    <row r="3475" spans="15:47" ht="14.5" x14ac:dyDescent="0.35">
      <c r="O3475" s="6"/>
      <c r="P3475" s="6"/>
      <c r="Q3475" s="60"/>
      <c r="R3475" s="67"/>
      <c r="S3475" s="58"/>
      <c r="T3475" s="73"/>
      <c r="V3475" s="11"/>
      <c r="W3475" s="38"/>
      <c r="Y3475" s="11"/>
      <c r="Z3475" s="38"/>
      <c r="AB3475" s="11"/>
      <c r="AC3475" s="38"/>
      <c r="AE3475" s="11"/>
      <c r="AF3475" s="38"/>
      <c r="AH3475" s="11"/>
      <c r="AI3475" s="38"/>
      <c r="AK3475" s="11"/>
      <c r="AL3475" s="38"/>
      <c r="AN3475" s="11"/>
      <c r="AO3475" s="38"/>
      <c r="AQ3475" s="11"/>
      <c r="AR3475" s="38"/>
      <c r="AT3475" s="11"/>
      <c r="AU3475" s="38"/>
    </row>
    <row r="3476" spans="15:47" ht="14" x14ac:dyDescent="0.3">
      <c r="O3476" s="8" t="s">
        <v>235</v>
      </c>
      <c r="P3476" s="6"/>
      <c r="Q3476" s="60"/>
      <c r="R3476" s="53">
        <f>R3465*1.02</f>
        <v>393.49910460459267</v>
      </c>
      <c r="S3476" s="58" t="s">
        <v>238</v>
      </c>
      <c r="T3476" s="73" t="s">
        <v>241</v>
      </c>
      <c r="U3476" s="84">
        <f>U3465*1.01</f>
        <v>636.37175883408554</v>
      </c>
      <c r="V3476" s="58" t="s">
        <v>238</v>
      </c>
      <c r="W3476" s="73" t="s">
        <v>241</v>
      </c>
      <c r="X3476" s="84">
        <f>X3465*1.01</f>
        <v>1527.5371844962895</v>
      </c>
      <c r="Y3476" s="58" t="s">
        <v>238</v>
      </c>
      <c r="Z3476" s="73" t="s">
        <v>241</v>
      </c>
      <c r="AA3476" s="84">
        <f>AA3465*1.01</f>
        <v>2916.6283095174135</v>
      </c>
      <c r="AB3476" s="58" t="s">
        <v>238</v>
      </c>
      <c r="AC3476" s="73" t="s">
        <v>241</v>
      </c>
      <c r="AD3476" s="84">
        <f>AD3465*1.01</f>
        <v>4796.7797303230673</v>
      </c>
      <c r="AE3476" s="58" t="s">
        <v>238</v>
      </c>
      <c r="AF3476" s="73" t="s">
        <v>241</v>
      </c>
      <c r="AG3476" s="84">
        <f>AG3465*1.01</f>
        <v>7141.7513784891016</v>
      </c>
      <c r="AH3476" s="58" t="s">
        <v>238</v>
      </c>
      <c r="AI3476" s="73" t="s">
        <v>241</v>
      </c>
      <c r="AJ3476" s="84">
        <f>AJ3465*1.01</f>
        <v>9530.6949000730929</v>
      </c>
      <c r="AK3476" s="58" t="s">
        <v>238</v>
      </c>
      <c r="AL3476" s="73" t="s">
        <v>241</v>
      </c>
      <c r="AM3476" s="84">
        <f>AM3465*1.01</f>
        <v>11629.258990852073</v>
      </c>
      <c r="AN3476" s="58" t="s">
        <v>238</v>
      </c>
      <c r="AO3476" s="73" t="s">
        <v>241</v>
      </c>
      <c r="AP3476" s="84">
        <f>AP3465*1.01</f>
        <v>13501.208662336698</v>
      </c>
      <c r="AQ3476" s="58" t="s">
        <v>238</v>
      </c>
      <c r="AR3476" s="73" t="s">
        <v>241</v>
      </c>
      <c r="AS3476" s="84">
        <f>AS3465*1.01</f>
        <v>15365.634856333118</v>
      </c>
      <c r="AT3476" s="58" t="s">
        <v>238</v>
      </c>
      <c r="AU3476" s="73" t="s">
        <v>241</v>
      </c>
    </row>
    <row r="3477" spans="15:47" ht="13" x14ac:dyDescent="0.25">
      <c r="O3477" s="6"/>
      <c r="P3477" s="6"/>
      <c r="Q3477" s="60"/>
      <c r="R3477" s="70"/>
      <c r="S3477" s="63" t="s">
        <v>250</v>
      </c>
      <c r="T3477" s="71" t="s">
        <v>242</v>
      </c>
      <c r="U3477" s="61"/>
      <c r="V3477" s="63" t="s">
        <v>250</v>
      </c>
      <c r="W3477" s="71" t="s">
        <v>242</v>
      </c>
      <c r="X3477" s="61"/>
      <c r="Y3477" s="63" t="s">
        <v>250</v>
      </c>
      <c r="Z3477" s="71" t="s">
        <v>242</v>
      </c>
      <c r="AA3477" s="61"/>
      <c r="AB3477" s="63" t="s">
        <v>250</v>
      </c>
      <c r="AC3477" s="71" t="s">
        <v>242</v>
      </c>
      <c r="AD3477" s="61"/>
      <c r="AE3477" s="63" t="s">
        <v>250</v>
      </c>
      <c r="AF3477" s="71" t="s">
        <v>242</v>
      </c>
      <c r="AG3477" s="61"/>
      <c r="AH3477" s="63" t="s">
        <v>250</v>
      </c>
      <c r="AI3477" s="71" t="s">
        <v>242</v>
      </c>
      <c r="AJ3477" s="61"/>
      <c r="AK3477" s="63" t="s">
        <v>250</v>
      </c>
      <c r="AL3477" s="71" t="s">
        <v>242</v>
      </c>
      <c r="AM3477" s="61"/>
      <c r="AN3477" s="63" t="s">
        <v>250</v>
      </c>
      <c r="AO3477" s="71" t="s">
        <v>242</v>
      </c>
      <c r="AP3477" s="61"/>
      <c r="AQ3477" s="63" t="s">
        <v>250</v>
      </c>
      <c r="AR3477" s="71" t="s">
        <v>242</v>
      </c>
      <c r="AS3477" s="61"/>
      <c r="AT3477" s="63" t="s">
        <v>250</v>
      </c>
      <c r="AU3477" s="71" t="s">
        <v>242</v>
      </c>
    </row>
    <row r="3478" spans="15:47" ht="13" x14ac:dyDescent="0.3">
      <c r="O3478" s="6" t="s">
        <v>231</v>
      </c>
      <c r="P3478" s="6"/>
      <c r="Q3478" s="60"/>
      <c r="R3478" s="85">
        <f>P_1_minQ-(R3476^2*R_up)+dpup_minQ</f>
        <v>51.686776584781619</v>
      </c>
      <c r="S3478" s="56"/>
      <c r="T3478" s="72"/>
      <c r="U3478" s="53">
        <f>P_1_minQ-(U3476^2*R_up)+dpup_minQ</f>
        <v>43.239378066815682</v>
      </c>
      <c r="V3478" s="44"/>
      <c r="W3478" s="72"/>
      <c r="X3478" s="53">
        <f>P_1_minQ-(X3476^2*R_up)+dpup_minQ</f>
        <v>-21.887296522082099</v>
      </c>
      <c r="Y3478" s="44"/>
      <c r="Z3478" s="72"/>
      <c r="AA3478" s="53">
        <f>P_1_minQ-(AA3476^2*R_up)+dpup_minQ</f>
        <v>-230.37601134341125</v>
      </c>
      <c r="AB3478" s="44"/>
      <c r="AC3478" s="72"/>
      <c r="AD3478" s="53">
        <f>P_1_minQ-(AD3476^2*R_up)+dpup_minQ</f>
        <v>-720.15564948457404</v>
      </c>
      <c r="AE3478" s="44"/>
      <c r="AF3478" s="72"/>
      <c r="AG3478" s="53">
        <f>P_1_minQ-(AG3476^2*R_up)+dpup_minQ</f>
        <v>-1665.6307244900704</v>
      </c>
      <c r="AH3478" s="44"/>
      <c r="AI3478" s="72"/>
      <c r="AJ3478" s="53">
        <f>P_1_minQ-(AJ3476^2*R_up)+dpup_minQ</f>
        <v>-3010.7686010901475</v>
      </c>
      <c r="AK3478" s="44"/>
      <c r="AL3478" s="72"/>
      <c r="AM3478" s="53">
        <f>P_1_minQ-(AM3476^2*R_up)+dpup_minQ</f>
        <v>-4510.4484186529489</v>
      </c>
      <c r="AN3478" s="44"/>
      <c r="AO3478" s="72"/>
      <c r="AP3478" s="53">
        <f>P_1_minQ-(AP3476^2*R_up)+dpup_minQ</f>
        <v>-6099.2012274216659</v>
      </c>
      <c r="AQ3478" s="44"/>
      <c r="AR3478" s="72"/>
      <c r="AS3478" s="53">
        <f>P_1_minQ-(AS3476^2*R_up)+dpup_minQ</f>
        <v>-7916.8337567767412</v>
      </c>
      <c r="AT3478" s="44"/>
      <c r="AU3478" s="72"/>
    </row>
    <row r="3479" spans="15:47" ht="13" x14ac:dyDescent="0.3">
      <c r="O3479" s="6" t="s">
        <v>233</v>
      </c>
      <c r="P3479" s="6"/>
      <c r="Q3479" s="60"/>
      <c r="R3479" s="85">
        <f>P_2_minQ+(R3476^2*R_dn)-dpdn_minQ</f>
        <v>25.702644683043676</v>
      </c>
      <c r="S3479" s="66"/>
      <c r="T3479" s="74"/>
      <c r="U3479" s="53">
        <f>P_2_minQ+(U3476^2*R_dn)-dpdn_minQ</f>
        <v>27.392124386636866</v>
      </c>
      <c r="V3479" s="45"/>
      <c r="W3479" s="74"/>
      <c r="X3479" s="53">
        <f>P_2_minQ+(X3476^2*R_dn)-dpdn_minQ</f>
        <v>40.417459304416425</v>
      </c>
      <c r="Y3479" s="45"/>
      <c r="Z3479" s="74"/>
      <c r="AA3479" s="53">
        <f>P_2_minQ+(AA3476^2*R_dn)-dpdn_minQ</f>
        <v>82.115202268682239</v>
      </c>
      <c r="AB3479" s="45"/>
      <c r="AC3479" s="74"/>
      <c r="AD3479" s="53">
        <f>P_2_minQ+(AD3476^2*R_dn)-dpdn_minQ</f>
        <v>180.07112989691481</v>
      </c>
      <c r="AE3479" s="45"/>
      <c r="AF3479" s="74"/>
      <c r="AG3479" s="53">
        <f>P_2_minQ+(AG3476^2*R_dn)-dpdn_minQ</f>
        <v>369.16614489801401</v>
      </c>
      <c r="AH3479" s="45"/>
      <c r="AI3479" s="74"/>
      <c r="AJ3479" s="53">
        <f>P_2_minQ+(AJ3476^2*R_dn)-dpdn_minQ</f>
        <v>638.1937202180294</v>
      </c>
      <c r="AK3479" s="45"/>
      <c r="AL3479" s="74"/>
      <c r="AM3479" s="53">
        <f>P_2_minQ+(AM3476^2*R_dn)-dpdn_minQ</f>
        <v>938.12968373058959</v>
      </c>
      <c r="AN3479" s="45"/>
      <c r="AO3479" s="74"/>
      <c r="AP3479" s="53">
        <f>P_2_minQ+(AP3476^2*R_dn)-dpdn_minQ</f>
        <v>1255.880245484333</v>
      </c>
      <c r="AQ3479" s="45"/>
      <c r="AR3479" s="74"/>
      <c r="AS3479" s="53">
        <f>P_2_minQ+(AS3476^2*R_dn)-dpdn_minQ</f>
        <v>1619.4067513553482</v>
      </c>
      <c r="AT3479" s="45"/>
      <c r="AU3479" s="74"/>
    </row>
    <row r="3480" spans="15:47" x14ac:dyDescent="0.25">
      <c r="O3480" s="6" t="s">
        <v>243</v>
      </c>
      <c r="Q3480" s="60"/>
      <c r="R3480" s="53">
        <f>R3478-R3479</f>
        <v>25.984131901737943</v>
      </c>
      <c r="S3480" s="56"/>
      <c r="T3480" s="72"/>
      <c r="U3480" s="64">
        <f>U3478-U3479</f>
        <v>15.847253680178817</v>
      </c>
      <c r="V3480" s="44"/>
      <c r="W3480" s="72"/>
      <c r="X3480" s="64">
        <f>X3478-X3479</f>
        <v>-62.304755826498521</v>
      </c>
      <c r="Y3480" s="44"/>
      <c r="Z3480" s="72"/>
      <c r="AA3480" s="64">
        <f>AA3478-AA3479</f>
        <v>-312.49121361209347</v>
      </c>
      <c r="AB3480" s="44"/>
      <c r="AC3480" s="72"/>
      <c r="AD3480" s="64">
        <f>AD3478-AD3479</f>
        <v>-900.22677938148888</v>
      </c>
      <c r="AE3480" s="44"/>
      <c r="AF3480" s="72"/>
      <c r="AG3480" s="64">
        <f>AG3478-AG3479</f>
        <v>-2034.7968693880844</v>
      </c>
      <c r="AH3480" s="44"/>
      <c r="AI3480" s="72"/>
      <c r="AJ3480" s="64">
        <f>AJ3478-AJ3479</f>
        <v>-3648.9623213081768</v>
      </c>
      <c r="AK3480" s="44"/>
      <c r="AL3480" s="72"/>
      <c r="AM3480" s="64">
        <f>AM3478-AM3479</f>
        <v>-5448.5781023835389</v>
      </c>
      <c r="AN3480" s="44"/>
      <c r="AO3480" s="72"/>
      <c r="AP3480" s="64">
        <f>AP3478-AP3479</f>
        <v>-7355.0814729059985</v>
      </c>
      <c r="AQ3480" s="44"/>
      <c r="AR3480" s="72"/>
      <c r="AS3480" s="64">
        <f>AS3478-AS3479</f>
        <v>-9536.2405081320903</v>
      </c>
      <c r="AT3480" s="44"/>
      <c r="AU3480" s="72"/>
    </row>
    <row r="3481" spans="15:47" ht="13" x14ac:dyDescent="0.3">
      <c r="O3481" s="6" t="s">
        <v>75</v>
      </c>
      <c r="P3481" s="6">
        <v>3</v>
      </c>
      <c r="Q3481" s="65"/>
      <c r="R3481" s="85">
        <f>(F_LP_h/F_P_h)^2*(R3478-('Valve Sizing'!$V$4*'Valve Sizing'!$G$7))</f>
        <v>42.434973199434161</v>
      </c>
      <c r="S3481" s="58"/>
      <c r="T3481" s="73"/>
      <c r="U3481" s="53">
        <f>(U$29/U$27)^2*(U3478-('Valve Sizing'!$V$4*'Valve Sizing'!$G$7))</f>
        <v>35.430424320351548</v>
      </c>
      <c r="V3481" s="41"/>
      <c r="W3481" s="73"/>
      <c r="X3481" s="53">
        <f>(X$29/X$27)^2*(X3478-('Valve Sizing'!$V$4*'Valve Sizing'!$G$7))</f>
        <v>-18.066258238212413</v>
      </c>
      <c r="Y3481" s="41"/>
      <c r="Z3481" s="73"/>
      <c r="AA3481" s="53">
        <f>(AA$29/AA$27)^2*(AA3478-('Valve Sizing'!$V$4*'Valve Sizing'!$G$7))</f>
        <v>-178.37401677646122</v>
      </c>
      <c r="AB3481" s="41"/>
      <c r="AC3481" s="73"/>
      <c r="AD3481" s="53">
        <f>(AD$29/AD$27)^2*(AD3478-('Valve Sizing'!$V$4*'Valve Sizing'!$G$7))</f>
        <v>-519.6845496639902</v>
      </c>
      <c r="AE3481" s="41"/>
      <c r="AF3481" s="73"/>
      <c r="AG3481" s="53">
        <f>(AG$29/AG$27)^2*(AG3478-('Valve Sizing'!$V$4*'Valve Sizing'!$G$7))</f>
        <v>-1073.0228094924203</v>
      </c>
      <c r="AH3481" s="41"/>
      <c r="AI3481" s="73"/>
      <c r="AJ3481" s="53">
        <f>(AJ$29/AJ$27)^2*(AJ3478-('Valve Sizing'!$V$4*'Valve Sizing'!$G$7))</f>
        <v>-1741.5756944517673</v>
      </c>
      <c r="AK3481" s="41"/>
      <c r="AL3481" s="73"/>
      <c r="AM3481" s="53">
        <f>(AM$29/AM$27)^2*(AM3478-('Valve Sizing'!$V$4*'Valve Sizing'!$G$7))</f>
        <v>-2158.33450453873</v>
      </c>
      <c r="AN3481" s="41"/>
      <c r="AO3481" s="73"/>
      <c r="AP3481" s="53">
        <f>(AP$29/AP$27)^2*(AP3478-('Valve Sizing'!$V$4*'Valve Sizing'!$G$7))</f>
        <v>-2407.0820883596248</v>
      </c>
      <c r="AQ3481" s="41"/>
      <c r="AR3481" s="73"/>
      <c r="AS3481" s="53">
        <f>(AS$29/AS$27)^2*(AS3478-('Valve Sizing'!$V$4*'Valve Sizing'!$G$7))</f>
        <v>-2978.0096597029815</v>
      </c>
      <c r="AT3481" s="41"/>
      <c r="AU3481" s="73"/>
    </row>
    <row r="3482" spans="15:47" ht="13" x14ac:dyDescent="0.25">
      <c r="O3482" s="1" t="s">
        <v>69</v>
      </c>
      <c r="P3482" s="17">
        <v>7</v>
      </c>
      <c r="Q3482" s="65"/>
      <c r="R3482" s="53">
        <f>(R3476/(N_1*F_P_h))*SQRT('Valve Sizing'!$G$6/R3480)</f>
        <v>77.206376623621637</v>
      </c>
      <c r="S3482" s="58"/>
      <c r="T3482" s="73"/>
      <c r="U3482" s="64">
        <f>(U3476/(N_1*U$27))*SQRT('Valve Sizing'!$G$6/U3480)</f>
        <v>159.99247747826834</v>
      </c>
      <c r="V3482" s="41"/>
      <c r="W3482" s="73"/>
      <c r="X3482" s="64" t="e">
        <f>(X3476/(N_1*X$27))*SQRT('Valve Sizing'!$G$6/X3480)</f>
        <v>#NUM!</v>
      </c>
      <c r="Y3482" s="41"/>
      <c r="Z3482" s="73"/>
      <c r="AA3482" s="64" t="e">
        <f>(AA3476/(N_1*AA$27))*SQRT('Valve Sizing'!$G$6/AA3480)</f>
        <v>#NUM!</v>
      </c>
      <c r="AB3482" s="41"/>
      <c r="AC3482" s="73"/>
      <c r="AD3482" s="64" t="e">
        <f>(AD3476/(N_1*AD$27))*SQRT('Valve Sizing'!$G$6/AD3480)</f>
        <v>#NUM!</v>
      </c>
      <c r="AE3482" s="41"/>
      <c r="AF3482" s="73"/>
      <c r="AG3482" s="64" t="e">
        <f>(AG3476/(N_1*AG$27))*SQRT('Valve Sizing'!$G$6/AG3480)</f>
        <v>#NUM!</v>
      </c>
      <c r="AH3482" s="41"/>
      <c r="AI3482" s="73"/>
      <c r="AJ3482" s="64" t="e">
        <f>(AJ3476/(N_1*AJ$27))*SQRT('Valve Sizing'!$G$6/AJ3480)</f>
        <v>#NUM!</v>
      </c>
      <c r="AK3482" s="41"/>
      <c r="AL3482" s="73"/>
      <c r="AM3482" s="64" t="e">
        <f>(AM3476/(N_1*AM$27))*SQRT('Valve Sizing'!$G$6/AM3480)</f>
        <v>#NUM!</v>
      </c>
      <c r="AN3482" s="41"/>
      <c r="AO3482" s="73"/>
      <c r="AP3482" s="64" t="e">
        <f>(AP3476/(N_1*AP$27))*SQRT('Valve Sizing'!$G$6/AP3480)</f>
        <v>#NUM!</v>
      </c>
      <c r="AQ3482" s="41"/>
      <c r="AR3482" s="73"/>
      <c r="AS3482" s="64" t="e">
        <f>(AS3476/(N_1*AS$27))*SQRT('Valve Sizing'!$G$6/AS3480)</f>
        <v>#NUM!</v>
      </c>
      <c r="AT3482" s="41"/>
      <c r="AU3482" s="73"/>
    </row>
    <row r="3483" spans="15:47" ht="13" x14ac:dyDescent="0.3">
      <c r="O3483" s="1" t="s">
        <v>72</v>
      </c>
      <c r="P3483" s="17">
        <v>7</v>
      </c>
      <c r="Q3483" s="65"/>
      <c r="R3483" s="53">
        <f>(R3476/(N_1*F_P_h))*SQRT('Valve Sizing'!$G$6/R3481)</f>
        <v>60.41507389254221</v>
      </c>
      <c r="S3483" s="56"/>
      <c r="T3483" s="72"/>
      <c r="U3483" s="85">
        <f>(U3476/(N_1*U$27))*SQRT('Valve Sizing'!$G$6/U3481)</f>
        <v>107.00113680752156</v>
      </c>
      <c r="V3483" s="44"/>
      <c r="W3483" s="72"/>
      <c r="X3483" s="85" t="e">
        <f>(X3476/(N_1*X$27))*SQRT('Valve Sizing'!$G$6/X3481)</f>
        <v>#NUM!</v>
      </c>
      <c r="Y3483" s="44"/>
      <c r="Z3483" s="72"/>
      <c r="AA3483" s="85" t="e">
        <f>(AA3476/(N_1*AA$27))*SQRT('Valve Sizing'!$G$6/AA3481)</f>
        <v>#NUM!</v>
      </c>
      <c r="AB3483" s="44"/>
      <c r="AC3483" s="72"/>
      <c r="AD3483" s="85" t="e">
        <f>(AD3476/(N_1*AD$27))*SQRT('Valve Sizing'!$G$6/AD3481)</f>
        <v>#NUM!</v>
      </c>
      <c r="AE3483" s="44"/>
      <c r="AF3483" s="72"/>
      <c r="AG3483" s="85" t="e">
        <f>(AG3476/(N_1*AG$27))*SQRT('Valve Sizing'!$G$6/AG3481)</f>
        <v>#NUM!</v>
      </c>
      <c r="AH3483" s="44"/>
      <c r="AI3483" s="72"/>
      <c r="AJ3483" s="85" t="e">
        <f>(AJ3476/(N_1*AJ$27))*SQRT('Valve Sizing'!$G$6/AJ3481)</f>
        <v>#NUM!</v>
      </c>
      <c r="AK3483" s="44"/>
      <c r="AL3483" s="72"/>
      <c r="AM3483" s="85" t="e">
        <f>(AM3476/(N_1*AM$27))*SQRT('Valve Sizing'!$G$6/AM3481)</f>
        <v>#NUM!</v>
      </c>
      <c r="AN3483" s="44"/>
      <c r="AO3483" s="72"/>
      <c r="AP3483" s="85" t="e">
        <f>(AP3476/(N_1*AP$27))*SQRT('Valve Sizing'!$G$6/AP3481)</f>
        <v>#NUM!</v>
      </c>
      <c r="AQ3483" s="44"/>
      <c r="AR3483" s="72"/>
      <c r="AS3483" s="85" t="e">
        <f>(AS3476/(N_1*AS$27))*SQRT('Valve Sizing'!$G$6/AS3481)</f>
        <v>#NUM!</v>
      </c>
      <c r="AT3483" s="44"/>
      <c r="AU3483" s="72"/>
    </row>
    <row r="3484" spans="15:47" x14ac:dyDescent="0.25">
      <c r="O3484" s="1" t="s">
        <v>246</v>
      </c>
      <c r="P3484" s="18"/>
      <c r="Q3484" s="65"/>
      <c r="R3484" s="53">
        <f>IF(R3480&lt;R3481,R3482,R3483)</f>
        <v>77.206376623621637</v>
      </c>
      <c r="S3484" s="49"/>
      <c r="T3484" s="72"/>
      <c r="U3484" s="64">
        <f>IF(U3480&lt;U3481,U3482,U3483)</f>
        <v>159.99247747826834</v>
      </c>
      <c r="V3484" s="44"/>
      <c r="W3484" s="72"/>
      <c r="X3484" s="64" t="e">
        <f>IF(X3480&lt;X3481,X3482,X3483)</f>
        <v>#NUM!</v>
      </c>
      <c r="Y3484" s="44"/>
      <c r="Z3484" s="72"/>
      <c r="AA3484" s="64" t="e">
        <f>IF(AA3480&lt;AA3481,AA3482,AA3483)</f>
        <v>#NUM!</v>
      </c>
      <c r="AB3484" s="44"/>
      <c r="AC3484" s="72"/>
      <c r="AD3484" s="64" t="e">
        <f>IF(AD3480&lt;AD3481,AD3482,AD3483)</f>
        <v>#NUM!</v>
      </c>
      <c r="AE3484" s="44"/>
      <c r="AF3484" s="72"/>
      <c r="AG3484" s="64" t="e">
        <f>IF(AG3480&lt;AG3481,AG3482,AG3483)</f>
        <v>#NUM!</v>
      </c>
      <c r="AH3484" s="44"/>
      <c r="AI3484" s="72"/>
      <c r="AJ3484" s="64" t="e">
        <f>IF(AJ3480&lt;AJ3481,AJ3482,AJ3483)</f>
        <v>#NUM!</v>
      </c>
      <c r="AK3484" s="44"/>
      <c r="AL3484" s="72"/>
      <c r="AM3484" s="64" t="e">
        <f>IF(AM3480&lt;AM3481,AM3482,AM3483)</f>
        <v>#NUM!</v>
      </c>
      <c r="AN3484" s="44"/>
      <c r="AO3484" s="72"/>
      <c r="AP3484" s="64" t="e">
        <f>IF(AP3480&lt;AP3481,AP3482,AP3483)</f>
        <v>#NUM!</v>
      </c>
      <c r="AQ3484" s="44"/>
      <c r="AR3484" s="72"/>
      <c r="AS3484" s="64" t="e">
        <f>IF(AS3480&lt;AS3481,AS3482,AS3483)</f>
        <v>#NUM!</v>
      </c>
      <c r="AT3484" s="44"/>
      <c r="AU3484" s="72"/>
    </row>
    <row r="3485" spans="15:47" ht="13" x14ac:dyDescent="0.3">
      <c r="O3485" s="7" t="s">
        <v>264</v>
      </c>
      <c r="Q3485" s="61"/>
      <c r="R3485" s="53"/>
      <c r="S3485" s="69">
        <f>IFERROR(ABS(C_h-R3484),Q_max*10)</f>
        <v>72.206376623621637</v>
      </c>
      <c r="T3485" s="76">
        <f>R3476</f>
        <v>393.49910460459267</v>
      </c>
      <c r="U3485" s="61"/>
      <c r="V3485" s="69">
        <f>IFERROR(ABS(U$23-U3484),Q_max*10)</f>
        <v>147.99247747826834</v>
      </c>
      <c r="W3485" s="75">
        <f>U3476</f>
        <v>636.37175883408554</v>
      </c>
      <c r="X3485" s="61"/>
      <c r="Y3485" s="69">
        <f>IFERROR(ABS(X$23-X3484),Q_max*10)</f>
        <v>5500</v>
      </c>
      <c r="Z3485" s="75">
        <f>X3476</f>
        <v>1527.5371844962895</v>
      </c>
      <c r="AA3485" s="61"/>
      <c r="AB3485" s="69">
        <f>IFERROR(ABS(AA$23-AA3484),Q_max*10)</f>
        <v>5500</v>
      </c>
      <c r="AC3485" s="75">
        <f>AA3476</f>
        <v>2916.6283095174135</v>
      </c>
      <c r="AD3485" s="61"/>
      <c r="AE3485" s="69">
        <f>IFERROR(ABS(AD$23-AD3484),Q_max*10)</f>
        <v>5500</v>
      </c>
      <c r="AF3485" s="75">
        <f>AD3476</f>
        <v>4796.7797303230673</v>
      </c>
      <c r="AG3485" s="61"/>
      <c r="AH3485" s="69">
        <f>IFERROR(ABS(AG$23-AG3484),Q_max*10)</f>
        <v>5500</v>
      </c>
      <c r="AI3485" s="75">
        <f>AG3476</f>
        <v>7141.7513784891016</v>
      </c>
      <c r="AJ3485" s="61"/>
      <c r="AK3485" s="69">
        <f>IFERROR(ABS(AJ$23-AJ3484),Q_max*10)</f>
        <v>5500</v>
      </c>
      <c r="AL3485" s="75">
        <f>AJ3476</f>
        <v>9530.6949000730929</v>
      </c>
      <c r="AM3485" s="61"/>
      <c r="AN3485" s="69">
        <f>IFERROR(ABS(AM$23-AM3484),Q_max*10)</f>
        <v>5500</v>
      </c>
      <c r="AO3485" s="75">
        <f>AM3476</f>
        <v>11629.258990852073</v>
      </c>
      <c r="AP3485" s="61"/>
      <c r="AQ3485" s="69">
        <f>IFERROR(ABS(AP$23-AP3484),Q_max*10)</f>
        <v>5500</v>
      </c>
      <c r="AR3485" s="75">
        <f>AP3476</f>
        <v>13501.208662336698</v>
      </c>
      <c r="AS3485" s="61"/>
      <c r="AT3485" s="69">
        <f>IFERROR(ABS(AS$23-AS3484),Q_max*10)</f>
        <v>5500</v>
      </c>
      <c r="AU3485" s="75">
        <f>AS3476</f>
        <v>15365.634856333118</v>
      </c>
    </row>
    <row r="3486" spans="15:47" ht="14.5" x14ac:dyDescent="0.35">
      <c r="O3486" s="6"/>
      <c r="P3486" s="6"/>
      <c r="Q3486" s="60"/>
      <c r="R3486" s="67"/>
      <c r="S3486" s="56"/>
      <c r="T3486" s="72"/>
      <c r="V3486" s="11"/>
      <c r="W3486" s="38"/>
      <c r="Y3486" s="11"/>
      <c r="Z3486" s="38"/>
      <c r="AB3486" s="11"/>
      <c r="AC3486" s="38"/>
      <c r="AE3486" s="11"/>
      <c r="AF3486" s="38"/>
      <c r="AH3486" s="11"/>
      <c r="AI3486" s="38"/>
      <c r="AK3486" s="11"/>
      <c r="AL3486" s="38"/>
      <c r="AN3486" s="11"/>
      <c r="AO3486" s="38"/>
      <c r="AQ3486" s="11"/>
      <c r="AR3486" s="38"/>
      <c r="AT3486" s="11"/>
      <c r="AU3486" s="38"/>
    </row>
    <row r="3487" spans="15:47" ht="14" x14ac:dyDescent="0.3">
      <c r="O3487" s="8" t="s">
        <v>235</v>
      </c>
      <c r="P3487" s="6"/>
      <c r="Q3487" s="60"/>
      <c r="R3487" s="53">
        <f>R3476*1.02</f>
        <v>401.36908669668452</v>
      </c>
      <c r="S3487" s="58" t="s">
        <v>238</v>
      </c>
      <c r="T3487" s="73" t="s">
        <v>241</v>
      </c>
      <c r="U3487" s="84">
        <f>U3476*1.01</f>
        <v>642.73547642242636</v>
      </c>
      <c r="V3487" s="58" t="s">
        <v>238</v>
      </c>
      <c r="W3487" s="73" t="s">
        <v>241</v>
      </c>
      <c r="X3487" s="84">
        <f>X3476*1.01</f>
        <v>1542.8125563412523</v>
      </c>
      <c r="Y3487" s="58" t="s">
        <v>238</v>
      </c>
      <c r="Z3487" s="73" t="s">
        <v>241</v>
      </c>
      <c r="AA3487" s="84">
        <f>AA3476*1.01</f>
        <v>2945.7945926125876</v>
      </c>
      <c r="AB3487" s="58" t="s">
        <v>238</v>
      </c>
      <c r="AC3487" s="73" t="s">
        <v>241</v>
      </c>
      <c r="AD3487" s="84">
        <f>AD3476*1.01</f>
        <v>4844.7475276262976</v>
      </c>
      <c r="AE3487" s="58" t="s">
        <v>238</v>
      </c>
      <c r="AF3487" s="73" t="s">
        <v>241</v>
      </c>
      <c r="AG3487" s="84">
        <f>AG3476*1.01</f>
        <v>7213.1688922739932</v>
      </c>
      <c r="AH3487" s="58" t="s">
        <v>238</v>
      </c>
      <c r="AI3487" s="73" t="s">
        <v>241</v>
      </c>
      <c r="AJ3487" s="84">
        <f>AJ3476*1.01</f>
        <v>9626.0018490738239</v>
      </c>
      <c r="AK3487" s="58" t="s">
        <v>238</v>
      </c>
      <c r="AL3487" s="73" t="s">
        <v>241</v>
      </c>
      <c r="AM3487" s="84">
        <f>AM3476*1.01</f>
        <v>11745.551580760593</v>
      </c>
      <c r="AN3487" s="58" t="s">
        <v>238</v>
      </c>
      <c r="AO3487" s="73" t="s">
        <v>241</v>
      </c>
      <c r="AP3487" s="84">
        <f>AP3476*1.01</f>
        <v>13636.220748960064</v>
      </c>
      <c r="AQ3487" s="58" t="s">
        <v>238</v>
      </c>
      <c r="AR3487" s="73" t="s">
        <v>241</v>
      </c>
      <c r="AS3487" s="84">
        <f>AS3476*1.01</f>
        <v>15519.291204896448</v>
      </c>
      <c r="AT3487" s="58" t="s">
        <v>238</v>
      </c>
      <c r="AU3487" s="73" t="s">
        <v>241</v>
      </c>
    </row>
    <row r="3488" spans="15:47" ht="13" x14ac:dyDescent="0.25">
      <c r="O3488" s="6"/>
      <c r="P3488" s="6"/>
      <c r="Q3488" s="60"/>
      <c r="R3488" s="70"/>
      <c r="S3488" s="63" t="s">
        <v>250</v>
      </c>
      <c r="T3488" s="71" t="s">
        <v>242</v>
      </c>
      <c r="U3488" s="61"/>
      <c r="V3488" s="63" t="s">
        <v>250</v>
      </c>
      <c r="W3488" s="71" t="s">
        <v>242</v>
      </c>
      <c r="X3488" s="61"/>
      <c r="Y3488" s="63" t="s">
        <v>250</v>
      </c>
      <c r="Z3488" s="71" t="s">
        <v>242</v>
      </c>
      <c r="AA3488" s="61"/>
      <c r="AB3488" s="63" t="s">
        <v>250</v>
      </c>
      <c r="AC3488" s="71" t="s">
        <v>242</v>
      </c>
      <c r="AD3488" s="61"/>
      <c r="AE3488" s="63" t="s">
        <v>250</v>
      </c>
      <c r="AF3488" s="71" t="s">
        <v>242</v>
      </c>
      <c r="AG3488" s="61"/>
      <c r="AH3488" s="63" t="s">
        <v>250</v>
      </c>
      <c r="AI3488" s="71" t="s">
        <v>242</v>
      </c>
      <c r="AJ3488" s="61"/>
      <c r="AK3488" s="63" t="s">
        <v>250</v>
      </c>
      <c r="AL3488" s="71" t="s">
        <v>242</v>
      </c>
      <c r="AM3488" s="61"/>
      <c r="AN3488" s="63" t="s">
        <v>250</v>
      </c>
      <c r="AO3488" s="71" t="s">
        <v>242</v>
      </c>
      <c r="AP3488" s="61"/>
      <c r="AQ3488" s="63" t="s">
        <v>250</v>
      </c>
      <c r="AR3488" s="71" t="s">
        <v>242</v>
      </c>
      <c r="AS3488" s="61"/>
      <c r="AT3488" s="63" t="s">
        <v>250</v>
      </c>
      <c r="AU3488" s="71" t="s">
        <v>242</v>
      </c>
    </row>
    <row r="3489" spans="15:47" ht="13" x14ac:dyDescent="0.3">
      <c r="O3489" s="6" t="s">
        <v>231</v>
      </c>
      <c r="P3489" s="6"/>
      <c r="Q3489" s="60"/>
      <c r="R3489" s="85">
        <f>P_1_minQ-(R3487^2*R_up)+dpup_minQ</f>
        <v>51.475510173734186</v>
      </c>
      <c r="S3489" s="56"/>
      <c r="T3489" s="72"/>
      <c r="U3489" s="53">
        <f>P_1_minQ-(U3487^2*R_up)+dpup_minQ</f>
        <v>42.964475087741867</v>
      </c>
      <c r="V3489" s="44"/>
      <c r="W3489" s="72"/>
      <c r="X3489" s="53">
        <f>P_1_minQ-(X3487^2*R_up)+dpup_minQ</f>
        <v>-23.471245660392771</v>
      </c>
      <c r="Y3489" s="44"/>
      <c r="Z3489" s="72"/>
      <c r="AA3489" s="53">
        <f>P_1_minQ-(AA3487^2*R_up)+dpup_minQ</f>
        <v>-236.15058364963059</v>
      </c>
      <c r="AB3489" s="44"/>
      <c r="AC3489" s="72"/>
      <c r="AD3489" s="53">
        <f>P_1_minQ-(AD3487^2*R_up)+dpup_minQ</f>
        <v>-735.77479251743068</v>
      </c>
      <c r="AE3489" s="44"/>
      <c r="AF3489" s="72"/>
      <c r="AG3489" s="53">
        <f>P_1_minQ-(AG3487^2*R_up)+dpup_minQ</f>
        <v>-1700.2539165305379</v>
      </c>
      <c r="AH3489" s="44"/>
      <c r="AI3489" s="72"/>
      <c r="AJ3489" s="53">
        <f>P_1_minQ-(AJ3487^2*R_up)+dpup_minQ</f>
        <v>-3072.4290644502767</v>
      </c>
      <c r="AK3489" s="44"/>
      <c r="AL3489" s="72"/>
      <c r="AM3489" s="53">
        <f>P_1_minQ-(AM3487^2*R_up)+dpup_minQ</f>
        <v>-4602.2524463460886</v>
      </c>
      <c r="AN3489" s="44"/>
      <c r="AO3489" s="72"/>
      <c r="AP3489" s="53">
        <f>P_1_minQ-(AP3487^2*R_up)+dpup_minQ</f>
        <v>-6222.9391865710568</v>
      </c>
      <c r="AQ3489" s="44"/>
      <c r="AR3489" s="72"/>
      <c r="AS3489" s="53">
        <f>P_1_minQ-(AS3487^2*R_up)+dpup_minQ</f>
        <v>-8077.1061297661699</v>
      </c>
      <c r="AT3489" s="44"/>
      <c r="AU3489" s="72"/>
    </row>
    <row r="3490" spans="15:47" ht="13" x14ac:dyDescent="0.3">
      <c r="O3490" s="6" t="s">
        <v>233</v>
      </c>
      <c r="P3490" s="6"/>
      <c r="Q3490" s="60"/>
      <c r="R3490" s="85">
        <f>P_2_minQ+(R3487^2*R_dn)-dpdn_minQ</f>
        <v>25.744897965253163</v>
      </c>
      <c r="S3490" s="66"/>
      <c r="T3490" s="74"/>
      <c r="U3490" s="53">
        <f>P_2_minQ+(U3487^2*R_dn)-dpdn_minQ</f>
        <v>27.447104982451627</v>
      </c>
      <c r="V3490" s="45"/>
      <c r="W3490" s="74"/>
      <c r="X3490" s="53">
        <f>P_2_minQ+(X3487^2*R_dn)-dpdn_minQ</f>
        <v>40.73424913207856</v>
      </c>
      <c r="Y3490" s="45"/>
      <c r="Z3490" s="74"/>
      <c r="AA3490" s="53">
        <f>P_2_minQ+(AA3487^2*R_dn)-dpdn_minQ</f>
        <v>83.270116729926116</v>
      </c>
      <c r="AB3490" s="45"/>
      <c r="AC3490" s="74"/>
      <c r="AD3490" s="53">
        <f>P_2_minQ+(AD3487^2*R_dn)-dpdn_minQ</f>
        <v>183.19495850348611</v>
      </c>
      <c r="AE3490" s="45"/>
      <c r="AF3490" s="74"/>
      <c r="AG3490" s="53">
        <f>P_2_minQ+(AG3487^2*R_dn)-dpdn_minQ</f>
        <v>376.09078330610754</v>
      </c>
      <c r="AH3490" s="45"/>
      <c r="AI3490" s="74"/>
      <c r="AJ3490" s="53">
        <f>P_2_minQ+(AJ3487^2*R_dn)-dpdn_minQ</f>
        <v>650.52581289005525</v>
      </c>
      <c r="AK3490" s="45"/>
      <c r="AL3490" s="74"/>
      <c r="AM3490" s="53">
        <f>P_2_minQ+(AM3487^2*R_dn)-dpdn_minQ</f>
        <v>956.49048926921762</v>
      </c>
      <c r="AN3490" s="45"/>
      <c r="AO3490" s="74"/>
      <c r="AP3490" s="53">
        <f>P_2_minQ+(AP3487^2*R_dn)-dpdn_minQ</f>
        <v>1280.6278373142113</v>
      </c>
      <c r="AQ3490" s="45"/>
      <c r="AR3490" s="74"/>
      <c r="AS3490" s="53">
        <f>P_2_minQ+(AS3487^2*R_dn)-dpdn_minQ</f>
        <v>1651.4612259532339</v>
      </c>
      <c r="AT3490" s="45"/>
      <c r="AU3490" s="74"/>
    </row>
    <row r="3491" spans="15:47" x14ac:dyDescent="0.25">
      <c r="O3491" s="6" t="s">
        <v>243</v>
      </c>
      <c r="Q3491" s="60"/>
      <c r="R3491" s="53">
        <f>R3489-R3490</f>
        <v>25.730612208481023</v>
      </c>
      <c r="S3491" s="56"/>
      <c r="T3491" s="72"/>
      <c r="U3491" s="64">
        <f>U3489-U3490</f>
        <v>15.51737010529024</v>
      </c>
      <c r="V3491" s="44"/>
      <c r="W3491" s="72"/>
      <c r="X3491" s="64">
        <f>X3489-X3490</f>
        <v>-64.205494792471328</v>
      </c>
      <c r="Y3491" s="44"/>
      <c r="Z3491" s="72"/>
      <c r="AA3491" s="64">
        <f>AA3489-AA3490</f>
        <v>-319.42070037955671</v>
      </c>
      <c r="AB3491" s="44"/>
      <c r="AC3491" s="72"/>
      <c r="AD3491" s="64">
        <f>AD3489-AD3490</f>
        <v>-918.96975102091676</v>
      </c>
      <c r="AE3491" s="44"/>
      <c r="AF3491" s="72"/>
      <c r="AG3491" s="64">
        <f>AG3489-AG3490</f>
        <v>-2076.3446998366453</v>
      </c>
      <c r="AH3491" s="44"/>
      <c r="AI3491" s="72"/>
      <c r="AJ3491" s="64">
        <f>AJ3489-AJ3490</f>
        <v>-3722.9548773403321</v>
      </c>
      <c r="AK3491" s="44"/>
      <c r="AL3491" s="72"/>
      <c r="AM3491" s="64">
        <f>AM3489-AM3490</f>
        <v>-5558.7429356153061</v>
      </c>
      <c r="AN3491" s="44"/>
      <c r="AO3491" s="72"/>
      <c r="AP3491" s="64">
        <f>AP3489-AP3490</f>
        <v>-7503.5670238852681</v>
      </c>
      <c r="AQ3491" s="44"/>
      <c r="AR3491" s="72"/>
      <c r="AS3491" s="64">
        <f>AS3489-AS3490</f>
        <v>-9728.5673557194041</v>
      </c>
      <c r="AT3491" s="44"/>
      <c r="AU3491" s="72"/>
    </row>
    <row r="3492" spans="15:47" ht="13" x14ac:dyDescent="0.3">
      <c r="O3492" s="6" t="s">
        <v>75</v>
      </c>
      <c r="P3492" s="6">
        <v>3</v>
      </c>
      <c r="Q3492" s="65"/>
      <c r="R3492" s="85">
        <f>(F_LP_h/F_P_h)^2*(R3489-('Valve Sizing'!$V$4*'Valve Sizing'!$G$7))</f>
        <v>42.260033521725923</v>
      </c>
      <c r="S3492" s="58"/>
      <c r="T3492" s="73"/>
      <c r="U3492" s="53">
        <f>(U$29/U$27)^2*(U3489-('Valve Sizing'!$V$4*'Valve Sizing'!$G$7))</f>
        <v>35.202852267688726</v>
      </c>
      <c r="V3492" s="41"/>
      <c r="W3492" s="73"/>
      <c r="X3492" s="53">
        <f>(X$29/X$27)^2*(X3489-('Valve Sizing'!$V$4*'Valve Sizing'!$G$7))</f>
        <v>-19.347916330078746</v>
      </c>
      <c r="Y3492" s="41"/>
      <c r="Z3492" s="73"/>
      <c r="AA3492" s="53">
        <f>(AA$29/AA$27)^2*(AA3489-('Valve Sizing'!$V$4*'Valve Sizing'!$G$7))</f>
        <v>-182.83659020921147</v>
      </c>
      <c r="AB3492" s="41"/>
      <c r="AC3492" s="73"/>
      <c r="AD3492" s="53">
        <f>(AD$29/AD$27)^2*(AD3489-('Valve Sizing'!$V$4*'Valve Sizing'!$G$7))</f>
        <v>-530.94887893016232</v>
      </c>
      <c r="AE3492" s="41"/>
      <c r="AF3492" s="73"/>
      <c r="AG3492" s="53">
        <f>(AG$29/AG$27)^2*(AG3489-('Valve Sizing'!$V$4*'Valve Sizing'!$G$7))</f>
        <v>-1095.3216668967343</v>
      </c>
      <c r="AH3492" s="41"/>
      <c r="AI3492" s="73"/>
      <c r="AJ3492" s="53">
        <f>(AJ$29/AJ$27)^2*(AJ3489-('Valve Sizing'!$V$4*'Valve Sizing'!$G$7))</f>
        <v>-1777.237907358955</v>
      </c>
      <c r="AK3492" s="41"/>
      <c r="AL3492" s="73"/>
      <c r="AM3492" s="53">
        <f>(AM$29/AM$27)^2*(AM3489-('Valve Sizing'!$V$4*'Valve Sizing'!$G$7))</f>
        <v>-2202.2601749838782</v>
      </c>
      <c r="AN3492" s="41"/>
      <c r="AO3492" s="73"/>
      <c r="AP3492" s="53">
        <f>(AP$29/AP$27)^2*(AP3489-('Valve Sizing'!$V$4*'Valve Sizing'!$G$7))</f>
        <v>-2455.912406602552</v>
      </c>
      <c r="AQ3492" s="41"/>
      <c r="AR3492" s="73"/>
      <c r="AS3492" s="53">
        <f>(AS$29/AS$27)^2*(AS3489-('Valve Sizing'!$V$4*'Valve Sizing'!$G$7))</f>
        <v>-3038.294637352129</v>
      </c>
      <c r="AT3492" s="41"/>
      <c r="AU3492" s="73"/>
    </row>
    <row r="3493" spans="15:47" ht="13" x14ac:dyDescent="0.25">
      <c r="O3493" s="1" t="s">
        <v>69</v>
      </c>
      <c r="P3493" s="17">
        <v>7</v>
      </c>
      <c r="Q3493" s="65"/>
      <c r="R3493" s="53">
        <f>(R3487/(N_1*F_P_h))*SQRT('Valve Sizing'!$G$6/R3491)</f>
        <v>79.137511405718271</v>
      </c>
      <c r="S3493" s="58"/>
      <c r="T3493" s="73"/>
      <c r="U3493" s="64">
        <f>(U3487/(N_1*U$27))*SQRT('Valve Sizing'!$G$6/U3491)</f>
        <v>163.30101458542126</v>
      </c>
      <c r="V3493" s="41"/>
      <c r="W3493" s="73"/>
      <c r="X3493" s="64" t="e">
        <f>(X3487/(N_1*X$27))*SQRT('Valve Sizing'!$G$6/X3491)</f>
        <v>#NUM!</v>
      </c>
      <c r="Y3493" s="41"/>
      <c r="Z3493" s="73"/>
      <c r="AA3493" s="64" t="e">
        <f>(AA3487/(N_1*AA$27))*SQRT('Valve Sizing'!$G$6/AA3491)</f>
        <v>#NUM!</v>
      </c>
      <c r="AB3493" s="41"/>
      <c r="AC3493" s="73"/>
      <c r="AD3493" s="64" t="e">
        <f>(AD3487/(N_1*AD$27))*SQRT('Valve Sizing'!$G$6/AD3491)</f>
        <v>#NUM!</v>
      </c>
      <c r="AE3493" s="41"/>
      <c r="AF3493" s="73"/>
      <c r="AG3493" s="64" t="e">
        <f>(AG3487/(N_1*AG$27))*SQRT('Valve Sizing'!$G$6/AG3491)</f>
        <v>#NUM!</v>
      </c>
      <c r="AH3493" s="41"/>
      <c r="AI3493" s="73"/>
      <c r="AJ3493" s="64" t="e">
        <f>(AJ3487/(N_1*AJ$27))*SQRT('Valve Sizing'!$G$6/AJ3491)</f>
        <v>#NUM!</v>
      </c>
      <c r="AK3493" s="41"/>
      <c r="AL3493" s="73"/>
      <c r="AM3493" s="64" t="e">
        <f>(AM3487/(N_1*AM$27))*SQRT('Valve Sizing'!$G$6/AM3491)</f>
        <v>#NUM!</v>
      </c>
      <c r="AN3493" s="41"/>
      <c r="AO3493" s="73"/>
      <c r="AP3493" s="64" t="e">
        <f>(AP3487/(N_1*AP$27))*SQRT('Valve Sizing'!$G$6/AP3491)</f>
        <v>#NUM!</v>
      </c>
      <c r="AQ3493" s="41"/>
      <c r="AR3493" s="73"/>
      <c r="AS3493" s="64" t="e">
        <f>(AS3487/(N_1*AS$27))*SQRT('Valve Sizing'!$G$6/AS3491)</f>
        <v>#NUM!</v>
      </c>
      <c r="AT3493" s="41"/>
      <c r="AU3493" s="73"/>
    </row>
    <row r="3494" spans="15:47" ht="13" x14ac:dyDescent="0.3">
      <c r="O3494" s="1" t="s">
        <v>72</v>
      </c>
      <c r="P3494" s="17">
        <v>7</v>
      </c>
      <c r="Q3494" s="65"/>
      <c r="R3494" s="53">
        <f>(R3487/(N_1*F_P_h))*SQRT('Valve Sizing'!$G$6/R3492)</f>
        <v>61.750791736996781</v>
      </c>
      <c r="S3494" s="56"/>
      <c r="T3494" s="72"/>
      <c r="U3494" s="85">
        <f>(U3487/(N_1*U$27))*SQRT('Valve Sizing'!$G$6/U3492)</f>
        <v>108.41990334605995</v>
      </c>
      <c r="V3494" s="44"/>
      <c r="W3494" s="72"/>
      <c r="X3494" s="85" t="e">
        <f>(X3487/(N_1*X$27))*SQRT('Valve Sizing'!$G$6/X3492)</f>
        <v>#NUM!</v>
      </c>
      <c r="Y3494" s="44"/>
      <c r="Z3494" s="72"/>
      <c r="AA3494" s="85" t="e">
        <f>(AA3487/(N_1*AA$27))*SQRT('Valve Sizing'!$G$6/AA3492)</f>
        <v>#NUM!</v>
      </c>
      <c r="AB3494" s="44"/>
      <c r="AC3494" s="72"/>
      <c r="AD3494" s="85" t="e">
        <f>(AD3487/(N_1*AD$27))*SQRT('Valve Sizing'!$G$6/AD3492)</f>
        <v>#NUM!</v>
      </c>
      <c r="AE3494" s="44"/>
      <c r="AF3494" s="72"/>
      <c r="AG3494" s="85" t="e">
        <f>(AG3487/(N_1*AG$27))*SQRT('Valve Sizing'!$G$6/AG3492)</f>
        <v>#NUM!</v>
      </c>
      <c r="AH3494" s="44"/>
      <c r="AI3494" s="72"/>
      <c r="AJ3494" s="85" t="e">
        <f>(AJ3487/(N_1*AJ$27))*SQRT('Valve Sizing'!$G$6/AJ3492)</f>
        <v>#NUM!</v>
      </c>
      <c r="AK3494" s="44"/>
      <c r="AL3494" s="72"/>
      <c r="AM3494" s="85" t="e">
        <f>(AM3487/(N_1*AM$27))*SQRT('Valve Sizing'!$G$6/AM3492)</f>
        <v>#NUM!</v>
      </c>
      <c r="AN3494" s="44"/>
      <c r="AO3494" s="72"/>
      <c r="AP3494" s="85" t="e">
        <f>(AP3487/(N_1*AP$27))*SQRT('Valve Sizing'!$G$6/AP3492)</f>
        <v>#NUM!</v>
      </c>
      <c r="AQ3494" s="44"/>
      <c r="AR3494" s="72"/>
      <c r="AS3494" s="85" t="e">
        <f>(AS3487/(N_1*AS$27))*SQRT('Valve Sizing'!$G$6/AS3492)</f>
        <v>#NUM!</v>
      </c>
      <c r="AT3494" s="44"/>
      <c r="AU3494" s="72"/>
    </row>
    <row r="3495" spans="15:47" x14ac:dyDescent="0.25">
      <c r="O3495" s="1" t="s">
        <v>246</v>
      </c>
      <c r="P3495" s="18"/>
      <c r="Q3495" s="65"/>
      <c r="R3495" s="53">
        <f>IF(R3491&lt;R3492,R3493,R3494)</f>
        <v>79.137511405718271</v>
      </c>
      <c r="S3495" s="49"/>
      <c r="T3495" s="72"/>
      <c r="U3495" s="64">
        <f>IF(U3491&lt;U3492,U3493,U3494)</f>
        <v>163.30101458542126</v>
      </c>
      <c r="V3495" s="44"/>
      <c r="W3495" s="72"/>
      <c r="X3495" s="64" t="e">
        <f>IF(X3491&lt;X3492,X3493,X3494)</f>
        <v>#NUM!</v>
      </c>
      <c r="Y3495" s="44"/>
      <c r="Z3495" s="72"/>
      <c r="AA3495" s="64" t="e">
        <f>IF(AA3491&lt;AA3492,AA3493,AA3494)</f>
        <v>#NUM!</v>
      </c>
      <c r="AB3495" s="44"/>
      <c r="AC3495" s="72"/>
      <c r="AD3495" s="64" t="e">
        <f>IF(AD3491&lt;AD3492,AD3493,AD3494)</f>
        <v>#NUM!</v>
      </c>
      <c r="AE3495" s="44"/>
      <c r="AF3495" s="72"/>
      <c r="AG3495" s="64" t="e">
        <f>IF(AG3491&lt;AG3492,AG3493,AG3494)</f>
        <v>#NUM!</v>
      </c>
      <c r="AH3495" s="44"/>
      <c r="AI3495" s="72"/>
      <c r="AJ3495" s="64" t="e">
        <f>IF(AJ3491&lt;AJ3492,AJ3493,AJ3494)</f>
        <v>#NUM!</v>
      </c>
      <c r="AK3495" s="44"/>
      <c r="AL3495" s="72"/>
      <c r="AM3495" s="64" t="e">
        <f>IF(AM3491&lt;AM3492,AM3493,AM3494)</f>
        <v>#NUM!</v>
      </c>
      <c r="AN3495" s="44"/>
      <c r="AO3495" s="72"/>
      <c r="AP3495" s="64" t="e">
        <f>IF(AP3491&lt;AP3492,AP3493,AP3494)</f>
        <v>#NUM!</v>
      </c>
      <c r="AQ3495" s="44"/>
      <c r="AR3495" s="72"/>
      <c r="AS3495" s="64" t="e">
        <f>IF(AS3491&lt;AS3492,AS3493,AS3494)</f>
        <v>#NUM!</v>
      </c>
      <c r="AT3495" s="44"/>
      <c r="AU3495" s="72"/>
    </row>
    <row r="3496" spans="15:47" ht="13" x14ac:dyDescent="0.3">
      <c r="O3496" s="7" t="s">
        <v>264</v>
      </c>
      <c r="Q3496" s="61"/>
      <c r="R3496" s="53"/>
      <c r="S3496" s="69">
        <f>IFERROR(ABS(C_h-R3495),Q_max*10)</f>
        <v>74.137511405718271</v>
      </c>
      <c r="T3496" s="76">
        <f>R3487</f>
        <v>401.36908669668452</v>
      </c>
      <c r="U3496" s="61"/>
      <c r="V3496" s="69">
        <f>IFERROR(ABS(U$23-U3495),Q_max*10)</f>
        <v>151.30101458542126</v>
      </c>
      <c r="W3496" s="75">
        <f>U3487</f>
        <v>642.73547642242636</v>
      </c>
      <c r="X3496" s="61"/>
      <c r="Y3496" s="69">
        <f>IFERROR(ABS(X$23-X3495),Q_max*10)</f>
        <v>5500</v>
      </c>
      <c r="Z3496" s="75">
        <f>X3487</f>
        <v>1542.8125563412523</v>
      </c>
      <c r="AA3496" s="61"/>
      <c r="AB3496" s="69">
        <f>IFERROR(ABS(AA$23-AA3495),Q_max*10)</f>
        <v>5500</v>
      </c>
      <c r="AC3496" s="75">
        <f>AA3487</f>
        <v>2945.7945926125876</v>
      </c>
      <c r="AD3496" s="61"/>
      <c r="AE3496" s="69">
        <f>IFERROR(ABS(AD$23-AD3495),Q_max*10)</f>
        <v>5500</v>
      </c>
      <c r="AF3496" s="75">
        <f>AD3487</f>
        <v>4844.7475276262976</v>
      </c>
      <c r="AG3496" s="61"/>
      <c r="AH3496" s="69">
        <f>IFERROR(ABS(AG$23-AG3495),Q_max*10)</f>
        <v>5500</v>
      </c>
      <c r="AI3496" s="75">
        <f>AG3487</f>
        <v>7213.1688922739932</v>
      </c>
      <c r="AJ3496" s="61"/>
      <c r="AK3496" s="69">
        <f>IFERROR(ABS(AJ$23-AJ3495),Q_max*10)</f>
        <v>5500</v>
      </c>
      <c r="AL3496" s="75">
        <f>AJ3487</f>
        <v>9626.0018490738239</v>
      </c>
      <c r="AM3496" s="61"/>
      <c r="AN3496" s="69">
        <f>IFERROR(ABS(AM$23-AM3495),Q_max*10)</f>
        <v>5500</v>
      </c>
      <c r="AO3496" s="75">
        <f>AM3487</f>
        <v>11745.551580760593</v>
      </c>
      <c r="AP3496" s="61"/>
      <c r="AQ3496" s="69">
        <f>IFERROR(ABS(AP$23-AP3495),Q_max*10)</f>
        <v>5500</v>
      </c>
      <c r="AR3496" s="75">
        <f>AP3487</f>
        <v>13636.220748960064</v>
      </c>
      <c r="AS3496" s="61"/>
      <c r="AT3496" s="69">
        <f>IFERROR(ABS(AS$23-AS3495),Q_max*10)</f>
        <v>5500</v>
      </c>
      <c r="AU3496" s="75">
        <f>AS3487</f>
        <v>15519.291204896448</v>
      </c>
    </row>
    <row r="3497" spans="15:47" ht="14.5" x14ac:dyDescent="0.35">
      <c r="O3497" s="8"/>
      <c r="P3497" s="6"/>
      <c r="Q3497" s="60"/>
      <c r="R3497" s="67"/>
      <c r="S3497" s="66"/>
      <c r="T3497" s="74"/>
      <c r="V3497" s="11"/>
      <c r="W3497" s="38"/>
      <c r="Y3497" s="11"/>
      <c r="Z3497" s="38"/>
      <c r="AB3497" s="11"/>
      <c r="AC3497" s="38"/>
      <c r="AE3497" s="11"/>
      <c r="AF3497" s="38"/>
      <c r="AH3497" s="11"/>
      <c r="AI3497" s="38"/>
      <c r="AK3497" s="11"/>
      <c r="AL3497" s="38"/>
      <c r="AN3497" s="11"/>
      <c r="AO3497" s="38"/>
      <c r="AQ3497" s="11"/>
      <c r="AR3497" s="38"/>
      <c r="AT3497" s="11"/>
      <c r="AU3497" s="38"/>
    </row>
    <row r="3498" spans="15:47" ht="14" x14ac:dyDescent="0.3">
      <c r="O3498" s="8" t="s">
        <v>235</v>
      </c>
      <c r="P3498" s="6"/>
      <c r="Q3498" s="60"/>
      <c r="R3498" s="53">
        <f>R3487*1.02</f>
        <v>409.3964684306182</v>
      </c>
      <c r="S3498" s="58" t="s">
        <v>238</v>
      </c>
      <c r="T3498" s="73" t="s">
        <v>241</v>
      </c>
      <c r="U3498" s="84">
        <f>U3487*1.01</f>
        <v>649.16283118665058</v>
      </c>
      <c r="V3498" s="58" t="s">
        <v>238</v>
      </c>
      <c r="W3498" s="73" t="s">
        <v>241</v>
      </c>
      <c r="X3498" s="84">
        <f>X3487*1.01</f>
        <v>1558.2406819046648</v>
      </c>
      <c r="Y3498" s="58" t="s">
        <v>238</v>
      </c>
      <c r="Z3498" s="73" t="s">
        <v>241</v>
      </c>
      <c r="AA3498" s="84">
        <f>AA3487*1.01</f>
        <v>2975.2525385387135</v>
      </c>
      <c r="AB3498" s="58" t="s">
        <v>238</v>
      </c>
      <c r="AC3498" s="73" t="s">
        <v>241</v>
      </c>
      <c r="AD3498" s="84">
        <f>AD3487*1.01</f>
        <v>4893.1950029025602</v>
      </c>
      <c r="AE3498" s="58" t="s">
        <v>238</v>
      </c>
      <c r="AF3498" s="73" t="s">
        <v>241</v>
      </c>
      <c r="AG3498" s="84">
        <f>AG3487*1.01</f>
        <v>7285.3005811967332</v>
      </c>
      <c r="AH3498" s="58" t="s">
        <v>238</v>
      </c>
      <c r="AI3498" s="73" t="s">
        <v>241</v>
      </c>
      <c r="AJ3498" s="84">
        <f>AJ3487*1.01</f>
        <v>9722.2618675645626</v>
      </c>
      <c r="AK3498" s="58" t="s">
        <v>238</v>
      </c>
      <c r="AL3498" s="73" t="s">
        <v>241</v>
      </c>
      <c r="AM3498" s="84">
        <f>AM3487*1.01</f>
        <v>11863.007096568199</v>
      </c>
      <c r="AN3498" s="58" t="s">
        <v>238</v>
      </c>
      <c r="AO3498" s="73" t="s">
        <v>241</v>
      </c>
      <c r="AP3498" s="84">
        <f>AP3487*1.01</f>
        <v>13772.582956449665</v>
      </c>
      <c r="AQ3498" s="58" t="s">
        <v>238</v>
      </c>
      <c r="AR3498" s="73" t="s">
        <v>241</v>
      </c>
      <c r="AS3498" s="84">
        <f>AS3487*1.01</f>
        <v>15674.484116945412</v>
      </c>
      <c r="AT3498" s="58" t="s">
        <v>238</v>
      </c>
      <c r="AU3498" s="73" t="s">
        <v>241</v>
      </c>
    </row>
    <row r="3499" spans="15:47" ht="13" x14ac:dyDescent="0.25">
      <c r="O3499" s="6"/>
      <c r="P3499" s="6"/>
      <c r="Q3499" s="60"/>
      <c r="R3499" s="70"/>
      <c r="S3499" s="63" t="s">
        <v>250</v>
      </c>
      <c r="T3499" s="71" t="s">
        <v>242</v>
      </c>
      <c r="U3499" s="61"/>
      <c r="V3499" s="63" t="s">
        <v>250</v>
      </c>
      <c r="W3499" s="71" t="s">
        <v>242</v>
      </c>
      <c r="X3499" s="61"/>
      <c r="Y3499" s="63" t="s">
        <v>250</v>
      </c>
      <c r="Z3499" s="71" t="s">
        <v>242</v>
      </c>
      <c r="AA3499" s="61"/>
      <c r="AB3499" s="63" t="s">
        <v>250</v>
      </c>
      <c r="AC3499" s="71" t="s">
        <v>242</v>
      </c>
      <c r="AD3499" s="61"/>
      <c r="AE3499" s="63" t="s">
        <v>250</v>
      </c>
      <c r="AF3499" s="71" t="s">
        <v>242</v>
      </c>
      <c r="AG3499" s="61"/>
      <c r="AH3499" s="63" t="s">
        <v>250</v>
      </c>
      <c r="AI3499" s="71" t="s">
        <v>242</v>
      </c>
      <c r="AJ3499" s="61"/>
      <c r="AK3499" s="63" t="s">
        <v>250</v>
      </c>
      <c r="AL3499" s="71" t="s">
        <v>242</v>
      </c>
      <c r="AM3499" s="61"/>
      <c r="AN3499" s="63" t="s">
        <v>250</v>
      </c>
      <c r="AO3499" s="71" t="s">
        <v>242</v>
      </c>
      <c r="AP3499" s="61"/>
      <c r="AQ3499" s="63" t="s">
        <v>250</v>
      </c>
      <c r="AR3499" s="71" t="s">
        <v>242</v>
      </c>
      <c r="AS3499" s="61"/>
      <c r="AT3499" s="63" t="s">
        <v>250</v>
      </c>
      <c r="AU3499" s="71" t="s">
        <v>242</v>
      </c>
    </row>
    <row r="3500" spans="15:47" ht="13" x14ac:dyDescent="0.3">
      <c r="O3500" s="6" t="s">
        <v>231</v>
      </c>
      <c r="P3500" s="6"/>
      <c r="Q3500" s="60"/>
      <c r="R3500" s="85">
        <f>P_1_minQ-(R3498^2*R_up)+dpup_minQ</f>
        <v>51.255708599680439</v>
      </c>
      <c r="S3500" s="56"/>
      <c r="T3500" s="72"/>
      <c r="U3500" s="53">
        <f>P_1_minQ-(U3498^2*R_up)+dpup_minQ</f>
        <v>42.684046558788658</v>
      </c>
      <c r="V3500" s="44"/>
      <c r="W3500" s="72"/>
      <c r="X3500" s="53">
        <f>P_1_minQ-(X3498^2*R_up)+dpup_minQ</f>
        <v>-25.087032176383477</v>
      </c>
      <c r="Y3500" s="44"/>
      <c r="Z3500" s="72"/>
      <c r="AA3500" s="53">
        <f>P_1_minQ-(AA3498^2*R_up)+dpup_minQ</f>
        <v>-242.04122485920496</v>
      </c>
      <c r="AB3500" s="44"/>
      <c r="AC3500" s="72"/>
      <c r="AD3500" s="53">
        <f>P_1_minQ-(AD3498^2*R_up)+dpup_minQ</f>
        <v>-751.70788032524774</v>
      </c>
      <c r="AE3500" s="44"/>
      <c r="AF3500" s="72"/>
      <c r="AG3500" s="53">
        <f>P_1_minQ-(AG3498^2*R_up)+dpup_minQ</f>
        <v>-1735.5730347310187</v>
      </c>
      <c r="AH3500" s="44"/>
      <c r="AI3500" s="72"/>
      <c r="AJ3500" s="53">
        <f>P_1_minQ-(AJ3498^2*R_up)+dpup_minQ</f>
        <v>-3135.3289031239442</v>
      </c>
      <c r="AK3500" s="44"/>
      <c r="AL3500" s="72"/>
      <c r="AM3500" s="53">
        <f>P_1_minQ-(AM3498^2*R_up)+dpup_minQ</f>
        <v>-4695.9017349958622</v>
      </c>
      <c r="AN3500" s="44"/>
      <c r="AO3500" s="72"/>
      <c r="AP3500" s="53">
        <f>P_1_minQ-(AP3498^2*R_up)+dpup_minQ</f>
        <v>-6349.1642786993525</v>
      </c>
      <c r="AQ3500" s="44"/>
      <c r="AR3500" s="72"/>
      <c r="AS3500" s="53">
        <f>P_1_minQ-(AS3498^2*R_up)+dpup_minQ</f>
        <v>-8240.5999774526863</v>
      </c>
      <c r="AT3500" s="44"/>
      <c r="AU3500" s="72"/>
    </row>
    <row r="3501" spans="15:47" ht="13" x14ac:dyDescent="0.3">
      <c r="O3501" s="6" t="s">
        <v>233</v>
      </c>
      <c r="P3501" s="6"/>
      <c r="Q3501" s="60"/>
      <c r="R3501" s="85">
        <f>P_2_minQ+(R3498^2*R_dn)-dpdn_minQ</f>
        <v>25.788858280063913</v>
      </c>
      <c r="S3501" s="66"/>
      <c r="T3501" s="74"/>
      <c r="U3501" s="53">
        <f>P_2_minQ+(U3498^2*R_dn)-dpdn_minQ</f>
        <v>27.50319068824227</v>
      </c>
      <c r="V3501" s="45"/>
      <c r="W3501" s="74"/>
      <c r="X3501" s="53">
        <f>P_2_minQ+(X3498^2*R_dn)-dpdn_minQ</f>
        <v>41.057406435276704</v>
      </c>
      <c r="Y3501" s="45"/>
      <c r="Z3501" s="74"/>
      <c r="AA3501" s="53">
        <f>P_2_minQ+(AA3498^2*R_dn)-dpdn_minQ</f>
        <v>84.448244971840992</v>
      </c>
      <c r="AB3501" s="45"/>
      <c r="AC3501" s="74"/>
      <c r="AD3501" s="53">
        <f>P_2_minQ+(AD3498^2*R_dn)-dpdn_minQ</f>
        <v>186.38157606504953</v>
      </c>
      <c r="AE3501" s="45"/>
      <c r="AF3501" s="74"/>
      <c r="AG3501" s="53">
        <f>P_2_minQ+(AG3498^2*R_dn)-dpdn_minQ</f>
        <v>383.15460694620367</v>
      </c>
      <c r="AH3501" s="45"/>
      <c r="AI3501" s="74"/>
      <c r="AJ3501" s="53">
        <f>P_2_minQ+(AJ3498^2*R_dn)-dpdn_minQ</f>
        <v>663.10578062478874</v>
      </c>
      <c r="AK3501" s="45"/>
      <c r="AL3501" s="74"/>
      <c r="AM3501" s="53">
        <f>P_2_minQ+(AM3498^2*R_dn)-dpdn_minQ</f>
        <v>975.22034699917219</v>
      </c>
      <c r="AN3501" s="45"/>
      <c r="AO3501" s="74"/>
      <c r="AP3501" s="53">
        <f>P_2_minQ+(AP3498^2*R_dn)-dpdn_minQ</f>
        <v>1305.8728557398704</v>
      </c>
      <c r="AQ3501" s="45"/>
      <c r="AR3501" s="74"/>
      <c r="AS3501" s="53">
        <f>P_2_minQ+(AS3498^2*R_dn)-dpdn_minQ</f>
        <v>1684.1599954905371</v>
      </c>
      <c r="AT3501" s="45"/>
      <c r="AU3501" s="74"/>
    </row>
    <row r="3502" spans="15:47" x14ac:dyDescent="0.25">
      <c r="O3502" s="6" t="s">
        <v>243</v>
      </c>
      <c r="Q3502" s="60"/>
      <c r="R3502" s="53">
        <f>R3500-R3501</f>
        <v>25.466850319616526</v>
      </c>
      <c r="S3502" s="56"/>
      <c r="T3502" s="72"/>
      <c r="U3502" s="64">
        <f>U3500-U3501</f>
        <v>15.180855870546388</v>
      </c>
      <c r="V3502" s="44"/>
      <c r="W3502" s="72"/>
      <c r="X3502" s="64">
        <f>X3500-X3501</f>
        <v>-66.144438611660178</v>
      </c>
      <c r="Y3502" s="44"/>
      <c r="Z3502" s="72"/>
      <c r="AA3502" s="64">
        <f>AA3500-AA3501</f>
        <v>-326.48946983104594</v>
      </c>
      <c r="AB3502" s="44"/>
      <c r="AC3502" s="72"/>
      <c r="AD3502" s="64">
        <f>AD3500-AD3501</f>
        <v>-938.0894563902973</v>
      </c>
      <c r="AE3502" s="44"/>
      <c r="AF3502" s="72"/>
      <c r="AG3502" s="64">
        <f>AG3500-AG3501</f>
        <v>-2118.7276416772224</v>
      </c>
      <c r="AH3502" s="44"/>
      <c r="AI3502" s="72"/>
      <c r="AJ3502" s="64">
        <f>AJ3500-AJ3501</f>
        <v>-3798.4346837487328</v>
      </c>
      <c r="AK3502" s="44"/>
      <c r="AL3502" s="72"/>
      <c r="AM3502" s="64">
        <f>AM3500-AM3501</f>
        <v>-5671.122081995034</v>
      </c>
      <c r="AN3502" s="44"/>
      <c r="AO3502" s="72"/>
      <c r="AP3502" s="64">
        <f>AP3500-AP3501</f>
        <v>-7655.0371344392224</v>
      </c>
      <c r="AQ3502" s="44"/>
      <c r="AR3502" s="72"/>
      <c r="AS3502" s="64">
        <f>AS3500-AS3501</f>
        <v>-9924.7599729432241</v>
      </c>
      <c r="AT3502" s="44"/>
      <c r="AU3502" s="72"/>
    </row>
    <row r="3503" spans="15:47" ht="13" x14ac:dyDescent="0.3">
      <c r="O3503" s="6" t="s">
        <v>75</v>
      </c>
      <c r="P3503" s="6">
        <v>3</v>
      </c>
      <c r="Q3503" s="65"/>
      <c r="R3503" s="85">
        <f>(F_LP_h/F_P_h)^2*(R3500-('Valve Sizing'!$V$4*'Valve Sizing'!$G$7))</f>
        <v>42.078026281038277</v>
      </c>
      <c r="S3503" s="58"/>
      <c r="T3503" s="73"/>
      <c r="U3503" s="53">
        <f>(U$29/U$27)^2*(U3500-('Valve Sizing'!$V$4*'Valve Sizing'!$G$7))</f>
        <v>34.970706016767366</v>
      </c>
      <c r="V3503" s="41"/>
      <c r="W3503" s="73"/>
      <c r="X3503" s="53">
        <f>(X$29/X$27)^2*(X3500-('Valve Sizing'!$V$4*'Valve Sizing'!$G$7))</f>
        <v>-20.655335749591586</v>
      </c>
      <c r="Y3503" s="41"/>
      <c r="Z3503" s="73"/>
      <c r="AA3503" s="53">
        <f>(AA$29/AA$27)^2*(AA3500-('Valve Sizing'!$V$4*'Valve Sizing'!$G$7))</f>
        <v>-187.38886136796</v>
      </c>
      <c r="AB3503" s="41"/>
      <c r="AC3503" s="73"/>
      <c r="AD3503" s="53">
        <f>(AD$29/AD$27)^2*(AD3500-('Valve Sizing'!$V$4*'Valve Sizing'!$G$7))</f>
        <v>-542.43962121458446</v>
      </c>
      <c r="AE3503" s="41"/>
      <c r="AF3503" s="73"/>
      <c r="AG3503" s="53">
        <f>(AG$29/AG$27)^2*(AG3500-('Valve Sizing'!$V$4*'Valve Sizing'!$G$7))</f>
        <v>-1118.0687313348749</v>
      </c>
      <c r="AH3503" s="41"/>
      <c r="AI3503" s="73"/>
      <c r="AJ3503" s="53">
        <f>(AJ$29/AJ$27)^2*(AJ3500-('Valve Sizing'!$V$4*'Valve Sizing'!$G$7))</f>
        <v>-1813.6169307455773</v>
      </c>
      <c r="AK3503" s="41"/>
      <c r="AL3503" s="73"/>
      <c r="AM3503" s="53">
        <f>(AM$29/AM$27)^2*(AM3500-('Valve Sizing'!$V$4*'Valve Sizing'!$G$7))</f>
        <v>-2247.0687514049746</v>
      </c>
      <c r="AN3503" s="41"/>
      <c r="AO3503" s="73"/>
      <c r="AP3503" s="53">
        <f>(AP$29/AP$27)^2*(AP3500-('Valve Sizing'!$V$4*'Valve Sizing'!$G$7))</f>
        <v>-2505.7242142421628</v>
      </c>
      <c r="AQ3503" s="41"/>
      <c r="AR3503" s="73"/>
      <c r="AS3503" s="53">
        <f>(AS$29/AS$27)^2*(AS3500-('Valve Sizing'!$V$4*'Valve Sizing'!$G$7))</f>
        <v>-3099.7913430520243</v>
      </c>
      <c r="AT3503" s="41"/>
      <c r="AU3503" s="73"/>
    </row>
    <row r="3504" spans="15:47" ht="13" x14ac:dyDescent="0.25">
      <c r="O3504" s="1" t="s">
        <v>69</v>
      </c>
      <c r="P3504" s="17">
        <v>7</v>
      </c>
      <c r="Q3504" s="65"/>
      <c r="R3504" s="53">
        <f>(R3498/(N_1*F_P_h))*SQRT('Valve Sizing'!$G$6/R3502)</f>
        <v>81.137197457502666</v>
      </c>
      <c r="S3504" s="58"/>
      <c r="T3504" s="73"/>
      <c r="U3504" s="64">
        <f>(U3498/(N_1*U$27))*SQRT('Valve Sizing'!$G$6/U3502)</f>
        <v>166.75205225829728</v>
      </c>
      <c r="V3504" s="41"/>
      <c r="W3504" s="73"/>
      <c r="X3504" s="64" t="e">
        <f>(X3498/(N_1*X$27))*SQRT('Valve Sizing'!$G$6/X3502)</f>
        <v>#NUM!</v>
      </c>
      <c r="Y3504" s="41"/>
      <c r="Z3504" s="73"/>
      <c r="AA3504" s="64" t="e">
        <f>(AA3498/(N_1*AA$27))*SQRT('Valve Sizing'!$G$6/AA3502)</f>
        <v>#NUM!</v>
      </c>
      <c r="AB3504" s="41"/>
      <c r="AC3504" s="73"/>
      <c r="AD3504" s="64" t="e">
        <f>(AD3498/(N_1*AD$27))*SQRT('Valve Sizing'!$G$6/AD3502)</f>
        <v>#NUM!</v>
      </c>
      <c r="AE3504" s="41"/>
      <c r="AF3504" s="73"/>
      <c r="AG3504" s="64" t="e">
        <f>(AG3498/(N_1*AG$27))*SQRT('Valve Sizing'!$G$6/AG3502)</f>
        <v>#NUM!</v>
      </c>
      <c r="AH3504" s="41"/>
      <c r="AI3504" s="73"/>
      <c r="AJ3504" s="64" t="e">
        <f>(AJ3498/(N_1*AJ$27))*SQRT('Valve Sizing'!$G$6/AJ3502)</f>
        <v>#NUM!</v>
      </c>
      <c r="AK3504" s="41"/>
      <c r="AL3504" s="73"/>
      <c r="AM3504" s="64" t="e">
        <f>(AM3498/(N_1*AM$27))*SQRT('Valve Sizing'!$G$6/AM3502)</f>
        <v>#NUM!</v>
      </c>
      <c r="AN3504" s="41"/>
      <c r="AO3504" s="73"/>
      <c r="AP3504" s="64" t="e">
        <f>(AP3498/(N_1*AP$27))*SQRT('Valve Sizing'!$G$6/AP3502)</f>
        <v>#NUM!</v>
      </c>
      <c r="AQ3504" s="41"/>
      <c r="AR3504" s="73"/>
      <c r="AS3504" s="64" t="e">
        <f>(AS3498/(N_1*AS$27))*SQRT('Valve Sizing'!$G$6/AS3502)</f>
        <v>#NUM!</v>
      </c>
      <c r="AT3504" s="41"/>
      <c r="AU3504" s="73"/>
    </row>
    <row r="3505" spans="15:47" ht="13" x14ac:dyDescent="0.3">
      <c r="O3505" s="1" t="s">
        <v>72</v>
      </c>
      <c r="P3505" s="17">
        <v>7</v>
      </c>
      <c r="Q3505" s="65"/>
      <c r="R3505" s="53">
        <f>(R3498/(N_1*F_P_h))*SQRT('Valve Sizing'!$G$6/R3503)</f>
        <v>63.121882194638552</v>
      </c>
      <c r="S3505" s="56"/>
      <c r="T3505" s="72"/>
      <c r="U3505" s="85">
        <f>(U3498/(N_1*U$27))*SQRT('Valve Sizing'!$G$6/U3503)</f>
        <v>109.86696205736433</v>
      </c>
      <c r="V3505" s="44"/>
      <c r="W3505" s="72"/>
      <c r="X3505" s="85" t="e">
        <f>(X3498/(N_1*X$27))*SQRT('Valve Sizing'!$G$6/X3503)</f>
        <v>#NUM!</v>
      </c>
      <c r="Y3505" s="44"/>
      <c r="Z3505" s="72"/>
      <c r="AA3505" s="85" t="e">
        <f>(AA3498/(N_1*AA$27))*SQRT('Valve Sizing'!$G$6/AA3503)</f>
        <v>#NUM!</v>
      </c>
      <c r="AB3505" s="44"/>
      <c r="AC3505" s="72"/>
      <c r="AD3505" s="85" t="e">
        <f>(AD3498/(N_1*AD$27))*SQRT('Valve Sizing'!$G$6/AD3503)</f>
        <v>#NUM!</v>
      </c>
      <c r="AE3505" s="44"/>
      <c r="AF3505" s="72"/>
      <c r="AG3505" s="85" t="e">
        <f>(AG3498/(N_1*AG$27))*SQRT('Valve Sizing'!$G$6/AG3503)</f>
        <v>#NUM!</v>
      </c>
      <c r="AH3505" s="44"/>
      <c r="AI3505" s="72"/>
      <c r="AJ3505" s="85" t="e">
        <f>(AJ3498/(N_1*AJ$27))*SQRT('Valve Sizing'!$G$6/AJ3503)</f>
        <v>#NUM!</v>
      </c>
      <c r="AK3505" s="44"/>
      <c r="AL3505" s="72"/>
      <c r="AM3505" s="85" t="e">
        <f>(AM3498/(N_1*AM$27))*SQRT('Valve Sizing'!$G$6/AM3503)</f>
        <v>#NUM!</v>
      </c>
      <c r="AN3505" s="44"/>
      <c r="AO3505" s="72"/>
      <c r="AP3505" s="85" t="e">
        <f>(AP3498/(N_1*AP$27))*SQRT('Valve Sizing'!$G$6/AP3503)</f>
        <v>#NUM!</v>
      </c>
      <c r="AQ3505" s="44"/>
      <c r="AR3505" s="72"/>
      <c r="AS3505" s="85" t="e">
        <f>(AS3498/(N_1*AS$27))*SQRT('Valve Sizing'!$G$6/AS3503)</f>
        <v>#NUM!</v>
      </c>
      <c r="AT3505" s="44"/>
      <c r="AU3505" s="72"/>
    </row>
    <row r="3506" spans="15:47" x14ac:dyDescent="0.25">
      <c r="O3506" s="1" t="s">
        <v>246</v>
      </c>
      <c r="P3506" s="18"/>
      <c r="Q3506" s="65"/>
      <c r="R3506" s="53">
        <f>IF(R3502&lt;R3503,R3504,R3505)</f>
        <v>81.137197457502666</v>
      </c>
      <c r="S3506" s="49"/>
      <c r="T3506" s="72"/>
      <c r="U3506" s="64">
        <f>IF(U3502&lt;U3503,U3504,U3505)</f>
        <v>166.75205225829728</v>
      </c>
      <c r="V3506" s="44"/>
      <c r="W3506" s="72"/>
      <c r="X3506" s="64" t="e">
        <f>IF(X3502&lt;X3503,X3504,X3505)</f>
        <v>#NUM!</v>
      </c>
      <c r="Y3506" s="44"/>
      <c r="Z3506" s="72"/>
      <c r="AA3506" s="64" t="e">
        <f>IF(AA3502&lt;AA3503,AA3504,AA3505)</f>
        <v>#NUM!</v>
      </c>
      <c r="AB3506" s="44"/>
      <c r="AC3506" s="72"/>
      <c r="AD3506" s="64" t="e">
        <f>IF(AD3502&lt;AD3503,AD3504,AD3505)</f>
        <v>#NUM!</v>
      </c>
      <c r="AE3506" s="44"/>
      <c r="AF3506" s="72"/>
      <c r="AG3506" s="64" t="e">
        <f>IF(AG3502&lt;AG3503,AG3504,AG3505)</f>
        <v>#NUM!</v>
      </c>
      <c r="AH3506" s="44"/>
      <c r="AI3506" s="72"/>
      <c r="AJ3506" s="64" t="e">
        <f>IF(AJ3502&lt;AJ3503,AJ3504,AJ3505)</f>
        <v>#NUM!</v>
      </c>
      <c r="AK3506" s="44"/>
      <c r="AL3506" s="72"/>
      <c r="AM3506" s="64" t="e">
        <f>IF(AM3502&lt;AM3503,AM3504,AM3505)</f>
        <v>#NUM!</v>
      </c>
      <c r="AN3506" s="44"/>
      <c r="AO3506" s="72"/>
      <c r="AP3506" s="64" t="e">
        <f>IF(AP3502&lt;AP3503,AP3504,AP3505)</f>
        <v>#NUM!</v>
      </c>
      <c r="AQ3506" s="44"/>
      <c r="AR3506" s="72"/>
      <c r="AS3506" s="64" t="e">
        <f>IF(AS3502&lt;AS3503,AS3504,AS3505)</f>
        <v>#NUM!</v>
      </c>
      <c r="AT3506" s="44"/>
      <c r="AU3506" s="72"/>
    </row>
    <row r="3507" spans="15:47" ht="13" x14ac:dyDescent="0.3">
      <c r="O3507" s="7" t="s">
        <v>264</v>
      </c>
      <c r="Q3507" s="61"/>
      <c r="R3507" s="53"/>
      <c r="S3507" s="69">
        <f>IFERROR(ABS(C_h-R3506),Q_max*10)</f>
        <v>76.137197457502666</v>
      </c>
      <c r="T3507" s="76">
        <f>R3498</f>
        <v>409.3964684306182</v>
      </c>
      <c r="U3507" s="61"/>
      <c r="V3507" s="69">
        <f>IFERROR(ABS(U$23-U3506),Q_max*10)</f>
        <v>154.75205225829728</v>
      </c>
      <c r="W3507" s="75">
        <f>U3498</f>
        <v>649.16283118665058</v>
      </c>
      <c r="X3507" s="61"/>
      <c r="Y3507" s="69">
        <f>IFERROR(ABS(X$23-X3506),Q_max*10)</f>
        <v>5500</v>
      </c>
      <c r="Z3507" s="75">
        <f>X3498</f>
        <v>1558.2406819046648</v>
      </c>
      <c r="AA3507" s="61"/>
      <c r="AB3507" s="69">
        <f>IFERROR(ABS(AA$23-AA3506),Q_max*10)</f>
        <v>5500</v>
      </c>
      <c r="AC3507" s="75">
        <f>AA3498</f>
        <v>2975.2525385387135</v>
      </c>
      <c r="AD3507" s="61"/>
      <c r="AE3507" s="69">
        <f>IFERROR(ABS(AD$23-AD3506),Q_max*10)</f>
        <v>5500</v>
      </c>
      <c r="AF3507" s="75">
        <f>AD3498</f>
        <v>4893.1950029025602</v>
      </c>
      <c r="AG3507" s="61"/>
      <c r="AH3507" s="69">
        <f>IFERROR(ABS(AG$23-AG3506),Q_max*10)</f>
        <v>5500</v>
      </c>
      <c r="AI3507" s="75">
        <f>AG3498</f>
        <v>7285.3005811967332</v>
      </c>
      <c r="AJ3507" s="61"/>
      <c r="AK3507" s="69">
        <f>IFERROR(ABS(AJ$23-AJ3506),Q_max*10)</f>
        <v>5500</v>
      </c>
      <c r="AL3507" s="75">
        <f>AJ3498</f>
        <v>9722.2618675645626</v>
      </c>
      <c r="AM3507" s="61"/>
      <c r="AN3507" s="69">
        <f>IFERROR(ABS(AM$23-AM3506),Q_max*10)</f>
        <v>5500</v>
      </c>
      <c r="AO3507" s="75">
        <f>AM3498</f>
        <v>11863.007096568199</v>
      </c>
      <c r="AP3507" s="61"/>
      <c r="AQ3507" s="69">
        <f>IFERROR(ABS(AP$23-AP3506),Q_max*10)</f>
        <v>5500</v>
      </c>
      <c r="AR3507" s="75">
        <f>AP3498</f>
        <v>13772.582956449665</v>
      </c>
      <c r="AS3507" s="61"/>
      <c r="AT3507" s="69">
        <f>IFERROR(ABS(AS$23-AS3506),Q_max*10)</f>
        <v>5500</v>
      </c>
      <c r="AU3507" s="75">
        <f>AS3498</f>
        <v>15674.484116945412</v>
      </c>
    </row>
    <row r="3508" spans="15:47" ht="14.5" x14ac:dyDescent="0.35">
      <c r="O3508" s="6"/>
      <c r="P3508" s="6"/>
      <c r="Q3508" s="60"/>
      <c r="R3508" s="67"/>
      <c r="S3508" s="56"/>
      <c r="T3508" s="72"/>
      <c r="V3508" s="11"/>
      <c r="W3508" s="38"/>
      <c r="Y3508" s="11"/>
      <c r="Z3508" s="38"/>
      <c r="AB3508" s="11"/>
      <c r="AC3508" s="38"/>
      <c r="AE3508" s="11"/>
      <c r="AF3508" s="38"/>
      <c r="AH3508" s="11"/>
      <c r="AI3508" s="38"/>
      <c r="AK3508" s="11"/>
      <c r="AL3508" s="38"/>
      <c r="AN3508" s="11"/>
      <c r="AO3508" s="38"/>
      <c r="AQ3508" s="11"/>
      <c r="AR3508" s="38"/>
      <c r="AT3508" s="11"/>
      <c r="AU3508" s="38"/>
    </row>
    <row r="3509" spans="15:47" ht="14" x14ac:dyDescent="0.3">
      <c r="O3509" s="8" t="s">
        <v>235</v>
      </c>
      <c r="P3509" s="6"/>
      <c r="Q3509" s="60"/>
      <c r="R3509" s="53">
        <f>R3498*1.02</f>
        <v>417.58439779923054</v>
      </c>
      <c r="S3509" s="58" t="s">
        <v>238</v>
      </c>
      <c r="T3509" s="73" t="s">
        <v>241</v>
      </c>
      <c r="U3509" s="84">
        <f>U3498*1.01</f>
        <v>655.6544594985171</v>
      </c>
      <c r="V3509" s="58" t="s">
        <v>238</v>
      </c>
      <c r="W3509" s="73" t="s">
        <v>241</v>
      </c>
      <c r="X3509" s="84">
        <f>X3498*1.01</f>
        <v>1573.8230887237114</v>
      </c>
      <c r="Y3509" s="58" t="s">
        <v>238</v>
      </c>
      <c r="Z3509" s="73" t="s">
        <v>241</v>
      </c>
      <c r="AA3509" s="84">
        <f>AA3498*1.01</f>
        <v>3005.0050639241008</v>
      </c>
      <c r="AB3509" s="58" t="s">
        <v>238</v>
      </c>
      <c r="AC3509" s="73" t="s">
        <v>241</v>
      </c>
      <c r="AD3509" s="84">
        <f>AD3498*1.01</f>
        <v>4942.1269529315859</v>
      </c>
      <c r="AE3509" s="58" t="s">
        <v>238</v>
      </c>
      <c r="AF3509" s="73" t="s">
        <v>241</v>
      </c>
      <c r="AG3509" s="84">
        <f>AG3498*1.01</f>
        <v>7358.1535870087009</v>
      </c>
      <c r="AH3509" s="58" t="s">
        <v>238</v>
      </c>
      <c r="AI3509" s="73" t="s">
        <v>241</v>
      </c>
      <c r="AJ3509" s="84">
        <f>AJ3498*1.01</f>
        <v>9819.4844862402078</v>
      </c>
      <c r="AK3509" s="58" t="s">
        <v>238</v>
      </c>
      <c r="AL3509" s="73" t="s">
        <v>241</v>
      </c>
      <c r="AM3509" s="84">
        <f>AM3498*1.01</f>
        <v>11981.637167533881</v>
      </c>
      <c r="AN3509" s="58" t="s">
        <v>238</v>
      </c>
      <c r="AO3509" s="73" t="s">
        <v>241</v>
      </c>
      <c r="AP3509" s="84">
        <f>AP3498*1.01</f>
        <v>13910.308786014162</v>
      </c>
      <c r="AQ3509" s="58" t="s">
        <v>238</v>
      </c>
      <c r="AR3509" s="73" t="s">
        <v>241</v>
      </c>
      <c r="AS3509" s="84">
        <f>AS3498*1.01</f>
        <v>15831.228958114867</v>
      </c>
      <c r="AT3509" s="58" t="s">
        <v>238</v>
      </c>
      <c r="AU3509" s="73" t="s">
        <v>241</v>
      </c>
    </row>
    <row r="3510" spans="15:47" ht="13" x14ac:dyDescent="0.25">
      <c r="O3510" s="6"/>
      <c r="P3510" s="6"/>
      <c r="Q3510" s="60"/>
      <c r="R3510" s="70"/>
      <c r="S3510" s="63" t="s">
        <v>250</v>
      </c>
      <c r="T3510" s="71" t="s">
        <v>242</v>
      </c>
      <c r="U3510" s="61"/>
      <c r="V3510" s="63" t="s">
        <v>250</v>
      </c>
      <c r="W3510" s="71" t="s">
        <v>242</v>
      </c>
      <c r="X3510" s="61"/>
      <c r="Y3510" s="63" t="s">
        <v>250</v>
      </c>
      <c r="Z3510" s="71" t="s">
        <v>242</v>
      </c>
      <c r="AA3510" s="61"/>
      <c r="AB3510" s="63" t="s">
        <v>250</v>
      </c>
      <c r="AC3510" s="71" t="s">
        <v>242</v>
      </c>
      <c r="AD3510" s="61"/>
      <c r="AE3510" s="63" t="s">
        <v>250</v>
      </c>
      <c r="AF3510" s="71" t="s">
        <v>242</v>
      </c>
      <c r="AG3510" s="61"/>
      <c r="AH3510" s="63" t="s">
        <v>250</v>
      </c>
      <c r="AI3510" s="71" t="s">
        <v>242</v>
      </c>
      <c r="AJ3510" s="61"/>
      <c r="AK3510" s="63" t="s">
        <v>250</v>
      </c>
      <c r="AL3510" s="71" t="s">
        <v>242</v>
      </c>
      <c r="AM3510" s="61"/>
      <c r="AN3510" s="63" t="s">
        <v>250</v>
      </c>
      <c r="AO3510" s="71" t="s">
        <v>242</v>
      </c>
      <c r="AP3510" s="61"/>
      <c r="AQ3510" s="63" t="s">
        <v>250</v>
      </c>
      <c r="AR3510" s="71" t="s">
        <v>242</v>
      </c>
      <c r="AS3510" s="61"/>
      <c r="AT3510" s="63" t="s">
        <v>250</v>
      </c>
      <c r="AU3510" s="71" t="s">
        <v>242</v>
      </c>
    </row>
    <row r="3511" spans="15:47" ht="13" x14ac:dyDescent="0.3">
      <c r="O3511" s="6" t="s">
        <v>231</v>
      </c>
      <c r="P3511" s="6"/>
      <c r="Q3511" s="60"/>
      <c r="R3511" s="85">
        <f>P_1_minQ-(R3509^2*R_up)+dpup_minQ</f>
        <v>51.027027042034923</v>
      </c>
      <c r="S3511" s="56"/>
      <c r="T3511" s="72"/>
      <c r="U3511" s="53">
        <f>P_1_minQ-(U3509^2*R_up)+dpup_minQ</f>
        <v>42.397981416403489</v>
      </c>
      <c r="V3511" s="44"/>
      <c r="W3511" s="72"/>
      <c r="X3511" s="53">
        <f>P_1_minQ-(X3509^2*R_up)+dpup_minQ</f>
        <v>-26.735296001345592</v>
      </c>
      <c r="Y3511" s="44"/>
      <c r="Z3511" s="72"/>
      <c r="AA3511" s="53">
        <f>P_1_minQ-(AA3509^2*R_up)+dpup_minQ</f>
        <v>-248.05026795709185</v>
      </c>
      <c r="AB3511" s="44"/>
      <c r="AC3511" s="72"/>
      <c r="AD3511" s="53">
        <f>P_1_minQ-(AD3509^2*R_up)+dpup_minQ</f>
        <v>-767.96122319800213</v>
      </c>
      <c r="AE3511" s="44"/>
      <c r="AF3511" s="72"/>
      <c r="AG3511" s="53">
        <f>P_1_minQ-(AG3509^2*R_up)+dpup_minQ</f>
        <v>-1771.6020672073289</v>
      </c>
      <c r="AH3511" s="44"/>
      <c r="AI3511" s="72"/>
      <c r="AJ3511" s="53">
        <f>P_1_minQ-(AJ3509^2*R_up)+dpup_minQ</f>
        <v>-3199.4930285549517</v>
      </c>
      <c r="AK3511" s="44"/>
      <c r="AL3511" s="72"/>
      <c r="AM3511" s="53">
        <f>P_1_minQ-(AM3509^2*R_up)+dpup_minQ</f>
        <v>-4791.4333743474954</v>
      </c>
      <c r="AN3511" s="44"/>
      <c r="AO3511" s="72"/>
      <c r="AP3511" s="53">
        <f>P_1_minQ-(AP3509^2*R_up)+dpup_minQ</f>
        <v>-6477.9264951794266</v>
      </c>
      <c r="AQ3511" s="44"/>
      <c r="AR3511" s="72"/>
      <c r="AS3511" s="53">
        <f>P_1_minQ-(AS3509^2*R_up)+dpup_minQ</f>
        <v>-8407.3800514777013</v>
      </c>
      <c r="AT3511" s="44"/>
      <c r="AU3511" s="72"/>
    </row>
    <row r="3512" spans="15:47" ht="13" x14ac:dyDescent="0.3">
      <c r="O3512" s="6" t="s">
        <v>233</v>
      </c>
      <c r="P3512" s="6"/>
      <c r="Q3512" s="60"/>
      <c r="R3512" s="85">
        <f>P_2_minQ+(R3509^2*R_dn)-dpdn_minQ</f>
        <v>25.834594591593017</v>
      </c>
      <c r="S3512" s="66"/>
      <c r="T3512" s="74"/>
      <c r="U3512" s="53">
        <f>P_2_minQ+(U3509^2*R_dn)-dpdn_minQ</f>
        <v>27.560403716719303</v>
      </c>
      <c r="V3512" s="45"/>
      <c r="W3512" s="74"/>
      <c r="X3512" s="53">
        <f>P_2_minQ+(X3509^2*R_dn)-dpdn_minQ</f>
        <v>41.387059200269121</v>
      </c>
      <c r="Y3512" s="45"/>
      <c r="Z3512" s="74"/>
      <c r="AA3512" s="53">
        <f>P_2_minQ+(AA3509^2*R_dn)-dpdn_minQ</f>
        <v>85.650053591418356</v>
      </c>
      <c r="AB3512" s="45"/>
      <c r="AC3512" s="74"/>
      <c r="AD3512" s="53">
        <f>P_2_minQ+(AD3509^2*R_dn)-dpdn_minQ</f>
        <v>189.63224463960043</v>
      </c>
      <c r="AE3512" s="45"/>
      <c r="AF3512" s="74"/>
      <c r="AG3512" s="53">
        <f>P_2_minQ+(AG3509^2*R_dn)-dpdn_minQ</f>
        <v>390.36041344146571</v>
      </c>
      <c r="AH3512" s="45"/>
      <c r="AI3512" s="74"/>
      <c r="AJ3512" s="53">
        <f>P_2_minQ+(AJ3509^2*R_dn)-dpdn_minQ</f>
        <v>675.93860571099026</v>
      </c>
      <c r="AK3512" s="45"/>
      <c r="AL3512" s="74"/>
      <c r="AM3512" s="53">
        <f>P_2_minQ+(AM3509^2*R_dn)-dpdn_minQ</f>
        <v>994.3266748694989</v>
      </c>
      <c r="AN3512" s="45"/>
      <c r="AO3512" s="74"/>
      <c r="AP3512" s="53">
        <f>P_2_minQ+(AP3509^2*R_dn)-dpdn_minQ</f>
        <v>1331.6252990358851</v>
      </c>
      <c r="AQ3512" s="45"/>
      <c r="AR3512" s="74"/>
      <c r="AS3512" s="53">
        <f>P_2_minQ+(AS3509^2*R_dn)-dpdn_minQ</f>
        <v>1717.5160102955404</v>
      </c>
      <c r="AT3512" s="45"/>
      <c r="AU3512" s="74"/>
    </row>
    <row r="3513" spans="15:47" x14ac:dyDescent="0.25">
      <c r="O3513" s="6" t="s">
        <v>243</v>
      </c>
      <c r="Q3513" s="60"/>
      <c r="R3513" s="53">
        <f>R3511-R3512</f>
        <v>25.192432450441906</v>
      </c>
      <c r="S3513" s="56"/>
      <c r="T3513" s="72"/>
      <c r="U3513" s="64">
        <f>U3511-U3512</f>
        <v>14.837577699684186</v>
      </c>
      <c r="V3513" s="44"/>
      <c r="W3513" s="72"/>
      <c r="X3513" s="64">
        <f>X3511-X3512</f>
        <v>-68.12235520161471</v>
      </c>
      <c r="Y3513" s="44"/>
      <c r="Z3513" s="72"/>
      <c r="AA3513" s="64">
        <f>AA3511-AA3512</f>
        <v>-333.7003215485102</v>
      </c>
      <c r="AB3513" s="44"/>
      <c r="AC3513" s="72"/>
      <c r="AD3513" s="64">
        <f>AD3511-AD3512</f>
        <v>-957.59346783760259</v>
      </c>
      <c r="AE3513" s="44"/>
      <c r="AF3513" s="72"/>
      <c r="AG3513" s="64">
        <f>AG3511-AG3512</f>
        <v>-2161.9624806487946</v>
      </c>
      <c r="AH3513" s="44"/>
      <c r="AI3513" s="72"/>
      <c r="AJ3513" s="64">
        <f>AJ3511-AJ3512</f>
        <v>-3875.4316342659422</v>
      </c>
      <c r="AK3513" s="44"/>
      <c r="AL3513" s="72"/>
      <c r="AM3513" s="64">
        <f>AM3511-AM3512</f>
        <v>-5785.760049216994</v>
      </c>
      <c r="AN3513" s="44"/>
      <c r="AO3513" s="72"/>
      <c r="AP3513" s="64">
        <f>AP3511-AP3512</f>
        <v>-7809.5517942153119</v>
      </c>
      <c r="AQ3513" s="44"/>
      <c r="AR3513" s="72"/>
      <c r="AS3513" s="64">
        <f>AS3511-AS3512</f>
        <v>-10124.896061773241</v>
      </c>
      <c r="AT3513" s="44"/>
      <c r="AU3513" s="72"/>
    </row>
    <row r="3514" spans="15:47" ht="13" x14ac:dyDescent="0.3">
      <c r="O3514" s="6" t="s">
        <v>75</v>
      </c>
      <c r="P3514" s="6">
        <v>3</v>
      </c>
      <c r="Q3514" s="65"/>
      <c r="R3514" s="85">
        <f>(F_LP_h/F_P_h)^2*(R3511-('Valve Sizing'!$V$4*'Valve Sizing'!$G$7))</f>
        <v>41.888665947826851</v>
      </c>
      <c r="S3514" s="58"/>
      <c r="T3514" s="73"/>
      <c r="U3514" s="53">
        <f>(U$29/U$27)^2*(U3511-('Valve Sizing'!$V$4*'Valve Sizing'!$G$7))</f>
        <v>34.733893626202494</v>
      </c>
      <c r="V3514" s="41"/>
      <c r="W3514" s="73"/>
      <c r="X3514" s="53">
        <f>(X$29/X$27)^2*(X3511-('Valve Sizing'!$V$4*'Valve Sizing'!$G$7))</f>
        <v>-21.989034299436632</v>
      </c>
      <c r="Y3514" s="41"/>
      <c r="Z3514" s="73"/>
      <c r="AA3514" s="53">
        <f>(AA$29/AA$27)^2*(AA3511-('Valve Sizing'!$V$4*'Valve Sizing'!$G$7))</f>
        <v>-192.03263317699947</v>
      </c>
      <c r="AB3514" s="41"/>
      <c r="AC3514" s="73"/>
      <c r="AD3514" s="53">
        <f>(AD$29/AD$27)^2*(AD3511-('Valve Sizing'!$V$4*'Valve Sizing'!$G$7))</f>
        <v>-554.16132741892363</v>
      </c>
      <c r="AE3514" s="41"/>
      <c r="AF3514" s="73"/>
      <c r="AG3514" s="53">
        <f>(AG$29/AG$27)^2*(AG3511-('Valve Sizing'!$V$4*'Valve Sizing'!$G$7))</f>
        <v>-1141.273011768222</v>
      </c>
      <c r="AH3514" s="41"/>
      <c r="AI3514" s="73"/>
      <c r="AJ3514" s="53">
        <f>(AJ$29/AJ$27)^2*(AJ3511-('Valve Sizing'!$V$4*'Valve Sizing'!$G$7))</f>
        <v>-1850.7271725022702</v>
      </c>
      <c r="AK3514" s="41"/>
      <c r="AL3514" s="73"/>
      <c r="AM3514" s="53">
        <f>(AM$29/AM$27)^2*(AM3511-('Valve Sizing'!$V$4*'Valve Sizing'!$G$7))</f>
        <v>-2292.7779802121349</v>
      </c>
      <c r="AN3514" s="41"/>
      <c r="AO3514" s="73"/>
      <c r="AP3514" s="53">
        <f>(AP$29/AP$27)^2*(AP3511-('Valve Sizing'!$V$4*'Valve Sizing'!$G$7))</f>
        <v>-2556.5372392153299</v>
      </c>
      <c r="AQ3514" s="41"/>
      <c r="AR3514" s="73"/>
      <c r="AS3514" s="53">
        <f>(AS$29/AS$27)^2*(AS3511-('Valve Sizing'!$V$4*'Valve Sizing'!$G$7))</f>
        <v>-3162.5241325364873</v>
      </c>
      <c r="AT3514" s="41"/>
      <c r="AU3514" s="73"/>
    </row>
    <row r="3515" spans="15:47" ht="13" x14ac:dyDescent="0.25">
      <c r="O3515" s="1" t="s">
        <v>69</v>
      </c>
      <c r="P3515" s="17">
        <v>7</v>
      </c>
      <c r="Q3515" s="65"/>
      <c r="R3515" s="53">
        <f>(R3509/(N_1*F_P_h))*SQRT('Valve Sizing'!$G$6/R3513)</f>
        <v>83.209467170467263</v>
      </c>
      <c r="S3515" s="58"/>
      <c r="T3515" s="73"/>
      <c r="U3515" s="64">
        <f>(U3509/(N_1*U$27))*SQRT('Valve Sizing'!$G$6/U3513)</f>
        <v>170.35668747003547</v>
      </c>
      <c r="V3515" s="41"/>
      <c r="W3515" s="73"/>
      <c r="X3515" s="64" t="e">
        <f>(X3509/(N_1*X$27))*SQRT('Valve Sizing'!$G$6/X3513)</f>
        <v>#NUM!</v>
      </c>
      <c r="Y3515" s="41"/>
      <c r="Z3515" s="73"/>
      <c r="AA3515" s="64" t="e">
        <f>(AA3509/(N_1*AA$27))*SQRT('Valve Sizing'!$G$6/AA3513)</f>
        <v>#NUM!</v>
      </c>
      <c r="AB3515" s="41"/>
      <c r="AC3515" s="73"/>
      <c r="AD3515" s="64" t="e">
        <f>(AD3509/(N_1*AD$27))*SQRT('Valve Sizing'!$G$6/AD3513)</f>
        <v>#NUM!</v>
      </c>
      <c r="AE3515" s="41"/>
      <c r="AF3515" s="73"/>
      <c r="AG3515" s="64" t="e">
        <f>(AG3509/(N_1*AG$27))*SQRT('Valve Sizing'!$G$6/AG3513)</f>
        <v>#NUM!</v>
      </c>
      <c r="AH3515" s="41"/>
      <c r="AI3515" s="73"/>
      <c r="AJ3515" s="64" t="e">
        <f>(AJ3509/(N_1*AJ$27))*SQRT('Valve Sizing'!$G$6/AJ3513)</f>
        <v>#NUM!</v>
      </c>
      <c r="AK3515" s="41"/>
      <c r="AL3515" s="73"/>
      <c r="AM3515" s="64" t="e">
        <f>(AM3509/(N_1*AM$27))*SQRT('Valve Sizing'!$G$6/AM3513)</f>
        <v>#NUM!</v>
      </c>
      <c r="AN3515" s="41"/>
      <c r="AO3515" s="73"/>
      <c r="AP3515" s="64" t="e">
        <f>(AP3509/(N_1*AP$27))*SQRT('Valve Sizing'!$G$6/AP3513)</f>
        <v>#NUM!</v>
      </c>
      <c r="AQ3515" s="41"/>
      <c r="AR3515" s="73"/>
      <c r="AS3515" s="64" t="e">
        <f>(AS3509/(N_1*AS$27))*SQRT('Valve Sizing'!$G$6/AS3513)</f>
        <v>#NUM!</v>
      </c>
      <c r="AT3515" s="41"/>
      <c r="AU3515" s="73"/>
    </row>
    <row r="3516" spans="15:47" ht="13" x14ac:dyDescent="0.3">
      <c r="O3516" s="1" t="s">
        <v>72</v>
      </c>
      <c r="P3516" s="17">
        <v>7</v>
      </c>
      <c r="Q3516" s="65"/>
      <c r="R3516" s="53">
        <f>(R3509/(N_1*F_P_h))*SQRT('Valve Sizing'!$G$6/R3514)</f>
        <v>64.529682415122181</v>
      </c>
      <c r="S3516" s="56"/>
      <c r="T3516" s="72"/>
      <c r="U3516" s="85">
        <f>(U3509/(N_1*U$27))*SQRT('Valve Sizing'!$G$6/U3514)</f>
        <v>111.34326567631932</v>
      </c>
      <c r="V3516" s="44"/>
      <c r="W3516" s="72"/>
      <c r="X3516" s="85" t="e">
        <f>(X3509/(N_1*X$27))*SQRT('Valve Sizing'!$G$6/X3514)</f>
        <v>#NUM!</v>
      </c>
      <c r="Y3516" s="44"/>
      <c r="Z3516" s="72"/>
      <c r="AA3516" s="85" t="e">
        <f>(AA3509/(N_1*AA$27))*SQRT('Valve Sizing'!$G$6/AA3514)</f>
        <v>#NUM!</v>
      </c>
      <c r="AB3516" s="44"/>
      <c r="AC3516" s="72"/>
      <c r="AD3516" s="85" t="e">
        <f>(AD3509/(N_1*AD$27))*SQRT('Valve Sizing'!$G$6/AD3514)</f>
        <v>#NUM!</v>
      </c>
      <c r="AE3516" s="44"/>
      <c r="AF3516" s="72"/>
      <c r="AG3516" s="85" t="e">
        <f>(AG3509/(N_1*AG$27))*SQRT('Valve Sizing'!$G$6/AG3514)</f>
        <v>#NUM!</v>
      </c>
      <c r="AH3516" s="44"/>
      <c r="AI3516" s="72"/>
      <c r="AJ3516" s="85" t="e">
        <f>(AJ3509/(N_1*AJ$27))*SQRT('Valve Sizing'!$G$6/AJ3514)</f>
        <v>#NUM!</v>
      </c>
      <c r="AK3516" s="44"/>
      <c r="AL3516" s="72"/>
      <c r="AM3516" s="85" t="e">
        <f>(AM3509/(N_1*AM$27))*SQRT('Valve Sizing'!$G$6/AM3514)</f>
        <v>#NUM!</v>
      </c>
      <c r="AN3516" s="44"/>
      <c r="AO3516" s="72"/>
      <c r="AP3516" s="85" t="e">
        <f>(AP3509/(N_1*AP$27))*SQRT('Valve Sizing'!$G$6/AP3514)</f>
        <v>#NUM!</v>
      </c>
      <c r="AQ3516" s="44"/>
      <c r="AR3516" s="72"/>
      <c r="AS3516" s="85" t="e">
        <f>(AS3509/(N_1*AS$27))*SQRT('Valve Sizing'!$G$6/AS3514)</f>
        <v>#NUM!</v>
      </c>
      <c r="AT3516" s="44"/>
      <c r="AU3516" s="72"/>
    </row>
    <row r="3517" spans="15:47" x14ac:dyDescent="0.25">
      <c r="O3517" s="1" t="s">
        <v>246</v>
      </c>
      <c r="P3517" s="18"/>
      <c r="Q3517" s="65"/>
      <c r="R3517" s="53">
        <f>IF(R3513&lt;R3514,R3515,R3516)</f>
        <v>83.209467170467263</v>
      </c>
      <c r="S3517" s="49"/>
      <c r="T3517" s="72"/>
      <c r="U3517" s="64">
        <f>IF(U3513&lt;U3514,U3515,U3516)</f>
        <v>170.35668747003547</v>
      </c>
      <c r="V3517" s="44"/>
      <c r="W3517" s="72"/>
      <c r="X3517" s="64" t="e">
        <f>IF(X3513&lt;X3514,X3515,X3516)</f>
        <v>#NUM!</v>
      </c>
      <c r="Y3517" s="44"/>
      <c r="Z3517" s="72"/>
      <c r="AA3517" s="64" t="e">
        <f>IF(AA3513&lt;AA3514,AA3515,AA3516)</f>
        <v>#NUM!</v>
      </c>
      <c r="AB3517" s="44"/>
      <c r="AC3517" s="72"/>
      <c r="AD3517" s="64" t="e">
        <f>IF(AD3513&lt;AD3514,AD3515,AD3516)</f>
        <v>#NUM!</v>
      </c>
      <c r="AE3517" s="44"/>
      <c r="AF3517" s="72"/>
      <c r="AG3517" s="64" t="e">
        <f>IF(AG3513&lt;AG3514,AG3515,AG3516)</f>
        <v>#NUM!</v>
      </c>
      <c r="AH3517" s="44"/>
      <c r="AI3517" s="72"/>
      <c r="AJ3517" s="64" t="e">
        <f>IF(AJ3513&lt;AJ3514,AJ3515,AJ3516)</f>
        <v>#NUM!</v>
      </c>
      <c r="AK3517" s="44"/>
      <c r="AL3517" s="72"/>
      <c r="AM3517" s="64" t="e">
        <f>IF(AM3513&lt;AM3514,AM3515,AM3516)</f>
        <v>#NUM!</v>
      </c>
      <c r="AN3517" s="44"/>
      <c r="AO3517" s="72"/>
      <c r="AP3517" s="64" t="e">
        <f>IF(AP3513&lt;AP3514,AP3515,AP3516)</f>
        <v>#NUM!</v>
      </c>
      <c r="AQ3517" s="44"/>
      <c r="AR3517" s="72"/>
      <c r="AS3517" s="64" t="e">
        <f>IF(AS3513&lt;AS3514,AS3515,AS3516)</f>
        <v>#NUM!</v>
      </c>
      <c r="AT3517" s="44"/>
      <c r="AU3517" s="72"/>
    </row>
    <row r="3518" spans="15:47" ht="13" x14ac:dyDescent="0.3">
      <c r="O3518" s="7" t="s">
        <v>264</v>
      </c>
      <c r="Q3518" s="61"/>
      <c r="R3518" s="53"/>
      <c r="S3518" s="69">
        <f>IFERROR(ABS(C_h-R3517),Q_max*10)</f>
        <v>78.209467170467263</v>
      </c>
      <c r="T3518" s="76">
        <f>R3509</f>
        <v>417.58439779923054</v>
      </c>
      <c r="U3518" s="61"/>
      <c r="V3518" s="69">
        <f>IFERROR(ABS(U$23-U3517),Q_max*10)</f>
        <v>158.35668747003547</v>
      </c>
      <c r="W3518" s="75">
        <f>U3509</f>
        <v>655.6544594985171</v>
      </c>
      <c r="X3518" s="61"/>
      <c r="Y3518" s="69">
        <f>IFERROR(ABS(X$23-X3517),Q_max*10)</f>
        <v>5500</v>
      </c>
      <c r="Z3518" s="75">
        <f>X3509</f>
        <v>1573.8230887237114</v>
      </c>
      <c r="AA3518" s="61"/>
      <c r="AB3518" s="69">
        <f>IFERROR(ABS(AA$23-AA3517),Q_max*10)</f>
        <v>5500</v>
      </c>
      <c r="AC3518" s="75">
        <f>AA3509</f>
        <v>3005.0050639241008</v>
      </c>
      <c r="AD3518" s="61"/>
      <c r="AE3518" s="69">
        <f>IFERROR(ABS(AD$23-AD3517),Q_max*10)</f>
        <v>5500</v>
      </c>
      <c r="AF3518" s="75">
        <f>AD3509</f>
        <v>4942.1269529315859</v>
      </c>
      <c r="AG3518" s="61"/>
      <c r="AH3518" s="69">
        <f>IFERROR(ABS(AG$23-AG3517),Q_max*10)</f>
        <v>5500</v>
      </c>
      <c r="AI3518" s="75">
        <f>AG3509</f>
        <v>7358.1535870087009</v>
      </c>
      <c r="AJ3518" s="61"/>
      <c r="AK3518" s="69">
        <f>IFERROR(ABS(AJ$23-AJ3517),Q_max*10)</f>
        <v>5500</v>
      </c>
      <c r="AL3518" s="75">
        <f>AJ3509</f>
        <v>9819.4844862402078</v>
      </c>
      <c r="AM3518" s="61"/>
      <c r="AN3518" s="69">
        <f>IFERROR(ABS(AM$23-AM3517),Q_max*10)</f>
        <v>5500</v>
      </c>
      <c r="AO3518" s="75">
        <f>AM3509</f>
        <v>11981.637167533881</v>
      </c>
      <c r="AP3518" s="61"/>
      <c r="AQ3518" s="69">
        <f>IFERROR(ABS(AP$23-AP3517),Q_max*10)</f>
        <v>5500</v>
      </c>
      <c r="AR3518" s="75">
        <f>AP3509</f>
        <v>13910.308786014162</v>
      </c>
      <c r="AS3518" s="61"/>
      <c r="AT3518" s="69">
        <f>IFERROR(ABS(AS$23-AS3517),Q_max*10)</f>
        <v>5500</v>
      </c>
      <c r="AU3518" s="75">
        <f>AS3509</f>
        <v>15831.228958114867</v>
      </c>
    </row>
    <row r="3519" spans="15:47" ht="14.5" x14ac:dyDescent="0.35">
      <c r="O3519" s="6"/>
      <c r="P3519" s="6"/>
      <c r="Q3519" s="60"/>
      <c r="R3519" s="67"/>
      <c r="S3519" s="58"/>
      <c r="T3519" s="73"/>
      <c r="V3519" s="11"/>
      <c r="W3519" s="38"/>
      <c r="Y3519" s="11"/>
      <c r="Z3519" s="38"/>
      <c r="AB3519" s="11"/>
      <c r="AC3519" s="38"/>
      <c r="AE3519" s="11"/>
      <c r="AF3519" s="38"/>
      <c r="AH3519" s="11"/>
      <c r="AI3519" s="38"/>
      <c r="AK3519" s="11"/>
      <c r="AL3519" s="38"/>
      <c r="AN3519" s="11"/>
      <c r="AO3519" s="38"/>
      <c r="AQ3519" s="11"/>
      <c r="AR3519" s="38"/>
      <c r="AT3519" s="11"/>
      <c r="AU3519" s="38"/>
    </row>
    <row r="3520" spans="15:47" ht="14" x14ac:dyDescent="0.3">
      <c r="O3520" s="8" t="s">
        <v>235</v>
      </c>
      <c r="P3520" s="6"/>
      <c r="Q3520" s="60"/>
      <c r="R3520" s="53">
        <f>R3509*1.02</f>
        <v>425.93608575521517</v>
      </c>
      <c r="S3520" s="58" t="s">
        <v>238</v>
      </c>
      <c r="T3520" s="73" t="s">
        <v>241</v>
      </c>
      <c r="U3520" s="84">
        <f>U3509*1.01</f>
        <v>662.21100409350231</v>
      </c>
      <c r="V3520" s="58" t="s">
        <v>238</v>
      </c>
      <c r="W3520" s="73" t="s">
        <v>241</v>
      </c>
      <c r="X3520" s="84">
        <f>X3509*1.01</f>
        <v>1589.5613196109484</v>
      </c>
      <c r="Y3520" s="58" t="s">
        <v>238</v>
      </c>
      <c r="Z3520" s="73" t="s">
        <v>241</v>
      </c>
      <c r="AA3520" s="84">
        <f>AA3509*1.01</f>
        <v>3035.0551145633417</v>
      </c>
      <c r="AB3520" s="58" t="s">
        <v>238</v>
      </c>
      <c r="AC3520" s="73" t="s">
        <v>241</v>
      </c>
      <c r="AD3520" s="84">
        <f>AD3509*1.01</f>
        <v>4991.5482224609023</v>
      </c>
      <c r="AE3520" s="58" t="s">
        <v>238</v>
      </c>
      <c r="AF3520" s="73" t="s">
        <v>241</v>
      </c>
      <c r="AG3520" s="84">
        <f>AG3509*1.01</f>
        <v>7431.7351228787884</v>
      </c>
      <c r="AH3520" s="58" t="s">
        <v>238</v>
      </c>
      <c r="AI3520" s="73" t="s">
        <v>241</v>
      </c>
      <c r="AJ3520" s="84">
        <f>AJ3509*1.01</f>
        <v>9917.6793311026104</v>
      </c>
      <c r="AK3520" s="58" t="s">
        <v>238</v>
      </c>
      <c r="AL3520" s="73" t="s">
        <v>241</v>
      </c>
      <c r="AM3520" s="84">
        <f>AM3509*1.01</f>
        <v>12101.45353920922</v>
      </c>
      <c r="AN3520" s="58" t="s">
        <v>238</v>
      </c>
      <c r="AO3520" s="73" t="s">
        <v>241</v>
      </c>
      <c r="AP3520" s="84">
        <f>AP3509*1.01</f>
        <v>14049.411873874304</v>
      </c>
      <c r="AQ3520" s="58" t="s">
        <v>238</v>
      </c>
      <c r="AR3520" s="73" t="s">
        <v>241</v>
      </c>
      <c r="AS3520" s="84">
        <f>AS3509*1.01</f>
        <v>15989.541247696015</v>
      </c>
      <c r="AT3520" s="58" t="s">
        <v>238</v>
      </c>
      <c r="AU3520" s="73" t="s">
        <v>241</v>
      </c>
    </row>
    <row r="3521" spans="15:47" ht="13" x14ac:dyDescent="0.25">
      <c r="O3521" s="6"/>
      <c r="P3521" s="6"/>
      <c r="Q3521" s="60"/>
      <c r="R3521" s="70"/>
      <c r="S3521" s="63" t="s">
        <v>250</v>
      </c>
      <c r="T3521" s="71" t="s">
        <v>242</v>
      </c>
      <c r="U3521" s="61"/>
      <c r="V3521" s="63" t="s">
        <v>250</v>
      </c>
      <c r="W3521" s="71" t="s">
        <v>242</v>
      </c>
      <c r="X3521" s="61"/>
      <c r="Y3521" s="63" t="s">
        <v>250</v>
      </c>
      <c r="Z3521" s="71" t="s">
        <v>242</v>
      </c>
      <c r="AA3521" s="61"/>
      <c r="AB3521" s="63" t="s">
        <v>250</v>
      </c>
      <c r="AC3521" s="71" t="s">
        <v>242</v>
      </c>
      <c r="AD3521" s="61"/>
      <c r="AE3521" s="63" t="s">
        <v>250</v>
      </c>
      <c r="AF3521" s="71" t="s">
        <v>242</v>
      </c>
      <c r="AG3521" s="61"/>
      <c r="AH3521" s="63" t="s">
        <v>250</v>
      </c>
      <c r="AI3521" s="71" t="s">
        <v>242</v>
      </c>
      <c r="AJ3521" s="61"/>
      <c r="AK3521" s="63" t="s">
        <v>250</v>
      </c>
      <c r="AL3521" s="71" t="s">
        <v>242</v>
      </c>
      <c r="AM3521" s="61"/>
      <c r="AN3521" s="63" t="s">
        <v>250</v>
      </c>
      <c r="AO3521" s="71" t="s">
        <v>242</v>
      </c>
      <c r="AP3521" s="61"/>
      <c r="AQ3521" s="63" t="s">
        <v>250</v>
      </c>
      <c r="AR3521" s="71" t="s">
        <v>242</v>
      </c>
      <c r="AS3521" s="61"/>
      <c r="AT3521" s="63" t="s">
        <v>250</v>
      </c>
      <c r="AU3521" s="71" t="s">
        <v>242</v>
      </c>
    </row>
    <row r="3522" spans="15:47" ht="13" x14ac:dyDescent="0.3">
      <c r="O3522" s="6" t="s">
        <v>231</v>
      </c>
      <c r="P3522" s="6"/>
      <c r="Q3522" s="60"/>
      <c r="R3522" s="85">
        <f>P_1_minQ-(R3520^2*R_up)+dpup_minQ</f>
        <v>50.789106749460522</v>
      </c>
      <c r="S3522" s="56"/>
      <c r="T3522" s="72"/>
      <c r="U3522" s="53">
        <f>P_1_minQ-(U3520^2*R_up)+dpup_minQ</f>
        <v>42.106166364656382</v>
      </c>
      <c r="V3522" s="44"/>
      <c r="W3522" s="72"/>
      <c r="X3522" s="53">
        <f>P_1_minQ-(X3520^2*R_up)+dpup_minQ</f>
        <v>-28.416689929189463</v>
      </c>
      <c r="Y3522" s="44"/>
      <c r="Z3522" s="72"/>
      <c r="AA3522" s="53">
        <f>P_1_minQ-(AA3520^2*R_up)+dpup_minQ</f>
        <v>-254.18009282124623</v>
      </c>
      <c r="AB3522" s="44"/>
      <c r="AC3522" s="72"/>
      <c r="AD3522" s="53">
        <f>P_1_minQ-(AD3520^2*R_up)+dpup_minQ</f>
        <v>-784.5412582624989</v>
      </c>
      <c r="AE3522" s="44"/>
      <c r="AF3522" s="72"/>
      <c r="AG3522" s="53">
        <f>P_1_minQ-(AG3520^2*R_up)+dpup_minQ</f>
        <v>-1808.3552832364132</v>
      </c>
      <c r="AH3522" s="44"/>
      <c r="AI3522" s="72"/>
      <c r="AJ3522" s="53">
        <f>P_1_minQ-(AJ3520^2*R_up)+dpup_minQ</f>
        <v>-3264.9468529071237</v>
      </c>
      <c r="AK3522" s="44"/>
      <c r="AL3522" s="72"/>
      <c r="AM3522" s="53">
        <f>P_1_minQ-(AM3520^2*R_up)+dpup_minQ</f>
        <v>-4888.8851996500971</v>
      </c>
      <c r="AN3522" s="44"/>
      <c r="AO3522" s="72"/>
      <c r="AP3522" s="53">
        <f>P_1_minQ-(AP3520^2*R_up)+dpup_minQ</f>
        <v>-6609.2768322107495</v>
      </c>
      <c r="AQ3522" s="44"/>
      <c r="AR3522" s="72"/>
      <c r="AS3522" s="53">
        <f>P_1_minQ-(AS3520^2*R_up)+dpup_minQ</f>
        <v>-8577.5124049906208</v>
      </c>
      <c r="AT3522" s="44"/>
      <c r="AU3522" s="72"/>
    </row>
    <row r="3523" spans="15:47" ht="13" x14ac:dyDescent="0.3">
      <c r="O3523" s="6" t="s">
        <v>233</v>
      </c>
      <c r="P3523" s="6"/>
      <c r="Q3523" s="60"/>
      <c r="R3523" s="85">
        <f>P_2_minQ+(R3520^2*R_dn)-dpdn_minQ</f>
        <v>25.882178650107896</v>
      </c>
      <c r="S3523" s="66"/>
      <c r="T3523" s="74"/>
      <c r="U3523" s="53">
        <f>P_2_minQ+(U3520^2*R_dn)-dpdn_minQ</f>
        <v>27.618766727068724</v>
      </c>
      <c r="V3523" s="45"/>
      <c r="W3523" s="74"/>
      <c r="X3523" s="53">
        <f>P_2_minQ+(X3520^2*R_dn)-dpdn_minQ</f>
        <v>41.723337985837894</v>
      </c>
      <c r="Y3523" s="45"/>
      <c r="Z3523" s="74"/>
      <c r="AA3523" s="53">
        <f>P_2_minQ+(AA3520^2*R_dn)-dpdn_minQ</f>
        <v>86.87601856424925</v>
      </c>
      <c r="AB3523" s="45"/>
      <c r="AC3523" s="74"/>
      <c r="AD3523" s="53">
        <f>P_2_minQ+(AD3520^2*R_dn)-dpdn_minQ</f>
        <v>192.94825165249981</v>
      </c>
      <c r="AE3523" s="45"/>
      <c r="AF3523" s="74"/>
      <c r="AG3523" s="53">
        <f>P_2_minQ+(AG3520^2*R_dn)-dpdn_minQ</f>
        <v>397.71105664728259</v>
      </c>
      <c r="AH3523" s="45"/>
      <c r="AI3523" s="74"/>
      <c r="AJ3523" s="53">
        <f>P_2_minQ+(AJ3520^2*R_dn)-dpdn_minQ</f>
        <v>689.0293705814247</v>
      </c>
      <c r="AK3523" s="45"/>
      <c r="AL3523" s="74"/>
      <c r="AM3523" s="53">
        <f>P_2_minQ+(AM3520^2*R_dn)-dpdn_minQ</f>
        <v>1013.8170399300193</v>
      </c>
      <c r="AN3523" s="45"/>
      <c r="AO3523" s="74"/>
      <c r="AP3523" s="53">
        <f>P_2_minQ+(AP3520^2*R_dn)-dpdn_minQ</f>
        <v>1357.8953664421499</v>
      </c>
      <c r="AQ3523" s="45"/>
      <c r="AR3523" s="74"/>
      <c r="AS3523" s="53">
        <f>P_2_minQ+(AS3520^2*R_dn)-dpdn_minQ</f>
        <v>1751.5424809981241</v>
      </c>
      <c r="AT3523" s="45"/>
      <c r="AU3523" s="74"/>
    </row>
    <row r="3524" spans="15:47" x14ac:dyDescent="0.25">
      <c r="O3524" s="6" t="s">
        <v>243</v>
      </c>
      <c r="Q3524" s="60"/>
      <c r="R3524" s="53">
        <f>R3522-R3523</f>
        <v>24.906928099352626</v>
      </c>
      <c r="S3524" s="56"/>
      <c r="T3524" s="72"/>
      <c r="U3524" s="64">
        <f>U3522-U3523</f>
        <v>14.487399637587657</v>
      </c>
      <c r="V3524" s="44"/>
      <c r="W3524" s="72"/>
      <c r="X3524" s="64">
        <f>X3522-X3523</f>
        <v>-70.14002791502736</v>
      </c>
      <c r="Y3524" s="44"/>
      <c r="Z3524" s="72"/>
      <c r="AA3524" s="64">
        <f>AA3522-AA3523</f>
        <v>-341.05611138549546</v>
      </c>
      <c r="AB3524" s="44"/>
      <c r="AC3524" s="72"/>
      <c r="AD3524" s="64">
        <f>AD3522-AD3523</f>
        <v>-977.48950991499873</v>
      </c>
      <c r="AE3524" s="44"/>
      <c r="AF3524" s="72"/>
      <c r="AG3524" s="64">
        <f>AG3522-AG3523</f>
        <v>-2206.0663398836959</v>
      </c>
      <c r="AH3524" s="44"/>
      <c r="AI3524" s="72"/>
      <c r="AJ3524" s="64">
        <f>AJ3522-AJ3523</f>
        <v>-3953.9762234885484</v>
      </c>
      <c r="AK3524" s="44"/>
      <c r="AL3524" s="72"/>
      <c r="AM3524" s="64">
        <f>AM3522-AM3523</f>
        <v>-5902.7022395801159</v>
      </c>
      <c r="AN3524" s="44"/>
      <c r="AO3524" s="72"/>
      <c r="AP3524" s="64">
        <f>AP3522-AP3523</f>
        <v>-7967.1721986528992</v>
      </c>
      <c r="AQ3524" s="44"/>
      <c r="AR3524" s="72"/>
      <c r="AS3524" s="64">
        <f>AS3522-AS3523</f>
        <v>-10329.054885988746</v>
      </c>
      <c r="AT3524" s="44"/>
      <c r="AU3524" s="72"/>
    </row>
    <row r="3525" spans="15:47" ht="13" x14ac:dyDescent="0.3">
      <c r="O3525" s="6" t="s">
        <v>75</v>
      </c>
      <c r="P3525" s="6">
        <v>3</v>
      </c>
      <c r="Q3525" s="65"/>
      <c r="R3525" s="85">
        <f>(F_LP_h/F_P_h)^2*(R3522-('Valve Sizing'!$V$4*'Valve Sizing'!$G$7))</f>
        <v>41.691655457153679</v>
      </c>
      <c r="S3525" s="58"/>
      <c r="T3525" s="73"/>
      <c r="U3525" s="53">
        <f>(U$29/U$27)^2*(U3522-('Valve Sizing'!$V$4*'Valve Sizing'!$G$7))</f>
        <v>34.492321306587264</v>
      </c>
      <c r="V3525" s="41"/>
      <c r="W3525" s="73"/>
      <c r="X3525" s="53">
        <f>(X$29/X$27)^2*(X3522-('Valve Sizing'!$V$4*'Valve Sizing'!$G$7))</f>
        <v>-23.349540190133574</v>
      </c>
      <c r="Y3525" s="41"/>
      <c r="Z3525" s="73"/>
      <c r="AA3525" s="53">
        <f>(AA$29/AA$27)^2*(AA3522-('Valve Sizing'!$V$4*'Valve Sizing'!$G$7))</f>
        <v>-196.7697447994006</v>
      </c>
      <c r="AB3525" s="41"/>
      <c r="AC3525" s="73"/>
      <c r="AD3525" s="53">
        <f>(AD$29/AD$27)^2*(AD3522-('Valve Sizing'!$V$4*'Valve Sizing'!$G$7))</f>
        <v>-566.11863991797009</v>
      </c>
      <c r="AE3525" s="41"/>
      <c r="AF3525" s="73"/>
      <c r="AG3525" s="53">
        <f>(AG$29/AG$27)^2*(AG3522-('Valve Sizing'!$V$4*'Valve Sizing'!$G$7))</f>
        <v>-1164.9436982382795</v>
      </c>
      <c r="AH3525" s="41"/>
      <c r="AI3525" s="73"/>
      <c r="AJ3525" s="53">
        <f>(AJ$29/AJ$27)^2*(AJ3522-('Valve Sizing'!$V$4*'Valve Sizing'!$G$7))</f>
        <v>-1888.5833301182731</v>
      </c>
      <c r="AK3525" s="41"/>
      <c r="AL3525" s="73"/>
      <c r="AM3525" s="53">
        <f>(AM$29/AM$27)^2*(AM3522-('Valve Sizing'!$V$4*'Valve Sizing'!$G$7))</f>
        <v>-2339.4059645183193</v>
      </c>
      <c r="AN3525" s="41"/>
      <c r="AO3525" s="73"/>
      <c r="AP3525" s="53">
        <f>(AP$29/AP$27)^2*(AP3522-('Valve Sizing'!$V$4*'Valve Sizing'!$G$7))</f>
        <v>-2608.3716059904573</v>
      </c>
      <c r="AQ3525" s="41"/>
      <c r="AR3525" s="73"/>
      <c r="AS3525" s="53">
        <f>(AS$29/AS$27)^2*(AS3522-('Valve Sizing'!$V$4*'Valve Sizing'!$G$7))</f>
        <v>-3226.5178510895885</v>
      </c>
      <c r="AT3525" s="41"/>
      <c r="AU3525" s="73"/>
    </row>
    <row r="3526" spans="15:47" ht="13" x14ac:dyDescent="0.25">
      <c r="O3526" s="1" t="s">
        <v>69</v>
      </c>
      <c r="P3526" s="17">
        <v>7</v>
      </c>
      <c r="Q3526" s="65"/>
      <c r="R3526" s="53">
        <f>(R3520/(N_1*F_P_h))*SQRT('Valve Sizing'!$G$6/R3524)</f>
        <v>85.358717376070146</v>
      </c>
      <c r="S3526" s="58"/>
      <c r="T3526" s="73"/>
      <c r="U3526" s="64">
        <f>(U3520/(N_1*U$27))*SQRT('Valve Sizing'!$G$6/U3524)</f>
        <v>174.12729099142871</v>
      </c>
      <c r="V3526" s="41"/>
      <c r="W3526" s="73"/>
      <c r="X3526" s="64" t="e">
        <f>(X3520/(N_1*X$27))*SQRT('Valve Sizing'!$G$6/X3524)</f>
        <v>#NUM!</v>
      </c>
      <c r="Y3526" s="41"/>
      <c r="Z3526" s="73"/>
      <c r="AA3526" s="64" t="e">
        <f>(AA3520/(N_1*AA$27))*SQRT('Valve Sizing'!$G$6/AA3524)</f>
        <v>#NUM!</v>
      </c>
      <c r="AB3526" s="41"/>
      <c r="AC3526" s="73"/>
      <c r="AD3526" s="64" t="e">
        <f>(AD3520/(N_1*AD$27))*SQRT('Valve Sizing'!$G$6/AD3524)</f>
        <v>#NUM!</v>
      </c>
      <c r="AE3526" s="41"/>
      <c r="AF3526" s="73"/>
      <c r="AG3526" s="64" t="e">
        <f>(AG3520/(N_1*AG$27))*SQRT('Valve Sizing'!$G$6/AG3524)</f>
        <v>#NUM!</v>
      </c>
      <c r="AH3526" s="41"/>
      <c r="AI3526" s="73"/>
      <c r="AJ3526" s="64" t="e">
        <f>(AJ3520/(N_1*AJ$27))*SQRT('Valve Sizing'!$G$6/AJ3524)</f>
        <v>#NUM!</v>
      </c>
      <c r="AK3526" s="41"/>
      <c r="AL3526" s="73"/>
      <c r="AM3526" s="64" t="e">
        <f>(AM3520/(N_1*AM$27))*SQRT('Valve Sizing'!$G$6/AM3524)</f>
        <v>#NUM!</v>
      </c>
      <c r="AN3526" s="41"/>
      <c r="AO3526" s="73"/>
      <c r="AP3526" s="64" t="e">
        <f>(AP3520/(N_1*AP$27))*SQRT('Valve Sizing'!$G$6/AP3524)</f>
        <v>#NUM!</v>
      </c>
      <c r="AQ3526" s="41"/>
      <c r="AR3526" s="73"/>
      <c r="AS3526" s="64" t="e">
        <f>(AS3520/(N_1*AS$27))*SQRT('Valve Sizing'!$G$6/AS3524)</f>
        <v>#NUM!</v>
      </c>
      <c r="AT3526" s="41"/>
      <c r="AU3526" s="73"/>
    </row>
    <row r="3527" spans="15:47" ht="13" x14ac:dyDescent="0.3">
      <c r="O3527" s="1" t="s">
        <v>72</v>
      </c>
      <c r="P3527" s="17">
        <v>7</v>
      </c>
      <c r="Q3527" s="65"/>
      <c r="R3527" s="53">
        <f>(R3520/(N_1*F_P_h))*SQRT('Valve Sizing'!$G$6/R3525)</f>
        <v>65.975606930830665</v>
      </c>
      <c r="S3527" s="56"/>
      <c r="T3527" s="72"/>
      <c r="U3527" s="85">
        <f>(U3520/(N_1*U$27))*SQRT('Valve Sizing'!$G$6/U3525)</f>
        <v>112.84981518083026</v>
      </c>
      <c r="V3527" s="44"/>
      <c r="W3527" s="72"/>
      <c r="X3527" s="85" t="e">
        <f>(X3520/(N_1*X$27))*SQRT('Valve Sizing'!$G$6/X3525)</f>
        <v>#NUM!</v>
      </c>
      <c r="Y3527" s="44"/>
      <c r="Z3527" s="72"/>
      <c r="AA3527" s="85" t="e">
        <f>(AA3520/(N_1*AA$27))*SQRT('Valve Sizing'!$G$6/AA3525)</f>
        <v>#NUM!</v>
      </c>
      <c r="AB3527" s="44"/>
      <c r="AC3527" s="72"/>
      <c r="AD3527" s="85" t="e">
        <f>(AD3520/(N_1*AD$27))*SQRT('Valve Sizing'!$G$6/AD3525)</f>
        <v>#NUM!</v>
      </c>
      <c r="AE3527" s="44"/>
      <c r="AF3527" s="72"/>
      <c r="AG3527" s="85" t="e">
        <f>(AG3520/(N_1*AG$27))*SQRT('Valve Sizing'!$G$6/AG3525)</f>
        <v>#NUM!</v>
      </c>
      <c r="AH3527" s="44"/>
      <c r="AI3527" s="72"/>
      <c r="AJ3527" s="85" t="e">
        <f>(AJ3520/(N_1*AJ$27))*SQRT('Valve Sizing'!$G$6/AJ3525)</f>
        <v>#NUM!</v>
      </c>
      <c r="AK3527" s="44"/>
      <c r="AL3527" s="72"/>
      <c r="AM3527" s="85" t="e">
        <f>(AM3520/(N_1*AM$27))*SQRT('Valve Sizing'!$G$6/AM3525)</f>
        <v>#NUM!</v>
      </c>
      <c r="AN3527" s="44"/>
      <c r="AO3527" s="72"/>
      <c r="AP3527" s="85" t="e">
        <f>(AP3520/(N_1*AP$27))*SQRT('Valve Sizing'!$G$6/AP3525)</f>
        <v>#NUM!</v>
      </c>
      <c r="AQ3527" s="44"/>
      <c r="AR3527" s="72"/>
      <c r="AS3527" s="85" t="e">
        <f>(AS3520/(N_1*AS$27))*SQRT('Valve Sizing'!$G$6/AS3525)</f>
        <v>#NUM!</v>
      </c>
      <c r="AT3527" s="44"/>
      <c r="AU3527" s="72"/>
    </row>
    <row r="3528" spans="15:47" x14ac:dyDescent="0.25">
      <c r="O3528" s="1" t="s">
        <v>246</v>
      </c>
      <c r="P3528" s="18"/>
      <c r="Q3528" s="65"/>
      <c r="R3528" s="53">
        <f>IF(R3524&lt;R3525,R3526,R3527)</f>
        <v>85.358717376070146</v>
      </c>
      <c r="S3528" s="49"/>
      <c r="T3528" s="72"/>
      <c r="U3528" s="64">
        <f>IF(U3524&lt;U3525,U3526,U3527)</f>
        <v>174.12729099142871</v>
      </c>
      <c r="V3528" s="44"/>
      <c r="W3528" s="72"/>
      <c r="X3528" s="64" t="e">
        <f>IF(X3524&lt;X3525,X3526,X3527)</f>
        <v>#NUM!</v>
      </c>
      <c r="Y3528" s="44"/>
      <c r="Z3528" s="72"/>
      <c r="AA3528" s="64" t="e">
        <f>IF(AA3524&lt;AA3525,AA3526,AA3527)</f>
        <v>#NUM!</v>
      </c>
      <c r="AB3528" s="44"/>
      <c r="AC3528" s="72"/>
      <c r="AD3528" s="64" t="e">
        <f>IF(AD3524&lt;AD3525,AD3526,AD3527)</f>
        <v>#NUM!</v>
      </c>
      <c r="AE3528" s="44"/>
      <c r="AF3528" s="72"/>
      <c r="AG3528" s="64" t="e">
        <f>IF(AG3524&lt;AG3525,AG3526,AG3527)</f>
        <v>#NUM!</v>
      </c>
      <c r="AH3528" s="44"/>
      <c r="AI3528" s="72"/>
      <c r="AJ3528" s="64" t="e">
        <f>IF(AJ3524&lt;AJ3525,AJ3526,AJ3527)</f>
        <v>#NUM!</v>
      </c>
      <c r="AK3528" s="44"/>
      <c r="AL3528" s="72"/>
      <c r="AM3528" s="64" t="e">
        <f>IF(AM3524&lt;AM3525,AM3526,AM3527)</f>
        <v>#NUM!</v>
      </c>
      <c r="AN3528" s="44"/>
      <c r="AO3528" s="72"/>
      <c r="AP3528" s="64" t="e">
        <f>IF(AP3524&lt;AP3525,AP3526,AP3527)</f>
        <v>#NUM!</v>
      </c>
      <c r="AQ3528" s="44"/>
      <c r="AR3528" s="72"/>
      <c r="AS3528" s="64" t="e">
        <f>IF(AS3524&lt;AS3525,AS3526,AS3527)</f>
        <v>#NUM!</v>
      </c>
      <c r="AT3528" s="44"/>
      <c r="AU3528" s="72"/>
    </row>
    <row r="3529" spans="15:47" ht="13" x14ac:dyDescent="0.3">
      <c r="O3529" s="7" t="s">
        <v>264</v>
      </c>
      <c r="Q3529" s="61"/>
      <c r="R3529" s="53"/>
      <c r="S3529" s="69">
        <f>IFERROR(ABS(C_h-R3528),Q_max*10)</f>
        <v>80.358717376070146</v>
      </c>
      <c r="T3529" s="76">
        <f>R3520</f>
        <v>425.93608575521517</v>
      </c>
      <c r="U3529" s="61"/>
      <c r="V3529" s="69">
        <f>IFERROR(ABS(U$23-U3528),Q_max*10)</f>
        <v>162.12729099142871</v>
      </c>
      <c r="W3529" s="75">
        <f>U3520</f>
        <v>662.21100409350231</v>
      </c>
      <c r="X3529" s="61"/>
      <c r="Y3529" s="69">
        <f>IFERROR(ABS(X$23-X3528),Q_max*10)</f>
        <v>5500</v>
      </c>
      <c r="Z3529" s="75">
        <f>X3520</f>
        <v>1589.5613196109484</v>
      </c>
      <c r="AA3529" s="61"/>
      <c r="AB3529" s="69">
        <f>IFERROR(ABS(AA$23-AA3528),Q_max*10)</f>
        <v>5500</v>
      </c>
      <c r="AC3529" s="75">
        <f>AA3520</f>
        <v>3035.0551145633417</v>
      </c>
      <c r="AD3529" s="61"/>
      <c r="AE3529" s="69">
        <f>IFERROR(ABS(AD$23-AD3528),Q_max*10)</f>
        <v>5500</v>
      </c>
      <c r="AF3529" s="75">
        <f>AD3520</f>
        <v>4991.5482224609023</v>
      </c>
      <c r="AG3529" s="61"/>
      <c r="AH3529" s="69">
        <f>IFERROR(ABS(AG$23-AG3528),Q_max*10)</f>
        <v>5500</v>
      </c>
      <c r="AI3529" s="75">
        <f>AG3520</f>
        <v>7431.7351228787884</v>
      </c>
      <c r="AJ3529" s="61"/>
      <c r="AK3529" s="69">
        <f>IFERROR(ABS(AJ$23-AJ3528),Q_max*10)</f>
        <v>5500</v>
      </c>
      <c r="AL3529" s="75">
        <f>AJ3520</f>
        <v>9917.6793311026104</v>
      </c>
      <c r="AM3529" s="61"/>
      <c r="AN3529" s="69">
        <f>IFERROR(ABS(AM$23-AM3528),Q_max*10)</f>
        <v>5500</v>
      </c>
      <c r="AO3529" s="75">
        <f>AM3520</f>
        <v>12101.45353920922</v>
      </c>
      <c r="AP3529" s="61"/>
      <c r="AQ3529" s="69">
        <f>IFERROR(ABS(AP$23-AP3528),Q_max*10)</f>
        <v>5500</v>
      </c>
      <c r="AR3529" s="75">
        <f>AP3520</f>
        <v>14049.411873874304</v>
      </c>
      <c r="AS3529" s="61"/>
      <c r="AT3529" s="69">
        <f>IFERROR(ABS(AS$23-AS3528),Q_max*10)</f>
        <v>5500</v>
      </c>
      <c r="AU3529" s="75">
        <f>AS3520</f>
        <v>15989.541247696015</v>
      </c>
    </row>
    <row r="3530" spans="15:47" ht="14.5" x14ac:dyDescent="0.35">
      <c r="O3530" s="8"/>
      <c r="P3530" s="6"/>
      <c r="Q3530" s="60"/>
      <c r="R3530" s="67"/>
      <c r="S3530" s="56"/>
      <c r="T3530" s="72"/>
      <c r="V3530" s="11"/>
      <c r="W3530" s="38"/>
      <c r="Y3530" s="11"/>
      <c r="Z3530" s="38"/>
      <c r="AB3530" s="11"/>
      <c r="AC3530" s="38"/>
      <c r="AE3530" s="11"/>
      <c r="AF3530" s="38"/>
      <c r="AH3530" s="11"/>
      <c r="AI3530" s="38"/>
      <c r="AK3530" s="11"/>
      <c r="AL3530" s="38"/>
      <c r="AN3530" s="11"/>
      <c r="AO3530" s="38"/>
      <c r="AQ3530" s="11"/>
      <c r="AR3530" s="38"/>
      <c r="AT3530" s="11"/>
      <c r="AU3530" s="38"/>
    </row>
    <row r="3531" spans="15:47" ht="14" x14ac:dyDescent="0.3">
      <c r="O3531" s="8" t="s">
        <v>235</v>
      </c>
      <c r="P3531" s="6"/>
      <c r="Q3531" s="60"/>
      <c r="R3531" s="53">
        <f>R3520*1.02</f>
        <v>434.45480747031951</v>
      </c>
      <c r="S3531" s="58" t="s">
        <v>238</v>
      </c>
      <c r="T3531" s="73" t="s">
        <v>241</v>
      </c>
      <c r="U3531" s="84">
        <f>U3520*1.01</f>
        <v>668.83311413443732</v>
      </c>
      <c r="V3531" s="58" t="s">
        <v>238</v>
      </c>
      <c r="W3531" s="73" t="s">
        <v>241</v>
      </c>
      <c r="X3531" s="84">
        <f>X3520*1.01</f>
        <v>1605.4569328070579</v>
      </c>
      <c r="Y3531" s="58" t="s">
        <v>238</v>
      </c>
      <c r="Z3531" s="73" t="s">
        <v>241</v>
      </c>
      <c r="AA3531" s="84">
        <f>AA3520*1.01</f>
        <v>3065.405665708975</v>
      </c>
      <c r="AB3531" s="58" t="s">
        <v>238</v>
      </c>
      <c r="AC3531" s="73" t="s">
        <v>241</v>
      </c>
      <c r="AD3531" s="84">
        <f>AD3520*1.01</f>
        <v>5041.4637046855114</v>
      </c>
      <c r="AE3531" s="58" t="s">
        <v>238</v>
      </c>
      <c r="AF3531" s="73" t="s">
        <v>241</v>
      </c>
      <c r="AG3531" s="84">
        <f>AG3520*1.01</f>
        <v>7506.052474107576</v>
      </c>
      <c r="AH3531" s="58" t="s">
        <v>238</v>
      </c>
      <c r="AI3531" s="73" t="s">
        <v>241</v>
      </c>
      <c r="AJ3531" s="84">
        <f>AJ3520*1.01</f>
        <v>10016.856124413636</v>
      </c>
      <c r="AK3531" s="58" t="s">
        <v>238</v>
      </c>
      <c r="AL3531" s="73" t="s">
        <v>241</v>
      </c>
      <c r="AM3531" s="84">
        <f>AM3520*1.01</f>
        <v>12222.468074601313</v>
      </c>
      <c r="AN3531" s="58" t="s">
        <v>238</v>
      </c>
      <c r="AO3531" s="73" t="s">
        <v>241</v>
      </c>
      <c r="AP3531" s="84">
        <f>AP3520*1.01</f>
        <v>14189.905992613047</v>
      </c>
      <c r="AQ3531" s="58" t="s">
        <v>238</v>
      </c>
      <c r="AR3531" s="73" t="s">
        <v>241</v>
      </c>
      <c r="AS3531" s="84">
        <f>AS3520*1.01</f>
        <v>16149.436660172976</v>
      </c>
      <c r="AT3531" s="58" t="s">
        <v>238</v>
      </c>
      <c r="AU3531" s="73" t="s">
        <v>241</v>
      </c>
    </row>
    <row r="3532" spans="15:47" ht="13" x14ac:dyDescent="0.25">
      <c r="O3532" s="6"/>
      <c r="P3532" s="6"/>
      <c r="Q3532" s="60"/>
      <c r="R3532" s="70"/>
      <c r="S3532" s="63" t="s">
        <v>250</v>
      </c>
      <c r="T3532" s="71" t="s">
        <v>242</v>
      </c>
      <c r="U3532" s="61"/>
      <c r="V3532" s="63" t="s">
        <v>250</v>
      </c>
      <c r="W3532" s="71" t="s">
        <v>242</v>
      </c>
      <c r="X3532" s="61"/>
      <c r="Y3532" s="63" t="s">
        <v>250</v>
      </c>
      <c r="Z3532" s="71" t="s">
        <v>242</v>
      </c>
      <c r="AA3532" s="61"/>
      <c r="AB3532" s="63" t="s">
        <v>250</v>
      </c>
      <c r="AC3532" s="71" t="s">
        <v>242</v>
      </c>
      <c r="AD3532" s="61"/>
      <c r="AE3532" s="63" t="s">
        <v>250</v>
      </c>
      <c r="AF3532" s="71" t="s">
        <v>242</v>
      </c>
      <c r="AG3532" s="61"/>
      <c r="AH3532" s="63" t="s">
        <v>250</v>
      </c>
      <c r="AI3532" s="71" t="s">
        <v>242</v>
      </c>
      <c r="AJ3532" s="61"/>
      <c r="AK3532" s="63" t="s">
        <v>250</v>
      </c>
      <c r="AL3532" s="71" t="s">
        <v>242</v>
      </c>
      <c r="AM3532" s="61"/>
      <c r="AN3532" s="63" t="s">
        <v>250</v>
      </c>
      <c r="AO3532" s="71" t="s">
        <v>242</v>
      </c>
      <c r="AP3532" s="61"/>
      <c r="AQ3532" s="63" t="s">
        <v>250</v>
      </c>
      <c r="AR3532" s="71" t="s">
        <v>242</v>
      </c>
      <c r="AS3532" s="61"/>
      <c r="AT3532" s="63" t="s">
        <v>250</v>
      </c>
      <c r="AU3532" s="71" t="s">
        <v>242</v>
      </c>
    </row>
    <row r="3533" spans="15:47" ht="13" x14ac:dyDescent="0.3">
      <c r="O3533" s="6" t="s">
        <v>231</v>
      </c>
      <c r="P3533" s="6"/>
      <c r="Q3533" s="60"/>
      <c r="R3533" s="85">
        <f>P_1_minQ-(R3531^2*R_up)+dpup_minQ</f>
        <v>50.541574477066114</v>
      </c>
      <c r="S3533" s="56"/>
      <c r="T3533" s="72"/>
      <c r="U3533" s="53">
        <f>P_1_minQ-(U3531^2*R_up)+dpup_minQ</f>
        <v>41.808485830369158</v>
      </c>
      <c r="V3533" s="44"/>
      <c r="W3533" s="72"/>
      <c r="X3533" s="53">
        <f>P_1_minQ-(X3531^2*R_up)+dpup_minQ</f>
        <v>-30.131879874982989</v>
      </c>
      <c r="Y3533" s="44"/>
      <c r="Z3533" s="72"/>
      <c r="AA3533" s="53">
        <f>P_1_minQ-(AA3531^2*R_up)+dpup_minQ</f>
        <v>-260.43312716517005</v>
      </c>
      <c r="AB3533" s="44"/>
      <c r="AC3533" s="72"/>
      <c r="AD3533" s="53">
        <f>P_1_minQ-(AD3531^2*R_up)+dpup_minQ</f>
        <v>-801.45455203179199</v>
      </c>
      <c r="AE3533" s="44"/>
      <c r="AF3533" s="72"/>
      <c r="AG3533" s="53">
        <f>P_1_minQ-(AG3531^2*R_up)+dpup_minQ</f>
        <v>-1845.8472389076821</v>
      </c>
      <c r="AH3533" s="44"/>
      <c r="AI3533" s="72"/>
      <c r="AJ3533" s="53">
        <f>P_1_minQ-(AJ3531^2*R_up)+dpup_minQ</f>
        <v>-3331.7162991287732</v>
      </c>
      <c r="AK3533" s="44"/>
      <c r="AL3533" s="72"/>
      <c r="AM3533" s="53">
        <f>P_1_minQ-(AM3531^2*R_up)+dpup_minQ</f>
        <v>-4988.2958066412812</v>
      </c>
      <c r="AN3533" s="44"/>
      <c r="AO3533" s="72"/>
      <c r="AP3533" s="53">
        <f>P_1_minQ-(AP3531^2*R_up)+dpup_minQ</f>
        <v>-6743.2673110164023</v>
      </c>
      <c r="AQ3533" s="44"/>
      <c r="AR3533" s="72"/>
      <c r="AS3533" s="53">
        <f>P_1_minQ-(AS3531^2*R_up)+dpup_minQ</f>
        <v>-8751.0644188091483</v>
      </c>
      <c r="AT3533" s="44"/>
      <c r="AU3533" s="72"/>
    </row>
    <row r="3534" spans="15:47" ht="13" x14ac:dyDescent="0.3">
      <c r="O3534" s="6" t="s">
        <v>233</v>
      </c>
      <c r="P3534" s="6"/>
      <c r="Q3534" s="60"/>
      <c r="R3534" s="85">
        <f>P_2_minQ+(R3531^2*R_dn)-dpdn_minQ</f>
        <v>25.93168510458678</v>
      </c>
      <c r="S3534" s="66"/>
      <c r="T3534" s="74"/>
      <c r="U3534" s="53">
        <f>P_2_minQ+(U3531^2*R_dn)-dpdn_minQ</f>
        <v>27.678302833926171</v>
      </c>
      <c r="V3534" s="45"/>
      <c r="W3534" s="74"/>
      <c r="X3534" s="53">
        <f>P_2_minQ+(X3531^2*R_dn)-dpdn_minQ</f>
        <v>42.066375974996603</v>
      </c>
      <c r="Y3534" s="45"/>
      <c r="Z3534" s="74"/>
      <c r="AA3534" s="53">
        <f>P_2_minQ+(AA3531^2*R_dn)-dpdn_minQ</f>
        <v>88.126625433034008</v>
      </c>
      <c r="AB3534" s="45"/>
      <c r="AC3534" s="74"/>
      <c r="AD3534" s="53">
        <f>P_2_minQ+(AD3531^2*R_dn)-dpdn_minQ</f>
        <v>196.33091040635841</v>
      </c>
      <c r="AE3534" s="45"/>
      <c r="AF3534" s="74"/>
      <c r="AG3534" s="53">
        <f>P_2_minQ+(AG3531^2*R_dn)-dpdn_minQ</f>
        <v>405.20944778153637</v>
      </c>
      <c r="AH3534" s="45"/>
      <c r="AI3534" s="74"/>
      <c r="AJ3534" s="53">
        <f>P_2_minQ+(AJ3531^2*R_dn)-dpdn_minQ</f>
        <v>702.38325982575464</v>
      </c>
      <c r="AK3534" s="45"/>
      <c r="AL3534" s="74"/>
      <c r="AM3534" s="53">
        <f>P_2_minQ+(AM3531^2*R_dn)-dpdn_minQ</f>
        <v>1033.6991613282562</v>
      </c>
      <c r="AN3534" s="45"/>
      <c r="AO3534" s="74"/>
      <c r="AP3534" s="53">
        <f>P_2_minQ+(AP3531^2*R_dn)-dpdn_minQ</f>
        <v>1384.6934622032804</v>
      </c>
      <c r="AQ3534" s="45"/>
      <c r="AR3534" s="74"/>
      <c r="AS3534" s="53">
        <f>P_2_minQ+(AS3531^2*R_dn)-dpdn_minQ</f>
        <v>1786.2528837618297</v>
      </c>
      <c r="AT3534" s="45"/>
      <c r="AU3534" s="74"/>
    </row>
    <row r="3535" spans="15:47" x14ac:dyDescent="0.25">
      <c r="O3535" s="6" t="s">
        <v>243</v>
      </c>
      <c r="Q3535" s="60"/>
      <c r="R3535" s="53">
        <f>R3533-R3534</f>
        <v>24.609889372479334</v>
      </c>
      <c r="S3535" s="56"/>
      <c r="T3535" s="72"/>
      <c r="U3535" s="64">
        <f>U3533-U3534</f>
        <v>14.130182996442986</v>
      </c>
      <c r="V3535" s="44"/>
      <c r="W3535" s="72"/>
      <c r="X3535" s="64">
        <f>X3533-X3534</f>
        <v>-72.198255849979589</v>
      </c>
      <c r="Y3535" s="44"/>
      <c r="Z3535" s="72"/>
      <c r="AA3535" s="64">
        <f>AA3533-AA3534</f>
        <v>-348.55975259820406</v>
      </c>
      <c r="AB3535" s="44"/>
      <c r="AC3535" s="72"/>
      <c r="AD3535" s="64">
        <f>AD3533-AD3534</f>
        <v>-997.78546243815038</v>
      </c>
      <c r="AE3535" s="44"/>
      <c r="AF3535" s="72"/>
      <c r="AG3535" s="64">
        <f>AG3533-AG3534</f>
        <v>-2251.0566866892186</v>
      </c>
      <c r="AH3535" s="44"/>
      <c r="AI3535" s="72"/>
      <c r="AJ3535" s="64">
        <f>AJ3533-AJ3534</f>
        <v>-4034.0995589545278</v>
      </c>
      <c r="AK3535" s="44"/>
      <c r="AL3535" s="72"/>
      <c r="AM3535" s="64">
        <f>AM3533-AM3534</f>
        <v>-6021.9949679695374</v>
      </c>
      <c r="AN3535" s="44"/>
      <c r="AO3535" s="72"/>
      <c r="AP3535" s="64">
        <f>AP3533-AP3534</f>
        <v>-8127.9607732196828</v>
      </c>
      <c r="AQ3535" s="44"/>
      <c r="AR3535" s="72"/>
      <c r="AS3535" s="64">
        <f>AS3533-AS3534</f>
        <v>-10537.317302570978</v>
      </c>
      <c r="AT3535" s="44"/>
      <c r="AU3535" s="72"/>
    </row>
    <row r="3536" spans="15:47" ht="13" x14ac:dyDescent="0.3">
      <c r="O3536" s="6" t="s">
        <v>75</v>
      </c>
      <c r="P3536" s="6">
        <v>3</v>
      </c>
      <c r="Q3536" s="65"/>
      <c r="R3536" s="85">
        <f>(F_LP_h/F_P_h)^2*(R3533-('Valve Sizing'!$V$4*'Valve Sizing'!$G$7))</f>
        <v>41.486685742657308</v>
      </c>
      <c r="S3536" s="58"/>
      <c r="T3536" s="73"/>
      <c r="U3536" s="53">
        <f>(U$29/U$27)^2*(U3533-('Valve Sizing'!$V$4*'Valve Sizing'!$G$7))</f>
        <v>34.24589338334777</v>
      </c>
      <c r="V3536" s="41"/>
      <c r="W3536" s="73"/>
      <c r="X3536" s="53">
        <f>(X$29/X$27)^2*(X3533-('Valve Sizing'!$V$4*'Valve Sizing'!$G$7))</f>
        <v>-24.737392249233519</v>
      </c>
      <c r="Y3536" s="41"/>
      <c r="Z3536" s="73"/>
      <c r="AA3536" s="53">
        <f>(AA$29/AA$27)^2*(AA3533-('Valve Sizing'!$V$4*'Valve Sizing'!$G$7))</f>
        <v>-201.60207236541194</v>
      </c>
      <c r="AB3536" s="41"/>
      <c r="AC3536" s="73"/>
      <c r="AD3536" s="53">
        <f>(AD$29/AD$27)^2*(AD3533-('Valve Sizing'!$V$4*'Valve Sizing'!$G$7))</f>
        <v>-578.31629439824735</v>
      </c>
      <c r="AE3536" s="41"/>
      <c r="AF3536" s="73"/>
      <c r="AG3536" s="53">
        <f>(AG$29/AG$27)^2*(AG3533-('Valve Sizing'!$V$4*'Valve Sizing'!$G$7))</f>
        <v>-1189.0901655063851</v>
      </c>
      <c r="AH3536" s="41"/>
      <c r="AI3536" s="73"/>
      <c r="AJ3536" s="53">
        <f>(AJ$29/AJ$27)^2*(AJ3533-('Valve Sizing'!$V$4*'Valve Sizing'!$G$7))</f>
        <v>-1927.2003965023571</v>
      </c>
      <c r="AK3536" s="41"/>
      <c r="AL3536" s="73"/>
      <c r="AM3536" s="53">
        <f>(AM$29/AM$27)^2*(AM3533-('Valve Sizing'!$V$4*'Valve Sizing'!$G$7))</f>
        <v>-2386.9711713090578</v>
      </c>
      <c r="AN3536" s="41"/>
      <c r="AO3536" s="73"/>
      <c r="AP3536" s="53">
        <f>(AP$29/AP$27)^2*(AP3533-('Valve Sizing'!$V$4*'Valve Sizing'!$G$7))</f>
        <v>-2661.2478435377652</v>
      </c>
      <c r="AQ3536" s="41"/>
      <c r="AR3536" s="73"/>
      <c r="AS3536" s="53">
        <f>(AS$29/AS$27)^2*(AS3533-('Valve Sizing'!$V$4*'Valve Sizing'!$G$7))</f>
        <v>-3291.7978433856065</v>
      </c>
      <c r="AT3536" s="41"/>
      <c r="AU3536" s="73"/>
    </row>
    <row r="3537" spans="15:47" ht="13" x14ac:dyDescent="0.25">
      <c r="O3537" s="1" t="s">
        <v>69</v>
      </c>
      <c r="P3537" s="17">
        <v>7</v>
      </c>
      <c r="Q3537" s="65"/>
      <c r="R3537" s="53">
        <f>(R3531/(N_1*F_P_h))*SQRT('Valve Sizing'!$G$6/R3535)</f>
        <v>87.589753715736364</v>
      </c>
      <c r="S3537" s="58"/>
      <c r="T3537" s="73"/>
      <c r="U3537" s="64">
        <f>(U3531/(N_1*U$27))*SQRT('Valve Sizing'!$G$6/U3535)</f>
        <v>178.07770265862274</v>
      </c>
      <c r="V3537" s="41"/>
      <c r="W3537" s="73"/>
      <c r="X3537" s="64" t="e">
        <f>(X3531/(N_1*X$27))*SQRT('Valve Sizing'!$G$6/X3535)</f>
        <v>#NUM!</v>
      </c>
      <c r="Y3537" s="41"/>
      <c r="Z3537" s="73"/>
      <c r="AA3537" s="64" t="e">
        <f>(AA3531/(N_1*AA$27))*SQRT('Valve Sizing'!$G$6/AA3535)</f>
        <v>#NUM!</v>
      </c>
      <c r="AB3537" s="41"/>
      <c r="AC3537" s="73"/>
      <c r="AD3537" s="64" t="e">
        <f>(AD3531/(N_1*AD$27))*SQRT('Valve Sizing'!$G$6/AD3535)</f>
        <v>#NUM!</v>
      </c>
      <c r="AE3537" s="41"/>
      <c r="AF3537" s="73"/>
      <c r="AG3537" s="64" t="e">
        <f>(AG3531/(N_1*AG$27))*SQRT('Valve Sizing'!$G$6/AG3535)</f>
        <v>#NUM!</v>
      </c>
      <c r="AH3537" s="41"/>
      <c r="AI3537" s="73"/>
      <c r="AJ3537" s="64" t="e">
        <f>(AJ3531/(N_1*AJ$27))*SQRT('Valve Sizing'!$G$6/AJ3535)</f>
        <v>#NUM!</v>
      </c>
      <c r="AK3537" s="41"/>
      <c r="AL3537" s="73"/>
      <c r="AM3537" s="64" t="e">
        <f>(AM3531/(N_1*AM$27))*SQRT('Valve Sizing'!$G$6/AM3535)</f>
        <v>#NUM!</v>
      </c>
      <c r="AN3537" s="41"/>
      <c r="AO3537" s="73"/>
      <c r="AP3537" s="64" t="e">
        <f>(AP3531/(N_1*AP$27))*SQRT('Valve Sizing'!$G$6/AP3535)</f>
        <v>#NUM!</v>
      </c>
      <c r="AQ3537" s="41"/>
      <c r="AR3537" s="73"/>
      <c r="AS3537" s="64" t="e">
        <f>(AS3531/(N_1*AS$27))*SQRT('Valve Sizing'!$G$6/AS3535)</f>
        <v>#NUM!</v>
      </c>
      <c r="AT3537" s="41"/>
      <c r="AU3537" s="73"/>
    </row>
    <row r="3538" spans="15:47" ht="13" x14ac:dyDescent="0.3">
      <c r="O3538" s="1" t="s">
        <v>72</v>
      </c>
      <c r="P3538" s="17">
        <v>7</v>
      </c>
      <c r="Q3538" s="65"/>
      <c r="R3538" s="53">
        <f>(R3531/(N_1*F_P_h))*SQRT('Valve Sizing'!$G$6/R3536)</f>
        <v>67.46115385880249</v>
      </c>
      <c r="S3538" s="56"/>
      <c r="T3538" s="72"/>
      <c r="U3538" s="85">
        <f>(U3531/(N_1*U$27))*SQRT('Valve Sizing'!$G$6/U3536)</f>
        <v>114.38766302528555</v>
      </c>
      <c r="V3538" s="44"/>
      <c r="W3538" s="72"/>
      <c r="X3538" s="85" t="e">
        <f>(X3531/(N_1*X$27))*SQRT('Valve Sizing'!$G$6/X3536)</f>
        <v>#NUM!</v>
      </c>
      <c r="Y3538" s="44"/>
      <c r="Z3538" s="72"/>
      <c r="AA3538" s="85" t="e">
        <f>(AA3531/(N_1*AA$27))*SQRT('Valve Sizing'!$G$6/AA3536)</f>
        <v>#NUM!</v>
      </c>
      <c r="AB3538" s="44"/>
      <c r="AC3538" s="72"/>
      <c r="AD3538" s="85" t="e">
        <f>(AD3531/(N_1*AD$27))*SQRT('Valve Sizing'!$G$6/AD3536)</f>
        <v>#NUM!</v>
      </c>
      <c r="AE3538" s="44"/>
      <c r="AF3538" s="72"/>
      <c r="AG3538" s="85" t="e">
        <f>(AG3531/(N_1*AG$27))*SQRT('Valve Sizing'!$G$6/AG3536)</f>
        <v>#NUM!</v>
      </c>
      <c r="AH3538" s="44"/>
      <c r="AI3538" s="72"/>
      <c r="AJ3538" s="85" t="e">
        <f>(AJ3531/(N_1*AJ$27))*SQRT('Valve Sizing'!$G$6/AJ3536)</f>
        <v>#NUM!</v>
      </c>
      <c r="AK3538" s="44"/>
      <c r="AL3538" s="72"/>
      <c r="AM3538" s="85" t="e">
        <f>(AM3531/(N_1*AM$27))*SQRT('Valve Sizing'!$G$6/AM3536)</f>
        <v>#NUM!</v>
      </c>
      <c r="AN3538" s="44"/>
      <c r="AO3538" s="72"/>
      <c r="AP3538" s="85" t="e">
        <f>(AP3531/(N_1*AP$27))*SQRT('Valve Sizing'!$G$6/AP3536)</f>
        <v>#NUM!</v>
      </c>
      <c r="AQ3538" s="44"/>
      <c r="AR3538" s="72"/>
      <c r="AS3538" s="85" t="e">
        <f>(AS3531/(N_1*AS$27))*SQRT('Valve Sizing'!$G$6/AS3536)</f>
        <v>#NUM!</v>
      </c>
      <c r="AT3538" s="44"/>
      <c r="AU3538" s="72"/>
    </row>
    <row r="3539" spans="15:47" x14ac:dyDescent="0.25">
      <c r="O3539" s="1" t="s">
        <v>246</v>
      </c>
      <c r="P3539" s="18"/>
      <c r="Q3539" s="65"/>
      <c r="R3539" s="53">
        <f>IF(R3535&lt;R3536,R3537,R3538)</f>
        <v>87.589753715736364</v>
      </c>
      <c r="S3539" s="49"/>
      <c r="T3539" s="72"/>
      <c r="U3539" s="64">
        <f>IF(U3535&lt;U3536,U3537,U3538)</f>
        <v>178.07770265862274</v>
      </c>
      <c r="V3539" s="44"/>
      <c r="W3539" s="72"/>
      <c r="X3539" s="64" t="e">
        <f>IF(X3535&lt;X3536,X3537,X3538)</f>
        <v>#NUM!</v>
      </c>
      <c r="Y3539" s="44"/>
      <c r="Z3539" s="72"/>
      <c r="AA3539" s="64" t="e">
        <f>IF(AA3535&lt;AA3536,AA3537,AA3538)</f>
        <v>#NUM!</v>
      </c>
      <c r="AB3539" s="44"/>
      <c r="AC3539" s="72"/>
      <c r="AD3539" s="64" t="e">
        <f>IF(AD3535&lt;AD3536,AD3537,AD3538)</f>
        <v>#NUM!</v>
      </c>
      <c r="AE3539" s="44"/>
      <c r="AF3539" s="72"/>
      <c r="AG3539" s="64" t="e">
        <f>IF(AG3535&lt;AG3536,AG3537,AG3538)</f>
        <v>#NUM!</v>
      </c>
      <c r="AH3539" s="44"/>
      <c r="AI3539" s="72"/>
      <c r="AJ3539" s="64" t="e">
        <f>IF(AJ3535&lt;AJ3536,AJ3537,AJ3538)</f>
        <v>#NUM!</v>
      </c>
      <c r="AK3539" s="44"/>
      <c r="AL3539" s="72"/>
      <c r="AM3539" s="64" t="e">
        <f>IF(AM3535&lt;AM3536,AM3537,AM3538)</f>
        <v>#NUM!</v>
      </c>
      <c r="AN3539" s="44"/>
      <c r="AO3539" s="72"/>
      <c r="AP3539" s="64" t="e">
        <f>IF(AP3535&lt;AP3536,AP3537,AP3538)</f>
        <v>#NUM!</v>
      </c>
      <c r="AQ3539" s="44"/>
      <c r="AR3539" s="72"/>
      <c r="AS3539" s="64" t="e">
        <f>IF(AS3535&lt;AS3536,AS3537,AS3538)</f>
        <v>#NUM!</v>
      </c>
      <c r="AT3539" s="44"/>
      <c r="AU3539" s="72"/>
    </row>
    <row r="3540" spans="15:47" ht="13" x14ac:dyDescent="0.3">
      <c r="O3540" s="7" t="s">
        <v>264</v>
      </c>
      <c r="Q3540" s="61"/>
      <c r="R3540" s="53"/>
      <c r="S3540" s="69">
        <f>IFERROR(ABS(C_h-R3539),Q_max*10)</f>
        <v>82.589753715736364</v>
      </c>
      <c r="T3540" s="76">
        <f>R3531</f>
        <v>434.45480747031951</v>
      </c>
      <c r="U3540" s="61"/>
      <c r="V3540" s="69">
        <f>IFERROR(ABS(U$23-U3539),Q_max*10)</f>
        <v>166.07770265862274</v>
      </c>
      <c r="W3540" s="75">
        <f>U3531</f>
        <v>668.83311413443732</v>
      </c>
      <c r="X3540" s="61"/>
      <c r="Y3540" s="69">
        <f>IFERROR(ABS(X$23-X3539),Q_max*10)</f>
        <v>5500</v>
      </c>
      <c r="Z3540" s="75">
        <f>X3531</f>
        <v>1605.4569328070579</v>
      </c>
      <c r="AA3540" s="61"/>
      <c r="AB3540" s="69">
        <f>IFERROR(ABS(AA$23-AA3539),Q_max*10)</f>
        <v>5500</v>
      </c>
      <c r="AC3540" s="75">
        <f>AA3531</f>
        <v>3065.405665708975</v>
      </c>
      <c r="AD3540" s="61"/>
      <c r="AE3540" s="69">
        <f>IFERROR(ABS(AD$23-AD3539),Q_max*10)</f>
        <v>5500</v>
      </c>
      <c r="AF3540" s="75">
        <f>AD3531</f>
        <v>5041.4637046855114</v>
      </c>
      <c r="AG3540" s="61"/>
      <c r="AH3540" s="69">
        <f>IFERROR(ABS(AG$23-AG3539),Q_max*10)</f>
        <v>5500</v>
      </c>
      <c r="AI3540" s="75">
        <f>AG3531</f>
        <v>7506.052474107576</v>
      </c>
      <c r="AJ3540" s="61"/>
      <c r="AK3540" s="69">
        <f>IFERROR(ABS(AJ$23-AJ3539),Q_max*10)</f>
        <v>5500</v>
      </c>
      <c r="AL3540" s="75">
        <f>AJ3531</f>
        <v>10016.856124413636</v>
      </c>
      <c r="AM3540" s="61"/>
      <c r="AN3540" s="69">
        <f>IFERROR(ABS(AM$23-AM3539),Q_max*10)</f>
        <v>5500</v>
      </c>
      <c r="AO3540" s="75">
        <f>AM3531</f>
        <v>12222.468074601313</v>
      </c>
      <c r="AP3540" s="61"/>
      <c r="AQ3540" s="69">
        <f>IFERROR(ABS(AP$23-AP3539),Q_max*10)</f>
        <v>5500</v>
      </c>
      <c r="AR3540" s="75">
        <f>AP3531</f>
        <v>14189.905992613047</v>
      </c>
      <c r="AS3540" s="61"/>
      <c r="AT3540" s="69">
        <f>IFERROR(ABS(AS$23-AS3539),Q_max*10)</f>
        <v>5500</v>
      </c>
      <c r="AU3540" s="75">
        <f>AS3531</f>
        <v>16149.436660172976</v>
      </c>
    </row>
    <row r="3541" spans="15:47" ht="14.5" x14ac:dyDescent="0.35">
      <c r="O3541" s="6"/>
      <c r="P3541" s="6"/>
      <c r="Q3541" s="60"/>
      <c r="R3541" s="67"/>
      <c r="S3541" s="56"/>
      <c r="T3541" s="72"/>
      <c r="V3541" s="11"/>
      <c r="W3541" s="38"/>
      <c r="Y3541" s="11"/>
      <c r="Z3541" s="38"/>
      <c r="AB3541" s="11"/>
      <c r="AC3541" s="38"/>
      <c r="AE3541" s="11"/>
      <c r="AF3541" s="38"/>
      <c r="AH3541" s="11"/>
      <c r="AI3541" s="38"/>
      <c r="AK3541" s="11"/>
      <c r="AL3541" s="38"/>
      <c r="AN3541" s="11"/>
      <c r="AO3541" s="38"/>
      <c r="AQ3541" s="11"/>
      <c r="AR3541" s="38"/>
      <c r="AT3541" s="11"/>
      <c r="AU3541" s="38"/>
    </row>
    <row r="3542" spans="15:47" ht="14" x14ac:dyDescent="0.3">
      <c r="O3542" s="8" t="s">
        <v>235</v>
      </c>
      <c r="P3542" s="6"/>
      <c r="Q3542" s="60"/>
      <c r="R3542" s="53">
        <f>R3531*1.02</f>
        <v>443.1439036197259</v>
      </c>
      <c r="S3542" s="58" t="s">
        <v>238</v>
      </c>
      <c r="T3542" s="73" t="s">
        <v>241</v>
      </c>
      <c r="U3542" s="84">
        <f>U3531*1.01</f>
        <v>675.52144527578173</v>
      </c>
      <c r="V3542" s="58" t="s">
        <v>238</v>
      </c>
      <c r="W3542" s="73" t="s">
        <v>241</v>
      </c>
      <c r="X3542" s="84">
        <f>X3531*1.01</f>
        <v>1621.5115021351285</v>
      </c>
      <c r="Y3542" s="58" t="s">
        <v>238</v>
      </c>
      <c r="Z3542" s="73" t="s">
        <v>241</v>
      </c>
      <c r="AA3542" s="84">
        <f>AA3531*1.01</f>
        <v>3096.0597223660648</v>
      </c>
      <c r="AB3542" s="58" t="s">
        <v>238</v>
      </c>
      <c r="AC3542" s="73" t="s">
        <v>241</v>
      </c>
      <c r="AD3542" s="84">
        <f>AD3531*1.01</f>
        <v>5091.8783417323666</v>
      </c>
      <c r="AE3542" s="58" t="s">
        <v>238</v>
      </c>
      <c r="AF3542" s="73" t="s">
        <v>241</v>
      </c>
      <c r="AG3542" s="84">
        <f>AG3531*1.01</f>
        <v>7581.1129988486518</v>
      </c>
      <c r="AH3542" s="58" t="s">
        <v>238</v>
      </c>
      <c r="AI3542" s="73" t="s">
        <v>241</v>
      </c>
      <c r="AJ3542" s="84">
        <f>AJ3531*1.01</f>
        <v>10117.024685657772</v>
      </c>
      <c r="AK3542" s="58" t="s">
        <v>238</v>
      </c>
      <c r="AL3542" s="73" t="s">
        <v>241</v>
      </c>
      <c r="AM3542" s="84">
        <f>AM3531*1.01</f>
        <v>12344.692755347325</v>
      </c>
      <c r="AN3542" s="58" t="s">
        <v>238</v>
      </c>
      <c r="AO3542" s="73" t="s">
        <v>241</v>
      </c>
      <c r="AP3542" s="84">
        <f>AP3531*1.01</f>
        <v>14331.805052539177</v>
      </c>
      <c r="AQ3542" s="58" t="s">
        <v>238</v>
      </c>
      <c r="AR3542" s="73" t="s">
        <v>241</v>
      </c>
      <c r="AS3542" s="84">
        <f>AS3531*1.01</f>
        <v>16310.931026774706</v>
      </c>
      <c r="AT3542" s="58" t="s">
        <v>238</v>
      </c>
      <c r="AU3542" s="73" t="s">
        <v>241</v>
      </c>
    </row>
    <row r="3543" spans="15:47" ht="13" x14ac:dyDescent="0.25">
      <c r="O3543" s="6"/>
      <c r="P3543" s="6"/>
      <c r="Q3543" s="60"/>
      <c r="R3543" s="70"/>
      <c r="S3543" s="63" t="s">
        <v>250</v>
      </c>
      <c r="T3543" s="71" t="s">
        <v>242</v>
      </c>
      <c r="U3543" s="61"/>
      <c r="V3543" s="63" t="s">
        <v>250</v>
      </c>
      <c r="W3543" s="71" t="s">
        <v>242</v>
      </c>
      <c r="X3543" s="61"/>
      <c r="Y3543" s="63" t="s">
        <v>250</v>
      </c>
      <c r="Z3543" s="71" t="s">
        <v>242</v>
      </c>
      <c r="AA3543" s="61"/>
      <c r="AB3543" s="63" t="s">
        <v>250</v>
      </c>
      <c r="AC3543" s="71" t="s">
        <v>242</v>
      </c>
      <c r="AD3543" s="61"/>
      <c r="AE3543" s="63" t="s">
        <v>250</v>
      </c>
      <c r="AF3543" s="71" t="s">
        <v>242</v>
      </c>
      <c r="AG3543" s="61"/>
      <c r="AH3543" s="63" t="s">
        <v>250</v>
      </c>
      <c r="AI3543" s="71" t="s">
        <v>242</v>
      </c>
      <c r="AJ3543" s="61"/>
      <c r="AK3543" s="63" t="s">
        <v>250</v>
      </c>
      <c r="AL3543" s="71" t="s">
        <v>242</v>
      </c>
      <c r="AM3543" s="61"/>
      <c r="AN3543" s="63" t="s">
        <v>250</v>
      </c>
      <c r="AO3543" s="71" t="s">
        <v>242</v>
      </c>
      <c r="AP3543" s="61"/>
      <c r="AQ3543" s="63" t="s">
        <v>250</v>
      </c>
      <c r="AR3543" s="71" t="s">
        <v>242</v>
      </c>
      <c r="AS3543" s="61"/>
      <c r="AT3543" s="63" t="s">
        <v>250</v>
      </c>
      <c r="AU3543" s="71" t="s">
        <v>242</v>
      </c>
    </row>
    <row r="3544" spans="15:47" ht="13" x14ac:dyDescent="0.3">
      <c r="O3544" s="6" t="s">
        <v>231</v>
      </c>
      <c r="P3544" s="6"/>
      <c r="Q3544" s="60"/>
      <c r="R3544" s="85">
        <f>P_1_minQ-(R3542^2*R_up)+dpup_minQ</f>
        <v>50.284041900866974</v>
      </c>
      <c r="S3544" s="56"/>
      <c r="T3544" s="72"/>
      <c r="U3544" s="53">
        <f>P_1_minQ-(U3542^2*R_up)+dpup_minQ</f>
        <v>41.504821917342753</v>
      </c>
      <c r="V3544" s="44"/>
      <c r="W3544" s="72"/>
      <c r="X3544" s="53">
        <f>P_1_minQ-(X3542^2*R_up)+dpup_minQ</f>
        <v>-31.881545138686949</v>
      </c>
      <c r="Y3544" s="44"/>
      <c r="Z3544" s="72"/>
      <c r="AA3544" s="53">
        <f>P_1_minQ-(AA3542^2*R_up)+dpup_minQ</f>
        <v>-266.81184749940678</v>
      </c>
      <c r="AB3544" s="44"/>
      <c r="AC3544" s="72"/>
      <c r="AD3544" s="53">
        <f>P_1_minQ-(AD3542^2*R_up)+dpup_minQ</f>
        <v>-818.70780300584795</v>
      </c>
      <c r="AE3544" s="44"/>
      <c r="AF3544" s="72"/>
      <c r="AG3544" s="53">
        <f>P_1_minQ-(AG3542^2*R_up)+dpup_minQ</f>
        <v>-1884.0927828879433</v>
      </c>
      <c r="AH3544" s="44"/>
      <c r="AI3544" s="72"/>
      <c r="AJ3544" s="53">
        <f>P_1_minQ-(AJ3542^2*R_up)+dpup_minQ</f>
        <v>-3399.8278112194785</v>
      </c>
      <c r="AK3544" s="44"/>
      <c r="AL3544" s="72"/>
      <c r="AM3544" s="53">
        <f>P_1_minQ-(AM3542^2*R_up)+dpup_minQ</f>
        <v>-5089.7045668329874</v>
      </c>
      <c r="AN3544" s="44"/>
      <c r="AO3544" s="72"/>
      <c r="AP3544" s="53">
        <f>P_1_minQ-(AP3542^2*R_up)+dpup_minQ</f>
        <v>-6879.9509984460492</v>
      </c>
      <c r="AQ3544" s="44"/>
      <c r="AR3544" s="72"/>
      <c r="AS3544" s="53">
        <f>P_1_minQ-(AS3542^2*R_up)+dpup_minQ</f>
        <v>-8928.10482810543</v>
      </c>
      <c r="AT3544" s="44"/>
      <c r="AU3544" s="72"/>
    </row>
    <row r="3545" spans="15:47" ht="13" x14ac:dyDescent="0.3">
      <c r="O3545" s="6" t="s">
        <v>233</v>
      </c>
      <c r="P3545" s="6"/>
      <c r="Q3545" s="60"/>
      <c r="R3545" s="85">
        <f>P_2_minQ+(R3542^2*R_dn)-dpdn_minQ</f>
        <v>25.983191619826606</v>
      </c>
      <c r="S3545" s="66"/>
      <c r="T3545" s="74"/>
      <c r="U3545" s="53">
        <f>P_2_minQ+(U3542^2*R_dn)-dpdn_minQ</f>
        <v>27.739035616531449</v>
      </c>
      <c r="V3545" s="45"/>
      <c r="W3545" s="74"/>
      <c r="X3545" s="53">
        <f>P_2_minQ+(X3542^2*R_dn)-dpdn_minQ</f>
        <v>42.416309027737398</v>
      </c>
      <c r="Y3545" s="45"/>
      <c r="Z3545" s="74"/>
      <c r="AA3545" s="53">
        <f>P_2_minQ+(AA3542^2*R_dn)-dpdn_minQ</f>
        <v>89.402369499881345</v>
      </c>
      <c r="AB3545" s="45"/>
      <c r="AC3545" s="74"/>
      <c r="AD3545" s="53">
        <f>P_2_minQ+(AD3542^2*R_dn)-dpdn_minQ</f>
        <v>199.78156060116956</v>
      </c>
      <c r="AE3545" s="45"/>
      <c r="AF3545" s="74"/>
      <c r="AG3545" s="53">
        <f>P_2_minQ+(AG3542^2*R_dn)-dpdn_minQ</f>
        <v>412.85855657758862</v>
      </c>
      <c r="AH3545" s="45"/>
      <c r="AI3545" s="74"/>
      <c r="AJ3545" s="53">
        <f>P_2_minQ+(AJ3542^2*R_dn)-dpdn_minQ</f>
        <v>716.00556224389561</v>
      </c>
      <c r="AK3545" s="45"/>
      <c r="AL3545" s="74"/>
      <c r="AM3545" s="53">
        <f>P_2_minQ+(AM3542^2*R_dn)-dpdn_minQ</f>
        <v>1053.9809133665974</v>
      </c>
      <c r="AN3545" s="45"/>
      <c r="AO3545" s="74"/>
      <c r="AP3545" s="53">
        <f>P_2_minQ+(AP3542^2*R_dn)-dpdn_minQ</f>
        <v>1412.0301996892097</v>
      </c>
      <c r="AQ3545" s="45"/>
      <c r="AR3545" s="74"/>
      <c r="AS3545" s="53">
        <f>P_2_minQ+(AS3542^2*R_dn)-dpdn_minQ</f>
        <v>1821.660965621086</v>
      </c>
      <c r="AT3545" s="45"/>
      <c r="AU3545" s="74"/>
    </row>
    <row r="3546" spans="15:47" x14ac:dyDescent="0.25">
      <c r="O3546" s="6" t="s">
        <v>243</v>
      </c>
      <c r="Q3546" s="60"/>
      <c r="R3546" s="53">
        <f>R3544-R3545</f>
        <v>24.300850281040368</v>
      </c>
      <c r="S3546" s="56"/>
      <c r="T3546" s="72"/>
      <c r="U3546" s="64">
        <f>U3544-U3545</f>
        <v>13.765786300811303</v>
      </c>
      <c r="V3546" s="44"/>
      <c r="W3546" s="72"/>
      <c r="X3546" s="64">
        <f>X3544-X3545</f>
        <v>-74.297854166424344</v>
      </c>
      <c r="Y3546" s="44"/>
      <c r="Z3546" s="72"/>
      <c r="AA3546" s="64">
        <f>AA3544-AA3545</f>
        <v>-356.21421699928811</v>
      </c>
      <c r="AB3546" s="44"/>
      <c r="AC3546" s="72"/>
      <c r="AD3546" s="64">
        <f>AD3544-AD3545</f>
        <v>-1018.4893636070175</v>
      </c>
      <c r="AE3546" s="44"/>
      <c r="AF3546" s="72"/>
      <c r="AG3546" s="64">
        <f>AG3544-AG3545</f>
        <v>-2296.9513394655319</v>
      </c>
      <c r="AH3546" s="44"/>
      <c r="AI3546" s="72"/>
      <c r="AJ3546" s="64">
        <f>AJ3544-AJ3545</f>
        <v>-4115.8333734633743</v>
      </c>
      <c r="AK3546" s="44"/>
      <c r="AL3546" s="72"/>
      <c r="AM3546" s="64">
        <f>AM3544-AM3545</f>
        <v>-6143.6854801995851</v>
      </c>
      <c r="AN3546" s="44"/>
      <c r="AO3546" s="72"/>
      <c r="AP3546" s="64">
        <f>AP3544-AP3545</f>
        <v>-8291.9811981352595</v>
      </c>
      <c r="AQ3546" s="44"/>
      <c r="AR3546" s="72"/>
      <c r="AS3546" s="64">
        <f>AS3544-AS3545</f>
        <v>-10749.765793726516</v>
      </c>
      <c r="AT3546" s="44"/>
      <c r="AU3546" s="72"/>
    </row>
    <row r="3547" spans="15:47" ht="13" x14ac:dyDescent="0.3">
      <c r="O3547" s="6" t="s">
        <v>75</v>
      </c>
      <c r="P3547" s="6">
        <v>3</v>
      </c>
      <c r="Q3547" s="65"/>
      <c r="R3547" s="85">
        <f>(F_LP_h/F_P_h)^2*(R3544-('Valve Sizing'!$V$4*'Valve Sizing'!$G$7))</f>
        <v>41.273435251695282</v>
      </c>
      <c r="S3547" s="58"/>
      <c r="T3547" s="73"/>
      <c r="U3547" s="53">
        <f>(U$29/U$27)^2*(U3544-('Valve Sizing'!$V$4*'Valve Sizing'!$G$7))</f>
        <v>33.994512258851152</v>
      </c>
      <c r="V3547" s="41"/>
      <c r="W3547" s="73"/>
      <c r="X3547" s="53">
        <f>(X$29/X$27)^2*(X3544-('Valve Sizing'!$V$4*'Valve Sizing'!$G$7))</f>
        <v>-26.153140134721362</v>
      </c>
      <c r="Y3547" s="41"/>
      <c r="Z3547" s="73"/>
      <c r="AA3547" s="53">
        <f>(AA$29/AA$27)^2*(AA3544-('Valve Sizing'!$V$4*'Valve Sizing'!$G$7))</f>
        <v>-206.53152971550014</v>
      </c>
      <c r="AB3547" s="41"/>
      <c r="AC3547" s="73"/>
      <c r="AD3547" s="53">
        <f>(AD$29/AD$27)^2*(AD3544-('Valve Sizing'!$V$4*'Valve Sizing'!$G$7))</f>
        <v>-590.75912173357824</v>
      </c>
      <c r="AE3547" s="41"/>
      <c r="AF3547" s="73"/>
      <c r="AG3547" s="53">
        <f>(AG$29/AG$27)^2*(AG3544-('Valve Sizing'!$V$4*'Valve Sizing'!$G$7))</f>
        <v>-1213.7219767665797</v>
      </c>
      <c r="AH3547" s="41"/>
      <c r="AI3547" s="73"/>
      <c r="AJ3547" s="53">
        <f>(AJ$29/AJ$27)^2*(AJ3544-('Valve Sizing'!$V$4*'Valve Sizing'!$G$7))</f>
        <v>-1966.5936659207616</v>
      </c>
      <c r="AK3547" s="41"/>
      <c r="AL3547" s="73"/>
      <c r="AM3547" s="53">
        <f>(AM$29/AM$27)^2*(AM3544-('Valve Sizing'!$V$4*'Valve Sizing'!$G$7))</f>
        <v>-2435.4924387562901</v>
      </c>
      <c r="AN3547" s="41"/>
      <c r="AO3547" s="73"/>
      <c r="AP3547" s="53">
        <f>(AP$29/AP$27)^2*(AP3544-('Valve Sizing'!$V$4*'Valve Sizing'!$G$7))</f>
        <v>-2715.1868934597737</v>
      </c>
      <c r="AQ3547" s="41"/>
      <c r="AR3547" s="73"/>
      <c r="AS3547" s="53">
        <f>(AS$29/AS$27)^2*(AS3544-('Valve Sizing'!$V$4*'Valve Sizing'!$G$7))</f>
        <v>-3358.3899635267753</v>
      </c>
      <c r="AT3547" s="41"/>
      <c r="AU3547" s="73"/>
    </row>
    <row r="3548" spans="15:47" ht="13" x14ac:dyDescent="0.25">
      <c r="O3548" s="1" t="s">
        <v>69</v>
      </c>
      <c r="P3548" s="17">
        <v>7</v>
      </c>
      <c r="Q3548" s="65"/>
      <c r="R3548" s="53">
        <f>(R3542/(N_1*F_P_h))*SQRT('Valve Sizing'!$G$6/R3546)</f>
        <v>89.907841817882513</v>
      </c>
      <c r="S3548" s="58"/>
      <c r="T3548" s="73"/>
      <c r="U3548" s="64">
        <f>(U3542/(N_1*U$27))*SQRT('Valve Sizing'!$G$6/U3546)</f>
        <v>182.22346459661779</v>
      </c>
      <c r="V3548" s="41"/>
      <c r="W3548" s="73"/>
      <c r="X3548" s="64" t="e">
        <f>(X3542/(N_1*X$27))*SQRT('Valve Sizing'!$G$6/X3546)</f>
        <v>#NUM!</v>
      </c>
      <c r="Y3548" s="41"/>
      <c r="Z3548" s="73"/>
      <c r="AA3548" s="64" t="e">
        <f>(AA3542/(N_1*AA$27))*SQRT('Valve Sizing'!$G$6/AA3546)</f>
        <v>#NUM!</v>
      </c>
      <c r="AB3548" s="41"/>
      <c r="AC3548" s="73"/>
      <c r="AD3548" s="64" t="e">
        <f>(AD3542/(N_1*AD$27))*SQRT('Valve Sizing'!$G$6/AD3546)</f>
        <v>#NUM!</v>
      </c>
      <c r="AE3548" s="41"/>
      <c r="AF3548" s="73"/>
      <c r="AG3548" s="64" t="e">
        <f>(AG3542/(N_1*AG$27))*SQRT('Valve Sizing'!$G$6/AG3546)</f>
        <v>#NUM!</v>
      </c>
      <c r="AH3548" s="41"/>
      <c r="AI3548" s="73"/>
      <c r="AJ3548" s="64" t="e">
        <f>(AJ3542/(N_1*AJ$27))*SQRT('Valve Sizing'!$G$6/AJ3546)</f>
        <v>#NUM!</v>
      </c>
      <c r="AK3548" s="41"/>
      <c r="AL3548" s="73"/>
      <c r="AM3548" s="64" t="e">
        <f>(AM3542/(N_1*AM$27))*SQRT('Valve Sizing'!$G$6/AM3546)</f>
        <v>#NUM!</v>
      </c>
      <c r="AN3548" s="41"/>
      <c r="AO3548" s="73"/>
      <c r="AP3548" s="64" t="e">
        <f>(AP3542/(N_1*AP$27))*SQRT('Valve Sizing'!$G$6/AP3546)</f>
        <v>#NUM!</v>
      </c>
      <c r="AQ3548" s="41"/>
      <c r="AR3548" s="73"/>
      <c r="AS3548" s="64" t="e">
        <f>(AS3542/(N_1*AS$27))*SQRT('Valve Sizing'!$G$6/AS3546)</f>
        <v>#NUM!</v>
      </c>
      <c r="AT3548" s="41"/>
      <c r="AU3548" s="73"/>
    </row>
    <row r="3549" spans="15:47" ht="13" x14ac:dyDescent="0.3">
      <c r="O3549" s="1" t="s">
        <v>72</v>
      </c>
      <c r="P3549" s="17">
        <v>7</v>
      </c>
      <c r="Q3549" s="65"/>
      <c r="R3549" s="53">
        <f>(R3542/(N_1*F_P_h))*SQRT('Valve Sizing'!$G$6/R3547)</f>
        <v>68.987911726495525</v>
      </c>
      <c r="S3549" s="56"/>
      <c r="T3549" s="72"/>
      <c r="U3549" s="85">
        <f>(U3542/(N_1*U$27))*SQRT('Valve Sizing'!$G$6/U3547)</f>
        <v>115.9579166436657</v>
      </c>
      <c r="V3549" s="44"/>
      <c r="W3549" s="72"/>
      <c r="X3549" s="85" t="e">
        <f>(X3542/(N_1*X$27))*SQRT('Valve Sizing'!$G$6/X3547)</f>
        <v>#NUM!</v>
      </c>
      <c r="Y3549" s="44"/>
      <c r="Z3549" s="72"/>
      <c r="AA3549" s="85" t="e">
        <f>(AA3542/(N_1*AA$27))*SQRT('Valve Sizing'!$G$6/AA3547)</f>
        <v>#NUM!</v>
      </c>
      <c r="AB3549" s="44"/>
      <c r="AC3549" s="72"/>
      <c r="AD3549" s="85" t="e">
        <f>(AD3542/(N_1*AD$27))*SQRT('Valve Sizing'!$G$6/AD3547)</f>
        <v>#NUM!</v>
      </c>
      <c r="AE3549" s="44"/>
      <c r="AF3549" s="72"/>
      <c r="AG3549" s="85" t="e">
        <f>(AG3542/(N_1*AG$27))*SQRT('Valve Sizing'!$G$6/AG3547)</f>
        <v>#NUM!</v>
      </c>
      <c r="AH3549" s="44"/>
      <c r="AI3549" s="72"/>
      <c r="AJ3549" s="85" t="e">
        <f>(AJ3542/(N_1*AJ$27))*SQRT('Valve Sizing'!$G$6/AJ3547)</f>
        <v>#NUM!</v>
      </c>
      <c r="AK3549" s="44"/>
      <c r="AL3549" s="72"/>
      <c r="AM3549" s="85" t="e">
        <f>(AM3542/(N_1*AM$27))*SQRT('Valve Sizing'!$G$6/AM3547)</f>
        <v>#NUM!</v>
      </c>
      <c r="AN3549" s="44"/>
      <c r="AO3549" s="72"/>
      <c r="AP3549" s="85" t="e">
        <f>(AP3542/(N_1*AP$27))*SQRT('Valve Sizing'!$G$6/AP3547)</f>
        <v>#NUM!</v>
      </c>
      <c r="AQ3549" s="44"/>
      <c r="AR3549" s="72"/>
      <c r="AS3549" s="85" t="e">
        <f>(AS3542/(N_1*AS$27))*SQRT('Valve Sizing'!$G$6/AS3547)</f>
        <v>#NUM!</v>
      </c>
      <c r="AT3549" s="44"/>
      <c r="AU3549" s="72"/>
    </row>
    <row r="3550" spans="15:47" x14ac:dyDescent="0.25">
      <c r="O3550" s="1" t="s">
        <v>246</v>
      </c>
      <c r="P3550" s="18"/>
      <c r="Q3550" s="65"/>
      <c r="R3550" s="53">
        <f>IF(R3546&lt;R3547,R3548,R3549)</f>
        <v>89.907841817882513</v>
      </c>
      <c r="S3550" s="49"/>
      <c r="T3550" s="72"/>
      <c r="U3550" s="64">
        <f>IF(U3546&lt;U3547,U3548,U3549)</f>
        <v>182.22346459661779</v>
      </c>
      <c r="V3550" s="44"/>
      <c r="W3550" s="72"/>
      <c r="X3550" s="64" t="e">
        <f>IF(X3546&lt;X3547,X3548,X3549)</f>
        <v>#NUM!</v>
      </c>
      <c r="Y3550" s="44"/>
      <c r="Z3550" s="72"/>
      <c r="AA3550" s="64" t="e">
        <f>IF(AA3546&lt;AA3547,AA3548,AA3549)</f>
        <v>#NUM!</v>
      </c>
      <c r="AB3550" s="44"/>
      <c r="AC3550" s="72"/>
      <c r="AD3550" s="64" t="e">
        <f>IF(AD3546&lt;AD3547,AD3548,AD3549)</f>
        <v>#NUM!</v>
      </c>
      <c r="AE3550" s="44"/>
      <c r="AF3550" s="72"/>
      <c r="AG3550" s="64" t="e">
        <f>IF(AG3546&lt;AG3547,AG3548,AG3549)</f>
        <v>#NUM!</v>
      </c>
      <c r="AH3550" s="44"/>
      <c r="AI3550" s="72"/>
      <c r="AJ3550" s="64" t="e">
        <f>IF(AJ3546&lt;AJ3547,AJ3548,AJ3549)</f>
        <v>#NUM!</v>
      </c>
      <c r="AK3550" s="44"/>
      <c r="AL3550" s="72"/>
      <c r="AM3550" s="64" t="e">
        <f>IF(AM3546&lt;AM3547,AM3548,AM3549)</f>
        <v>#NUM!</v>
      </c>
      <c r="AN3550" s="44"/>
      <c r="AO3550" s="72"/>
      <c r="AP3550" s="64" t="e">
        <f>IF(AP3546&lt;AP3547,AP3548,AP3549)</f>
        <v>#NUM!</v>
      </c>
      <c r="AQ3550" s="44"/>
      <c r="AR3550" s="72"/>
      <c r="AS3550" s="64" t="e">
        <f>IF(AS3546&lt;AS3547,AS3548,AS3549)</f>
        <v>#NUM!</v>
      </c>
      <c r="AT3550" s="44"/>
      <c r="AU3550" s="72"/>
    </row>
    <row r="3551" spans="15:47" ht="13" x14ac:dyDescent="0.3">
      <c r="O3551" s="7" t="s">
        <v>264</v>
      </c>
      <c r="Q3551" s="61"/>
      <c r="R3551" s="53"/>
      <c r="S3551" s="69">
        <f>IFERROR(ABS(C_h-R3550),Q_max*10)</f>
        <v>84.907841817882513</v>
      </c>
      <c r="T3551" s="76">
        <f>R3542</f>
        <v>443.1439036197259</v>
      </c>
      <c r="U3551" s="61"/>
      <c r="V3551" s="69">
        <f>IFERROR(ABS(U$23-U3550),Q_max*10)</f>
        <v>170.22346459661779</v>
      </c>
      <c r="W3551" s="75">
        <f>U3542</f>
        <v>675.52144527578173</v>
      </c>
      <c r="X3551" s="61"/>
      <c r="Y3551" s="69">
        <f>IFERROR(ABS(X$23-X3550),Q_max*10)</f>
        <v>5500</v>
      </c>
      <c r="Z3551" s="75">
        <f>X3542</f>
        <v>1621.5115021351285</v>
      </c>
      <c r="AA3551" s="61"/>
      <c r="AB3551" s="69">
        <f>IFERROR(ABS(AA$23-AA3550),Q_max*10)</f>
        <v>5500</v>
      </c>
      <c r="AC3551" s="75">
        <f>AA3542</f>
        <v>3096.0597223660648</v>
      </c>
      <c r="AD3551" s="61"/>
      <c r="AE3551" s="69">
        <f>IFERROR(ABS(AD$23-AD3550),Q_max*10)</f>
        <v>5500</v>
      </c>
      <c r="AF3551" s="75">
        <f>AD3542</f>
        <v>5091.8783417323666</v>
      </c>
      <c r="AG3551" s="61"/>
      <c r="AH3551" s="69">
        <f>IFERROR(ABS(AG$23-AG3550),Q_max*10)</f>
        <v>5500</v>
      </c>
      <c r="AI3551" s="75">
        <f>AG3542</f>
        <v>7581.1129988486518</v>
      </c>
      <c r="AJ3551" s="61"/>
      <c r="AK3551" s="69">
        <f>IFERROR(ABS(AJ$23-AJ3550),Q_max*10)</f>
        <v>5500</v>
      </c>
      <c r="AL3551" s="75">
        <f>AJ3542</f>
        <v>10117.024685657772</v>
      </c>
      <c r="AM3551" s="61"/>
      <c r="AN3551" s="69">
        <f>IFERROR(ABS(AM$23-AM3550),Q_max*10)</f>
        <v>5500</v>
      </c>
      <c r="AO3551" s="75">
        <f>AM3542</f>
        <v>12344.692755347325</v>
      </c>
      <c r="AP3551" s="61"/>
      <c r="AQ3551" s="69">
        <f>IFERROR(ABS(AP$23-AP3550),Q_max*10)</f>
        <v>5500</v>
      </c>
      <c r="AR3551" s="75">
        <f>AP3542</f>
        <v>14331.805052539177</v>
      </c>
      <c r="AS3551" s="61"/>
      <c r="AT3551" s="69">
        <f>IFERROR(ABS(AS$23-AS3550),Q_max*10)</f>
        <v>5500</v>
      </c>
      <c r="AU3551" s="75">
        <f>AS3542</f>
        <v>16310.931026774706</v>
      </c>
    </row>
    <row r="3552" spans="15:47" ht="14.5" x14ac:dyDescent="0.35">
      <c r="O3552" s="8"/>
      <c r="P3552" s="6"/>
      <c r="Q3552" s="60"/>
      <c r="R3552" s="67"/>
      <c r="S3552" s="56"/>
      <c r="T3552" s="72"/>
      <c r="V3552" s="11"/>
      <c r="W3552" s="38"/>
      <c r="Y3552" s="11"/>
      <c r="Z3552" s="38"/>
      <c r="AB3552" s="11"/>
      <c r="AC3552" s="38"/>
      <c r="AE3552" s="11"/>
      <c r="AF3552" s="38"/>
      <c r="AH3552" s="11"/>
      <c r="AI3552" s="38"/>
      <c r="AK3552" s="11"/>
      <c r="AL3552" s="38"/>
      <c r="AN3552" s="11"/>
      <c r="AO3552" s="38"/>
      <c r="AQ3552" s="11"/>
      <c r="AR3552" s="38"/>
      <c r="AT3552" s="11"/>
      <c r="AU3552" s="38"/>
    </row>
    <row r="3553" spans="15:47" ht="14" x14ac:dyDescent="0.3">
      <c r="O3553" s="8" t="s">
        <v>235</v>
      </c>
      <c r="P3553" s="6"/>
      <c r="Q3553" s="60"/>
      <c r="R3553" s="53">
        <f>R3542*1.02</f>
        <v>452.00678169212046</v>
      </c>
      <c r="S3553" s="58" t="s">
        <v>238</v>
      </c>
      <c r="T3553" s="73" t="s">
        <v>241</v>
      </c>
      <c r="U3553" s="84">
        <f>U3542*1.01</f>
        <v>682.27665972853958</v>
      </c>
      <c r="V3553" s="58" t="s">
        <v>238</v>
      </c>
      <c r="W3553" s="73" t="s">
        <v>241</v>
      </c>
      <c r="X3553" s="84">
        <f>X3542*1.01</f>
        <v>1637.7266171564797</v>
      </c>
      <c r="Y3553" s="58" t="s">
        <v>238</v>
      </c>
      <c r="Z3553" s="73" t="s">
        <v>241</v>
      </c>
      <c r="AA3553" s="84">
        <f>AA3542*1.01</f>
        <v>3127.0203195897257</v>
      </c>
      <c r="AB3553" s="58" t="s">
        <v>238</v>
      </c>
      <c r="AC3553" s="73" t="s">
        <v>241</v>
      </c>
      <c r="AD3553" s="84">
        <f>AD3542*1.01</f>
        <v>5142.7971251496901</v>
      </c>
      <c r="AE3553" s="58" t="s">
        <v>238</v>
      </c>
      <c r="AF3553" s="73" t="s">
        <v>241</v>
      </c>
      <c r="AG3553" s="84">
        <f>AG3542*1.01</f>
        <v>7656.9241288371386</v>
      </c>
      <c r="AH3553" s="58" t="s">
        <v>238</v>
      </c>
      <c r="AI3553" s="73" t="s">
        <v>241</v>
      </c>
      <c r="AJ3553" s="84">
        <f>AJ3542*1.01</f>
        <v>10218.194932514351</v>
      </c>
      <c r="AK3553" s="58" t="s">
        <v>238</v>
      </c>
      <c r="AL3553" s="73" t="s">
        <v>241</v>
      </c>
      <c r="AM3553" s="84">
        <f>AM3542*1.01</f>
        <v>12468.139682900799</v>
      </c>
      <c r="AN3553" s="58" t="s">
        <v>238</v>
      </c>
      <c r="AO3553" s="73" t="s">
        <v>241</v>
      </c>
      <c r="AP3553" s="84">
        <f>AP3542*1.01</f>
        <v>14475.123103064569</v>
      </c>
      <c r="AQ3553" s="58" t="s">
        <v>238</v>
      </c>
      <c r="AR3553" s="73" t="s">
        <v>241</v>
      </c>
      <c r="AS3553" s="84">
        <f>AS3542*1.01</f>
        <v>16474.040337042454</v>
      </c>
      <c r="AT3553" s="58" t="s">
        <v>238</v>
      </c>
      <c r="AU3553" s="73" t="s">
        <v>241</v>
      </c>
    </row>
    <row r="3554" spans="15:47" ht="13" x14ac:dyDescent="0.25">
      <c r="O3554" s="6"/>
      <c r="P3554" s="6"/>
      <c r="Q3554" s="60"/>
      <c r="R3554" s="70"/>
      <c r="S3554" s="63" t="s">
        <v>250</v>
      </c>
      <c r="T3554" s="71" t="s">
        <v>242</v>
      </c>
      <c r="U3554" s="61"/>
      <c r="V3554" s="63" t="s">
        <v>250</v>
      </c>
      <c r="W3554" s="71" t="s">
        <v>242</v>
      </c>
      <c r="X3554" s="61"/>
      <c r="Y3554" s="63" t="s">
        <v>250</v>
      </c>
      <c r="Z3554" s="71" t="s">
        <v>242</v>
      </c>
      <c r="AA3554" s="61"/>
      <c r="AB3554" s="63" t="s">
        <v>250</v>
      </c>
      <c r="AC3554" s="71" t="s">
        <v>242</v>
      </c>
      <c r="AD3554" s="61"/>
      <c r="AE3554" s="63" t="s">
        <v>250</v>
      </c>
      <c r="AF3554" s="71" t="s">
        <v>242</v>
      </c>
      <c r="AG3554" s="61"/>
      <c r="AH3554" s="63" t="s">
        <v>250</v>
      </c>
      <c r="AI3554" s="71" t="s">
        <v>242</v>
      </c>
      <c r="AJ3554" s="61"/>
      <c r="AK3554" s="63" t="s">
        <v>250</v>
      </c>
      <c r="AL3554" s="71" t="s">
        <v>242</v>
      </c>
      <c r="AM3554" s="61"/>
      <c r="AN3554" s="63" t="s">
        <v>250</v>
      </c>
      <c r="AO3554" s="71" t="s">
        <v>242</v>
      </c>
      <c r="AP3554" s="61"/>
      <c r="AQ3554" s="63" t="s">
        <v>250</v>
      </c>
      <c r="AR3554" s="71" t="s">
        <v>242</v>
      </c>
      <c r="AS3554" s="61"/>
      <c r="AT3554" s="63" t="s">
        <v>250</v>
      </c>
      <c r="AU3554" s="71" t="s">
        <v>242</v>
      </c>
    </row>
    <row r="3555" spans="15:47" ht="13" x14ac:dyDescent="0.3">
      <c r="O3555" s="6" t="s">
        <v>231</v>
      </c>
      <c r="P3555" s="6"/>
      <c r="Q3555" s="60"/>
      <c r="R3555" s="85">
        <f>P_1_minQ-(R3553^2*R_up)+dpup_minQ</f>
        <v>50.016105008589385</v>
      </c>
      <c r="S3555" s="56"/>
      <c r="T3555" s="72"/>
      <c r="U3555" s="53">
        <f>P_1_minQ-(U3553^2*R_up)+dpup_minQ</f>
        <v>41.195054359664525</v>
      </c>
      <c r="V3555" s="44"/>
      <c r="W3555" s="72"/>
      <c r="X3555" s="53">
        <f>P_1_minQ-(X3553^2*R_up)+dpup_minQ</f>
        <v>-33.666378674191371</v>
      </c>
      <c r="Y3555" s="44"/>
      <c r="Z3555" s="72"/>
      <c r="AA3555" s="53">
        <f>P_1_minQ-(AA3553^2*R_up)+dpup_minQ</f>
        <v>-273.31878011236171</v>
      </c>
      <c r="AB3555" s="44"/>
      <c r="AC3555" s="72"/>
      <c r="AD3555" s="53">
        <f>P_1_minQ-(AD3553^2*R_up)+dpup_minQ</f>
        <v>-836.30784432448218</v>
      </c>
      <c r="AE3555" s="44"/>
      <c r="AF3555" s="72"/>
      <c r="AG3555" s="53">
        <f>P_1_minQ-(AG3553^2*R_up)+dpup_minQ</f>
        <v>-1923.1070623022079</v>
      </c>
      <c r="AH3555" s="44"/>
      <c r="AI3555" s="72"/>
      <c r="AJ3555" s="53">
        <f>P_1_minQ-(AJ3553^2*R_up)+dpup_minQ</f>
        <v>-3469.3083647032067</v>
      </c>
      <c r="AK3555" s="44"/>
      <c r="AL3555" s="72"/>
      <c r="AM3555" s="53">
        <f>P_1_minQ-(AM3553^2*R_up)+dpup_minQ</f>
        <v>-5193.1516431045475</v>
      </c>
      <c r="AN3555" s="44"/>
      <c r="AO3555" s="72"/>
      <c r="AP3555" s="53">
        <f>P_1_minQ-(AP3553^2*R_up)+dpup_minQ</f>
        <v>-7019.3820279930314</v>
      </c>
      <c r="AQ3555" s="44"/>
      <c r="AR3555" s="72"/>
      <c r="AS3555" s="53">
        <f>P_1_minQ-(AS3553^2*R_up)+dpup_minQ</f>
        <v>-9108.7037496285666</v>
      </c>
      <c r="AT3555" s="44"/>
      <c r="AU3555" s="72"/>
    </row>
    <row r="3556" spans="15:47" ht="13" x14ac:dyDescent="0.3">
      <c r="O3556" s="6" t="s">
        <v>233</v>
      </c>
      <c r="P3556" s="6"/>
      <c r="Q3556" s="60"/>
      <c r="R3556" s="85">
        <f>P_2_minQ+(R3553^2*R_dn)-dpdn_minQ</f>
        <v>26.036778998282124</v>
      </c>
      <c r="S3556" s="66"/>
      <c r="T3556" s="74"/>
      <c r="U3556" s="53">
        <f>P_2_minQ+(U3553^2*R_dn)-dpdn_minQ</f>
        <v>27.800989128067098</v>
      </c>
      <c r="V3556" s="45"/>
      <c r="W3556" s="74"/>
      <c r="X3556" s="53">
        <f>P_2_minQ+(X3553^2*R_dn)-dpdn_minQ</f>
        <v>42.773275734838279</v>
      </c>
      <c r="Y3556" s="45"/>
      <c r="Z3556" s="74"/>
      <c r="AA3556" s="53">
        <f>P_2_minQ+(AA3553^2*R_dn)-dpdn_minQ</f>
        <v>90.703756022472348</v>
      </c>
      <c r="AB3556" s="45"/>
      <c r="AC3556" s="74"/>
      <c r="AD3556" s="53">
        <f>P_2_minQ+(AD3553^2*R_dn)-dpdn_minQ</f>
        <v>203.30156886489644</v>
      </c>
      <c r="AE3556" s="45"/>
      <c r="AF3556" s="74"/>
      <c r="AG3556" s="53">
        <f>P_2_minQ+(AG3553^2*R_dn)-dpdn_minQ</f>
        <v>420.66141246044151</v>
      </c>
      <c r="AH3556" s="45"/>
      <c r="AI3556" s="74"/>
      <c r="AJ3556" s="53">
        <f>P_2_minQ+(AJ3553^2*R_dn)-dpdn_minQ</f>
        <v>729.90167294064133</v>
      </c>
      <c r="AK3556" s="45"/>
      <c r="AL3556" s="74"/>
      <c r="AM3556" s="53">
        <f>P_2_minQ+(AM3553^2*R_dn)-dpdn_minQ</f>
        <v>1074.6703286209095</v>
      </c>
      <c r="AN3556" s="45"/>
      <c r="AO3556" s="74"/>
      <c r="AP3556" s="53">
        <f>P_2_minQ+(AP3553^2*R_dn)-dpdn_minQ</f>
        <v>1439.9164055986062</v>
      </c>
      <c r="AQ3556" s="45"/>
      <c r="AR3556" s="74"/>
      <c r="AS3556" s="53">
        <f>P_2_minQ+(AS3553^2*R_dn)-dpdn_minQ</f>
        <v>1857.7807499257133</v>
      </c>
      <c r="AT3556" s="45"/>
      <c r="AU3556" s="74"/>
    </row>
    <row r="3557" spans="15:47" x14ac:dyDescent="0.25">
      <c r="O3557" s="6" t="s">
        <v>243</v>
      </c>
      <c r="Q3557" s="60"/>
      <c r="R3557" s="53">
        <f>R3555-R3556</f>
        <v>23.979326010307261</v>
      </c>
      <c r="S3557" s="56"/>
      <c r="T3557" s="72"/>
      <c r="U3557" s="64">
        <f>U3555-U3556</f>
        <v>13.394065231597427</v>
      </c>
      <c r="V3557" s="44"/>
      <c r="W3557" s="72"/>
      <c r="X3557" s="64">
        <f>X3555-X3556</f>
        <v>-76.439654409029657</v>
      </c>
      <c r="Y3557" s="44"/>
      <c r="Z3557" s="72"/>
      <c r="AA3557" s="64">
        <f>AA3555-AA3556</f>
        <v>-364.02253613483407</v>
      </c>
      <c r="AB3557" s="44"/>
      <c r="AC3557" s="72"/>
      <c r="AD3557" s="64">
        <f>AD3555-AD3556</f>
        <v>-1039.6094131893785</v>
      </c>
      <c r="AE3557" s="44"/>
      <c r="AF3557" s="72"/>
      <c r="AG3557" s="64">
        <f>AG3555-AG3556</f>
        <v>-2343.7684747626495</v>
      </c>
      <c r="AH3557" s="44"/>
      <c r="AI3557" s="72"/>
      <c r="AJ3557" s="64">
        <f>AJ3555-AJ3556</f>
        <v>-4199.2100376438484</v>
      </c>
      <c r="AK3557" s="44"/>
      <c r="AL3557" s="72"/>
      <c r="AM3557" s="64">
        <f>AM3555-AM3556</f>
        <v>-6267.8219717254569</v>
      </c>
      <c r="AN3557" s="44"/>
      <c r="AO3557" s="72"/>
      <c r="AP3557" s="64">
        <f>AP3555-AP3556</f>
        <v>-8459.2984335916371</v>
      </c>
      <c r="AQ3557" s="44"/>
      <c r="AR3557" s="72"/>
      <c r="AS3557" s="64">
        <f>AS3555-AS3556</f>
        <v>-10966.484499554281</v>
      </c>
      <c r="AT3557" s="44"/>
      <c r="AU3557" s="72"/>
    </row>
    <row r="3558" spans="15:47" ht="13" x14ac:dyDescent="0.3">
      <c r="O3558" s="6" t="s">
        <v>75</v>
      </c>
      <c r="P3558" s="6">
        <v>3</v>
      </c>
      <c r="Q3558" s="65"/>
      <c r="R3558" s="85">
        <f>(F_LP_h/F_P_h)^2*(R3555-('Valve Sizing'!$V$4*'Valve Sizing'!$G$7))</f>
        <v>41.05156944089839</v>
      </c>
      <c r="S3558" s="58"/>
      <c r="T3558" s="73"/>
      <c r="U3558" s="53">
        <f>(U$29/U$27)^2*(U3555-('Valve Sizing'!$V$4*'Valve Sizing'!$G$7))</f>
        <v>33.738078373752167</v>
      </c>
      <c r="V3558" s="41"/>
      <c r="W3558" s="73"/>
      <c r="X3558" s="53">
        <f>(X$29/X$27)^2*(X3555-('Valve Sizing'!$V$4*'Valve Sizing'!$G$7))</f>
        <v>-27.597344552707522</v>
      </c>
      <c r="Y3558" s="41"/>
      <c r="Z3558" s="73"/>
      <c r="AA3558" s="53">
        <f>(AA$29/AA$27)^2*(AA3555-('Valve Sizing'!$V$4*'Valve Sizing'!$G$7))</f>
        <v>-211.56006915832515</v>
      </c>
      <c r="AB3558" s="41"/>
      <c r="AC3558" s="73"/>
      <c r="AD3558" s="53">
        <f>(AD$29/AD$27)^2*(AD3555-('Valve Sizing'!$V$4*'Valve Sizing'!$G$7))</f>
        <v>-603.45204989834906</v>
      </c>
      <c r="AE3558" s="41"/>
      <c r="AF3558" s="73"/>
      <c r="AG3558" s="53">
        <f>(AG$29/AG$27)^2*(AG3555-('Valve Sizing'!$V$4*'Valve Sizing'!$G$7))</f>
        <v>-1238.848887433104</v>
      </c>
      <c r="AH3558" s="41"/>
      <c r="AI3558" s="73"/>
      <c r="AJ3558" s="53">
        <f>(AJ$29/AJ$27)^2*(AJ3555-('Valve Sizing'!$V$4*'Valve Sizing'!$G$7))</f>
        <v>-2006.778740054476</v>
      </c>
      <c r="AK3558" s="41"/>
      <c r="AL3558" s="73"/>
      <c r="AM3558" s="53">
        <f>(AM$29/AM$27)^2*(AM3555-('Valve Sizing'!$V$4*'Valve Sizing'!$G$7))</f>
        <v>-2484.9889836792117</v>
      </c>
      <c r="AN3558" s="41"/>
      <c r="AO3558" s="73"/>
      <c r="AP3558" s="53">
        <f>(AP$29/AP$27)^2*(AP3555-('Valve Sizing'!$V$4*'Valve Sizing'!$G$7))</f>
        <v>-2770.2101182852148</v>
      </c>
      <c r="AQ3558" s="41"/>
      <c r="AR3558" s="73"/>
      <c r="AS3558" s="53">
        <f>(AS$29/AS$27)^2*(AS3555-('Valve Sizing'!$V$4*'Valve Sizing'!$G$7))</f>
        <v>-3426.3205852827809</v>
      </c>
      <c r="AT3558" s="41"/>
      <c r="AU3558" s="73"/>
    </row>
    <row r="3559" spans="15:47" ht="13" x14ac:dyDescent="0.25">
      <c r="O3559" s="1" t="s">
        <v>69</v>
      </c>
      <c r="P3559" s="17">
        <v>7</v>
      </c>
      <c r="Q3559" s="65"/>
      <c r="R3559" s="53">
        <f>(R3553/(N_1*F_P_h))*SQRT('Valve Sizing'!$G$6/R3557)</f>
        <v>92.318766554176747</v>
      </c>
      <c r="S3559" s="58"/>
      <c r="T3559" s="73"/>
      <c r="U3559" s="64">
        <f>(U3553/(N_1*U$27))*SQRT('Valve Sizing'!$G$6/U3557)</f>
        <v>186.58210144827783</v>
      </c>
      <c r="V3559" s="41"/>
      <c r="W3559" s="73"/>
      <c r="X3559" s="64" t="e">
        <f>(X3553/(N_1*X$27))*SQRT('Valve Sizing'!$G$6/X3557)</f>
        <v>#NUM!</v>
      </c>
      <c r="Y3559" s="41"/>
      <c r="Z3559" s="73"/>
      <c r="AA3559" s="64" t="e">
        <f>(AA3553/(N_1*AA$27))*SQRT('Valve Sizing'!$G$6/AA3557)</f>
        <v>#NUM!</v>
      </c>
      <c r="AB3559" s="41"/>
      <c r="AC3559" s="73"/>
      <c r="AD3559" s="64" t="e">
        <f>(AD3553/(N_1*AD$27))*SQRT('Valve Sizing'!$G$6/AD3557)</f>
        <v>#NUM!</v>
      </c>
      <c r="AE3559" s="41"/>
      <c r="AF3559" s="73"/>
      <c r="AG3559" s="64" t="e">
        <f>(AG3553/(N_1*AG$27))*SQRT('Valve Sizing'!$G$6/AG3557)</f>
        <v>#NUM!</v>
      </c>
      <c r="AH3559" s="41"/>
      <c r="AI3559" s="73"/>
      <c r="AJ3559" s="64" t="e">
        <f>(AJ3553/(N_1*AJ$27))*SQRT('Valve Sizing'!$G$6/AJ3557)</f>
        <v>#NUM!</v>
      </c>
      <c r="AK3559" s="41"/>
      <c r="AL3559" s="73"/>
      <c r="AM3559" s="64" t="e">
        <f>(AM3553/(N_1*AM$27))*SQRT('Valve Sizing'!$G$6/AM3557)</f>
        <v>#NUM!</v>
      </c>
      <c r="AN3559" s="41"/>
      <c r="AO3559" s="73"/>
      <c r="AP3559" s="64" t="e">
        <f>(AP3553/(N_1*AP$27))*SQRT('Valve Sizing'!$G$6/AP3557)</f>
        <v>#NUM!</v>
      </c>
      <c r="AQ3559" s="41"/>
      <c r="AR3559" s="73"/>
      <c r="AS3559" s="64" t="e">
        <f>(AS3553/(N_1*AS$27))*SQRT('Valve Sizing'!$G$6/AS3557)</f>
        <v>#NUM!</v>
      </c>
      <c r="AT3559" s="41"/>
      <c r="AU3559" s="73"/>
    </row>
    <row r="3560" spans="15:47" ht="13" x14ac:dyDescent="0.3">
      <c r="O3560" s="1" t="s">
        <v>72</v>
      </c>
      <c r="P3560" s="17">
        <v>7</v>
      </c>
      <c r="Q3560" s="65"/>
      <c r="R3560" s="53">
        <f>(R3553/(N_1*F_P_h))*SQRT('Valve Sizing'!$G$6/R3558)</f>
        <v>70.557566996857091</v>
      </c>
      <c r="S3560" s="56"/>
      <c r="T3560" s="72"/>
      <c r="U3560" s="85">
        <f>(U3553/(N_1*U$27))*SQRT('Valve Sizing'!$G$6/U3558)</f>
        <v>117.56174224933632</v>
      </c>
      <c r="V3560" s="44"/>
      <c r="W3560" s="72"/>
      <c r="X3560" s="85" t="e">
        <f>(X3553/(N_1*X$27))*SQRT('Valve Sizing'!$G$6/X3558)</f>
        <v>#NUM!</v>
      </c>
      <c r="Y3560" s="44"/>
      <c r="Z3560" s="72"/>
      <c r="AA3560" s="85" t="e">
        <f>(AA3553/(N_1*AA$27))*SQRT('Valve Sizing'!$G$6/AA3558)</f>
        <v>#NUM!</v>
      </c>
      <c r="AB3560" s="44"/>
      <c r="AC3560" s="72"/>
      <c r="AD3560" s="85" t="e">
        <f>(AD3553/(N_1*AD$27))*SQRT('Valve Sizing'!$G$6/AD3558)</f>
        <v>#NUM!</v>
      </c>
      <c r="AE3560" s="44"/>
      <c r="AF3560" s="72"/>
      <c r="AG3560" s="85" t="e">
        <f>(AG3553/(N_1*AG$27))*SQRT('Valve Sizing'!$G$6/AG3558)</f>
        <v>#NUM!</v>
      </c>
      <c r="AH3560" s="44"/>
      <c r="AI3560" s="72"/>
      <c r="AJ3560" s="85" t="e">
        <f>(AJ3553/(N_1*AJ$27))*SQRT('Valve Sizing'!$G$6/AJ3558)</f>
        <v>#NUM!</v>
      </c>
      <c r="AK3560" s="44"/>
      <c r="AL3560" s="72"/>
      <c r="AM3560" s="85" t="e">
        <f>(AM3553/(N_1*AM$27))*SQRT('Valve Sizing'!$G$6/AM3558)</f>
        <v>#NUM!</v>
      </c>
      <c r="AN3560" s="44"/>
      <c r="AO3560" s="72"/>
      <c r="AP3560" s="85" t="e">
        <f>(AP3553/(N_1*AP$27))*SQRT('Valve Sizing'!$G$6/AP3558)</f>
        <v>#NUM!</v>
      </c>
      <c r="AQ3560" s="44"/>
      <c r="AR3560" s="72"/>
      <c r="AS3560" s="85" t="e">
        <f>(AS3553/(N_1*AS$27))*SQRT('Valve Sizing'!$G$6/AS3558)</f>
        <v>#NUM!</v>
      </c>
      <c r="AT3560" s="44"/>
      <c r="AU3560" s="72"/>
    </row>
    <row r="3561" spans="15:47" x14ac:dyDescent="0.25">
      <c r="O3561" s="1" t="s">
        <v>246</v>
      </c>
      <c r="P3561" s="18"/>
      <c r="Q3561" s="65"/>
      <c r="R3561" s="53">
        <f>IF(R3557&lt;R3558,R3559,R3560)</f>
        <v>92.318766554176747</v>
      </c>
      <c r="S3561" s="49"/>
      <c r="T3561" s="72"/>
      <c r="U3561" s="64">
        <f>IF(U3557&lt;U3558,U3559,U3560)</f>
        <v>186.58210144827783</v>
      </c>
      <c r="V3561" s="44"/>
      <c r="W3561" s="72"/>
      <c r="X3561" s="64" t="e">
        <f>IF(X3557&lt;X3558,X3559,X3560)</f>
        <v>#NUM!</v>
      </c>
      <c r="Y3561" s="44"/>
      <c r="Z3561" s="72"/>
      <c r="AA3561" s="64" t="e">
        <f>IF(AA3557&lt;AA3558,AA3559,AA3560)</f>
        <v>#NUM!</v>
      </c>
      <c r="AB3561" s="44"/>
      <c r="AC3561" s="72"/>
      <c r="AD3561" s="64" t="e">
        <f>IF(AD3557&lt;AD3558,AD3559,AD3560)</f>
        <v>#NUM!</v>
      </c>
      <c r="AE3561" s="44"/>
      <c r="AF3561" s="72"/>
      <c r="AG3561" s="64" t="e">
        <f>IF(AG3557&lt;AG3558,AG3559,AG3560)</f>
        <v>#NUM!</v>
      </c>
      <c r="AH3561" s="44"/>
      <c r="AI3561" s="72"/>
      <c r="AJ3561" s="64" t="e">
        <f>IF(AJ3557&lt;AJ3558,AJ3559,AJ3560)</f>
        <v>#NUM!</v>
      </c>
      <c r="AK3561" s="44"/>
      <c r="AL3561" s="72"/>
      <c r="AM3561" s="64" t="e">
        <f>IF(AM3557&lt;AM3558,AM3559,AM3560)</f>
        <v>#NUM!</v>
      </c>
      <c r="AN3561" s="44"/>
      <c r="AO3561" s="72"/>
      <c r="AP3561" s="64" t="e">
        <f>IF(AP3557&lt;AP3558,AP3559,AP3560)</f>
        <v>#NUM!</v>
      </c>
      <c r="AQ3561" s="44"/>
      <c r="AR3561" s="72"/>
      <c r="AS3561" s="64" t="e">
        <f>IF(AS3557&lt;AS3558,AS3559,AS3560)</f>
        <v>#NUM!</v>
      </c>
      <c r="AT3561" s="44"/>
      <c r="AU3561" s="72"/>
    </row>
    <row r="3562" spans="15:47" ht="13" x14ac:dyDescent="0.3">
      <c r="O3562" s="7" t="s">
        <v>264</v>
      </c>
      <c r="Q3562" s="61"/>
      <c r="R3562" s="53"/>
      <c r="S3562" s="69">
        <f>IFERROR(ABS(C_h-R3561),Q_max*10)</f>
        <v>87.318766554176747</v>
      </c>
      <c r="T3562" s="76">
        <f>R3553</f>
        <v>452.00678169212046</v>
      </c>
      <c r="U3562" s="61"/>
      <c r="V3562" s="69">
        <f>IFERROR(ABS(U$23-U3561),Q_max*10)</f>
        <v>174.58210144827783</v>
      </c>
      <c r="W3562" s="75">
        <f>U3553</f>
        <v>682.27665972853958</v>
      </c>
      <c r="X3562" s="61"/>
      <c r="Y3562" s="69">
        <f>IFERROR(ABS(X$23-X3561),Q_max*10)</f>
        <v>5500</v>
      </c>
      <c r="Z3562" s="75">
        <f>X3553</f>
        <v>1637.7266171564797</v>
      </c>
      <c r="AA3562" s="61"/>
      <c r="AB3562" s="69">
        <f>IFERROR(ABS(AA$23-AA3561),Q_max*10)</f>
        <v>5500</v>
      </c>
      <c r="AC3562" s="75">
        <f>AA3553</f>
        <v>3127.0203195897257</v>
      </c>
      <c r="AD3562" s="61"/>
      <c r="AE3562" s="69">
        <f>IFERROR(ABS(AD$23-AD3561),Q_max*10)</f>
        <v>5500</v>
      </c>
      <c r="AF3562" s="75">
        <f>AD3553</f>
        <v>5142.7971251496901</v>
      </c>
      <c r="AG3562" s="61"/>
      <c r="AH3562" s="69">
        <f>IFERROR(ABS(AG$23-AG3561),Q_max*10)</f>
        <v>5500</v>
      </c>
      <c r="AI3562" s="75">
        <f>AG3553</f>
        <v>7656.9241288371386</v>
      </c>
      <c r="AJ3562" s="61"/>
      <c r="AK3562" s="69">
        <f>IFERROR(ABS(AJ$23-AJ3561),Q_max*10)</f>
        <v>5500</v>
      </c>
      <c r="AL3562" s="75">
        <f>AJ3553</f>
        <v>10218.194932514351</v>
      </c>
      <c r="AM3562" s="61"/>
      <c r="AN3562" s="69">
        <f>IFERROR(ABS(AM$23-AM3561),Q_max*10)</f>
        <v>5500</v>
      </c>
      <c r="AO3562" s="75">
        <f>AM3553</f>
        <v>12468.139682900799</v>
      </c>
      <c r="AP3562" s="61"/>
      <c r="AQ3562" s="69">
        <f>IFERROR(ABS(AP$23-AP3561),Q_max*10)</f>
        <v>5500</v>
      </c>
      <c r="AR3562" s="75">
        <f>AP3553</f>
        <v>14475.123103064569</v>
      </c>
      <c r="AS3562" s="61"/>
      <c r="AT3562" s="69">
        <f>IFERROR(ABS(AS$23-AS3561),Q_max*10)</f>
        <v>5500</v>
      </c>
      <c r="AU3562" s="75">
        <f>AS3553</f>
        <v>16474.040337042454</v>
      </c>
    </row>
    <row r="3563" spans="15:47" ht="14.5" x14ac:dyDescent="0.35">
      <c r="O3563" s="6"/>
      <c r="P3563" s="6"/>
      <c r="Q3563" s="60"/>
      <c r="R3563" s="67"/>
      <c r="S3563" s="58"/>
      <c r="T3563" s="73"/>
      <c r="V3563" s="11"/>
      <c r="W3563" s="38"/>
      <c r="Y3563" s="11"/>
      <c r="Z3563" s="38"/>
      <c r="AB3563" s="11"/>
      <c r="AC3563" s="38"/>
      <c r="AE3563" s="11"/>
      <c r="AF3563" s="38"/>
      <c r="AH3563" s="11"/>
      <c r="AI3563" s="38"/>
      <c r="AK3563" s="11"/>
      <c r="AL3563" s="38"/>
      <c r="AN3563" s="11"/>
      <c r="AO3563" s="38"/>
      <c r="AQ3563" s="11"/>
      <c r="AR3563" s="38"/>
      <c r="AT3563" s="11"/>
      <c r="AU3563" s="38"/>
    </row>
    <row r="3564" spans="15:47" ht="14" x14ac:dyDescent="0.3">
      <c r="O3564" s="8" t="s">
        <v>235</v>
      </c>
      <c r="P3564" s="6"/>
      <c r="Q3564" s="60"/>
      <c r="R3564" s="53">
        <f>R3553*1.02</f>
        <v>461.04691732596285</v>
      </c>
      <c r="S3564" s="58" t="s">
        <v>238</v>
      </c>
      <c r="T3564" s="73" t="s">
        <v>241</v>
      </c>
      <c r="U3564" s="84">
        <f>U3553*1.01</f>
        <v>689.09942632582499</v>
      </c>
      <c r="V3564" s="58" t="s">
        <v>238</v>
      </c>
      <c r="W3564" s="73" t="s">
        <v>241</v>
      </c>
      <c r="X3564" s="84">
        <f>X3553*1.01</f>
        <v>1654.1038833280445</v>
      </c>
      <c r="Y3564" s="58" t="s">
        <v>238</v>
      </c>
      <c r="Z3564" s="73" t="s">
        <v>241</v>
      </c>
      <c r="AA3564" s="84">
        <f>AA3553*1.01</f>
        <v>3158.2905227856231</v>
      </c>
      <c r="AB3564" s="58" t="s">
        <v>238</v>
      </c>
      <c r="AC3564" s="73" t="s">
        <v>241</v>
      </c>
      <c r="AD3564" s="84">
        <f>AD3553*1.01</f>
        <v>5194.2250964011873</v>
      </c>
      <c r="AE3564" s="58" t="s">
        <v>238</v>
      </c>
      <c r="AF3564" s="73" t="s">
        <v>241</v>
      </c>
      <c r="AG3564" s="84">
        <f>AG3553*1.01</f>
        <v>7733.4933701255104</v>
      </c>
      <c r="AH3564" s="58" t="s">
        <v>238</v>
      </c>
      <c r="AI3564" s="73" t="s">
        <v>241</v>
      </c>
      <c r="AJ3564" s="84">
        <f>AJ3553*1.01</f>
        <v>10320.376881839495</v>
      </c>
      <c r="AK3564" s="58" t="s">
        <v>238</v>
      </c>
      <c r="AL3564" s="73" t="s">
        <v>241</v>
      </c>
      <c r="AM3564" s="84">
        <f>AM3553*1.01</f>
        <v>12592.821079729807</v>
      </c>
      <c r="AN3564" s="58" t="s">
        <v>238</v>
      </c>
      <c r="AO3564" s="73" t="s">
        <v>241</v>
      </c>
      <c r="AP3564" s="84">
        <f>AP3553*1.01</f>
        <v>14619.874334095215</v>
      </c>
      <c r="AQ3564" s="58" t="s">
        <v>238</v>
      </c>
      <c r="AR3564" s="73" t="s">
        <v>241</v>
      </c>
      <c r="AS3564" s="84">
        <f>AS3553*1.01</f>
        <v>16638.78074041288</v>
      </c>
      <c r="AT3564" s="58" t="s">
        <v>238</v>
      </c>
      <c r="AU3564" s="73" t="s">
        <v>241</v>
      </c>
    </row>
    <row r="3565" spans="15:47" ht="13" x14ac:dyDescent="0.25">
      <c r="O3565" s="6"/>
      <c r="P3565" s="6"/>
      <c r="Q3565" s="60"/>
      <c r="R3565" s="70"/>
      <c r="S3565" s="63" t="s">
        <v>250</v>
      </c>
      <c r="T3565" s="71" t="s">
        <v>242</v>
      </c>
      <c r="U3565" s="61"/>
      <c r="V3565" s="63" t="s">
        <v>250</v>
      </c>
      <c r="W3565" s="71" t="s">
        <v>242</v>
      </c>
      <c r="X3565" s="61"/>
      <c r="Y3565" s="63" t="s">
        <v>250</v>
      </c>
      <c r="Z3565" s="71" t="s">
        <v>242</v>
      </c>
      <c r="AA3565" s="61"/>
      <c r="AB3565" s="63" t="s">
        <v>250</v>
      </c>
      <c r="AC3565" s="71" t="s">
        <v>242</v>
      </c>
      <c r="AD3565" s="61"/>
      <c r="AE3565" s="63" t="s">
        <v>250</v>
      </c>
      <c r="AF3565" s="71" t="s">
        <v>242</v>
      </c>
      <c r="AG3565" s="61"/>
      <c r="AH3565" s="63" t="s">
        <v>250</v>
      </c>
      <c r="AI3565" s="71" t="s">
        <v>242</v>
      </c>
      <c r="AJ3565" s="61"/>
      <c r="AK3565" s="63" t="s">
        <v>250</v>
      </c>
      <c r="AL3565" s="71" t="s">
        <v>242</v>
      </c>
      <c r="AM3565" s="61"/>
      <c r="AN3565" s="63" t="s">
        <v>250</v>
      </c>
      <c r="AO3565" s="71" t="s">
        <v>242</v>
      </c>
      <c r="AP3565" s="61"/>
      <c r="AQ3565" s="63" t="s">
        <v>250</v>
      </c>
      <c r="AR3565" s="71" t="s">
        <v>242</v>
      </c>
      <c r="AS3565" s="61"/>
      <c r="AT3565" s="63" t="s">
        <v>250</v>
      </c>
      <c r="AU3565" s="71" t="s">
        <v>242</v>
      </c>
    </row>
    <row r="3566" spans="15:47" ht="13" x14ac:dyDescent="0.3">
      <c r="O3566" s="6" t="s">
        <v>231</v>
      </c>
      <c r="P3566" s="6"/>
      <c r="Q3566" s="60"/>
      <c r="R3566" s="85">
        <f>P_1_minQ-(R3564^2*R_up)+dpup_minQ</f>
        <v>49.737343465863788</v>
      </c>
      <c r="S3566" s="56"/>
      <c r="T3566" s="72"/>
      <c r="U3566" s="53">
        <f>P_1_minQ-(U3564^2*R_up)+dpup_minQ</f>
        <v>40.879060474076965</v>
      </c>
      <c r="V3566" s="44"/>
      <c r="W3566" s="72"/>
      <c r="X3566" s="53">
        <f>P_1_minQ-(X3564^2*R_up)+dpup_minQ</f>
        <v>-35.48708736375945</v>
      </c>
      <c r="Y3566" s="44"/>
      <c r="Z3566" s="72"/>
      <c r="AA3566" s="53">
        <f>P_1_minQ-(AA3564^2*R_up)+dpup_minQ</f>
        <v>-279.95650207083708</v>
      </c>
      <c r="AB3566" s="44"/>
      <c r="AC3566" s="72"/>
      <c r="AD3566" s="53">
        <f>P_1_minQ-(AD3564^2*R_up)+dpup_minQ</f>
        <v>-854.26164647362123</v>
      </c>
      <c r="AE3566" s="44"/>
      <c r="AF3566" s="72"/>
      <c r="AG3566" s="53">
        <f>P_1_minQ-(AG3564^2*R_up)+dpup_minQ</f>
        <v>-1962.9055287326994</v>
      </c>
      <c r="AH3566" s="44"/>
      <c r="AI3566" s="72"/>
      <c r="AJ3566" s="53">
        <f>P_1_minQ-(AJ3564^2*R_up)+dpup_minQ</f>
        <v>-3540.1854773119589</v>
      </c>
      <c r="AK3566" s="44"/>
      <c r="AL3566" s="72"/>
      <c r="AM3566" s="53">
        <f>P_1_minQ-(AM3564^2*R_up)+dpup_minQ</f>
        <v>-5298.6780056091657</v>
      </c>
      <c r="AN3566" s="44"/>
      <c r="AO3566" s="72"/>
      <c r="AP3566" s="53">
        <f>P_1_minQ-(AP3564^2*R_up)+dpup_minQ</f>
        <v>-7161.6156212339083</v>
      </c>
      <c r="AQ3566" s="44"/>
      <c r="AR3566" s="72"/>
      <c r="AS3566" s="53">
        <f>P_1_minQ-(AS3564^2*R_up)+dpup_minQ</f>
        <v>-9292.9327094743203</v>
      </c>
      <c r="AT3566" s="44"/>
      <c r="AU3566" s="72"/>
    </row>
    <row r="3567" spans="15:47" ht="13" x14ac:dyDescent="0.3">
      <c r="O3567" s="6" t="s">
        <v>233</v>
      </c>
      <c r="P3567" s="6"/>
      <c r="Q3567" s="60"/>
      <c r="R3567" s="85">
        <f>P_2_minQ+(R3564^2*R_dn)-dpdn_minQ</f>
        <v>26.092531306827244</v>
      </c>
      <c r="S3567" s="66"/>
      <c r="T3567" s="74"/>
      <c r="U3567" s="53">
        <f>P_2_minQ+(U3564^2*R_dn)-dpdn_minQ</f>
        <v>27.864187905184608</v>
      </c>
      <c r="V3567" s="45"/>
      <c r="W3567" s="74"/>
      <c r="X3567" s="53">
        <f>P_2_minQ+(X3564^2*R_dn)-dpdn_minQ</f>
        <v>43.137417472751892</v>
      </c>
      <c r="Y3567" s="45"/>
      <c r="Z3567" s="74"/>
      <c r="AA3567" s="53">
        <f>P_2_minQ+(AA3564^2*R_dn)-dpdn_minQ</f>
        <v>92.031300414167404</v>
      </c>
      <c r="AB3567" s="45"/>
      <c r="AC3567" s="74"/>
      <c r="AD3567" s="53">
        <f>P_2_minQ+(AD3564^2*R_dn)-dpdn_minQ</f>
        <v>206.89232929472425</v>
      </c>
      <c r="AE3567" s="45"/>
      <c r="AF3567" s="74"/>
      <c r="AG3567" s="53">
        <f>P_2_minQ+(AG3564^2*R_dn)-dpdn_minQ</f>
        <v>428.6211057465398</v>
      </c>
      <c r="AH3567" s="45"/>
      <c r="AI3567" s="74"/>
      <c r="AJ3567" s="53">
        <f>P_2_minQ+(AJ3564^2*R_dn)-dpdn_minQ</f>
        <v>744.07709546239175</v>
      </c>
      <c r="AK3567" s="45"/>
      <c r="AL3567" s="74"/>
      <c r="AM3567" s="53">
        <f>P_2_minQ+(AM3564^2*R_dn)-dpdn_minQ</f>
        <v>1095.775601121833</v>
      </c>
      <c r="AN3567" s="45"/>
      <c r="AO3567" s="74"/>
      <c r="AP3567" s="53">
        <f>P_2_minQ+(AP3564^2*R_dn)-dpdn_minQ</f>
        <v>1468.3631242467816</v>
      </c>
      <c r="AQ3567" s="45"/>
      <c r="AR3567" s="74"/>
      <c r="AS3567" s="53">
        <f>P_2_minQ+(AS3564^2*R_dn)-dpdn_minQ</f>
        <v>1894.626541894864</v>
      </c>
      <c r="AT3567" s="45"/>
      <c r="AU3567" s="74"/>
    </row>
    <row r="3568" spans="15:47" x14ac:dyDescent="0.25">
      <c r="O3568" s="6" t="s">
        <v>243</v>
      </c>
      <c r="Q3568" s="60"/>
      <c r="R3568" s="53">
        <f>R3566-R3567</f>
        <v>23.644812159036544</v>
      </c>
      <c r="S3568" s="56"/>
      <c r="T3568" s="72"/>
      <c r="U3568" s="64">
        <f>U3566-U3567</f>
        <v>13.014872568892358</v>
      </c>
      <c r="V3568" s="44"/>
      <c r="W3568" s="72"/>
      <c r="X3568" s="64">
        <f>X3566-X3567</f>
        <v>-78.624504836511335</v>
      </c>
      <c r="Y3568" s="44"/>
      <c r="Z3568" s="72"/>
      <c r="AA3568" s="64">
        <f>AA3566-AA3567</f>
        <v>-371.98780248500447</v>
      </c>
      <c r="AB3568" s="44"/>
      <c r="AC3568" s="72"/>
      <c r="AD3568" s="64">
        <f>AD3566-AD3567</f>
        <v>-1061.1539757683454</v>
      </c>
      <c r="AE3568" s="44"/>
      <c r="AF3568" s="72"/>
      <c r="AG3568" s="64">
        <f>AG3566-AG3567</f>
        <v>-2391.526634479239</v>
      </c>
      <c r="AH3568" s="44"/>
      <c r="AI3568" s="72"/>
      <c r="AJ3568" s="64">
        <f>AJ3566-AJ3567</f>
        <v>-4284.2625727743507</v>
      </c>
      <c r="AK3568" s="44"/>
      <c r="AL3568" s="72"/>
      <c r="AM3568" s="64">
        <f>AM3566-AM3567</f>
        <v>-6394.4536067309982</v>
      </c>
      <c r="AN3568" s="44"/>
      <c r="AO3568" s="72"/>
      <c r="AP3568" s="64">
        <f>AP3566-AP3567</f>
        <v>-8629.9787454806901</v>
      </c>
      <c r="AQ3568" s="44"/>
      <c r="AR3568" s="72"/>
      <c r="AS3568" s="64">
        <f>AS3566-AS3567</f>
        <v>-11187.559251369184</v>
      </c>
      <c r="AT3568" s="44"/>
      <c r="AU3568" s="72"/>
    </row>
    <row r="3569" spans="15:47" ht="13" x14ac:dyDescent="0.3">
      <c r="O3569" s="6" t="s">
        <v>75</v>
      </c>
      <c r="P3569" s="6">
        <v>3</v>
      </c>
      <c r="Q3569" s="65"/>
      <c r="R3569" s="85">
        <f>(F_LP_h/F_P_h)^2*(R3566-('Valve Sizing'!$V$4*'Valve Sizing'!$G$7))</f>
        <v>40.820740251345313</v>
      </c>
      <c r="S3569" s="58"/>
      <c r="T3569" s="73"/>
      <c r="U3569" s="53">
        <f>(U$29/U$27)^2*(U3566-('Valve Sizing'!$V$4*'Valve Sizing'!$G$7))</f>
        <v>33.476490167562687</v>
      </c>
      <c r="V3569" s="41"/>
      <c r="W3569" s="73"/>
      <c r="X3569" s="53">
        <f>(X$29/X$27)^2*(X3566-('Valve Sizing'!$V$4*'Valve Sizing'!$G$7))</f>
        <v>-29.070577479495217</v>
      </c>
      <c r="Y3569" s="41"/>
      <c r="Z3569" s="73"/>
      <c r="AA3569" s="53">
        <f>(AA$29/AA$27)^2*(AA3566-('Valve Sizing'!$V$4*'Valve Sizing'!$G$7))</f>
        <v>-216.68968224395095</v>
      </c>
      <c r="AB3569" s="41"/>
      <c r="AC3569" s="73"/>
      <c r="AD3569" s="53">
        <f>(AD$29/AD$27)^2*(AD3566-('Valve Sizing'!$V$4*'Valve Sizing'!$G$7))</f>
        <v>-616.40010591923203</v>
      </c>
      <c r="AE3569" s="41"/>
      <c r="AF3569" s="73"/>
      <c r="AG3569" s="53">
        <f>(AG$29/AG$27)^2*(AG3566-('Valve Sizing'!$V$4*'Valve Sizing'!$G$7))</f>
        <v>-1264.4808490040259</v>
      </c>
      <c r="AH3569" s="41"/>
      <c r="AI3569" s="73"/>
      <c r="AJ3569" s="53">
        <f>(AJ$29/AJ$27)^2*(AJ3566-('Valve Sizing'!$V$4*'Valve Sizing'!$G$7))</f>
        <v>-2047.7715341782784</v>
      </c>
      <c r="AK3569" s="41"/>
      <c r="AL3569" s="73"/>
      <c r="AM3569" s="53">
        <f>(AM$29/AM$27)^2*(AM3566-('Valve Sizing'!$V$4*'Valve Sizing'!$G$7))</f>
        <v>-2535.4804091550841</v>
      </c>
      <c r="AN3569" s="41"/>
      <c r="AO3569" s="73"/>
      <c r="AP3569" s="53">
        <f>(AP$29/AP$27)^2*(AP3566-('Valve Sizing'!$V$4*'Valve Sizing'!$G$7))</f>
        <v>-2826.3393099296472</v>
      </c>
      <c r="AQ3569" s="41"/>
      <c r="AR3569" s="73"/>
      <c r="AS3569" s="53">
        <f>(AS$29/AS$27)^2*(AS3566-('Valve Sizing'!$V$4*'Valve Sizing'!$G$7))</f>
        <v>-3495.6166125360837</v>
      </c>
      <c r="AT3569" s="41"/>
      <c r="AU3569" s="73"/>
    </row>
    <row r="3570" spans="15:47" ht="13" x14ac:dyDescent="0.25">
      <c r="O3570" s="1" t="s">
        <v>69</v>
      </c>
      <c r="P3570" s="17">
        <v>7</v>
      </c>
      <c r="Q3570" s="65"/>
      <c r="R3570" s="53">
        <f>(R3564/(N_1*F_P_h))*SQRT('Valve Sizing'!$G$6/R3568)</f>
        <v>94.828900930213464</v>
      </c>
      <c r="S3570" s="58"/>
      <c r="T3570" s="73"/>
      <c r="U3570" s="64">
        <f>(U3564/(N_1*U$27))*SQRT('Valve Sizing'!$G$6/U3568)</f>
        <v>191.17345924501467</v>
      </c>
      <c r="V3570" s="41"/>
      <c r="W3570" s="73"/>
      <c r="X3570" s="64" t="e">
        <f>(X3564/(N_1*X$27))*SQRT('Valve Sizing'!$G$6/X3568)</f>
        <v>#NUM!</v>
      </c>
      <c r="Y3570" s="41"/>
      <c r="Z3570" s="73"/>
      <c r="AA3570" s="64" t="e">
        <f>(AA3564/(N_1*AA$27))*SQRT('Valve Sizing'!$G$6/AA3568)</f>
        <v>#NUM!</v>
      </c>
      <c r="AB3570" s="41"/>
      <c r="AC3570" s="73"/>
      <c r="AD3570" s="64" t="e">
        <f>(AD3564/(N_1*AD$27))*SQRT('Valve Sizing'!$G$6/AD3568)</f>
        <v>#NUM!</v>
      </c>
      <c r="AE3570" s="41"/>
      <c r="AF3570" s="73"/>
      <c r="AG3570" s="64" t="e">
        <f>(AG3564/(N_1*AG$27))*SQRT('Valve Sizing'!$G$6/AG3568)</f>
        <v>#NUM!</v>
      </c>
      <c r="AH3570" s="41"/>
      <c r="AI3570" s="73"/>
      <c r="AJ3570" s="64" t="e">
        <f>(AJ3564/(N_1*AJ$27))*SQRT('Valve Sizing'!$G$6/AJ3568)</f>
        <v>#NUM!</v>
      </c>
      <c r="AK3570" s="41"/>
      <c r="AL3570" s="73"/>
      <c r="AM3570" s="64" t="e">
        <f>(AM3564/(N_1*AM$27))*SQRT('Valve Sizing'!$G$6/AM3568)</f>
        <v>#NUM!</v>
      </c>
      <c r="AN3570" s="41"/>
      <c r="AO3570" s="73"/>
      <c r="AP3570" s="64" t="e">
        <f>(AP3564/(N_1*AP$27))*SQRT('Valve Sizing'!$G$6/AP3568)</f>
        <v>#NUM!</v>
      </c>
      <c r="AQ3570" s="41"/>
      <c r="AR3570" s="73"/>
      <c r="AS3570" s="64" t="e">
        <f>(AS3564/(N_1*AS$27))*SQRT('Valve Sizing'!$G$6/AS3568)</f>
        <v>#NUM!</v>
      </c>
      <c r="AT3570" s="41"/>
      <c r="AU3570" s="73"/>
    </row>
    <row r="3571" spans="15:47" ht="13" x14ac:dyDescent="0.3">
      <c r="O3571" s="1" t="s">
        <v>72</v>
      </c>
      <c r="P3571" s="17">
        <v>7</v>
      </c>
      <c r="Q3571" s="65"/>
      <c r="R3571" s="53">
        <f>(R3564/(N_1*F_P_h))*SQRT('Valve Sizing'!$G$6/R3569)</f>
        <v>72.171912378918122</v>
      </c>
      <c r="S3571" s="56"/>
      <c r="T3571" s="72"/>
      <c r="U3571" s="85">
        <f>(U3564/(N_1*U$27))*SQRT('Valve Sizing'!$G$6/U3569)</f>
        <v>119.20036896174317</v>
      </c>
      <c r="V3571" s="44"/>
      <c r="W3571" s="72"/>
      <c r="X3571" s="85" t="e">
        <f>(X3564/(N_1*X$27))*SQRT('Valve Sizing'!$G$6/X3569)</f>
        <v>#NUM!</v>
      </c>
      <c r="Y3571" s="44"/>
      <c r="Z3571" s="72"/>
      <c r="AA3571" s="85" t="e">
        <f>(AA3564/(N_1*AA$27))*SQRT('Valve Sizing'!$G$6/AA3569)</f>
        <v>#NUM!</v>
      </c>
      <c r="AB3571" s="44"/>
      <c r="AC3571" s="72"/>
      <c r="AD3571" s="85" t="e">
        <f>(AD3564/(N_1*AD$27))*SQRT('Valve Sizing'!$G$6/AD3569)</f>
        <v>#NUM!</v>
      </c>
      <c r="AE3571" s="44"/>
      <c r="AF3571" s="72"/>
      <c r="AG3571" s="85" t="e">
        <f>(AG3564/(N_1*AG$27))*SQRT('Valve Sizing'!$G$6/AG3569)</f>
        <v>#NUM!</v>
      </c>
      <c r="AH3571" s="44"/>
      <c r="AI3571" s="72"/>
      <c r="AJ3571" s="85" t="e">
        <f>(AJ3564/(N_1*AJ$27))*SQRT('Valve Sizing'!$G$6/AJ3569)</f>
        <v>#NUM!</v>
      </c>
      <c r="AK3571" s="44"/>
      <c r="AL3571" s="72"/>
      <c r="AM3571" s="85" t="e">
        <f>(AM3564/(N_1*AM$27))*SQRT('Valve Sizing'!$G$6/AM3569)</f>
        <v>#NUM!</v>
      </c>
      <c r="AN3571" s="44"/>
      <c r="AO3571" s="72"/>
      <c r="AP3571" s="85" t="e">
        <f>(AP3564/(N_1*AP$27))*SQRT('Valve Sizing'!$G$6/AP3569)</f>
        <v>#NUM!</v>
      </c>
      <c r="AQ3571" s="44"/>
      <c r="AR3571" s="72"/>
      <c r="AS3571" s="85" t="e">
        <f>(AS3564/(N_1*AS$27))*SQRT('Valve Sizing'!$G$6/AS3569)</f>
        <v>#NUM!</v>
      </c>
      <c r="AT3571" s="44"/>
      <c r="AU3571" s="72"/>
    </row>
    <row r="3572" spans="15:47" x14ac:dyDescent="0.25">
      <c r="O3572" s="1" t="s">
        <v>246</v>
      </c>
      <c r="P3572" s="18"/>
      <c r="Q3572" s="65"/>
      <c r="R3572" s="53">
        <f>IF(R3568&lt;R3569,R3570,R3571)</f>
        <v>94.828900930213464</v>
      </c>
      <c r="S3572" s="49"/>
      <c r="T3572" s="72"/>
      <c r="U3572" s="64">
        <f>IF(U3568&lt;U3569,U3570,U3571)</f>
        <v>191.17345924501467</v>
      </c>
      <c r="V3572" s="44"/>
      <c r="W3572" s="72"/>
      <c r="X3572" s="64" t="e">
        <f>IF(X3568&lt;X3569,X3570,X3571)</f>
        <v>#NUM!</v>
      </c>
      <c r="Y3572" s="44"/>
      <c r="Z3572" s="72"/>
      <c r="AA3572" s="64" t="e">
        <f>IF(AA3568&lt;AA3569,AA3570,AA3571)</f>
        <v>#NUM!</v>
      </c>
      <c r="AB3572" s="44"/>
      <c r="AC3572" s="72"/>
      <c r="AD3572" s="64" t="e">
        <f>IF(AD3568&lt;AD3569,AD3570,AD3571)</f>
        <v>#NUM!</v>
      </c>
      <c r="AE3572" s="44"/>
      <c r="AF3572" s="72"/>
      <c r="AG3572" s="64" t="e">
        <f>IF(AG3568&lt;AG3569,AG3570,AG3571)</f>
        <v>#NUM!</v>
      </c>
      <c r="AH3572" s="44"/>
      <c r="AI3572" s="72"/>
      <c r="AJ3572" s="64" t="e">
        <f>IF(AJ3568&lt;AJ3569,AJ3570,AJ3571)</f>
        <v>#NUM!</v>
      </c>
      <c r="AK3572" s="44"/>
      <c r="AL3572" s="72"/>
      <c r="AM3572" s="64" t="e">
        <f>IF(AM3568&lt;AM3569,AM3570,AM3571)</f>
        <v>#NUM!</v>
      </c>
      <c r="AN3572" s="44"/>
      <c r="AO3572" s="72"/>
      <c r="AP3572" s="64" t="e">
        <f>IF(AP3568&lt;AP3569,AP3570,AP3571)</f>
        <v>#NUM!</v>
      </c>
      <c r="AQ3572" s="44"/>
      <c r="AR3572" s="72"/>
      <c r="AS3572" s="64" t="e">
        <f>IF(AS3568&lt;AS3569,AS3570,AS3571)</f>
        <v>#NUM!</v>
      </c>
      <c r="AT3572" s="44"/>
      <c r="AU3572" s="72"/>
    </row>
    <row r="3573" spans="15:47" ht="13" x14ac:dyDescent="0.3">
      <c r="O3573" s="7" t="s">
        <v>264</v>
      </c>
      <c r="Q3573" s="61"/>
      <c r="R3573" s="53"/>
      <c r="S3573" s="69">
        <f>IFERROR(ABS(C_h-R3572),Q_max*10)</f>
        <v>89.828900930213464</v>
      </c>
      <c r="T3573" s="76">
        <f>R3564</f>
        <v>461.04691732596285</v>
      </c>
      <c r="U3573" s="61"/>
      <c r="V3573" s="69">
        <f>IFERROR(ABS(U$23-U3572),Q_max*10)</f>
        <v>179.17345924501467</v>
      </c>
      <c r="W3573" s="75">
        <f>U3564</f>
        <v>689.09942632582499</v>
      </c>
      <c r="X3573" s="61"/>
      <c r="Y3573" s="69">
        <f>IFERROR(ABS(X$23-X3572),Q_max*10)</f>
        <v>5500</v>
      </c>
      <c r="Z3573" s="75">
        <f>X3564</f>
        <v>1654.1038833280445</v>
      </c>
      <c r="AA3573" s="61"/>
      <c r="AB3573" s="69">
        <f>IFERROR(ABS(AA$23-AA3572),Q_max*10)</f>
        <v>5500</v>
      </c>
      <c r="AC3573" s="75">
        <f>AA3564</f>
        <v>3158.2905227856231</v>
      </c>
      <c r="AD3573" s="61"/>
      <c r="AE3573" s="69">
        <f>IFERROR(ABS(AD$23-AD3572),Q_max*10)</f>
        <v>5500</v>
      </c>
      <c r="AF3573" s="75">
        <f>AD3564</f>
        <v>5194.2250964011873</v>
      </c>
      <c r="AG3573" s="61"/>
      <c r="AH3573" s="69">
        <f>IFERROR(ABS(AG$23-AG3572),Q_max*10)</f>
        <v>5500</v>
      </c>
      <c r="AI3573" s="75">
        <f>AG3564</f>
        <v>7733.4933701255104</v>
      </c>
      <c r="AJ3573" s="61"/>
      <c r="AK3573" s="69">
        <f>IFERROR(ABS(AJ$23-AJ3572),Q_max*10)</f>
        <v>5500</v>
      </c>
      <c r="AL3573" s="75">
        <f>AJ3564</f>
        <v>10320.376881839495</v>
      </c>
      <c r="AM3573" s="61"/>
      <c r="AN3573" s="69">
        <f>IFERROR(ABS(AM$23-AM3572),Q_max*10)</f>
        <v>5500</v>
      </c>
      <c r="AO3573" s="75">
        <f>AM3564</f>
        <v>12592.821079729807</v>
      </c>
      <c r="AP3573" s="61"/>
      <c r="AQ3573" s="69">
        <f>IFERROR(ABS(AP$23-AP3572),Q_max*10)</f>
        <v>5500</v>
      </c>
      <c r="AR3573" s="75">
        <f>AP3564</f>
        <v>14619.874334095215</v>
      </c>
      <c r="AS3573" s="61"/>
      <c r="AT3573" s="69">
        <f>IFERROR(ABS(AS$23-AS3572),Q_max*10)</f>
        <v>5500</v>
      </c>
      <c r="AU3573" s="75">
        <f>AS3564</f>
        <v>16638.78074041288</v>
      </c>
    </row>
    <row r="3574" spans="15:47" ht="14.5" x14ac:dyDescent="0.35">
      <c r="O3574" s="8"/>
      <c r="P3574" s="6"/>
      <c r="Q3574" s="60"/>
      <c r="R3574" s="67"/>
      <c r="S3574" s="56"/>
      <c r="T3574" s="72"/>
      <c r="V3574" s="11"/>
      <c r="W3574" s="38"/>
      <c r="Y3574" s="11"/>
      <c r="Z3574" s="38"/>
      <c r="AB3574" s="11"/>
      <c r="AC3574" s="38"/>
      <c r="AE3574" s="11"/>
      <c r="AF3574" s="38"/>
      <c r="AH3574" s="11"/>
      <c r="AI3574" s="38"/>
      <c r="AK3574" s="11"/>
      <c r="AL3574" s="38"/>
      <c r="AN3574" s="11"/>
      <c r="AO3574" s="38"/>
      <c r="AQ3574" s="11"/>
      <c r="AR3574" s="38"/>
      <c r="AT3574" s="11"/>
      <c r="AU3574" s="38"/>
    </row>
    <row r="3575" spans="15:47" ht="14" x14ac:dyDescent="0.3">
      <c r="O3575" s="8" t="s">
        <v>235</v>
      </c>
      <c r="P3575" s="6"/>
      <c r="Q3575" s="60"/>
      <c r="R3575" s="53">
        <f>R3564*1.02</f>
        <v>470.26785567248214</v>
      </c>
      <c r="S3575" s="58" t="s">
        <v>238</v>
      </c>
      <c r="T3575" s="73" t="s">
        <v>241</v>
      </c>
      <c r="U3575" s="84">
        <f>U3564*1.01</f>
        <v>695.99042058908321</v>
      </c>
      <c r="V3575" s="58" t="s">
        <v>238</v>
      </c>
      <c r="W3575" s="73" t="s">
        <v>241</v>
      </c>
      <c r="X3575" s="84">
        <f>X3564*1.01</f>
        <v>1670.644922161325</v>
      </c>
      <c r="Y3575" s="58" t="s">
        <v>238</v>
      </c>
      <c r="Z3575" s="73" t="s">
        <v>241</v>
      </c>
      <c r="AA3575" s="84">
        <f>AA3564*1.01</f>
        <v>3189.8734280134795</v>
      </c>
      <c r="AB3575" s="58" t="s">
        <v>238</v>
      </c>
      <c r="AC3575" s="73" t="s">
        <v>241</v>
      </c>
      <c r="AD3575" s="84">
        <f>AD3564*1.01</f>
        <v>5246.167347365199</v>
      </c>
      <c r="AE3575" s="58" t="s">
        <v>238</v>
      </c>
      <c r="AF3575" s="73" t="s">
        <v>241</v>
      </c>
      <c r="AG3575" s="84">
        <f>AG3564*1.01</f>
        <v>7810.8283038267655</v>
      </c>
      <c r="AH3575" s="58" t="s">
        <v>238</v>
      </c>
      <c r="AI3575" s="73" t="s">
        <v>241</v>
      </c>
      <c r="AJ3575" s="84">
        <f>AJ3564*1.01</f>
        <v>10423.58065065789</v>
      </c>
      <c r="AK3575" s="58" t="s">
        <v>238</v>
      </c>
      <c r="AL3575" s="73" t="s">
        <v>241</v>
      </c>
      <c r="AM3575" s="84">
        <f>AM3564*1.01</f>
        <v>12718.749290527105</v>
      </c>
      <c r="AN3575" s="58" t="s">
        <v>238</v>
      </c>
      <c r="AO3575" s="73" t="s">
        <v>241</v>
      </c>
      <c r="AP3575" s="84">
        <f>AP3564*1.01</f>
        <v>14766.073077436167</v>
      </c>
      <c r="AQ3575" s="58" t="s">
        <v>238</v>
      </c>
      <c r="AR3575" s="73" t="s">
        <v>241</v>
      </c>
      <c r="AS3575" s="84">
        <f>AS3564*1.01</f>
        <v>16805.168547817007</v>
      </c>
      <c r="AT3575" s="58" t="s">
        <v>238</v>
      </c>
      <c r="AU3575" s="73" t="s">
        <v>241</v>
      </c>
    </row>
    <row r="3576" spans="15:47" ht="13" x14ac:dyDescent="0.25">
      <c r="O3576" s="6"/>
      <c r="P3576" s="6"/>
      <c r="Q3576" s="60"/>
      <c r="R3576" s="70"/>
      <c r="S3576" s="63" t="s">
        <v>250</v>
      </c>
      <c r="T3576" s="71" t="s">
        <v>242</v>
      </c>
      <c r="U3576" s="61"/>
      <c r="V3576" s="63" t="s">
        <v>250</v>
      </c>
      <c r="W3576" s="71" t="s">
        <v>242</v>
      </c>
      <c r="X3576" s="61"/>
      <c r="Y3576" s="63" t="s">
        <v>250</v>
      </c>
      <c r="Z3576" s="71" t="s">
        <v>242</v>
      </c>
      <c r="AA3576" s="61"/>
      <c r="AB3576" s="63" t="s">
        <v>250</v>
      </c>
      <c r="AC3576" s="71" t="s">
        <v>242</v>
      </c>
      <c r="AD3576" s="61"/>
      <c r="AE3576" s="63" t="s">
        <v>250</v>
      </c>
      <c r="AF3576" s="71" t="s">
        <v>242</v>
      </c>
      <c r="AG3576" s="61"/>
      <c r="AH3576" s="63" t="s">
        <v>250</v>
      </c>
      <c r="AI3576" s="71" t="s">
        <v>242</v>
      </c>
      <c r="AJ3576" s="61"/>
      <c r="AK3576" s="63" t="s">
        <v>250</v>
      </c>
      <c r="AL3576" s="71" t="s">
        <v>242</v>
      </c>
      <c r="AM3576" s="61"/>
      <c r="AN3576" s="63" t="s">
        <v>250</v>
      </c>
      <c r="AO3576" s="71" t="s">
        <v>242</v>
      </c>
      <c r="AP3576" s="61"/>
      <c r="AQ3576" s="63" t="s">
        <v>250</v>
      </c>
      <c r="AR3576" s="71" t="s">
        <v>242</v>
      </c>
      <c r="AS3576" s="61"/>
      <c r="AT3576" s="63" t="s">
        <v>250</v>
      </c>
      <c r="AU3576" s="71" t="s">
        <v>242</v>
      </c>
    </row>
    <row r="3577" spans="15:47" ht="13" x14ac:dyDescent="0.3">
      <c r="O3577" s="6" t="s">
        <v>231</v>
      </c>
      <c r="P3577" s="6"/>
      <c r="Q3577" s="60"/>
      <c r="R3577" s="85">
        <f>P_1_minQ-(R3575^2*R_up)+dpup_minQ</f>
        <v>49.447319956812073</v>
      </c>
      <c r="S3577" s="56"/>
      <c r="T3577" s="72"/>
      <c r="U3577" s="53">
        <f>P_1_minQ-(U3575^2*R_up)+dpup_minQ</f>
        <v>40.556715111389089</v>
      </c>
      <c r="V3577" s="44"/>
      <c r="W3577" s="72"/>
      <c r="X3577" s="53">
        <f>P_1_minQ-(X3575^2*R_up)+dpup_minQ</f>
        <v>-37.344392297987831</v>
      </c>
      <c r="Y3577" s="44"/>
      <c r="Z3577" s="72"/>
      <c r="AA3577" s="53">
        <f>P_1_minQ-(AA3575^2*R_up)+dpup_minQ</f>
        <v>-286.72764224067777</v>
      </c>
      <c r="AB3577" s="44"/>
      <c r="AC3577" s="72"/>
      <c r="AD3577" s="53">
        <f>P_1_minQ-(AD3575^2*R_up)+dpup_minQ</f>
        <v>-872.57632004595769</v>
      </c>
      <c r="AE3577" s="44"/>
      <c r="AF3577" s="72"/>
      <c r="AG3577" s="53">
        <f>P_1_minQ-(AG3575^2*R_up)+dpup_minQ</f>
        <v>-2003.5039443384433</v>
      </c>
      <c r="AH3577" s="44"/>
      <c r="AI3577" s="72"/>
      <c r="AJ3577" s="53">
        <f>P_1_minQ-(AJ3575^2*R_up)+dpup_minQ</f>
        <v>-3612.4872198841467</v>
      </c>
      <c r="AK3577" s="44"/>
      <c r="AL3577" s="72"/>
      <c r="AM3577" s="53">
        <f>P_1_minQ-(AM3575^2*R_up)+dpup_minQ</f>
        <v>-5406.3254480001269</v>
      </c>
      <c r="AN3577" s="44"/>
      <c r="AO3577" s="72"/>
      <c r="AP3577" s="53">
        <f>P_1_minQ-(AP3575^2*R_up)+dpup_minQ</f>
        <v>-7306.7081096989277</v>
      </c>
      <c r="AQ3577" s="44"/>
      <c r="AR3577" s="72"/>
      <c r="AS3577" s="53">
        <f>P_1_minQ-(AS3575^2*R_up)+dpup_minQ</f>
        <v>-9480.86467141297</v>
      </c>
      <c r="AT3577" s="44"/>
      <c r="AU3577" s="72"/>
    </row>
    <row r="3578" spans="15:47" ht="13" x14ac:dyDescent="0.3">
      <c r="O3578" s="6" t="s">
        <v>233</v>
      </c>
      <c r="P3578" s="6"/>
      <c r="Q3578" s="60"/>
      <c r="R3578" s="85">
        <f>P_2_minQ+(R3575^2*R_dn)-dpdn_minQ</f>
        <v>26.150536008637587</v>
      </c>
      <c r="S3578" s="66"/>
      <c r="T3578" s="74"/>
      <c r="U3578" s="53">
        <f>P_2_minQ+(U3575^2*R_dn)-dpdn_minQ</f>
        <v>27.928656977722181</v>
      </c>
      <c r="V3578" s="45"/>
      <c r="W3578" s="74"/>
      <c r="X3578" s="53">
        <f>P_2_minQ+(X3575^2*R_dn)-dpdn_minQ</f>
        <v>43.508878459597568</v>
      </c>
      <c r="Y3578" s="45"/>
      <c r="Z3578" s="74"/>
      <c r="AA3578" s="53">
        <f>P_2_minQ+(AA3575^2*R_dn)-dpdn_minQ</f>
        <v>93.385528448135545</v>
      </c>
      <c r="AB3578" s="45"/>
      <c r="AC3578" s="74"/>
      <c r="AD3578" s="53">
        <f>P_2_minQ+(AD3575^2*R_dn)-dpdn_minQ</f>
        <v>210.55526400919152</v>
      </c>
      <c r="AE3578" s="45"/>
      <c r="AF3578" s="74"/>
      <c r="AG3578" s="53">
        <f>P_2_minQ+(AG3575^2*R_dn)-dpdn_minQ</f>
        <v>436.74078886768859</v>
      </c>
      <c r="AH3578" s="45"/>
      <c r="AI3578" s="74"/>
      <c r="AJ3578" s="53">
        <f>P_2_minQ+(AJ3575^2*R_dn)-dpdn_minQ</f>
        <v>758.53744397682919</v>
      </c>
      <c r="AK3578" s="45"/>
      <c r="AL3578" s="74"/>
      <c r="AM3578" s="53">
        <f>P_2_minQ+(AM3575^2*R_dn)-dpdn_minQ</f>
        <v>1117.3050896000252</v>
      </c>
      <c r="AN3578" s="45"/>
      <c r="AO3578" s="74"/>
      <c r="AP3578" s="53">
        <f>P_2_minQ+(AP3575^2*R_dn)-dpdn_minQ</f>
        <v>1497.3816219397854</v>
      </c>
      <c r="AQ3578" s="45"/>
      <c r="AR3578" s="74"/>
      <c r="AS3578" s="53">
        <f>P_2_minQ+(AS3575^2*R_dn)-dpdn_minQ</f>
        <v>1932.2129342825938</v>
      </c>
      <c r="AT3578" s="45"/>
      <c r="AU3578" s="74"/>
    </row>
    <row r="3579" spans="15:47" x14ac:dyDescent="0.25">
      <c r="O3579" s="6" t="s">
        <v>243</v>
      </c>
      <c r="Q3579" s="60"/>
      <c r="R3579" s="53">
        <f>R3577-R3578</f>
        <v>23.296783948174486</v>
      </c>
      <c r="S3579" s="56"/>
      <c r="T3579" s="72"/>
      <c r="U3579" s="64">
        <f>U3577-U3578</f>
        <v>12.628058133666908</v>
      </c>
      <c r="V3579" s="44"/>
      <c r="W3579" s="72"/>
      <c r="X3579" s="64">
        <f>X3577-X3578</f>
        <v>-80.853270757585392</v>
      </c>
      <c r="Y3579" s="44"/>
      <c r="Z3579" s="72"/>
      <c r="AA3579" s="64">
        <f>AA3577-AA3578</f>
        <v>-380.11317068881328</v>
      </c>
      <c r="AB3579" s="44"/>
      <c r="AC3579" s="72"/>
      <c r="AD3579" s="64">
        <f>AD3577-AD3578</f>
        <v>-1083.1315840551492</v>
      </c>
      <c r="AE3579" s="44"/>
      <c r="AF3579" s="72"/>
      <c r="AG3579" s="64">
        <f>AG3577-AG3578</f>
        <v>-2440.244733206132</v>
      </c>
      <c r="AH3579" s="44"/>
      <c r="AI3579" s="72"/>
      <c r="AJ3579" s="64">
        <f>AJ3577-AJ3578</f>
        <v>-4371.024663860976</v>
      </c>
      <c r="AK3579" s="44"/>
      <c r="AL3579" s="72"/>
      <c r="AM3579" s="64">
        <f>AM3577-AM3578</f>
        <v>-6523.6305376001519</v>
      </c>
      <c r="AN3579" s="44"/>
      <c r="AO3579" s="72"/>
      <c r="AP3579" s="64">
        <f>AP3577-AP3578</f>
        <v>-8804.0897316387127</v>
      </c>
      <c r="AQ3579" s="44"/>
      <c r="AR3579" s="72"/>
      <c r="AS3579" s="64">
        <f>AS3577-AS3578</f>
        <v>-11413.077605695564</v>
      </c>
      <c r="AT3579" s="44"/>
      <c r="AU3579" s="72"/>
    </row>
    <row r="3580" spans="15:47" ht="13" x14ac:dyDescent="0.3">
      <c r="O3580" s="6" t="s">
        <v>75</v>
      </c>
      <c r="P3580" s="6">
        <v>3</v>
      </c>
      <c r="Q3580" s="65"/>
      <c r="R3580" s="85">
        <f>(F_LP_h/F_P_h)^2*(R3577-('Valve Sizing'!$V$4*'Valve Sizing'!$G$7))</f>
        <v>40.580585562534282</v>
      </c>
      <c r="S3580" s="58"/>
      <c r="T3580" s="73"/>
      <c r="U3580" s="53">
        <f>(U$29/U$27)^2*(U3577-('Valve Sizing'!$V$4*'Valve Sizing'!$G$7))</f>
        <v>33.209644038428799</v>
      </c>
      <c r="V3580" s="41"/>
      <c r="W3580" s="73"/>
      <c r="X3580" s="53">
        <f>(X$29/X$27)^2*(X3577-('Valve Sizing'!$V$4*'Valve Sizing'!$G$7))</f>
        <v>-30.573422388111329</v>
      </c>
      <c r="Y3580" s="41"/>
      <c r="Z3580" s="73"/>
      <c r="AA3580" s="53">
        <f>(AA$29/AA$27)^2*(AA3577-('Valve Sizing'!$V$4*'Valve Sizing'!$G$7))</f>
        <v>-221.92240055259782</v>
      </c>
      <c r="AB3580" s="41"/>
      <c r="AC3580" s="73"/>
      <c r="AD3580" s="53">
        <f>(AD$29/AD$27)^2*(AD3577-('Valve Sizing'!$V$4*'Valve Sizing'!$G$7))</f>
        <v>-629.60841786613446</v>
      </c>
      <c r="AE3580" s="41"/>
      <c r="AF3580" s="73"/>
      <c r="AG3580" s="53">
        <f>(AG$29/AG$27)^2*(AG3577-('Valve Sizing'!$V$4*'Valve Sizing'!$G$7))</f>
        <v>-1290.6280130025227</v>
      </c>
      <c r="AH3580" s="41"/>
      <c r="AI3580" s="73"/>
      <c r="AJ3580" s="53">
        <f>(AJ$29/AJ$27)^2*(AJ3577-('Valve Sizing'!$V$4*'Valve Sizing'!$G$7))</f>
        <v>-2089.5882834639692</v>
      </c>
      <c r="AK3580" s="41"/>
      <c r="AL3580" s="73"/>
      <c r="AM3580" s="53">
        <f>(AM$29/AM$27)^2*(AM3577-('Valve Sizing'!$V$4*'Valve Sizing'!$G$7))</f>
        <v>-2586.9867122830219</v>
      </c>
      <c r="AN3580" s="41"/>
      <c r="AO3580" s="73"/>
      <c r="AP3580" s="53">
        <f>(AP$29/AP$27)^2*(AP3577-('Valve Sizing'!$V$4*'Valve Sizing'!$G$7))</f>
        <v>-2883.5966983261328</v>
      </c>
      <c r="AQ3580" s="41"/>
      <c r="AR3580" s="73"/>
      <c r="AS3580" s="53">
        <f>(AS$29/AS$27)^2*(AS3577-('Valve Sizing'!$V$4*'Valve Sizing'!$G$7))</f>
        <v>-3566.3054899371759</v>
      </c>
      <c r="AT3580" s="41"/>
      <c r="AU3580" s="73"/>
    </row>
    <row r="3581" spans="15:47" ht="13" x14ac:dyDescent="0.25">
      <c r="O3581" s="1" t="s">
        <v>69</v>
      </c>
      <c r="P3581" s="17">
        <v>7</v>
      </c>
      <c r="Q3581" s="65"/>
      <c r="R3581" s="53">
        <f>(R3575/(N_1*F_P_h))*SQRT('Valve Sizing'!$G$6/R3579)</f>
        <v>97.445286522346024</v>
      </c>
      <c r="S3581" s="58"/>
      <c r="T3581" s="73"/>
      <c r="U3581" s="64">
        <f>(U3575/(N_1*U$27))*SQRT('Valve Sizing'!$G$6/U3579)</f>
        <v>196.02011801322593</v>
      </c>
      <c r="V3581" s="41"/>
      <c r="W3581" s="73"/>
      <c r="X3581" s="64" t="e">
        <f>(X3575/(N_1*X$27))*SQRT('Valve Sizing'!$G$6/X3579)</f>
        <v>#NUM!</v>
      </c>
      <c r="Y3581" s="41"/>
      <c r="Z3581" s="73"/>
      <c r="AA3581" s="64" t="e">
        <f>(AA3575/(N_1*AA$27))*SQRT('Valve Sizing'!$G$6/AA3579)</f>
        <v>#NUM!</v>
      </c>
      <c r="AB3581" s="41"/>
      <c r="AC3581" s="73"/>
      <c r="AD3581" s="64" t="e">
        <f>(AD3575/(N_1*AD$27))*SQRT('Valve Sizing'!$G$6/AD3579)</f>
        <v>#NUM!</v>
      </c>
      <c r="AE3581" s="41"/>
      <c r="AF3581" s="73"/>
      <c r="AG3581" s="64" t="e">
        <f>(AG3575/(N_1*AG$27))*SQRT('Valve Sizing'!$G$6/AG3579)</f>
        <v>#NUM!</v>
      </c>
      <c r="AH3581" s="41"/>
      <c r="AI3581" s="73"/>
      <c r="AJ3581" s="64" t="e">
        <f>(AJ3575/(N_1*AJ$27))*SQRT('Valve Sizing'!$G$6/AJ3579)</f>
        <v>#NUM!</v>
      </c>
      <c r="AK3581" s="41"/>
      <c r="AL3581" s="73"/>
      <c r="AM3581" s="64" t="e">
        <f>(AM3575/(N_1*AM$27))*SQRT('Valve Sizing'!$G$6/AM3579)</f>
        <v>#NUM!</v>
      </c>
      <c r="AN3581" s="41"/>
      <c r="AO3581" s="73"/>
      <c r="AP3581" s="64" t="e">
        <f>(AP3575/(N_1*AP$27))*SQRT('Valve Sizing'!$G$6/AP3579)</f>
        <v>#NUM!</v>
      </c>
      <c r="AQ3581" s="41"/>
      <c r="AR3581" s="73"/>
      <c r="AS3581" s="64" t="e">
        <f>(AS3575/(N_1*AS$27))*SQRT('Valve Sizing'!$G$6/AS3579)</f>
        <v>#NUM!</v>
      </c>
      <c r="AT3581" s="41"/>
      <c r="AU3581" s="73"/>
    </row>
    <row r="3582" spans="15:47" ht="13" x14ac:dyDescent="0.3">
      <c r="O3582" s="1" t="s">
        <v>72</v>
      </c>
      <c r="P3582" s="17">
        <v>7</v>
      </c>
      <c r="Q3582" s="65"/>
      <c r="R3582" s="53">
        <f>(R3575/(N_1*F_P_h))*SQRT('Valve Sizing'!$G$6/R3580)</f>
        <v>73.832856022648798</v>
      </c>
      <c r="S3582" s="56"/>
      <c r="T3582" s="72"/>
      <c r="U3582" s="85">
        <f>(U3575/(N_1*U$27))*SQRT('Valve Sizing'!$G$6/U3580)</f>
        <v>120.87509329384055</v>
      </c>
      <c r="V3582" s="44"/>
      <c r="W3582" s="72"/>
      <c r="X3582" s="85" t="e">
        <f>(X3575/(N_1*X$27))*SQRT('Valve Sizing'!$G$6/X3580)</f>
        <v>#NUM!</v>
      </c>
      <c r="Y3582" s="44"/>
      <c r="Z3582" s="72"/>
      <c r="AA3582" s="85" t="e">
        <f>(AA3575/(N_1*AA$27))*SQRT('Valve Sizing'!$G$6/AA3580)</f>
        <v>#NUM!</v>
      </c>
      <c r="AB3582" s="44"/>
      <c r="AC3582" s="72"/>
      <c r="AD3582" s="85" t="e">
        <f>(AD3575/(N_1*AD$27))*SQRT('Valve Sizing'!$G$6/AD3580)</f>
        <v>#NUM!</v>
      </c>
      <c r="AE3582" s="44"/>
      <c r="AF3582" s="72"/>
      <c r="AG3582" s="85" t="e">
        <f>(AG3575/(N_1*AG$27))*SQRT('Valve Sizing'!$G$6/AG3580)</f>
        <v>#NUM!</v>
      </c>
      <c r="AH3582" s="44"/>
      <c r="AI3582" s="72"/>
      <c r="AJ3582" s="85" t="e">
        <f>(AJ3575/(N_1*AJ$27))*SQRT('Valve Sizing'!$G$6/AJ3580)</f>
        <v>#NUM!</v>
      </c>
      <c r="AK3582" s="44"/>
      <c r="AL3582" s="72"/>
      <c r="AM3582" s="85" t="e">
        <f>(AM3575/(N_1*AM$27))*SQRT('Valve Sizing'!$G$6/AM3580)</f>
        <v>#NUM!</v>
      </c>
      <c r="AN3582" s="44"/>
      <c r="AO3582" s="72"/>
      <c r="AP3582" s="85" t="e">
        <f>(AP3575/(N_1*AP$27))*SQRT('Valve Sizing'!$G$6/AP3580)</f>
        <v>#NUM!</v>
      </c>
      <c r="AQ3582" s="44"/>
      <c r="AR3582" s="72"/>
      <c r="AS3582" s="85" t="e">
        <f>(AS3575/(N_1*AS$27))*SQRT('Valve Sizing'!$G$6/AS3580)</f>
        <v>#NUM!</v>
      </c>
      <c r="AT3582" s="44"/>
      <c r="AU3582" s="72"/>
    </row>
    <row r="3583" spans="15:47" x14ac:dyDescent="0.25">
      <c r="O3583" s="1" t="s">
        <v>246</v>
      </c>
      <c r="P3583" s="18"/>
      <c r="Q3583" s="65"/>
      <c r="R3583" s="53">
        <f>IF(R3579&lt;R3580,R3581,R3582)</f>
        <v>97.445286522346024</v>
      </c>
      <c r="S3583" s="49"/>
      <c r="T3583" s="72"/>
      <c r="U3583" s="64">
        <f>IF(U3579&lt;U3580,U3581,U3582)</f>
        <v>196.02011801322593</v>
      </c>
      <c r="V3583" s="44"/>
      <c r="W3583" s="72"/>
      <c r="X3583" s="64" t="e">
        <f>IF(X3579&lt;X3580,X3581,X3582)</f>
        <v>#NUM!</v>
      </c>
      <c r="Y3583" s="44"/>
      <c r="Z3583" s="72"/>
      <c r="AA3583" s="64" t="e">
        <f>IF(AA3579&lt;AA3580,AA3581,AA3582)</f>
        <v>#NUM!</v>
      </c>
      <c r="AB3583" s="44"/>
      <c r="AC3583" s="72"/>
      <c r="AD3583" s="64" t="e">
        <f>IF(AD3579&lt;AD3580,AD3581,AD3582)</f>
        <v>#NUM!</v>
      </c>
      <c r="AE3583" s="44"/>
      <c r="AF3583" s="72"/>
      <c r="AG3583" s="64" t="e">
        <f>IF(AG3579&lt;AG3580,AG3581,AG3582)</f>
        <v>#NUM!</v>
      </c>
      <c r="AH3583" s="44"/>
      <c r="AI3583" s="72"/>
      <c r="AJ3583" s="64" t="e">
        <f>IF(AJ3579&lt;AJ3580,AJ3581,AJ3582)</f>
        <v>#NUM!</v>
      </c>
      <c r="AK3583" s="44"/>
      <c r="AL3583" s="72"/>
      <c r="AM3583" s="64" t="e">
        <f>IF(AM3579&lt;AM3580,AM3581,AM3582)</f>
        <v>#NUM!</v>
      </c>
      <c r="AN3583" s="44"/>
      <c r="AO3583" s="72"/>
      <c r="AP3583" s="64" t="e">
        <f>IF(AP3579&lt;AP3580,AP3581,AP3582)</f>
        <v>#NUM!</v>
      </c>
      <c r="AQ3583" s="44"/>
      <c r="AR3583" s="72"/>
      <c r="AS3583" s="64" t="e">
        <f>IF(AS3579&lt;AS3580,AS3581,AS3582)</f>
        <v>#NUM!</v>
      </c>
      <c r="AT3583" s="44"/>
      <c r="AU3583" s="72"/>
    </row>
    <row r="3584" spans="15:47" ht="13" x14ac:dyDescent="0.3">
      <c r="O3584" s="7" t="s">
        <v>264</v>
      </c>
      <c r="Q3584" s="61"/>
      <c r="R3584" s="53"/>
      <c r="S3584" s="69">
        <f>IFERROR(ABS(C_h-R3583),Q_max*10)</f>
        <v>92.445286522346024</v>
      </c>
      <c r="T3584" s="76">
        <f>R3575</f>
        <v>470.26785567248214</v>
      </c>
      <c r="U3584" s="61"/>
      <c r="V3584" s="69">
        <f>IFERROR(ABS(U$23-U3583),Q_max*10)</f>
        <v>184.02011801322593</v>
      </c>
      <c r="W3584" s="75">
        <f>U3575</f>
        <v>695.99042058908321</v>
      </c>
      <c r="X3584" s="61"/>
      <c r="Y3584" s="69">
        <f>IFERROR(ABS(X$23-X3583),Q_max*10)</f>
        <v>5500</v>
      </c>
      <c r="Z3584" s="75">
        <f>X3575</f>
        <v>1670.644922161325</v>
      </c>
      <c r="AA3584" s="61"/>
      <c r="AB3584" s="69">
        <f>IFERROR(ABS(AA$23-AA3583),Q_max*10)</f>
        <v>5500</v>
      </c>
      <c r="AC3584" s="75">
        <f>AA3575</f>
        <v>3189.8734280134795</v>
      </c>
      <c r="AD3584" s="61"/>
      <c r="AE3584" s="69">
        <f>IFERROR(ABS(AD$23-AD3583),Q_max*10)</f>
        <v>5500</v>
      </c>
      <c r="AF3584" s="75">
        <f>AD3575</f>
        <v>5246.167347365199</v>
      </c>
      <c r="AG3584" s="61"/>
      <c r="AH3584" s="69">
        <f>IFERROR(ABS(AG$23-AG3583),Q_max*10)</f>
        <v>5500</v>
      </c>
      <c r="AI3584" s="75">
        <f>AG3575</f>
        <v>7810.8283038267655</v>
      </c>
      <c r="AJ3584" s="61"/>
      <c r="AK3584" s="69">
        <f>IFERROR(ABS(AJ$23-AJ3583),Q_max*10)</f>
        <v>5500</v>
      </c>
      <c r="AL3584" s="75">
        <f>AJ3575</f>
        <v>10423.58065065789</v>
      </c>
      <c r="AM3584" s="61"/>
      <c r="AN3584" s="69">
        <f>IFERROR(ABS(AM$23-AM3583),Q_max*10)</f>
        <v>5500</v>
      </c>
      <c r="AO3584" s="75">
        <f>AM3575</f>
        <v>12718.749290527105</v>
      </c>
      <c r="AP3584" s="61"/>
      <c r="AQ3584" s="69">
        <f>IFERROR(ABS(AP$23-AP3583),Q_max*10)</f>
        <v>5500</v>
      </c>
      <c r="AR3584" s="75">
        <f>AP3575</f>
        <v>14766.073077436167</v>
      </c>
      <c r="AS3584" s="61"/>
      <c r="AT3584" s="69">
        <f>IFERROR(ABS(AS$23-AS3583),Q_max*10)</f>
        <v>5500</v>
      </c>
      <c r="AU3584" s="75">
        <f>AS3575</f>
        <v>16805.168547817007</v>
      </c>
    </row>
    <row r="3585" spans="15:47" ht="14.5" x14ac:dyDescent="0.35">
      <c r="O3585" s="6"/>
      <c r="P3585" s="6"/>
      <c r="Q3585" s="60"/>
      <c r="R3585" s="67"/>
      <c r="S3585" s="66"/>
      <c r="T3585" s="74"/>
      <c r="V3585" s="11"/>
      <c r="W3585" s="38"/>
      <c r="Y3585" s="11"/>
      <c r="Z3585" s="38"/>
      <c r="AB3585" s="11"/>
      <c r="AC3585" s="38"/>
      <c r="AE3585" s="11"/>
      <c r="AF3585" s="38"/>
      <c r="AH3585" s="11"/>
      <c r="AI3585" s="38"/>
      <c r="AK3585" s="11"/>
      <c r="AL3585" s="38"/>
      <c r="AN3585" s="11"/>
      <c r="AO3585" s="38"/>
      <c r="AQ3585" s="11"/>
      <c r="AR3585" s="38"/>
      <c r="AT3585" s="11"/>
      <c r="AU3585" s="38"/>
    </row>
    <row r="3586" spans="15:47" ht="14" x14ac:dyDescent="0.3">
      <c r="O3586" s="8" t="s">
        <v>235</v>
      </c>
      <c r="P3586" s="6"/>
      <c r="Q3586" s="60"/>
      <c r="R3586" s="53">
        <f>R3575*1.02</f>
        <v>479.67321278593181</v>
      </c>
      <c r="S3586" s="58" t="s">
        <v>238</v>
      </c>
      <c r="T3586" s="73" t="s">
        <v>241</v>
      </c>
      <c r="U3586" s="84">
        <f>U3575*1.01</f>
        <v>702.95032479497411</v>
      </c>
      <c r="V3586" s="58" t="s">
        <v>238</v>
      </c>
      <c r="W3586" s="73" t="s">
        <v>241</v>
      </c>
      <c r="X3586" s="84">
        <f>X3575*1.01</f>
        <v>1687.3513713829382</v>
      </c>
      <c r="Y3586" s="58" t="s">
        <v>238</v>
      </c>
      <c r="Z3586" s="73" t="s">
        <v>241</v>
      </c>
      <c r="AA3586" s="84">
        <f>AA3575*1.01</f>
        <v>3221.7721622936142</v>
      </c>
      <c r="AB3586" s="58" t="s">
        <v>238</v>
      </c>
      <c r="AC3586" s="73" t="s">
        <v>241</v>
      </c>
      <c r="AD3586" s="84">
        <f>AD3575*1.01</f>
        <v>5298.6290208388509</v>
      </c>
      <c r="AE3586" s="58" t="s">
        <v>238</v>
      </c>
      <c r="AF3586" s="73" t="s">
        <v>241</v>
      </c>
      <c r="AG3586" s="84">
        <f>AG3575*1.01</f>
        <v>7888.936586865033</v>
      </c>
      <c r="AH3586" s="58" t="s">
        <v>238</v>
      </c>
      <c r="AI3586" s="73" t="s">
        <v>241</v>
      </c>
      <c r="AJ3586" s="84">
        <f>AJ3575*1.01</f>
        <v>10527.816457164468</v>
      </c>
      <c r="AK3586" s="58" t="s">
        <v>238</v>
      </c>
      <c r="AL3586" s="73" t="s">
        <v>241</v>
      </c>
      <c r="AM3586" s="84">
        <f>AM3575*1.01</f>
        <v>12845.936783432377</v>
      </c>
      <c r="AN3586" s="58" t="s">
        <v>238</v>
      </c>
      <c r="AO3586" s="73" t="s">
        <v>241</v>
      </c>
      <c r="AP3586" s="84">
        <f>AP3575*1.01</f>
        <v>14913.733808210529</v>
      </c>
      <c r="AQ3586" s="58" t="s">
        <v>238</v>
      </c>
      <c r="AR3586" s="73" t="s">
        <v>241</v>
      </c>
      <c r="AS3586" s="84">
        <f>AS3575*1.01</f>
        <v>16973.220233295178</v>
      </c>
      <c r="AT3586" s="58" t="s">
        <v>238</v>
      </c>
      <c r="AU3586" s="73" t="s">
        <v>241</v>
      </c>
    </row>
    <row r="3587" spans="15:47" ht="13" x14ac:dyDescent="0.25">
      <c r="O3587" s="6"/>
      <c r="P3587" s="6"/>
      <c r="Q3587" s="60"/>
      <c r="R3587" s="70"/>
      <c r="S3587" s="63" t="s">
        <v>250</v>
      </c>
      <c r="T3587" s="71" t="s">
        <v>242</v>
      </c>
      <c r="U3587" s="61"/>
      <c r="V3587" s="63" t="s">
        <v>250</v>
      </c>
      <c r="W3587" s="71" t="s">
        <v>242</v>
      </c>
      <c r="X3587" s="61"/>
      <c r="Y3587" s="63" t="s">
        <v>250</v>
      </c>
      <c r="Z3587" s="71" t="s">
        <v>242</v>
      </c>
      <c r="AA3587" s="61"/>
      <c r="AB3587" s="63" t="s">
        <v>250</v>
      </c>
      <c r="AC3587" s="71" t="s">
        <v>242</v>
      </c>
      <c r="AD3587" s="61"/>
      <c r="AE3587" s="63" t="s">
        <v>250</v>
      </c>
      <c r="AF3587" s="71" t="s">
        <v>242</v>
      </c>
      <c r="AG3587" s="61"/>
      <c r="AH3587" s="63" t="s">
        <v>250</v>
      </c>
      <c r="AI3587" s="71" t="s">
        <v>242</v>
      </c>
      <c r="AJ3587" s="61"/>
      <c r="AK3587" s="63" t="s">
        <v>250</v>
      </c>
      <c r="AL3587" s="71" t="s">
        <v>242</v>
      </c>
      <c r="AM3587" s="61"/>
      <c r="AN3587" s="63" t="s">
        <v>250</v>
      </c>
      <c r="AO3587" s="71" t="s">
        <v>242</v>
      </c>
      <c r="AP3587" s="61"/>
      <c r="AQ3587" s="63" t="s">
        <v>250</v>
      </c>
      <c r="AR3587" s="71" t="s">
        <v>242</v>
      </c>
      <c r="AS3587" s="61"/>
      <c r="AT3587" s="63" t="s">
        <v>250</v>
      </c>
      <c r="AU3587" s="71" t="s">
        <v>242</v>
      </c>
    </row>
    <row r="3588" spans="15:47" ht="13" x14ac:dyDescent="0.3">
      <c r="O3588" s="6" t="s">
        <v>231</v>
      </c>
      <c r="P3588" s="6"/>
      <c r="Q3588" s="60"/>
      <c r="R3588" s="85">
        <f>P_1_minQ-(R3586^2*R_up)+dpup_minQ</f>
        <v>49.145579497994667</v>
      </c>
      <c r="S3588" s="56"/>
      <c r="T3588" s="72"/>
      <c r="U3588" s="53">
        <f>P_1_minQ-(U3586^2*R_up)+dpup_minQ</f>
        <v>40.227890606911195</v>
      </c>
      <c r="V3588" s="44"/>
      <c r="W3588" s="72"/>
      <c r="X3588" s="53">
        <f>P_1_minQ-(X3586^2*R_up)+dpup_minQ</f>
        <v>-39.239029061394199</v>
      </c>
      <c r="Y3588" s="44"/>
      <c r="Z3588" s="72"/>
      <c r="AA3588" s="53">
        <f>P_1_minQ-(AA3586^2*R_up)+dpup_minQ</f>
        <v>-293.63488232793213</v>
      </c>
      <c r="AB3588" s="44"/>
      <c r="AC3588" s="72"/>
      <c r="AD3588" s="53">
        <f>P_1_minQ-(AD3586^2*R_up)+dpup_minQ</f>
        <v>-891.25911855709819</v>
      </c>
      <c r="AE3588" s="44"/>
      <c r="AF3588" s="72"/>
      <c r="AG3588" s="53">
        <f>P_1_minQ-(AG3586^2*R_up)+dpup_minQ</f>
        <v>-2044.9183880978628</v>
      </c>
      <c r="AH3588" s="44"/>
      <c r="AI3588" s="72"/>
      <c r="AJ3588" s="53">
        <f>P_1_minQ-(AJ3586^2*R_up)+dpup_minQ</f>
        <v>-3686.2422274820342</v>
      </c>
      <c r="AK3588" s="44"/>
      <c r="AL3588" s="72"/>
      <c r="AM3588" s="53">
        <f>P_1_minQ-(AM3586^2*R_up)+dpup_minQ</f>
        <v>-5516.1366039831464</v>
      </c>
      <c r="AN3588" s="44"/>
      <c r="AO3588" s="72"/>
      <c r="AP3588" s="53">
        <f>P_1_minQ-(AP3586^2*R_up)+dpup_minQ</f>
        <v>-7454.7169571820932</v>
      </c>
      <c r="AQ3588" s="44"/>
      <c r="AR3588" s="72"/>
      <c r="AS3588" s="53">
        <f>P_1_minQ-(AS3586^2*R_up)+dpup_minQ</f>
        <v>-9672.5740657865863</v>
      </c>
      <c r="AT3588" s="44"/>
      <c r="AU3588" s="72"/>
    </row>
    <row r="3589" spans="15:47" ht="13" x14ac:dyDescent="0.3">
      <c r="O3589" s="6" t="s">
        <v>233</v>
      </c>
      <c r="P3589" s="6"/>
      <c r="Q3589" s="60"/>
      <c r="R3589" s="85">
        <f>P_2_minQ+(R3586^2*R_dn)-dpdn_minQ</f>
        <v>26.210884100401067</v>
      </c>
      <c r="S3589" s="66"/>
      <c r="T3589" s="74"/>
      <c r="U3589" s="53">
        <f>P_2_minQ+(U3586^2*R_dn)-dpdn_minQ</f>
        <v>27.994421878617761</v>
      </c>
      <c r="V3589" s="45"/>
      <c r="W3589" s="74"/>
      <c r="X3589" s="53">
        <f>P_2_minQ+(X3586^2*R_dn)-dpdn_minQ</f>
        <v>43.887805812278842</v>
      </c>
      <c r="Y3589" s="45"/>
      <c r="Z3589" s="74"/>
      <c r="AA3589" s="53">
        <f>P_2_minQ+(AA3586^2*R_dn)-dpdn_minQ</f>
        <v>94.766976465586424</v>
      </c>
      <c r="AB3589" s="45"/>
      <c r="AC3589" s="74"/>
      <c r="AD3589" s="53">
        <f>P_2_minQ+(AD3586^2*R_dn)-dpdn_minQ</f>
        <v>214.29182371141965</v>
      </c>
      <c r="AE3589" s="45"/>
      <c r="AF3589" s="74"/>
      <c r="AG3589" s="53">
        <f>P_2_minQ+(AG3586^2*R_dn)-dpdn_minQ</f>
        <v>445.02367761957254</v>
      </c>
      <c r="AH3589" s="45"/>
      <c r="AI3589" s="74"/>
      <c r="AJ3589" s="53">
        <f>P_2_minQ+(AJ3586^2*R_dn)-dpdn_minQ</f>
        <v>773.28844549640678</v>
      </c>
      <c r="AK3589" s="45"/>
      <c r="AL3589" s="74"/>
      <c r="AM3589" s="53">
        <f>P_2_minQ+(AM3586^2*R_dn)-dpdn_minQ</f>
        <v>1139.2673207966293</v>
      </c>
      <c r="AN3589" s="45"/>
      <c r="AO3589" s="74"/>
      <c r="AP3589" s="53">
        <f>P_2_minQ+(AP3586^2*R_dn)-dpdn_minQ</f>
        <v>1526.9833914364185</v>
      </c>
      <c r="AQ3589" s="45"/>
      <c r="AR3589" s="74"/>
      <c r="AS3589" s="53">
        <f>P_2_minQ+(AS3586^2*R_dn)-dpdn_minQ</f>
        <v>1970.5548131573173</v>
      </c>
      <c r="AT3589" s="45"/>
      <c r="AU3589" s="74"/>
    </row>
    <row r="3590" spans="15:47" x14ac:dyDescent="0.25">
      <c r="O3590" s="6" t="s">
        <v>243</v>
      </c>
      <c r="Q3590" s="60"/>
      <c r="R3590" s="53">
        <f>R3588-R3589</f>
        <v>22.9346953975936</v>
      </c>
      <c r="S3590" s="56"/>
      <c r="T3590" s="72"/>
      <c r="U3590" s="64">
        <f>U3588-U3589</f>
        <v>12.233468728293435</v>
      </c>
      <c r="V3590" s="44"/>
      <c r="W3590" s="72"/>
      <c r="X3590" s="64">
        <f>X3588-X3589</f>
        <v>-83.126834873673033</v>
      </c>
      <c r="Y3590" s="44"/>
      <c r="Z3590" s="72"/>
      <c r="AA3590" s="64">
        <f>AA3588-AA3589</f>
        <v>-388.40185879351856</v>
      </c>
      <c r="AB3590" s="44"/>
      <c r="AC3590" s="72"/>
      <c r="AD3590" s="64">
        <f>AD3588-AD3589</f>
        <v>-1105.5509422685179</v>
      </c>
      <c r="AE3590" s="44"/>
      <c r="AF3590" s="72"/>
      <c r="AG3590" s="64">
        <f>AG3588-AG3589</f>
        <v>-2489.9420657174355</v>
      </c>
      <c r="AH3590" s="44"/>
      <c r="AI3590" s="72"/>
      <c r="AJ3590" s="64">
        <f>AJ3588-AJ3589</f>
        <v>-4459.5306729784406</v>
      </c>
      <c r="AK3590" s="44"/>
      <c r="AL3590" s="72"/>
      <c r="AM3590" s="64">
        <f>AM3588-AM3589</f>
        <v>-6655.4039247797755</v>
      </c>
      <c r="AN3590" s="44"/>
      <c r="AO3590" s="72"/>
      <c r="AP3590" s="64">
        <f>AP3588-AP3589</f>
        <v>-8981.7003486185113</v>
      </c>
      <c r="AQ3590" s="44"/>
      <c r="AR3590" s="72"/>
      <c r="AS3590" s="64">
        <f>AS3588-AS3589</f>
        <v>-11643.128878943904</v>
      </c>
      <c r="AT3590" s="44"/>
      <c r="AU3590" s="72"/>
    </row>
    <row r="3591" spans="15:47" ht="13" x14ac:dyDescent="0.3">
      <c r="O3591" s="6" t="s">
        <v>75</v>
      </c>
      <c r="P3591" s="6">
        <v>3</v>
      </c>
      <c r="Q3591" s="65"/>
      <c r="R3591" s="85">
        <f>(F_LP_h/F_P_h)^2*(R3588-('Valve Sizing'!$V$4*'Valve Sizing'!$G$7))</f>
        <v>40.33072862429529</v>
      </c>
      <c r="S3591" s="58"/>
      <c r="T3591" s="73"/>
      <c r="U3591" s="53">
        <f>(U$29/U$27)^2*(U3588-('Valve Sizing'!$V$4*'Valve Sizing'!$G$7))</f>
        <v>32.937434302099319</v>
      </c>
      <c r="V3591" s="41"/>
      <c r="W3591" s="73"/>
      <c r="X3591" s="53">
        <f>(X$29/X$27)^2*(X3588-('Valve Sizing'!$V$4*'Valve Sizing'!$G$7))</f>
        <v>-32.106474479390627</v>
      </c>
      <c r="Y3591" s="41"/>
      <c r="Z3591" s="73"/>
      <c r="AA3591" s="53">
        <f>(AA$29/AA$27)^2*(AA3588-('Valve Sizing'!$V$4*'Valve Sizing'!$G$7))</f>
        <v>-227.2602964992484</v>
      </c>
      <c r="AB3591" s="41"/>
      <c r="AC3591" s="73"/>
      <c r="AD3591" s="53">
        <f>(AD$29/AD$27)^2*(AD3588-('Valve Sizing'!$V$4*'Valve Sizing'!$G$7))</f>
        <v>-643.08221688316974</v>
      </c>
      <c r="AE3591" s="41"/>
      <c r="AF3591" s="73"/>
      <c r="AG3591" s="53">
        <f>(AG$29/AG$27)^2*(AG3588-('Valve Sizing'!$V$4*'Valve Sizing'!$G$7))</f>
        <v>-1317.3007349973896</v>
      </c>
      <c r="AH3591" s="41"/>
      <c r="AI3591" s="73"/>
      <c r="AJ3591" s="53">
        <f>(AJ$29/AJ$27)^2*(AJ3588-('Valve Sizing'!$V$4*'Valve Sizing'!$G$7))</f>
        <v>-2132.2455494103019</v>
      </c>
      <c r="AK3591" s="41"/>
      <c r="AL3591" s="73"/>
      <c r="AM3591" s="53">
        <f>(AM$29/AM$27)^2*(AM3588-('Valve Sizing'!$V$4*'Valve Sizing'!$G$7))</f>
        <v>-2639.5282921038311</v>
      </c>
      <c r="AN3591" s="41"/>
      <c r="AO3591" s="73"/>
      <c r="AP3591" s="53">
        <f>(AP$29/AP$27)^2*(AP3588-('Valve Sizing'!$V$4*'Valve Sizing'!$G$7))</f>
        <v>-2942.0049602293875</v>
      </c>
      <c r="AQ3591" s="41"/>
      <c r="AR3591" s="73"/>
      <c r="AS3591" s="53">
        <f>(AS$29/AS$27)^2*(AS3588-('Valve Sizing'!$V$4*'Valve Sizing'!$G$7))</f>
        <v>-3638.4152137740302</v>
      </c>
      <c r="AT3591" s="41"/>
      <c r="AU3591" s="73"/>
    </row>
    <row r="3592" spans="15:47" ht="13" x14ac:dyDescent="0.25">
      <c r="O3592" s="1" t="s">
        <v>69</v>
      </c>
      <c r="P3592" s="17">
        <v>7</v>
      </c>
      <c r="Q3592" s="65"/>
      <c r="R3592" s="53">
        <f>(R3586/(N_1*F_P_h))*SQRT('Valve Sizing'!$G$6/R3590)</f>
        <v>100.17572782466527</v>
      </c>
      <c r="S3592" s="58"/>
      <c r="T3592" s="73"/>
      <c r="U3592" s="64">
        <f>(U3586/(N_1*U$27))*SQRT('Valve Sizing'!$G$6/U3590)</f>
        <v>201.14789788176665</v>
      </c>
      <c r="V3592" s="41"/>
      <c r="W3592" s="73"/>
      <c r="X3592" s="64" t="e">
        <f>(X3586/(N_1*X$27))*SQRT('Valve Sizing'!$G$6/X3590)</f>
        <v>#NUM!</v>
      </c>
      <c r="Y3592" s="41"/>
      <c r="Z3592" s="73"/>
      <c r="AA3592" s="64" t="e">
        <f>(AA3586/(N_1*AA$27))*SQRT('Valve Sizing'!$G$6/AA3590)</f>
        <v>#NUM!</v>
      </c>
      <c r="AB3592" s="41"/>
      <c r="AC3592" s="73"/>
      <c r="AD3592" s="64" t="e">
        <f>(AD3586/(N_1*AD$27))*SQRT('Valve Sizing'!$G$6/AD3590)</f>
        <v>#NUM!</v>
      </c>
      <c r="AE3592" s="41"/>
      <c r="AF3592" s="73"/>
      <c r="AG3592" s="64" t="e">
        <f>(AG3586/(N_1*AG$27))*SQRT('Valve Sizing'!$G$6/AG3590)</f>
        <v>#NUM!</v>
      </c>
      <c r="AH3592" s="41"/>
      <c r="AI3592" s="73"/>
      <c r="AJ3592" s="64" t="e">
        <f>(AJ3586/(N_1*AJ$27))*SQRT('Valve Sizing'!$G$6/AJ3590)</f>
        <v>#NUM!</v>
      </c>
      <c r="AK3592" s="41"/>
      <c r="AL3592" s="73"/>
      <c r="AM3592" s="64" t="e">
        <f>(AM3586/(N_1*AM$27))*SQRT('Valve Sizing'!$G$6/AM3590)</f>
        <v>#NUM!</v>
      </c>
      <c r="AN3592" s="41"/>
      <c r="AO3592" s="73"/>
      <c r="AP3592" s="64" t="e">
        <f>(AP3586/(N_1*AP$27))*SQRT('Valve Sizing'!$G$6/AP3590)</f>
        <v>#NUM!</v>
      </c>
      <c r="AQ3592" s="41"/>
      <c r="AR3592" s="73"/>
      <c r="AS3592" s="64" t="e">
        <f>(AS3586/(N_1*AS$27))*SQRT('Valve Sizing'!$G$6/AS3590)</f>
        <v>#NUM!</v>
      </c>
      <c r="AT3592" s="41"/>
      <c r="AU3592" s="73"/>
    </row>
    <row r="3593" spans="15:47" ht="13" x14ac:dyDescent="0.3">
      <c r="O3593" s="1" t="s">
        <v>72</v>
      </c>
      <c r="P3593" s="17">
        <v>7</v>
      </c>
      <c r="Q3593" s="65"/>
      <c r="R3593" s="53">
        <f>(R3586/(N_1*F_P_h))*SQRT('Valve Sizing'!$G$6/R3591)</f>
        <v>75.542431711437359</v>
      </c>
      <c r="S3593" s="56"/>
      <c r="T3593" s="72"/>
      <c r="U3593" s="85">
        <f>(U3586/(N_1*U$27))*SQRT('Valve Sizing'!$G$6/U3591)</f>
        <v>122.58728403819515</v>
      </c>
      <c r="V3593" s="44"/>
      <c r="W3593" s="72"/>
      <c r="X3593" s="85" t="e">
        <f>(X3586/(N_1*X$27))*SQRT('Valve Sizing'!$G$6/X3591)</f>
        <v>#NUM!</v>
      </c>
      <c r="Y3593" s="44"/>
      <c r="Z3593" s="72"/>
      <c r="AA3593" s="85" t="e">
        <f>(AA3586/(N_1*AA$27))*SQRT('Valve Sizing'!$G$6/AA3591)</f>
        <v>#NUM!</v>
      </c>
      <c r="AB3593" s="44"/>
      <c r="AC3593" s="72"/>
      <c r="AD3593" s="85" t="e">
        <f>(AD3586/(N_1*AD$27))*SQRT('Valve Sizing'!$G$6/AD3591)</f>
        <v>#NUM!</v>
      </c>
      <c r="AE3593" s="44"/>
      <c r="AF3593" s="72"/>
      <c r="AG3593" s="85" t="e">
        <f>(AG3586/(N_1*AG$27))*SQRT('Valve Sizing'!$G$6/AG3591)</f>
        <v>#NUM!</v>
      </c>
      <c r="AH3593" s="44"/>
      <c r="AI3593" s="72"/>
      <c r="AJ3593" s="85" t="e">
        <f>(AJ3586/(N_1*AJ$27))*SQRT('Valve Sizing'!$G$6/AJ3591)</f>
        <v>#NUM!</v>
      </c>
      <c r="AK3593" s="44"/>
      <c r="AL3593" s="72"/>
      <c r="AM3593" s="85" t="e">
        <f>(AM3586/(N_1*AM$27))*SQRT('Valve Sizing'!$G$6/AM3591)</f>
        <v>#NUM!</v>
      </c>
      <c r="AN3593" s="44"/>
      <c r="AO3593" s="72"/>
      <c r="AP3593" s="85" t="e">
        <f>(AP3586/(N_1*AP$27))*SQRT('Valve Sizing'!$G$6/AP3591)</f>
        <v>#NUM!</v>
      </c>
      <c r="AQ3593" s="44"/>
      <c r="AR3593" s="72"/>
      <c r="AS3593" s="85" t="e">
        <f>(AS3586/(N_1*AS$27))*SQRT('Valve Sizing'!$G$6/AS3591)</f>
        <v>#NUM!</v>
      </c>
      <c r="AT3593" s="44"/>
      <c r="AU3593" s="72"/>
    </row>
    <row r="3594" spans="15:47" x14ac:dyDescent="0.25">
      <c r="O3594" s="1" t="s">
        <v>246</v>
      </c>
      <c r="P3594" s="18"/>
      <c r="Q3594" s="65"/>
      <c r="R3594" s="53">
        <f>IF(R3590&lt;R3591,R3592,R3593)</f>
        <v>100.17572782466527</v>
      </c>
      <c r="S3594" s="49"/>
      <c r="T3594" s="72"/>
      <c r="U3594" s="64">
        <f>IF(U3590&lt;U3591,U3592,U3593)</f>
        <v>201.14789788176665</v>
      </c>
      <c r="V3594" s="44"/>
      <c r="W3594" s="72"/>
      <c r="X3594" s="64" t="e">
        <f>IF(X3590&lt;X3591,X3592,X3593)</f>
        <v>#NUM!</v>
      </c>
      <c r="Y3594" s="44"/>
      <c r="Z3594" s="72"/>
      <c r="AA3594" s="64" t="e">
        <f>IF(AA3590&lt;AA3591,AA3592,AA3593)</f>
        <v>#NUM!</v>
      </c>
      <c r="AB3594" s="44"/>
      <c r="AC3594" s="72"/>
      <c r="AD3594" s="64" t="e">
        <f>IF(AD3590&lt;AD3591,AD3592,AD3593)</f>
        <v>#NUM!</v>
      </c>
      <c r="AE3594" s="44"/>
      <c r="AF3594" s="72"/>
      <c r="AG3594" s="64" t="e">
        <f>IF(AG3590&lt;AG3591,AG3592,AG3593)</f>
        <v>#NUM!</v>
      </c>
      <c r="AH3594" s="44"/>
      <c r="AI3594" s="72"/>
      <c r="AJ3594" s="64" t="e">
        <f>IF(AJ3590&lt;AJ3591,AJ3592,AJ3593)</f>
        <v>#NUM!</v>
      </c>
      <c r="AK3594" s="44"/>
      <c r="AL3594" s="72"/>
      <c r="AM3594" s="64" t="e">
        <f>IF(AM3590&lt;AM3591,AM3592,AM3593)</f>
        <v>#NUM!</v>
      </c>
      <c r="AN3594" s="44"/>
      <c r="AO3594" s="72"/>
      <c r="AP3594" s="64" t="e">
        <f>IF(AP3590&lt;AP3591,AP3592,AP3593)</f>
        <v>#NUM!</v>
      </c>
      <c r="AQ3594" s="44"/>
      <c r="AR3594" s="72"/>
      <c r="AS3594" s="64" t="e">
        <f>IF(AS3590&lt;AS3591,AS3592,AS3593)</f>
        <v>#NUM!</v>
      </c>
      <c r="AT3594" s="44"/>
      <c r="AU3594" s="72"/>
    </row>
    <row r="3595" spans="15:47" ht="13" x14ac:dyDescent="0.3">
      <c r="O3595" s="7" t="s">
        <v>264</v>
      </c>
      <c r="Q3595" s="61"/>
      <c r="R3595" s="53"/>
      <c r="S3595" s="69">
        <f>IFERROR(ABS(C_h-R3594),Q_max*10)</f>
        <v>95.175727824665273</v>
      </c>
      <c r="T3595" s="76">
        <f>R3586</f>
        <v>479.67321278593181</v>
      </c>
      <c r="U3595" s="61"/>
      <c r="V3595" s="69">
        <f>IFERROR(ABS(U$23-U3594),Q_max*10)</f>
        <v>189.14789788176665</v>
      </c>
      <c r="W3595" s="75">
        <f>U3586</f>
        <v>702.95032479497411</v>
      </c>
      <c r="X3595" s="61"/>
      <c r="Y3595" s="69">
        <f>IFERROR(ABS(X$23-X3594),Q_max*10)</f>
        <v>5500</v>
      </c>
      <c r="Z3595" s="75">
        <f>X3586</f>
        <v>1687.3513713829382</v>
      </c>
      <c r="AA3595" s="61"/>
      <c r="AB3595" s="69">
        <f>IFERROR(ABS(AA$23-AA3594),Q_max*10)</f>
        <v>5500</v>
      </c>
      <c r="AC3595" s="75">
        <f>AA3586</f>
        <v>3221.7721622936142</v>
      </c>
      <c r="AD3595" s="61"/>
      <c r="AE3595" s="69">
        <f>IFERROR(ABS(AD$23-AD3594),Q_max*10)</f>
        <v>5500</v>
      </c>
      <c r="AF3595" s="75">
        <f>AD3586</f>
        <v>5298.6290208388509</v>
      </c>
      <c r="AG3595" s="61"/>
      <c r="AH3595" s="69">
        <f>IFERROR(ABS(AG$23-AG3594),Q_max*10)</f>
        <v>5500</v>
      </c>
      <c r="AI3595" s="75">
        <f>AG3586</f>
        <v>7888.936586865033</v>
      </c>
      <c r="AJ3595" s="61"/>
      <c r="AK3595" s="69">
        <f>IFERROR(ABS(AJ$23-AJ3594),Q_max*10)</f>
        <v>5500</v>
      </c>
      <c r="AL3595" s="75">
        <f>AJ3586</f>
        <v>10527.816457164468</v>
      </c>
      <c r="AM3595" s="61"/>
      <c r="AN3595" s="69">
        <f>IFERROR(ABS(AM$23-AM3594),Q_max*10)</f>
        <v>5500</v>
      </c>
      <c r="AO3595" s="75">
        <f>AM3586</f>
        <v>12845.936783432377</v>
      </c>
      <c r="AP3595" s="61"/>
      <c r="AQ3595" s="69">
        <f>IFERROR(ABS(AP$23-AP3594),Q_max*10)</f>
        <v>5500</v>
      </c>
      <c r="AR3595" s="75">
        <f>AP3586</f>
        <v>14913.733808210529</v>
      </c>
      <c r="AS3595" s="61"/>
      <c r="AT3595" s="69">
        <f>IFERROR(ABS(AS$23-AS3594),Q_max*10)</f>
        <v>5500</v>
      </c>
      <c r="AU3595" s="75">
        <f>AS3586</f>
        <v>16973.220233295178</v>
      </c>
    </row>
    <row r="3596" spans="15:47" ht="14.5" x14ac:dyDescent="0.35">
      <c r="O3596" s="6"/>
      <c r="P3596" s="6"/>
      <c r="Q3596" s="60"/>
      <c r="R3596" s="67"/>
      <c r="S3596" s="56"/>
      <c r="T3596" s="72"/>
      <c r="V3596" s="11"/>
      <c r="W3596" s="38"/>
      <c r="Y3596" s="11"/>
      <c r="Z3596" s="38"/>
      <c r="AB3596" s="11"/>
      <c r="AC3596" s="38"/>
      <c r="AE3596" s="11"/>
      <c r="AF3596" s="38"/>
      <c r="AH3596" s="11"/>
      <c r="AI3596" s="38"/>
      <c r="AK3596" s="11"/>
      <c r="AL3596" s="38"/>
      <c r="AN3596" s="11"/>
      <c r="AO3596" s="38"/>
      <c r="AQ3596" s="11"/>
      <c r="AR3596" s="38"/>
      <c r="AT3596" s="11"/>
      <c r="AU3596" s="38"/>
    </row>
    <row r="3597" spans="15:47" ht="14" x14ac:dyDescent="0.3">
      <c r="O3597" s="8" t="s">
        <v>235</v>
      </c>
      <c r="P3597" s="6"/>
      <c r="Q3597" s="60"/>
      <c r="R3597" s="53">
        <f>R3586*1.02</f>
        <v>489.26667704165044</v>
      </c>
      <c r="S3597" s="58" t="s">
        <v>238</v>
      </c>
      <c r="T3597" s="73" t="s">
        <v>241</v>
      </c>
      <c r="U3597" s="84">
        <f>U3586*1.01</f>
        <v>709.97982804292383</v>
      </c>
      <c r="V3597" s="58" t="s">
        <v>238</v>
      </c>
      <c r="W3597" s="73" t="s">
        <v>241</v>
      </c>
      <c r="X3597" s="84">
        <f>X3586*1.01</f>
        <v>1704.2248850967676</v>
      </c>
      <c r="Y3597" s="58" t="s">
        <v>238</v>
      </c>
      <c r="Z3597" s="73" t="s">
        <v>241</v>
      </c>
      <c r="AA3597" s="84">
        <f>AA3586*1.01</f>
        <v>3253.9898839165503</v>
      </c>
      <c r="AB3597" s="58" t="s">
        <v>238</v>
      </c>
      <c r="AC3597" s="73" t="s">
        <v>241</v>
      </c>
      <c r="AD3597" s="84">
        <f>AD3586*1.01</f>
        <v>5351.6153110472396</v>
      </c>
      <c r="AE3597" s="58" t="s">
        <v>238</v>
      </c>
      <c r="AF3597" s="73" t="s">
        <v>241</v>
      </c>
      <c r="AG3597" s="84">
        <f>AG3586*1.01</f>
        <v>7967.8259527336832</v>
      </c>
      <c r="AH3597" s="58" t="s">
        <v>238</v>
      </c>
      <c r="AI3597" s="73" t="s">
        <v>241</v>
      </c>
      <c r="AJ3597" s="84">
        <f>AJ3586*1.01</f>
        <v>10633.094621736112</v>
      </c>
      <c r="AK3597" s="58" t="s">
        <v>238</v>
      </c>
      <c r="AL3597" s="73" t="s">
        <v>241</v>
      </c>
      <c r="AM3597" s="84">
        <f>AM3586*1.01</f>
        <v>12974.396151266701</v>
      </c>
      <c r="AN3597" s="58" t="s">
        <v>238</v>
      </c>
      <c r="AO3597" s="73" t="s">
        <v>241</v>
      </c>
      <c r="AP3597" s="84">
        <f>AP3586*1.01</f>
        <v>15062.871146292635</v>
      </c>
      <c r="AQ3597" s="58" t="s">
        <v>238</v>
      </c>
      <c r="AR3597" s="73" t="s">
        <v>241</v>
      </c>
      <c r="AS3597" s="84">
        <f>AS3586*1.01</f>
        <v>17142.952435628129</v>
      </c>
      <c r="AT3597" s="58" t="s">
        <v>238</v>
      </c>
      <c r="AU3597" s="73" t="s">
        <v>241</v>
      </c>
    </row>
    <row r="3598" spans="15:47" ht="13" x14ac:dyDescent="0.25">
      <c r="O3598" s="6"/>
      <c r="P3598" s="6"/>
      <c r="Q3598" s="60"/>
      <c r="R3598" s="70"/>
      <c r="S3598" s="63" t="s">
        <v>250</v>
      </c>
      <c r="T3598" s="71" t="s">
        <v>242</v>
      </c>
      <c r="U3598" s="61"/>
      <c r="V3598" s="63" t="s">
        <v>250</v>
      </c>
      <c r="W3598" s="71" t="s">
        <v>242</v>
      </c>
      <c r="X3598" s="61"/>
      <c r="Y3598" s="63" t="s">
        <v>250</v>
      </c>
      <c r="Z3598" s="71" t="s">
        <v>242</v>
      </c>
      <c r="AA3598" s="61"/>
      <c r="AB3598" s="63" t="s">
        <v>250</v>
      </c>
      <c r="AC3598" s="71" t="s">
        <v>242</v>
      </c>
      <c r="AD3598" s="61"/>
      <c r="AE3598" s="63" t="s">
        <v>250</v>
      </c>
      <c r="AF3598" s="71" t="s">
        <v>242</v>
      </c>
      <c r="AG3598" s="61"/>
      <c r="AH3598" s="63" t="s">
        <v>250</v>
      </c>
      <c r="AI3598" s="71" t="s">
        <v>242</v>
      </c>
      <c r="AJ3598" s="61"/>
      <c r="AK3598" s="63" t="s">
        <v>250</v>
      </c>
      <c r="AL3598" s="71" t="s">
        <v>242</v>
      </c>
      <c r="AM3598" s="61"/>
      <c r="AN3598" s="63" t="s">
        <v>250</v>
      </c>
      <c r="AO3598" s="71" t="s">
        <v>242</v>
      </c>
      <c r="AP3598" s="61"/>
      <c r="AQ3598" s="63" t="s">
        <v>250</v>
      </c>
      <c r="AR3598" s="71" t="s">
        <v>242</v>
      </c>
      <c r="AS3598" s="61"/>
      <c r="AT3598" s="63" t="s">
        <v>250</v>
      </c>
      <c r="AU3598" s="71" t="s">
        <v>242</v>
      </c>
    </row>
    <row r="3599" spans="15:47" ht="13" x14ac:dyDescent="0.3">
      <c r="O3599" s="6" t="s">
        <v>231</v>
      </c>
      <c r="P3599" s="6"/>
      <c r="Q3599" s="60"/>
      <c r="R3599" s="85">
        <f>P_1_minQ-(R3597^2*R_up)+dpup_minQ</f>
        <v>48.831648724641042</v>
      </c>
      <c r="S3599" s="56"/>
      <c r="T3599" s="72"/>
      <c r="U3599" s="53">
        <f>P_1_minQ-(U3597^2*R_up)+dpup_minQ</f>
        <v>39.89245672989329</v>
      </c>
      <c r="V3599" s="44"/>
      <c r="W3599" s="72"/>
      <c r="X3599" s="53">
        <f>P_1_minQ-(X3597^2*R_up)+dpup_minQ</f>
        <v>-41.171748023745046</v>
      </c>
      <c r="Y3599" s="44"/>
      <c r="Z3599" s="72"/>
      <c r="AA3599" s="53">
        <f>P_1_minQ-(AA3597^2*R_up)+dpup_minQ</f>
        <v>-300.68095794094035</v>
      </c>
      <c r="AB3599" s="44"/>
      <c r="AC3599" s="72"/>
      <c r="AD3599" s="53">
        <f>P_1_minQ-(AD3597^2*R_up)+dpup_minQ</f>
        <v>-910.31744131831283</v>
      </c>
      <c r="AE3599" s="44"/>
      <c r="AF3599" s="72"/>
      <c r="AG3599" s="53">
        <f>P_1_minQ-(AG3597^2*R_up)+dpup_minQ</f>
        <v>-2087.1652621768467</v>
      </c>
      <c r="AH3599" s="44"/>
      <c r="AI3599" s="72"/>
      <c r="AJ3599" s="53">
        <f>P_1_minQ-(AJ3597^2*R_up)+dpup_minQ</f>
        <v>-3761.4797107326394</v>
      </c>
      <c r="AK3599" s="44"/>
      <c r="AL3599" s="72"/>
      <c r="AM3599" s="53">
        <f>P_1_minQ-(AM3597^2*R_up)+dpup_minQ</f>
        <v>-5628.1549642014252</v>
      </c>
      <c r="AN3599" s="44"/>
      <c r="AO3599" s="72"/>
      <c r="AP3599" s="53">
        <f>P_1_minQ-(AP3597^2*R_up)+dpup_minQ</f>
        <v>-7605.7007824996699</v>
      </c>
      <c r="AQ3599" s="44"/>
      <c r="AR3599" s="72"/>
      <c r="AS3599" s="53">
        <f>P_1_minQ-(AS3597^2*R_up)+dpup_minQ</f>
        <v>-9868.1368189871137</v>
      </c>
      <c r="AT3599" s="44"/>
      <c r="AU3599" s="72"/>
    </row>
    <row r="3600" spans="15:47" ht="13" x14ac:dyDescent="0.3">
      <c r="O3600" s="6" t="s">
        <v>233</v>
      </c>
      <c r="P3600" s="6"/>
      <c r="Q3600" s="60"/>
      <c r="R3600" s="85">
        <f>P_2_minQ+(R3597^2*R_dn)-dpdn_minQ</f>
        <v>26.273670255071792</v>
      </c>
      <c r="S3600" s="66"/>
      <c r="T3600" s="74"/>
      <c r="U3600" s="53">
        <f>P_2_minQ+(U3597^2*R_dn)-dpdn_minQ</f>
        <v>28.061508654021342</v>
      </c>
      <c r="V3600" s="45"/>
      <c r="W3600" s="74"/>
      <c r="X3600" s="53">
        <f>P_2_minQ+(X3597^2*R_dn)-dpdn_minQ</f>
        <v>44.274349604749013</v>
      </c>
      <c r="Y3600" s="45"/>
      <c r="Z3600" s="74"/>
      <c r="AA3600" s="53">
        <f>P_2_minQ+(AA3597^2*R_dn)-dpdn_minQ</f>
        <v>96.176191588188075</v>
      </c>
      <c r="AB3600" s="45"/>
      <c r="AC3600" s="74"/>
      <c r="AD3600" s="53">
        <f>P_2_minQ+(AD3597^2*R_dn)-dpdn_minQ</f>
        <v>218.10348826366257</v>
      </c>
      <c r="AE3600" s="45"/>
      <c r="AF3600" s="74"/>
      <c r="AG3600" s="53">
        <f>P_2_minQ+(AG3597^2*R_dn)-dpdn_minQ</f>
        <v>453.47305243536925</v>
      </c>
      <c r="AH3600" s="45"/>
      <c r="AI3600" s="74"/>
      <c r="AJ3600" s="53">
        <f>P_2_minQ+(AJ3597^2*R_dn)-dpdn_minQ</f>
        <v>788.33594214652783</v>
      </c>
      <c r="AK3600" s="45"/>
      <c r="AL3600" s="74"/>
      <c r="AM3600" s="53">
        <f>P_2_minQ+(AM3597^2*R_dn)-dpdn_minQ</f>
        <v>1161.670992840285</v>
      </c>
      <c r="AN3600" s="45"/>
      <c r="AO3600" s="74"/>
      <c r="AP3600" s="53">
        <f>P_2_minQ+(AP3597^2*R_dn)-dpdn_minQ</f>
        <v>1557.1801564999337</v>
      </c>
      <c r="AQ3600" s="45"/>
      <c r="AR3600" s="74"/>
      <c r="AS3600" s="53">
        <f>P_2_minQ+(AS3597^2*R_dn)-dpdn_minQ</f>
        <v>2009.6673637974227</v>
      </c>
      <c r="AT3600" s="45"/>
      <c r="AU3600" s="74"/>
    </row>
    <row r="3601" spans="15:47" x14ac:dyDescent="0.25">
      <c r="O3601" s="6" t="s">
        <v>243</v>
      </c>
      <c r="Q3601" s="60"/>
      <c r="R3601" s="53">
        <f>R3599-R3600</f>
        <v>22.55797846956925</v>
      </c>
      <c r="S3601" s="56"/>
      <c r="T3601" s="72"/>
      <c r="U3601" s="64">
        <f>U3599-U3600</f>
        <v>11.830948075871948</v>
      </c>
      <c r="V3601" s="44"/>
      <c r="W3601" s="72"/>
      <c r="X3601" s="64">
        <f>X3599-X3600</f>
        <v>-85.446097628494059</v>
      </c>
      <c r="Y3601" s="44"/>
      <c r="Z3601" s="72"/>
      <c r="AA3601" s="64">
        <f>AA3599-AA3600</f>
        <v>-396.85714952912844</v>
      </c>
      <c r="AB3601" s="44"/>
      <c r="AC3601" s="72"/>
      <c r="AD3601" s="64">
        <f>AD3599-AD3600</f>
        <v>-1128.4209295819753</v>
      </c>
      <c r="AE3601" s="44"/>
      <c r="AF3601" s="72"/>
      <c r="AG3601" s="64">
        <f>AG3599-AG3600</f>
        <v>-2540.6383146122162</v>
      </c>
      <c r="AH3601" s="44"/>
      <c r="AI3601" s="72"/>
      <c r="AJ3601" s="64">
        <f>AJ3599-AJ3600</f>
        <v>-4549.8156528791669</v>
      </c>
      <c r="AK3601" s="44"/>
      <c r="AL3601" s="72"/>
      <c r="AM3601" s="64">
        <f>AM3599-AM3600</f>
        <v>-6789.8259570417104</v>
      </c>
      <c r="AN3601" s="44"/>
      <c r="AO3601" s="72"/>
      <c r="AP3601" s="64">
        <f>AP3599-AP3600</f>
        <v>-9162.880938999604</v>
      </c>
      <c r="AQ3601" s="44"/>
      <c r="AR3601" s="72"/>
      <c r="AS3601" s="64">
        <f>AS3599-AS3600</f>
        <v>-11877.804182784537</v>
      </c>
      <c r="AT3601" s="44"/>
      <c r="AU3601" s="72"/>
    </row>
    <row r="3602" spans="15:47" ht="13" x14ac:dyDescent="0.3">
      <c r="O3602" s="6" t="s">
        <v>75</v>
      </c>
      <c r="P3602" s="6">
        <v>3</v>
      </c>
      <c r="Q3602" s="65"/>
      <c r="R3602" s="85">
        <f>(F_LP_h/F_P_h)^2*(R3599-('Valve Sizing'!$V$4*'Valve Sizing'!$G$7))</f>
        <v>40.070777465751441</v>
      </c>
      <c r="S3602" s="58"/>
      <c r="T3602" s="73"/>
      <c r="U3602" s="53">
        <f>(U$29/U$27)^2*(U3599-('Valve Sizing'!$V$4*'Valve Sizing'!$G$7))</f>
        <v>32.659753150069619</v>
      </c>
      <c r="V3602" s="41"/>
      <c r="W3602" s="73"/>
      <c r="X3602" s="53">
        <f>(X$29/X$27)^2*(X3599-('Valve Sizing'!$V$4*'Valve Sizing'!$G$7))</f>
        <v>-33.670340917704642</v>
      </c>
      <c r="Y3602" s="41"/>
      <c r="Z3602" s="73"/>
      <c r="AA3602" s="53">
        <f>(AA$29/AA$27)^2*(AA3599-('Valve Sizing'!$V$4*'Valve Sizing'!$G$7))</f>
        <v>-232.7054841544267</v>
      </c>
      <c r="AB3602" s="41"/>
      <c r="AC3602" s="73"/>
      <c r="AD3602" s="53">
        <f>(AD$29/AD$27)^2*(AD3599-('Valve Sizing'!$V$4*'Valve Sizing'!$G$7))</f>
        <v>-656.82683926044763</v>
      </c>
      <c r="AE3602" s="41"/>
      <c r="AF3602" s="73"/>
      <c r="AG3602" s="53">
        <f>(AG$29/AG$27)^2*(AG3599-('Valve Sizing'!$V$4*'Valve Sizing'!$G$7))</f>
        <v>-1344.5095787043535</v>
      </c>
      <c r="AH3602" s="41"/>
      <c r="AI3602" s="73"/>
      <c r="AJ3602" s="53">
        <f>(AJ$29/AJ$27)^2*(AJ3599-('Valve Sizing'!$V$4*'Valve Sizing'!$G$7))</f>
        <v>-2175.7602264021557</v>
      </c>
      <c r="AK3602" s="41"/>
      <c r="AL3602" s="73"/>
      <c r="AM3602" s="53">
        <f>(AM$29/AM$27)^2*(AM3599-('Valve Sizing'!$V$4*'Valve Sizing'!$G$7))</f>
        <v>-2693.1259576790385</v>
      </c>
      <c r="AN3602" s="41"/>
      <c r="AO3602" s="73"/>
      <c r="AP3602" s="53">
        <f>(AP$29/AP$27)^2*(AP3599-('Valve Sizing'!$V$4*'Valve Sizing'!$G$7))</f>
        <v>-3001.5872281968977</v>
      </c>
      <c r="AQ3602" s="41"/>
      <c r="AR3602" s="73"/>
      <c r="AS3602" s="53">
        <f>(AS$29/AS$27)^2*(AS3599-('Valve Sizing'!$V$4*'Valve Sizing'!$G$7))</f>
        <v>-3711.974343060006</v>
      </c>
      <c r="AT3602" s="41"/>
      <c r="AU3602" s="73"/>
    </row>
    <row r="3603" spans="15:47" ht="13" x14ac:dyDescent="0.25">
      <c r="O3603" s="1" t="s">
        <v>69</v>
      </c>
      <c r="P3603" s="17">
        <v>7</v>
      </c>
      <c r="Q3603" s="65"/>
      <c r="R3603" s="53">
        <f>(R3597/(N_1*F_P_h))*SQRT('Valve Sizing'!$G$6/R3601)</f>
        <v>103.02890344769837</v>
      </c>
      <c r="S3603" s="58"/>
      <c r="T3603" s="73"/>
      <c r="U3603" s="64">
        <f>(U3597/(N_1*U$27))*SQRT('Valve Sizing'!$G$6/U3601)</f>
        <v>206.58648483671709</v>
      </c>
      <c r="V3603" s="41"/>
      <c r="W3603" s="73"/>
      <c r="X3603" s="64" t="e">
        <f>(X3597/(N_1*X$27))*SQRT('Valve Sizing'!$G$6/X3601)</f>
        <v>#NUM!</v>
      </c>
      <c r="Y3603" s="41"/>
      <c r="Z3603" s="73"/>
      <c r="AA3603" s="64" t="e">
        <f>(AA3597/(N_1*AA$27))*SQRT('Valve Sizing'!$G$6/AA3601)</f>
        <v>#NUM!</v>
      </c>
      <c r="AB3603" s="41"/>
      <c r="AC3603" s="73"/>
      <c r="AD3603" s="64" t="e">
        <f>(AD3597/(N_1*AD$27))*SQRT('Valve Sizing'!$G$6/AD3601)</f>
        <v>#NUM!</v>
      </c>
      <c r="AE3603" s="41"/>
      <c r="AF3603" s="73"/>
      <c r="AG3603" s="64" t="e">
        <f>(AG3597/(N_1*AG$27))*SQRT('Valve Sizing'!$G$6/AG3601)</f>
        <v>#NUM!</v>
      </c>
      <c r="AH3603" s="41"/>
      <c r="AI3603" s="73"/>
      <c r="AJ3603" s="64" t="e">
        <f>(AJ3597/(N_1*AJ$27))*SQRT('Valve Sizing'!$G$6/AJ3601)</f>
        <v>#NUM!</v>
      </c>
      <c r="AK3603" s="41"/>
      <c r="AL3603" s="73"/>
      <c r="AM3603" s="64" t="e">
        <f>(AM3597/(N_1*AM$27))*SQRT('Valve Sizing'!$G$6/AM3601)</f>
        <v>#NUM!</v>
      </c>
      <c r="AN3603" s="41"/>
      <c r="AO3603" s="73"/>
      <c r="AP3603" s="64" t="e">
        <f>(AP3597/(N_1*AP$27))*SQRT('Valve Sizing'!$G$6/AP3601)</f>
        <v>#NUM!</v>
      </c>
      <c r="AQ3603" s="41"/>
      <c r="AR3603" s="73"/>
      <c r="AS3603" s="64" t="e">
        <f>(AS3597/(N_1*AS$27))*SQRT('Valve Sizing'!$G$6/AS3601)</f>
        <v>#NUM!</v>
      </c>
      <c r="AT3603" s="41"/>
      <c r="AU3603" s="73"/>
    </row>
    <row r="3604" spans="15:47" ht="13" x14ac:dyDescent="0.3">
      <c r="O3604" s="1" t="s">
        <v>72</v>
      </c>
      <c r="P3604" s="17">
        <v>7</v>
      </c>
      <c r="Q3604" s="65"/>
      <c r="R3604" s="53">
        <f>(R3597/(N_1*F_P_h))*SQRT('Valve Sizing'!$G$6/R3602)</f>
        <v>77.302810182687764</v>
      </c>
      <c r="S3604" s="56"/>
      <c r="T3604" s="72"/>
      <c r="U3604" s="85">
        <f>(U3597/(N_1*U$27))*SQRT('Valve Sizing'!$G$6/U3602)</f>
        <v>124.33838759439466</v>
      </c>
      <c r="V3604" s="44"/>
      <c r="W3604" s="72"/>
      <c r="X3604" s="85" t="e">
        <f>(X3597/(N_1*X$27))*SQRT('Valve Sizing'!$G$6/X3602)</f>
        <v>#NUM!</v>
      </c>
      <c r="Y3604" s="44"/>
      <c r="Z3604" s="72"/>
      <c r="AA3604" s="85" t="e">
        <f>(AA3597/(N_1*AA$27))*SQRT('Valve Sizing'!$G$6/AA3602)</f>
        <v>#NUM!</v>
      </c>
      <c r="AB3604" s="44"/>
      <c r="AC3604" s="72"/>
      <c r="AD3604" s="85" t="e">
        <f>(AD3597/(N_1*AD$27))*SQRT('Valve Sizing'!$G$6/AD3602)</f>
        <v>#NUM!</v>
      </c>
      <c r="AE3604" s="44"/>
      <c r="AF3604" s="72"/>
      <c r="AG3604" s="85" t="e">
        <f>(AG3597/(N_1*AG$27))*SQRT('Valve Sizing'!$G$6/AG3602)</f>
        <v>#NUM!</v>
      </c>
      <c r="AH3604" s="44"/>
      <c r="AI3604" s="72"/>
      <c r="AJ3604" s="85" t="e">
        <f>(AJ3597/(N_1*AJ$27))*SQRT('Valve Sizing'!$G$6/AJ3602)</f>
        <v>#NUM!</v>
      </c>
      <c r="AK3604" s="44"/>
      <c r="AL3604" s="72"/>
      <c r="AM3604" s="85" t="e">
        <f>(AM3597/(N_1*AM$27))*SQRT('Valve Sizing'!$G$6/AM3602)</f>
        <v>#NUM!</v>
      </c>
      <c r="AN3604" s="44"/>
      <c r="AO3604" s="72"/>
      <c r="AP3604" s="85" t="e">
        <f>(AP3597/(N_1*AP$27))*SQRT('Valve Sizing'!$G$6/AP3602)</f>
        <v>#NUM!</v>
      </c>
      <c r="AQ3604" s="44"/>
      <c r="AR3604" s="72"/>
      <c r="AS3604" s="85" t="e">
        <f>(AS3597/(N_1*AS$27))*SQRT('Valve Sizing'!$G$6/AS3602)</f>
        <v>#NUM!</v>
      </c>
      <c r="AT3604" s="44"/>
      <c r="AU3604" s="72"/>
    </row>
    <row r="3605" spans="15:47" x14ac:dyDescent="0.25">
      <c r="O3605" s="1" t="s">
        <v>246</v>
      </c>
      <c r="P3605" s="18"/>
      <c r="Q3605" s="65"/>
      <c r="R3605" s="53">
        <f>IF(R3601&lt;R3602,R3603,R3604)</f>
        <v>103.02890344769837</v>
      </c>
      <c r="S3605" s="49"/>
      <c r="T3605" s="72"/>
      <c r="U3605" s="64">
        <f>IF(U3601&lt;U3602,U3603,U3604)</f>
        <v>206.58648483671709</v>
      </c>
      <c r="V3605" s="44"/>
      <c r="W3605" s="72"/>
      <c r="X3605" s="64" t="e">
        <f>IF(X3601&lt;X3602,X3603,X3604)</f>
        <v>#NUM!</v>
      </c>
      <c r="Y3605" s="44"/>
      <c r="Z3605" s="72"/>
      <c r="AA3605" s="64" t="e">
        <f>IF(AA3601&lt;AA3602,AA3603,AA3604)</f>
        <v>#NUM!</v>
      </c>
      <c r="AB3605" s="44"/>
      <c r="AC3605" s="72"/>
      <c r="AD3605" s="64" t="e">
        <f>IF(AD3601&lt;AD3602,AD3603,AD3604)</f>
        <v>#NUM!</v>
      </c>
      <c r="AE3605" s="44"/>
      <c r="AF3605" s="72"/>
      <c r="AG3605" s="64" t="e">
        <f>IF(AG3601&lt;AG3602,AG3603,AG3604)</f>
        <v>#NUM!</v>
      </c>
      <c r="AH3605" s="44"/>
      <c r="AI3605" s="72"/>
      <c r="AJ3605" s="64" t="e">
        <f>IF(AJ3601&lt;AJ3602,AJ3603,AJ3604)</f>
        <v>#NUM!</v>
      </c>
      <c r="AK3605" s="44"/>
      <c r="AL3605" s="72"/>
      <c r="AM3605" s="64" t="e">
        <f>IF(AM3601&lt;AM3602,AM3603,AM3604)</f>
        <v>#NUM!</v>
      </c>
      <c r="AN3605" s="44"/>
      <c r="AO3605" s="72"/>
      <c r="AP3605" s="64" t="e">
        <f>IF(AP3601&lt;AP3602,AP3603,AP3604)</f>
        <v>#NUM!</v>
      </c>
      <c r="AQ3605" s="44"/>
      <c r="AR3605" s="72"/>
      <c r="AS3605" s="64" t="e">
        <f>IF(AS3601&lt;AS3602,AS3603,AS3604)</f>
        <v>#NUM!</v>
      </c>
      <c r="AT3605" s="44"/>
      <c r="AU3605" s="72"/>
    </row>
    <row r="3606" spans="15:47" ht="13" x14ac:dyDescent="0.3">
      <c r="O3606" s="7" t="s">
        <v>264</v>
      </c>
      <c r="Q3606" s="61"/>
      <c r="R3606" s="53"/>
      <c r="S3606" s="69">
        <f>IFERROR(ABS(C_h-R3605),Q_max*10)</f>
        <v>98.028903447698369</v>
      </c>
      <c r="T3606" s="76">
        <f>R3597</f>
        <v>489.26667704165044</v>
      </c>
      <c r="U3606" s="61"/>
      <c r="V3606" s="69">
        <f>IFERROR(ABS(U$23-U3605),Q_max*10)</f>
        <v>194.58648483671709</v>
      </c>
      <c r="W3606" s="75">
        <f>U3597</f>
        <v>709.97982804292383</v>
      </c>
      <c r="X3606" s="61"/>
      <c r="Y3606" s="69">
        <f>IFERROR(ABS(X$23-X3605),Q_max*10)</f>
        <v>5500</v>
      </c>
      <c r="Z3606" s="75">
        <f>X3597</f>
        <v>1704.2248850967676</v>
      </c>
      <c r="AA3606" s="61"/>
      <c r="AB3606" s="69">
        <f>IFERROR(ABS(AA$23-AA3605),Q_max*10)</f>
        <v>5500</v>
      </c>
      <c r="AC3606" s="75">
        <f>AA3597</f>
        <v>3253.9898839165503</v>
      </c>
      <c r="AD3606" s="61"/>
      <c r="AE3606" s="69">
        <f>IFERROR(ABS(AD$23-AD3605),Q_max*10)</f>
        <v>5500</v>
      </c>
      <c r="AF3606" s="75">
        <f>AD3597</f>
        <v>5351.6153110472396</v>
      </c>
      <c r="AG3606" s="61"/>
      <c r="AH3606" s="69">
        <f>IFERROR(ABS(AG$23-AG3605),Q_max*10)</f>
        <v>5500</v>
      </c>
      <c r="AI3606" s="75">
        <f>AG3597</f>
        <v>7967.8259527336832</v>
      </c>
      <c r="AJ3606" s="61"/>
      <c r="AK3606" s="69">
        <f>IFERROR(ABS(AJ$23-AJ3605),Q_max*10)</f>
        <v>5500</v>
      </c>
      <c r="AL3606" s="75">
        <f>AJ3597</f>
        <v>10633.094621736112</v>
      </c>
      <c r="AM3606" s="61"/>
      <c r="AN3606" s="69">
        <f>IFERROR(ABS(AM$23-AM3605),Q_max*10)</f>
        <v>5500</v>
      </c>
      <c r="AO3606" s="75">
        <f>AM3597</f>
        <v>12974.396151266701</v>
      </c>
      <c r="AP3606" s="61"/>
      <c r="AQ3606" s="69">
        <f>IFERROR(ABS(AP$23-AP3605),Q_max*10)</f>
        <v>5500</v>
      </c>
      <c r="AR3606" s="75">
        <f>AP3597</f>
        <v>15062.871146292635</v>
      </c>
      <c r="AS3606" s="61"/>
      <c r="AT3606" s="69">
        <f>IFERROR(ABS(AS$23-AS3605),Q_max*10)</f>
        <v>5500</v>
      </c>
      <c r="AU3606" s="75">
        <f>AS3597</f>
        <v>17142.952435628129</v>
      </c>
    </row>
    <row r="3607" spans="15:47" ht="14.5" x14ac:dyDescent="0.35">
      <c r="O3607" s="6"/>
      <c r="P3607" s="6"/>
      <c r="Q3607" s="60"/>
      <c r="R3607" s="67"/>
      <c r="S3607" s="58"/>
      <c r="T3607" s="73"/>
      <c r="V3607" s="11"/>
      <c r="W3607" s="38"/>
      <c r="Y3607" s="11"/>
      <c r="Z3607" s="38"/>
      <c r="AB3607" s="11"/>
      <c r="AC3607" s="38"/>
      <c r="AE3607" s="11"/>
      <c r="AF3607" s="38"/>
      <c r="AH3607" s="11"/>
      <c r="AI3607" s="38"/>
      <c r="AK3607" s="11"/>
      <c r="AL3607" s="38"/>
      <c r="AN3607" s="11"/>
      <c r="AO3607" s="38"/>
      <c r="AQ3607" s="11"/>
      <c r="AR3607" s="38"/>
      <c r="AT3607" s="11"/>
      <c r="AU3607" s="38"/>
    </row>
    <row r="3608" spans="15:47" ht="14" x14ac:dyDescent="0.3">
      <c r="O3608" s="8" t="s">
        <v>235</v>
      </c>
      <c r="P3608" s="6"/>
      <c r="Q3608" s="60"/>
      <c r="R3608" s="53">
        <f>R3597*1.02</f>
        <v>499.05201058248343</v>
      </c>
      <c r="S3608" s="58" t="s">
        <v>238</v>
      </c>
      <c r="T3608" s="73" t="s">
        <v>241</v>
      </c>
      <c r="U3608" s="84">
        <f>U3597*1.01</f>
        <v>717.07962632335307</v>
      </c>
      <c r="V3608" s="58" t="s">
        <v>238</v>
      </c>
      <c r="W3608" s="73" t="s">
        <v>241</v>
      </c>
      <c r="X3608" s="84">
        <f>X3597*1.01</f>
        <v>1721.2671339477354</v>
      </c>
      <c r="Y3608" s="58" t="s">
        <v>238</v>
      </c>
      <c r="Z3608" s="73" t="s">
        <v>241</v>
      </c>
      <c r="AA3608" s="84">
        <f>AA3597*1.01</f>
        <v>3286.529782755716</v>
      </c>
      <c r="AB3608" s="58" t="s">
        <v>238</v>
      </c>
      <c r="AC3608" s="73" t="s">
        <v>241</v>
      </c>
      <c r="AD3608" s="84">
        <f>AD3597*1.01</f>
        <v>5405.1314641577119</v>
      </c>
      <c r="AE3608" s="58" t="s">
        <v>238</v>
      </c>
      <c r="AF3608" s="73" t="s">
        <v>241</v>
      </c>
      <c r="AG3608" s="84">
        <f>AG3597*1.01</f>
        <v>8047.5042122610203</v>
      </c>
      <c r="AH3608" s="58" t="s">
        <v>238</v>
      </c>
      <c r="AI3608" s="73" t="s">
        <v>241</v>
      </c>
      <c r="AJ3608" s="84">
        <f>AJ3597*1.01</f>
        <v>10739.425567953474</v>
      </c>
      <c r="AK3608" s="58" t="s">
        <v>238</v>
      </c>
      <c r="AL3608" s="73" t="s">
        <v>241</v>
      </c>
      <c r="AM3608" s="84">
        <f>AM3597*1.01</f>
        <v>13104.140112779369</v>
      </c>
      <c r="AN3608" s="58" t="s">
        <v>238</v>
      </c>
      <c r="AO3608" s="73" t="s">
        <v>241</v>
      </c>
      <c r="AP3608" s="84">
        <f>AP3597*1.01</f>
        <v>15213.499857755562</v>
      </c>
      <c r="AQ3608" s="58" t="s">
        <v>238</v>
      </c>
      <c r="AR3608" s="73" t="s">
        <v>241</v>
      </c>
      <c r="AS3608" s="84">
        <f>AS3597*1.01</f>
        <v>17314.38195998441</v>
      </c>
      <c r="AT3608" s="58" t="s">
        <v>238</v>
      </c>
      <c r="AU3608" s="73" t="s">
        <v>241</v>
      </c>
    </row>
    <row r="3609" spans="15:47" ht="13" x14ac:dyDescent="0.25">
      <c r="O3609" s="6"/>
      <c r="P3609" s="6"/>
      <c r="Q3609" s="60"/>
      <c r="R3609" s="70"/>
      <c r="S3609" s="63" t="s">
        <v>250</v>
      </c>
      <c r="T3609" s="71" t="s">
        <v>242</v>
      </c>
      <c r="U3609" s="61"/>
      <c r="V3609" s="63" t="s">
        <v>250</v>
      </c>
      <c r="W3609" s="71" t="s">
        <v>242</v>
      </c>
      <c r="X3609" s="61"/>
      <c r="Y3609" s="63" t="s">
        <v>250</v>
      </c>
      <c r="Z3609" s="71" t="s">
        <v>242</v>
      </c>
      <c r="AA3609" s="61"/>
      <c r="AB3609" s="63" t="s">
        <v>250</v>
      </c>
      <c r="AC3609" s="71" t="s">
        <v>242</v>
      </c>
      <c r="AD3609" s="61"/>
      <c r="AE3609" s="63" t="s">
        <v>250</v>
      </c>
      <c r="AF3609" s="71" t="s">
        <v>242</v>
      </c>
      <c r="AG3609" s="61"/>
      <c r="AH3609" s="63" t="s">
        <v>250</v>
      </c>
      <c r="AI3609" s="71" t="s">
        <v>242</v>
      </c>
      <c r="AJ3609" s="61"/>
      <c r="AK3609" s="63" t="s">
        <v>250</v>
      </c>
      <c r="AL3609" s="71" t="s">
        <v>242</v>
      </c>
      <c r="AM3609" s="61"/>
      <c r="AN3609" s="63" t="s">
        <v>250</v>
      </c>
      <c r="AO3609" s="71" t="s">
        <v>242</v>
      </c>
      <c r="AP3609" s="61"/>
      <c r="AQ3609" s="63" t="s">
        <v>250</v>
      </c>
      <c r="AR3609" s="71" t="s">
        <v>242</v>
      </c>
      <c r="AS3609" s="61"/>
      <c r="AT3609" s="63" t="s">
        <v>250</v>
      </c>
      <c r="AU3609" s="71" t="s">
        <v>242</v>
      </c>
    </row>
    <row r="3610" spans="15:47" ht="13" x14ac:dyDescent="0.3">
      <c r="O3610" s="6" t="s">
        <v>231</v>
      </c>
      <c r="P3610" s="6"/>
      <c r="Q3610" s="60"/>
      <c r="R3610" s="85">
        <f>P_1_minQ-(R3608^2*R_up)+dpup_minQ</f>
        <v>48.50503514804393</v>
      </c>
      <c r="S3610" s="56"/>
      <c r="T3610" s="72"/>
      <c r="U3610" s="53">
        <f>P_1_minQ-(U3608^2*R_up)+dpup_minQ</f>
        <v>39.550280631947324</v>
      </c>
      <c r="V3610" s="44"/>
      <c r="W3610" s="72"/>
      <c r="X3610" s="53">
        <f>P_1_minQ-(X3608^2*R_up)+dpup_minQ</f>
        <v>-43.143314637239165</v>
      </c>
      <c r="Y3610" s="44"/>
      <c r="Z3610" s="72"/>
      <c r="AA3610" s="53">
        <f>P_1_minQ-(AA3608^2*R_up)+dpup_minQ</f>
        <v>-307.8686596737702</v>
      </c>
      <c r="AB3610" s="44"/>
      <c r="AC3610" s="72"/>
      <c r="AD3610" s="53">
        <f>P_1_minQ-(AD3608^2*R_up)+dpup_minQ</f>
        <v>-929.7588363670277</v>
      </c>
      <c r="AE3610" s="44"/>
      <c r="AF3610" s="72"/>
      <c r="AG3610" s="53">
        <f>P_1_minQ-(AG3608^2*R_up)+dpup_minQ</f>
        <v>-2130.2612984248185</v>
      </c>
      <c r="AH3610" s="44"/>
      <c r="AI3610" s="72"/>
      <c r="AJ3610" s="53">
        <f>P_1_minQ-(AJ3608^2*R_up)+dpup_minQ</f>
        <v>-3838.229467396583</v>
      </c>
      <c r="AK3610" s="44"/>
      <c r="AL3610" s="72"/>
      <c r="AM3610" s="53">
        <f>P_1_minQ-(AM3608^2*R_up)+dpup_minQ</f>
        <v>-5742.424893460091</v>
      </c>
      <c r="AN3610" s="44"/>
      <c r="AO3610" s="72"/>
      <c r="AP3610" s="53">
        <f>P_1_minQ-(AP3608^2*R_up)+dpup_minQ</f>
        <v>-7759.719382706131</v>
      </c>
      <c r="AQ3610" s="44"/>
      <c r="AR3610" s="72"/>
      <c r="AS3610" s="53">
        <f>P_1_minQ-(AS3608^2*R_up)+dpup_minQ</f>
        <v>-10067.630383526972</v>
      </c>
      <c r="AT3610" s="44"/>
      <c r="AU3610" s="72"/>
    </row>
    <row r="3611" spans="15:47" ht="13" x14ac:dyDescent="0.3">
      <c r="O3611" s="6" t="s">
        <v>233</v>
      </c>
      <c r="P3611" s="6"/>
      <c r="Q3611" s="60"/>
      <c r="R3611" s="85">
        <f>P_2_minQ+(R3608^2*R_dn)-dpdn_minQ</f>
        <v>26.338992970391214</v>
      </c>
      <c r="S3611" s="66"/>
      <c r="T3611" s="74"/>
      <c r="U3611" s="53">
        <f>P_2_minQ+(U3608^2*R_dn)-dpdn_minQ</f>
        <v>28.129943873610536</v>
      </c>
      <c r="V3611" s="45"/>
      <c r="W3611" s="74"/>
      <c r="X3611" s="53">
        <f>P_2_minQ+(X3608^2*R_dn)-dpdn_minQ</f>
        <v>44.668662927447834</v>
      </c>
      <c r="Y3611" s="45"/>
      <c r="Z3611" s="74"/>
      <c r="AA3611" s="53">
        <f>P_2_minQ+(AA3608^2*R_dn)-dpdn_minQ</f>
        <v>97.613731934754028</v>
      </c>
      <c r="AB3611" s="45"/>
      <c r="AC3611" s="74"/>
      <c r="AD3611" s="53">
        <f>P_2_minQ+(AD3608^2*R_dn)-dpdn_minQ</f>
        <v>221.99176727340554</v>
      </c>
      <c r="AE3611" s="45"/>
      <c r="AF3611" s="74"/>
      <c r="AG3611" s="53">
        <f>P_2_minQ+(AG3608^2*R_dn)-dpdn_minQ</f>
        <v>462.09225968496355</v>
      </c>
      <c r="AH3611" s="45"/>
      <c r="AI3611" s="74"/>
      <c r="AJ3611" s="53">
        <f>P_2_minQ+(AJ3608^2*R_dn)-dpdn_minQ</f>
        <v>803.68589347931652</v>
      </c>
      <c r="AK3611" s="45"/>
      <c r="AL3611" s="74"/>
      <c r="AM3611" s="53">
        <f>P_2_minQ+(AM3608^2*R_dn)-dpdn_minQ</f>
        <v>1184.5249786920181</v>
      </c>
      <c r="AN3611" s="45"/>
      <c r="AO3611" s="74"/>
      <c r="AP3611" s="53">
        <f>P_2_minQ+(AP3608^2*R_dn)-dpdn_minQ</f>
        <v>1587.983876541226</v>
      </c>
      <c r="AQ3611" s="45"/>
      <c r="AR3611" s="74"/>
      <c r="AS3611" s="53">
        <f>P_2_minQ+(AS3608^2*R_dn)-dpdn_minQ</f>
        <v>2049.5660767053942</v>
      </c>
      <c r="AT3611" s="45"/>
      <c r="AU3611" s="74"/>
    </row>
    <row r="3612" spans="15:47" x14ac:dyDescent="0.25">
      <c r="O3612" s="6" t="s">
        <v>243</v>
      </c>
      <c r="Q3612" s="60"/>
      <c r="R3612" s="53">
        <f>R3610-R3611</f>
        <v>22.166042177652717</v>
      </c>
      <c r="S3612" s="56"/>
      <c r="T3612" s="72"/>
      <c r="U3612" s="64">
        <f>U3610-U3611</f>
        <v>11.420336758336788</v>
      </c>
      <c r="V3612" s="44"/>
      <c r="W3612" s="72"/>
      <c r="X3612" s="64">
        <f>X3610-X3611</f>
        <v>-87.811977564686998</v>
      </c>
      <c r="Y3612" s="44"/>
      <c r="Z3612" s="72"/>
      <c r="AA3612" s="64">
        <f>AA3610-AA3611</f>
        <v>-405.48239160852421</v>
      </c>
      <c r="AB3612" s="44"/>
      <c r="AC3612" s="72"/>
      <c r="AD3612" s="64">
        <f>AD3610-AD3611</f>
        <v>-1151.7506036404332</v>
      </c>
      <c r="AE3612" s="44"/>
      <c r="AF3612" s="72"/>
      <c r="AG3612" s="64">
        <f>AG3610-AG3611</f>
        <v>-2592.3535581097822</v>
      </c>
      <c r="AH3612" s="44"/>
      <c r="AI3612" s="72"/>
      <c r="AJ3612" s="64">
        <f>AJ3610-AJ3611</f>
        <v>-4641.9153608758998</v>
      </c>
      <c r="AK3612" s="44"/>
      <c r="AL3612" s="72"/>
      <c r="AM3612" s="64">
        <f>AM3610-AM3611</f>
        <v>-6926.9498721521086</v>
      </c>
      <c r="AN3612" s="44"/>
      <c r="AO3612" s="72"/>
      <c r="AP3612" s="64">
        <f>AP3610-AP3611</f>
        <v>-9347.703259247357</v>
      </c>
      <c r="AQ3612" s="44"/>
      <c r="AR3612" s="72"/>
      <c r="AS3612" s="64">
        <f>AS3610-AS3611</f>
        <v>-12117.196460232366</v>
      </c>
      <c r="AT3612" s="44"/>
      <c r="AU3612" s="72"/>
    </row>
    <row r="3613" spans="15:47" ht="13" x14ac:dyDescent="0.3">
      <c r="O3613" s="6" t="s">
        <v>75</v>
      </c>
      <c r="P3613" s="6">
        <v>3</v>
      </c>
      <c r="Q3613" s="65"/>
      <c r="R3613" s="85">
        <f>(F_LP_h/F_P_h)^2*(R3610-('Valve Sizing'!$V$4*'Valve Sizing'!$G$7))</f>
        <v>39.800324280402428</v>
      </c>
      <c r="S3613" s="58"/>
      <c r="T3613" s="73"/>
      <c r="U3613" s="53">
        <f>(U$29/U$27)^2*(U3610-('Valve Sizing'!$V$4*'Valve Sizing'!$G$7))</f>
        <v>32.376490606884111</v>
      </c>
      <c r="V3613" s="41"/>
      <c r="W3613" s="73"/>
      <c r="X3613" s="53">
        <f>(X$29/X$27)^2*(X3610-('Valve Sizing'!$V$4*'Valve Sizing'!$G$7))</f>
        <v>-35.265641071428789</v>
      </c>
      <c r="Y3613" s="41"/>
      <c r="Z3613" s="73"/>
      <c r="AA3613" s="53">
        <f>(AA$29/AA$27)^2*(AA3610-('Valve Sizing'!$V$4*'Valve Sizing'!$G$7))</f>
        <v>-238.26012008147418</v>
      </c>
      <c r="AB3613" s="41"/>
      <c r="AC3613" s="73"/>
      <c r="AD3613" s="53">
        <f>(AD$29/AD$27)^2*(AD3610-('Valve Sizing'!$V$4*'Valve Sizing'!$G$7))</f>
        <v>-670.84772854750861</v>
      </c>
      <c r="AE3613" s="41"/>
      <c r="AF3613" s="73"/>
      <c r="AG3613" s="53">
        <f>(AG$29/AG$27)^2*(AG3610-('Valve Sizing'!$V$4*'Valve Sizing'!$G$7))</f>
        <v>-1372.2653201698274</v>
      </c>
      <c r="AH3613" s="41"/>
      <c r="AI3613" s="73"/>
      <c r="AJ3613" s="53">
        <f>(AJ$29/AJ$27)^2*(AJ3610-('Valve Sizing'!$V$4*'Valve Sizing'!$G$7))</f>
        <v>-2220.1495484015463</v>
      </c>
      <c r="AK3613" s="41"/>
      <c r="AL3613" s="73"/>
      <c r="AM3613" s="53">
        <f>(AM$29/AM$27)^2*(AM3610-('Valve Sizing'!$V$4*'Valve Sizing'!$G$7))</f>
        <v>-2747.8009363323076</v>
      </c>
      <c r="AN3613" s="41"/>
      <c r="AO3613" s="73"/>
      <c r="AP3613" s="53">
        <f>(AP$29/AP$27)^2*(AP3610-('Valve Sizing'!$V$4*'Valve Sizing'!$G$7))</f>
        <v>-3062.3670997505551</v>
      </c>
      <c r="AQ3613" s="41"/>
      <c r="AR3613" s="73"/>
      <c r="AS3613" s="53">
        <f>(AS$29/AS$27)^2*(AS3610-('Valve Sizing'!$V$4*'Valve Sizing'!$G$7))</f>
        <v>-3787.0120108446299</v>
      </c>
      <c r="AT3613" s="41"/>
      <c r="AU3613" s="73"/>
    </row>
    <row r="3614" spans="15:47" ht="13" x14ac:dyDescent="0.25">
      <c r="O3614" s="1" t="s">
        <v>69</v>
      </c>
      <c r="P3614" s="17">
        <v>7</v>
      </c>
      <c r="Q3614" s="65"/>
      <c r="R3614" s="53">
        <f>(R3608/(N_1*F_P_h))*SQRT('Valve Sizing'!$G$6/R3612)</f>
        <v>106.01449785348736</v>
      </c>
      <c r="S3614" s="58"/>
      <c r="T3614" s="73"/>
      <c r="U3614" s="64">
        <f>(U3608/(N_1*U$27))*SQRT('Valve Sizing'!$G$6/U3612)</f>
        <v>212.37021109166213</v>
      </c>
      <c r="V3614" s="41"/>
      <c r="W3614" s="73"/>
      <c r="X3614" s="64" t="e">
        <f>(X3608/(N_1*X$27))*SQRT('Valve Sizing'!$G$6/X3612)</f>
        <v>#NUM!</v>
      </c>
      <c r="Y3614" s="41"/>
      <c r="Z3614" s="73"/>
      <c r="AA3614" s="64" t="e">
        <f>(AA3608/(N_1*AA$27))*SQRT('Valve Sizing'!$G$6/AA3612)</f>
        <v>#NUM!</v>
      </c>
      <c r="AB3614" s="41"/>
      <c r="AC3614" s="73"/>
      <c r="AD3614" s="64" t="e">
        <f>(AD3608/(N_1*AD$27))*SQRT('Valve Sizing'!$G$6/AD3612)</f>
        <v>#NUM!</v>
      </c>
      <c r="AE3614" s="41"/>
      <c r="AF3614" s="73"/>
      <c r="AG3614" s="64" t="e">
        <f>(AG3608/(N_1*AG$27))*SQRT('Valve Sizing'!$G$6/AG3612)</f>
        <v>#NUM!</v>
      </c>
      <c r="AH3614" s="41"/>
      <c r="AI3614" s="73"/>
      <c r="AJ3614" s="64" t="e">
        <f>(AJ3608/(N_1*AJ$27))*SQRT('Valve Sizing'!$G$6/AJ3612)</f>
        <v>#NUM!</v>
      </c>
      <c r="AK3614" s="41"/>
      <c r="AL3614" s="73"/>
      <c r="AM3614" s="64" t="e">
        <f>(AM3608/(N_1*AM$27))*SQRT('Valve Sizing'!$G$6/AM3612)</f>
        <v>#NUM!</v>
      </c>
      <c r="AN3614" s="41"/>
      <c r="AO3614" s="73"/>
      <c r="AP3614" s="64" t="e">
        <f>(AP3608/(N_1*AP$27))*SQRT('Valve Sizing'!$G$6/AP3612)</f>
        <v>#NUM!</v>
      </c>
      <c r="AQ3614" s="41"/>
      <c r="AR3614" s="73"/>
      <c r="AS3614" s="64" t="e">
        <f>(AS3608/(N_1*AS$27))*SQRT('Valve Sizing'!$G$6/AS3612)</f>
        <v>#NUM!</v>
      </c>
      <c r="AT3614" s="41"/>
      <c r="AU3614" s="73"/>
    </row>
    <row r="3615" spans="15:47" ht="13" x14ac:dyDescent="0.3">
      <c r="O3615" s="1" t="s">
        <v>72</v>
      </c>
      <c r="P3615" s="17">
        <v>7</v>
      </c>
      <c r="Q3615" s="65"/>
      <c r="R3615" s="53">
        <f>(R3608/(N_1*F_P_h))*SQRT('Valve Sizing'!$G$6/R3613)</f>
        <v>79.116311727164856</v>
      </c>
      <c r="S3615" s="56"/>
      <c r="T3615" s="72"/>
      <c r="U3615" s="85">
        <f>(U3608/(N_1*U$27))*SQRT('Valve Sizing'!$G$6/U3613)</f>
        <v>126.12993378574484</v>
      </c>
      <c r="V3615" s="44"/>
      <c r="W3615" s="72"/>
      <c r="X3615" s="85" t="e">
        <f>(X3608/(N_1*X$27))*SQRT('Valve Sizing'!$G$6/X3613)</f>
        <v>#NUM!</v>
      </c>
      <c r="Y3615" s="44"/>
      <c r="Z3615" s="72"/>
      <c r="AA3615" s="85" t="e">
        <f>(AA3608/(N_1*AA$27))*SQRT('Valve Sizing'!$G$6/AA3613)</f>
        <v>#NUM!</v>
      </c>
      <c r="AB3615" s="44"/>
      <c r="AC3615" s="72"/>
      <c r="AD3615" s="85" t="e">
        <f>(AD3608/(N_1*AD$27))*SQRT('Valve Sizing'!$G$6/AD3613)</f>
        <v>#NUM!</v>
      </c>
      <c r="AE3615" s="44"/>
      <c r="AF3615" s="72"/>
      <c r="AG3615" s="85" t="e">
        <f>(AG3608/(N_1*AG$27))*SQRT('Valve Sizing'!$G$6/AG3613)</f>
        <v>#NUM!</v>
      </c>
      <c r="AH3615" s="44"/>
      <c r="AI3615" s="72"/>
      <c r="AJ3615" s="85" t="e">
        <f>(AJ3608/(N_1*AJ$27))*SQRT('Valve Sizing'!$G$6/AJ3613)</f>
        <v>#NUM!</v>
      </c>
      <c r="AK3615" s="44"/>
      <c r="AL3615" s="72"/>
      <c r="AM3615" s="85" t="e">
        <f>(AM3608/(N_1*AM$27))*SQRT('Valve Sizing'!$G$6/AM3613)</f>
        <v>#NUM!</v>
      </c>
      <c r="AN3615" s="44"/>
      <c r="AO3615" s="72"/>
      <c r="AP3615" s="85" t="e">
        <f>(AP3608/(N_1*AP$27))*SQRT('Valve Sizing'!$G$6/AP3613)</f>
        <v>#NUM!</v>
      </c>
      <c r="AQ3615" s="44"/>
      <c r="AR3615" s="72"/>
      <c r="AS3615" s="85" t="e">
        <f>(AS3608/(N_1*AS$27))*SQRT('Valve Sizing'!$G$6/AS3613)</f>
        <v>#NUM!</v>
      </c>
      <c r="AT3615" s="44"/>
      <c r="AU3615" s="72"/>
    </row>
    <row r="3616" spans="15:47" x14ac:dyDescent="0.25">
      <c r="O3616" s="1" t="s">
        <v>246</v>
      </c>
      <c r="P3616" s="18"/>
      <c r="Q3616" s="65"/>
      <c r="R3616" s="53">
        <f>IF(R3612&lt;R3613,R3614,R3615)</f>
        <v>106.01449785348736</v>
      </c>
      <c r="S3616" s="49"/>
      <c r="T3616" s="72"/>
      <c r="U3616" s="64">
        <f>IF(U3612&lt;U3613,U3614,U3615)</f>
        <v>212.37021109166213</v>
      </c>
      <c r="V3616" s="44"/>
      <c r="W3616" s="72"/>
      <c r="X3616" s="64" t="e">
        <f>IF(X3612&lt;X3613,X3614,X3615)</f>
        <v>#NUM!</v>
      </c>
      <c r="Y3616" s="44"/>
      <c r="Z3616" s="72"/>
      <c r="AA3616" s="64" t="e">
        <f>IF(AA3612&lt;AA3613,AA3614,AA3615)</f>
        <v>#NUM!</v>
      </c>
      <c r="AB3616" s="44"/>
      <c r="AC3616" s="72"/>
      <c r="AD3616" s="64" t="e">
        <f>IF(AD3612&lt;AD3613,AD3614,AD3615)</f>
        <v>#NUM!</v>
      </c>
      <c r="AE3616" s="44"/>
      <c r="AF3616" s="72"/>
      <c r="AG3616" s="64" t="e">
        <f>IF(AG3612&lt;AG3613,AG3614,AG3615)</f>
        <v>#NUM!</v>
      </c>
      <c r="AH3616" s="44"/>
      <c r="AI3616" s="72"/>
      <c r="AJ3616" s="64" t="e">
        <f>IF(AJ3612&lt;AJ3613,AJ3614,AJ3615)</f>
        <v>#NUM!</v>
      </c>
      <c r="AK3616" s="44"/>
      <c r="AL3616" s="72"/>
      <c r="AM3616" s="64" t="e">
        <f>IF(AM3612&lt;AM3613,AM3614,AM3615)</f>
        <v>#NUM!</v>
      </c>
      <c r="AN3616" s="44"/>
      <c r="AO3616" s="72"/>
      <c r="AP3616" s="64" t="e">
        <f>IF(AP3612&lt;AP3613,AP3614,AP3615)</f>
        <v>#NUM!</v>
      </c>
      <c r="AQ3616" s="44"/>
      <c r="AR3616" s="72"/>
      <c r="AS3616" s="64" t="e">
        <f>IF(AS3612&lt;AS3613,AS3614,AS3615)</f>
        <v>#NUM!</v>
      </c>
      <c r="AT3616" s="44"/>
      <c r="AU3616" s="72"/>
    </row>
    <row r="3617" spans="15:47" ht="13" x14ac:dyDescent="0.3">
      <c r="O3617" s="7" t="s">
        <v>264</v>
      </c>
      <c r="Q3617" s="61"/>
      <c r="R3617" s="53"/>
      <c r="S3617" s="69">
        <f>IFERROR(ABS(C_h-R3616),Q_max*10)</f>
        <v>101.01449785348736</v>
      </c>
      <c r="T3617" s="76">
        <f>R3608</f>
        <v>499.05201058248343</v>
      </c>
      <c r="U3617" s="61"/>
      <c r="V3617" s="69">
        <f>IFERROR(ABS(U$23-U3616),Q_max*10)</f>
        <v>200.37021109166213</v>
      </c>
      <c r="W3617" s="75">
        <f>U3608</f>
        <v>717.07962632335307</v>
      </c>
      <c r="X3617" s="61"/>
      <c r="Y3617" s="69">
        <f>IFERROR(ABS(X$23-X3616),Q_max*10)</f>
        <v>5500</v>
      </c>
      <c r="Z3617" s="75">
        <f>X3608</f>
        <v>1721.2671339477354</v>
      </c>
      <c r="AA3617" s="61"/>
      <c r="AB3617" s="69">
        <f>IFERROR(ABS(AA$23-AA3616),Q_max*10)</f>
        <v>5500</v>
      </c>
      <c r="AC3617" s="75">
        <f>AA3608</f>
        <v>3286.529782755716</v>
      </c>
      <c r="AD3617" s="61"/>
      <c r="AE3617" s="69">
        <f>IFERROR(ABS(AD$23-AD3616),Q_max*10)</f>
        <v>5500</v>
      </c>
      <c r="AF3617" s="75">
        <f>AD3608</f>
        <v>5405.1314641577119</v>
      </c>
      <c r="AG3617" s="61"/>
      <c r="AH3617" s="69">
        <f>IFERROR(ABS(AG$23-AG3616),Q_max*10)</f>
        <v>5500</v>
      </c>
      <c r="AI3617" s="75">
        <f>AG3608</f>
        <v>8047.5042122610203</v>
      </c>
      <c r="AJ3617" s="61"/>
      <c r="AK3617" s="69">
        <f>IFERROR(ABS(AJ$23-AJ3616),Q_max*10)</f>
        <v>5500</v>
      </c>
      <c r="AL3617" s="75">
        <f>AJ3608</f>
        <v>10739.425567953474</v>
      </c>
      <c r="AM3617" s="61"/>
      <c r="AN3617" s="69">
        <f>IFERROR(ABS(AM$23-AM3616),Q_max*10)</f>
        <v>5500</v>
      </c>
      <c r="AO3617" s="75">
        <f>AM3608</f>
        <v>13104.140112779369</v>
      </c>
      <c r="AP3617" s="61"/>
      <c r="AQ3617" s="69">
        <f>IFERROR(ABS(AP$23-AP3616),Q_max*10)</f>
        <v>5500</v>
      </c>
      <c r="AR3617" s="75">
        <f>AP3608</f>
        <v>15213.499857755562</v>
      </c>
      <c r="AS3617" s="61"/>
      <c r="AT3617" s="69">
        <f>IFERROR(ABS(AS$23-AS3616),Q_max*10)</f>
        <v>5500</v>
      </c>
      <c r="AU3617" s="75">
        <f>AS3608</f>
        <v>17314.38195998441</v>
      </c>
    </row>
    <row r="3618" spans="15:47" ht="14.5" x14ac:dyDescent="0.35">
      <c r="O3618" s="8"/>
      <c r="P3618" s="6"/>
      <c r="Q3618" s="60"/>
      <c r="R3618" s="67"/>
      <c r="S3618" s="56"/>
      <c r="T3618" s="72"/>
      <c r="V3618" s="11"/>
      <c r="W3618" s="38"/>
      <c r="Y3618" s="11"/>
      <c r="Z3618" s="38"/>
      <c r="AB3618" s="11"/>
      <c r="AC3618" s="38"/>
      <c r="AE3618" s="11"/>
      <c r="AF3618" s="38"/>
      <c r="AH3618" s="11"/>
      <c r="AI3618" s="38"/>
      <c r="AK3618" s="11"/>
      <c r="AL3618" s="38"/>
      <c r="AN3618" s="11"/>
      <c r="AO3618" s="38"/>
      <c r="AQ3618" s="11"/>
      <c r="AR3618" s="38"/>
      <c r="AT3618" s="11"/>
      <c r="AU3618" s="38"/>
    </row>
    <row r="3619" spans="15:47" ht="14" x14ac:dyDescent="0.3">
      <c r="O3619" s="8" t="s">
        <v>235</v>
      </c>
      <c r="P3619" s="6"/>
      <c r="Q3619" s="60"/>
      <c r="R3619" s="53">
        <f>R3608*1.02</f>
        <v>509.03305079413309</v>
      </c>
      <c r="S3619" s="58" t="s">
        <v>238</v>
      </c>
      <c r="T3619" s="73" t="s">
        <v>241</v>
      </c>
      <c r="U3619" s="84">
        <f>U3608*1.01</f>
        <v>724.25042258658664</v>
      </c>
      <c r="V3619" s="58" t="s">
        <v>238</v>
      </c>
      <c r="W3619" s="73" t="s">
        <v>241</v>
      </c>
      <c r="X3619" s="84">
        <f>X3608*1.01</f>
        <v>1738.4798052872127</v>
      </c>
      <c r="Y3619" s="58" t="s">
        <v>238</v>
      </c>
      <c r="Z3619" s="73" t="s">
        <v>241</v>
      </c>
      <c r="AA3619" s="84">
        <f>AA3608*1.01</f>
        <v>3319.3950805832733</v>
      </c>
      <c r="AB3619" s="58" t="s">
        <v>238</v>
      </c>
      <c r="AC3619" s="73" t="s">
        <v>241</v>
      </c>
      <c r="AD3619" s="84">
        <f>AD3608*1.01</f>
        <v>5459.1827787992888</v>
      </c>
      <c r="AE3619" s="58" t="s">
        <v>238</v>
      </c>
      <c r="AF3619" s="73" t="s">
        <v>241</v>
      </c>
      <c r="AG3619" s="84">
        <f>AG3608*1.01</f>
        <v>8127.9792543836302</v>
      </c>
      <c r="AH3619" s="58" t="s">
        <v>238</v>
      </c>
      <c r="AI3619" s="73" t="s">
        <v>241</v>
      </c>
      <c r="AJ3619" s="84">
        <f>AJ3608*1.01</f>
        <v>10846.81982363301</v>
      </c>
      <c r="AK3619" s="58" t="s">
        <v>238</v>
      </c>
      <c r="AL3619" s="73" t="s">
        <v>241</v>
      </c>
      <c r="AM3619" s="84">
        <f>AM3608*1.01</f>
        <v>13235.181513907162</v>
      </c>
      <c r="AN3619" s="58" t="s">
        <v>238</v>
      </c>
      <c r="AO3619" s="73" t="s">
        <v>241</v>
      </c>
      <c r="AP3619" s="84">
        <f>AP3608*1.01</f>
        <v>15365.634856333118</v>
      </c>
      <c r="AQ3619" s="58" t="s">
        <v>238</v>
      </c>
      <c r="AR3619" s="73" t="s">
        <v>241</v>
      </c>
      <c r="AS3619" s="84">
        <f>AS3608*1.01</f>
        <v>17487.525779584255</v>
      </c>
      <c r="AT3619" s="58" t="s">
        <v>238</v>
      </c>
      <c r="AU3619" s="73" t="s">
        <v>241</v>
      </c>
    </row>
    <row r="3620" spans="15:47" ht="13" x14ac:dyDescent="0.25">
      <c r="O3620" s="6"/>
      <c r="P3620" s="6"/>
      <c r="Q3620" s="60"/>
      <c r="R3620" s="70"/>
      <c r="S3620" s="63" t="s">
        <v>250</v>
      </c>
      <c r="T3620" s="71" t="s">
        <v>242</v>
      </c>
      <c r="U3620" s="61"/>
      <c r="V3620" s="63" t="s">
        <v>250</v>
      </c>
      <c r="W3620" s="71" t="s">
        <v>242</v>
      </c>
      <c r="X3620" s="61"/>
      <c r="Y3620" s="63" t="s">
        <v>250</v>
      </c>
      <c r="Z3620" s="71" t="s">
        <v>242</v>
      </c>
      <c r="AA3620" s="61"/>
      <c r="AB3620" s="63" t="s">
        <v>250</v>
      </c>
      <c r="AC3620" s="71" t="s">
        <v>242</v>
      </c>
      <c r="AD3620" s="61"/>
      <c r="AE3620" s="63" t="s">
        <v>250</v>
      </c>
      <c r="AF3620" s="71" t="s">
        <v>242</v>
      </c>
      <c r="AG3620" s="61"/>
      <c r="AH3620" s="63" t="s">
        <v>250</v>
      </c>
      <c r="AI3620" s="71" t="s">
        <v>242</v>
      </c>
      <c r="AJ3620" s="61"/>
      <c r="AK3620" s="63" t="s">
        <v>250</v>
      </c>
      <c r="AL3620" s="71" t="s">
        <v>242</v>
      </c>
      <c r="AM3620" s="61"/>
      <c r="AN3620" s="63" t="s">
        <v>250</v>
      </c>
      <c r="AO3620" s="71" t="s">
        <v>242</v>
      </c>
      <c r="AP3620" s="61"/>
      <c r="AQ3620" s="63" t="s">
        <v>250</v>
      </c>
      <c r="AR3620" s="71" t="s">
        <v>242</v>
      </c>
      <c r="AS3620" s="61"/>
      <c r="AT3620" s="63" t="s">
        <v>250</v>
      </c>
      <c r="AU3620" s="71" t="s">
        <v>242</v>
      </c>
    </row>
    <row r="3621" spans="15:47" ht="13" x14ac:dyDescent="0.3">
      <c r="O3621" s="6" t="s">
        <v>231</v>
      </c>
      <c r="P3621" s="6"/>
      <c r="Q3621" s="60"/>
      <c r="R3621" s="85">
        <f>P_1_minQ-(R3619^2*R_up)+dpup_minQ</f>
        <v>48.165226382952298</v>
      </c>
      <c r="S3621" s="56"/>
      <c r="T3621" s="72"/>
      <c r="U3621" s="53">
        <f>P_1_minQ-(U3619^2*R_up)+dpup_minQ</f>
        <v>39.20122679443265</v>
      </c>
      <c r="V3621" s="44"/>
      <c r="W3621" s="72"/>
      <c r="X3621" s="53">
        <f>P_1_minQ-(X3619^2*R_up)+dpup_minQ</f>
        <v>-45.154509739664483</v>
      </c>
      <c r="Y3621" s="44"/>
      <c r="Z3621" s="72"/>
      <c r="AA3621" s="53">
        <f>P_1_minQ-(AA3619^2*R_up)+dpup_minQ</f>
        <v>-315.20083421142976</v>
      </c>
      <c r="AB3621" s="44"/>
      <c r="AC3621" s="72"/>
      <c r="AD3621" s="53">
        <f>P_1_minQ-(AD3619^2*R_up)+dpup_minQ</f>
        <v>-949.59100345622176</v>
      </c>
      <c r="AE3621" s="44"/>
      <c r="AF3621" s="72"/>
      <c r="AG3621" s="53">
        <f>P_1_minQ-(AG3619^2*R_up)+dpup_minQ</f>
        <v>-2174.223565001374</v>
      </c>
      <c r="AH3621" s="44"/>
      <c r="AI3621" s="72"/>
      <c r="AJ3621" s="53">
        <f>P_1_minQ-(AJ3619^2*R_up)+dpup_minQ</f>
        <v>-3916.5218941694716</v>
      </c>
      <c r="AK3621" s="44"/>
      <c r="AL3621" s="72"/>
      <c r="AM3621" s="53">
        <f>P_1_minQ-(AM3619^2*R_up)+dpup_minQ</f>
        <v>-5858.9916482968565</v>
      </c>
      <c r="AN3621" s="44"/>
      <c r="AO3621" s="72"/>
      <c r="AP3621" s="53">
        <f>P_1_minQ-(AP3619^2*R_up)+dpup_minQ</f>
        <v>-7916.8337567767412</v>
      </c>
      <c r="AQ3621" s="44"/>
      <c r="AR3621" s="72"/>
      <c r="AS3621" s="53">
        <f>P_1_minQ-(AS3619^2*R_up)+dpup_minQ</f>
        <v>-10271.13376871408</v>
      </c>
      <c r="AT3621" s="44"/>
      <c r="AU3621" s="72"/>
    </row>
    <row r="3622" spans="15:47" ht="13" x14ac:dyDescent="0.3">
      <c r="O3622" s="6" t="s">
        <v>233</v>
      </c>
      <c r="P3622" s="6"/>
      <c r="Q3622" s="60"/>
      <c r="R3622" s="85">
        <f>P_2_minQ+(R3619^2*R_dn)-dpdn_minQ</f>
        <v>26.406954723409541</v>
      </c>
      <c r="S3622" s="66"/>
      <c r="T3622" s="74"/>
      <c r="U3622" s="53">
        <f>P_2_minQ+(U3619^2*R_dn)-dpdn_minQ</f>
        <v>28.199754641113472</v>
      </c>
      <c r="V3622" s="45"/>
      <c r="W3622" s="74"/>
      <c r="X3622" s="53">
        <f>P_2_minQ+(X3619^2*R_dn)-dpdn_minQ</f>
        <v>45.070901947932896</v>
      </c>
      <c r="Y3622" s="45"/>
      <c r="Z3622" s="74"/>
      <c r="AA3622" s="53">
        <f>P_2_minQ+(AA3619^2*R_dn)-dpdn_minQ</f>
        <v>99.080166842285948</v>
      </c>
      <c r="AB3622" s="45"/>
      <c r="AC3622" s="74"/>
      <c r="AD3622" s="53">
        <f>P_2_minQ+(AD3619^2*R_dn)-dpdn_minQ</f>
        <v>225.95820069124434</v>
      </c>
      <c r="AE3622" s="45"/>
      <c r="AF3622" s="74"/>
      <c r="AG3622" s="53">
        <f>P_2_minQ+(AG3619^2*R_dn)-dpdn_minQ</f>
        <v>470.88471300027464</v>
      </c>
      <c r="AH3622" s="45"/>
      <c r="AI3622" s="74"/>
      <c r="AJ3622" s="53">
        <f>P_2_minQ+(AJ3619^2*R_dn)-dpdn_minQ</f>
        <v>819.34437883389421</v>
      </c>
      <c r="AK3622" s="45"/>
      <c r="AL3622" s="74"/>
      <c r="AM3622" s="53">
        <f>P_2_minQ+(AM3619^2*R_dn)-dpdn_minQ</f>
        <v>1207.8383296593711</v>
      </c>
      <c r="AN3622" s="45"/>
      <c r="AO3622" s="74"/>
      <c r="AP3622" s="53">
        <f>P_2_minQ+(AP3619^2*R_dn)-dpdn_minQ</f>
        <v>1619.4067513553482</v>
      </c>
      <c r="AQ3622" s="45"/>
      <c r="AR3622" s="74"/>
      <c r="AS3622" s="53">
        <f>P_2_minQ+(AS3619^2*R_dn)-dpdn_minQ</f>
        <v>2090.266753742816</v>
      </c>
      <c r="AT3622" s="45"/>
      <c r="AU3622" s="74"/>
    </row>
    <row r="3623" spans="15:47" x14ac:dyDescent="0.25">
      <c r="O3623" s="6" t="s">
        <v>243</v>
      </c>
      <c r="Q3623" s="60"/>
      <c r="R3623" s="53">
        <f>R3621-R3622</f>
        <v>21.758271659542757</v>
      </c>
      <c r="S3623" s="56"/>
      <c r="T3623" s="72"/>
      <c r="U3623" s="64">
        <f>U3621-U3622</f>
        <v>11.001472153319177</v>
      </c>
      <c r="V3623" s="44"/>
      <c r="W3623" s="72"/>
      <c r="X3623" s="64">
        <f>X3621-X3622</f>
        <v>-90.225411687597386</v>
      </c>
      <c r="Y3623" s="44"/>
      <c r="Z3623" s="72"/>
      <c r="AA3623" s="64">
        <f>AA3621-AA3622</f>
        <v>-414.28100105371573</v>
      </c>
      <c r="AB3623" s="44"/>
      <c r="AC3623" s="72"/>
      <c r="AD3623" s="64">
        <f>AD3621-AD3622</f>
        <v>-1175.5492041474661</v>
      </c>
      <c r="AE3623" s="44"/>
      <c r="AF3623" s="72"/>
      <c r="AG3623" s="64">
        <f>AG3621-AG3622</f>
        <v>-2645.1082780016486</v>
      </c>
      <c r="AH3623" s="44"/>
      <c r="AI3623" s="72"/>
      <c r="AJ3623" s="64">
        <f>AJ3621-AJ3622</f>
        <v>-4735.8662730033657</v>
      </c>
      <c r="AK3623" s="44"/>
      <c r="AL3623" s="72"/>
      <c r="AM3623" s="64">
        <f>AM3621-AM3622</f>
        <v>-7066.8299779562276</v>
      </c>
      <c r="AN3623" s="44"/>
      <c r="AO3623" s="72"/>
      <c r="AP3623" s="64">
        <f>AP3621-AP3622</f>
        <v>-9536.2405081320903</v>
      </c>
      <c r="AQ3623" s="44"/>
      <c r="AR3623" s="72"/>
      <c r="AS3623" s="64">
        <f>AS3621-AS3622</f>
        <v>-12361.400522456897</v>
      </c>
      <c r="AT3623" s="44"/>
      <c r="AU3623" s="72"/>
    </row>
    <row r="3624" spans="15:47" ht="13" x14ac:dyDescent="0.3">
      <c r="O3624" s="6" t="s">
        <v>75</v>
      </c>
      <c r="P3624" s="6">
        <v>3</v>
      </c>
      <c r="Q3624" s="65"/>
      <c r="R3624" s="85">
        <f>(F_LP_h/F_P_h)^2*(R3621-('Valve Sizing'!$V$4*'Valve Sizing'!$G$7))</f>
        <v>39.51894478636531</v>
      </c>
      <c r="S3624" s="58"/>
      <c r="T3624" s="73"/>
      <c r="U3624" s="53">
        <f>(U$29/U$27)^2*(U3621-('Valve Sizing'!$V$4*'Valve Sizing'!$G$7))</f>
        <v>32.087534486580587</v>
      </c>
      <c r="V3624" s="41"/>
      <c r="W3624" s="73"/>
      <c r="X3624" s="53">
        <f>(X$29/X$27)^2*(X3621-('Valve Sizing'!$V$4*'Valve Sizing'!$G$7))</f>
        <v>-36.893006758242763</v>
      </c>
      <c r="Y3624" s="41"/>
      <c r="Z3624" s="73"/>
      <c r="AA3624" s="53">
        <f>(AA$29/AA$27)^2*(AA3621-('Valve Sizing'!$V$4*'Valve Sizing'!$G$7))</f>
        <v>-243.92640419065521</v>
      </c>
      <c r="AB3624" s="41"/>
      <c r="AC3624" s="73"/>
      <c r="AD3624" s="53">
        <f>(AD$29/AD$27)^2*(AD3621-('Valve Sizing'!$V$4*'Valve Sizing'!$G$7))</f>
        <v>-685.15043770923944</v>
      </c>
      <c r="AE3624" s="41"/>
      <c r="AF3624" s="73"/>
      <c r="AG3624" s="53">
        <f>(AG$29/AG$27)^2*(AG3621-('Valve Sizing'!$V$4*'Valve Sizing'!$G$7))</f>
        <v>-1400.5789520387568</v>
      </c>
      <c r="AH3624" s="41"/>
      <c r="AI3624" s="73"/>
      <c r="AJ3624" s="53">
        <f>(AJ$29/AJ$27)^2*(AJ3621-('Valve Sizing'!$V$4*'Valve Sizing'!$G$7))</f>
        <v>-2265.431095773125</v>
      </c>
      <c r="AK3624" s="41"/>
      <c r="AL3624" s="73"/>
      <c r="AM3624" s="53">
        <f>(AM$29/AM$27)^2*(AM3621-('Valve Sizing'!$V$4*'Valve Sizing'!$G$7))</f>
        <v>-2803.5748820565082</v>
      </c>
      <c r="AN3624" s="41"/>
      <c r="AO3624" s="73"/>
      <c r="AP3624" s="53">
        <f>(AP$29/AP$27)^2*(AP3621-('Valve Sizing'!$V$4*'Valve Sizing'!$G$7))</f>
        <v>-3124.3686467224411</v>
      </c>
      <c r="AQ3624" s="41"/>
      <c r="AR3624" s="73"/>
      <c r="AS3624" s="53">
        <f>(AS$29/AS$27)^2*(AS3621-('Valve Sizing'!$V$4*'Valve Sizing'!$G$7))</f>
        <v>-3863.5579357517245</v>
      </c>
      <c r="AT3624" s="41"/>
      <c r="AU3624" s="73"/>
    </row>
    <row r="3625" spans="15:47" ht="13" x14ac:dyDescent="0.25">
      <c r="O3625" s="1" t="s">
        <v>69</v>
      </c>
      <c r="P3625" s="17">
        <v>7</v>
      </c>
      <c r="Q3625" s="65"/>
      <c r="R3625" s="53">
        <f>(R3619/(N_1*F_P_h))*SQRT('Valve Sizing'!$G$6/R3623)</f>
        <v>109.14335827519344</v>
      </c>
      <c r="S3625" s="58"/>
      <c r="T3625" s="73"/>
      <c r="U3625" s="64">
        <f>(U3619/(N_1*U$27))*SQRT('Valve Sizing'!$G$6/U3623)</f>
        <v>218.53903739790218</v>
      </c>
      <c r="V3625" s="41"/>
      <c r="W3625" s="73"/>
      <c r="X3625" s="64" t="e">
        <f>(X3619/(N_1*X$27))*SQRT('Valve Sizing'!$G$6/X3623)</f>
        <v>#NUM!</v>
      </c>
      <c r="Y3625" s="41"/>
      <c r="Z3625" s="73"/>
      <c r="AA3625" s="64" t="e">
        <f>(AA3619/(N_1*AA$27))*SQRT('Valve Sizing'!$G$6/AA3623)</f>
        <v>#NUM!</v>
      </c>
      <c r="AB3625" s="41"/>
      <c r="AC3625" s="73"/>
      <c r="AD3625" s="64" t="e">
        <f>(AD3619/(N_1*AD$27))*SQRT('Valve Sizing'!$G$6/AD3623)</f>
        <v>#NUM!</v>
      </c>
      <c r="AE3625" s="41"/>
      <c r="AF3625" s="73"/>
      <c r="AG3625" s="64" t="e">
        <f>(AG3619/(N_1*AG$27))*SQRT('Valve Sizing'!$G$6/AG3623)</f>
        <v>#NUM!</v>
      </c>
      <c r="AH3625" s="41"/>
      <c r="AI3625" s="73"/>
      <c r="AJ3625" s="64" t="e">
        <f>(AJ3619/(N_1*AJ$27))*SQRT('Valve Sizing'!$G$6/AJ3623)</f>
        <v>#NUM!</v>
      </c>
      <c r="AK3625" s="41"/>
      <c r="AL3625" s="73"/>
      <c r="AM3625" s="64" t="e">
        <f>(AM3619/(N_1*AM$27))*SQRT('Valve Sizing'!$G$6/AM3623)</f>
        <v>#NUM!</v>
      </c>
      <c r="AN3625" s="41"/>
      <c r="AO3625" s="73"/>
      <c r="AP3625" s="64" t="e">
        <f>(AP3619/(N_1*AP$27))*SQRT('Valve Sizing'!$G$6/AP3623)</f>
        <v>#NUM!</v>
      </c>
      <c r="AQ3625" s="41"/>
      <c r="AR3625" s="73"/>
      <c r="AS3625" s="64" t="e">
        <f>(AS3619/(N_1*AS$27))*SQRT('Valve Sizing'!$G$6/AS3623)</f>
        <v>#NUM!</v>
      </c>
      <c r="AT3625" s="41"/>
      <c r="AU3625" s="73"/>
    </row>
    <row r="3626" spans="15:47" ht="13" x14ac:dyDescent="0.3">
      <c r="O3626" s="1" t="s">
        <v>72</v>
      </c>
      <c r="P3626" s="17">
        <v>7</v>
      </c>
      <c r="Q3626" s="65"/>
      <c r="R3626" s="53">
        <f>(R3619/(N_1*F_P_h))*SQRT('Valve Sizing'!$G$6/R3624)</f>
        <v>80.985420241449745</v>
      </c>
      <c r="S3626" s="56"/>
      <c r="T3626" s="72"/>
      <c r="U3626" s="85">
        <f>(U3619/(N_1*U$27))*SQRT('Valve Sizing'!$G$6/U3624)</f>
        <v>127.9635422193691</v>
      </c>
      <c r="V3626" s="44"/>
      <c r="W3626" s="72"/>
      <c r="X3626" s="85" t="e">
        <f>(X3619/(N_1*X$27))*SQRT('Valve Sizing'!$G$6/X3624)</f>
        <v>#NUM!</v>
      </c>
      <c r="Y3626" s="44"/>
      <c r="Z3626" s="72"/>
      <c r="AA3626" s="85" t="e">
        <f>(AA3619/(N_1*AA$27))*SQRT('Valve Sizing'!$G$6/AA3624)</f>
        <v>#NUM!</v>
      </c>
      <c r="AB3626" s="44"/>
      <c r="AC3626" s="72"/>
      <c r="AD3626" s="85" t="e">
        <f>(AD3619/(N_1*AD$27))*SQRT('Valve Sizing'!$G$6/AD3624)</f>
        <v>#NUM!</v>
      </c>
      <c r="AE3626" s="44"/>
      <c r="AF3626" s="72"/>
      <c r="AG3626" s="85" t="e">
        <f>(AG3619/(N_1*AG$27))*SQRT('Valve Sizing'!$G$6/AG3624)</f>
        <v>#NUM!</v>
      </c>
      <c r="AH3626" s="44"/>
      <c r="AI3626" s="72"/>
      <c r="AJ3626" s="85" t="e">
        <f>(AJ3619/(N_1*AJ$27))*SQRT('Valve Sizing'!$G$6/AJ3624)</f>
        <v>#NUM!</v>
      </c>
      <c r="AK3626" s="44"/>
      <c r="AL3626" s="72"/>
      <c r="AM3626" s="85" t="e">
        <f>(AM3619/(N_1*AM$27))*SQRT('Valve Sizing'!$G$6/AM3624)</f>
        <v>#NUM!</v>
      </c>
      <c r="AN3626" s="44"/>
      <c r="AO3626" s="72"/>
      <c r="AP3626" s="85" t="e">
        <f>(AP3619/(N_1*AP$27))*SQRT('Valve Sizing'!$G$6/AP3624)</f>
        <v>#NUM!</v>
      </c>
      <c r="AQ3626" s="44"/>
      <c r="AR3626" s="72"/>
      <c r="AS3626" s="85" t="e">
        <f>(AS3619/(N_1*AS$27))*SQRT('Valve Sizing'!$G$6/AS3624)</f>
        <v>#NUM!</v>
      </c>
      <c r="AT3626" s="44"/>
      <c r="AU3626" s="72"/>
    </row>
    <row r="3627" spans="15:47" x14ac:dyDescent="0.25">
      <c r="O3627" s="1" t="s">
        <v>246</v>
      </c>
      <c r="P3627" s="18"/>
      <c r="Q3627" s="65"/>
      <c r="R3627" s="53">
        <f>IF(R3623&lt;R3624,R3625,R3626)</f>
        <v>109.14335827519344</v>
      </c>
      <c r="S3627" s="49"/>
      <c r="T3627" s="72"/>
      <c r="U3627" s="64">
        <f>IF(U3623&lt;U3624,U3625,U3626)</f>
        <v>218.53903739790218</v>
      </c>
      <c r="V3627" s="44"/>
      <c r="W3627" s="72"/>
      <c r="X3627" s="64" t="e">
        <f>IF(X3623&lt;X3624,X3625,X3626)</f>
        <v>#NUM!</v>
      </c>
      <c r="Y3627" s="44"/>
      <c r="Z3627" s="72"/>
      <c r="AA3627" s="64" t="e">
        <f>IF(AA3623&lt;AA3624,AA3625,AA3626)</f>
        <v>#NUM!</v>
      </c>
      <c r="AB3627" s="44"/>
      <c r="AC3627" s="72"/>
      <c r="AD3627" s="64" t="e">
        <f>IF(AD3623&lt;AD3624,AD3625,AD3626)</f>
        <v>#NUM!</v>
      </c>
      <c r="AE3627" s="44"/>
      <c r="AF3627" s="72"/>
      <c r="AG3627" s="64" t="e">
        <f>IF(AG3623&lt;AG3624,AG3625,AG3626)</f>
        <v>#NUM!</v>
      </c>
      <c r="AH3627" s="44"/>
      <c r="AI3627" s="72"/>
      <c r="AJ3627" s="64" t="e">
        <f>IF(AJ3623&lt;AJ3624,AJ3625,AJ3626)</f>
        <v>#NUM!</v>
      </c>
      <c r="AK3627" s="44"/>
      <c r="AL3627" s="72"/>
      <c r="AM3627" s="64" t="e">
        <f>IF(AM3623&lt;AM3624,AM3625,AM3626)</f>
        <v>#NUM!</v>
      </c>
      <c r="AN3627" s="44"/>
      <c r="AO3627" s="72"/>
      <c r="AP3627" s="64" t="e">
        <f>IF(AP3623&lt;AP3624,AP3625,AP3626)</f>
        <v>#NUM!</v>
      </c>
      <c r="AQ3627" s="44"/>
      <c r="AR3627" s="72"/>
      <c r="AS3627" s="64" t="e">
        <f>IF(AS3623&lt;AS3624,AS3625,AS3626)</f>
        <v>#NUM!</v>
      </c>
      <c r="AT3627" s="44"/>
      <c r="AU3627" s="72"/>
    </row>
    <row r="3628" spans="15:47" ht="13" x14ac:dyDescent="0.3">
      <c r="O3628" s="7" t="s">
        <v>264</v>
      </c>
      <c r="Q3628" s="61"/>
      <c r="R3628" s="53"/>
      <c r="S3628" s="69">
        <f>IFERROR(ABS(C_h-R3627),Q_max*10)</f>
        <v>104.14335827519344</v>
      </c>
      <c r="T3628" s="76">
        <f>R3619</f>
        <v>509.03305079413309</v>
      </c>
      <c r="U3628" s="61"/>
      <c r="V3628" s="69">
        <f>IFERROR(ABS(U$23-U3627),Q_max*10)</f>
        <v>206.53903739790218</v>
      </c>
      <c r="W3628" s="75">
        <f>U3619</f>
        <v>724.25042258658664</v>
      </c>
      <c r="X3628" s="61"/>
      <c r="Y3628" s="69">
        <f>IFERROR(ABS(X$23-X3627),Q_max*10)</f>
        <v>5500</v>
      </c>
      <c r="Z3628" s="75">
        <f>X3619</f>
        <v>1738.4798052872127</v>
      </c>
      <c r="AA3628" s="61"/>
      <c r="AB3628" s="69">
        <f>IFERROR(ABS(AA$23-AA3627),Q_max*10)</f>
        <v>5500</v>
      </c>
      <c r="AC3628" s="75">
        <f>AA3619</f>
        <v>3319.3950805832733</v>
      </c>
      <c r="AD3628" s="61"/>
      <c r="AE3628" s="69">
        <f>IFERROR(ABS(AD$23-AD3627),Q_max*10)</f>
        <v>5500</v>
      </c>
      <c r="AF3628" s="75">
        <f>AD3619</f>
        <v>5459.1827787992888</v>
      </c>
      <c r="AG3628" s="61"/>
      <c r="AH3628" s="69">
        <f>IFERROR(ABS(AG$23-AG3627),Q_max*10)</f>
        <v>5500</v>
      </c>
      <c r="AI3628" s="75">
        <f>AG3619</f>
        <v>8127.9792543836302</v>
      </c>
      <c r="AJ3628" s="61"/>
      <c r="AK3628" s="69">
        <f>IFERROR(ABS(AJ$23-AJ3627),Q_max*10)</f>
        <v>5500</v>
      </c>
      <c r="AL3628" s="75">
        <f>AJ3619</f>
        <v>10846.81982363301</v>
      </c>
      <c r="AM3628" s="61"/>
      <c r="AN3628" s="69">
        <f>IFERROR(ABS(AM$23-AM3627),Q_max*10)</f>
        <v>5500</v>
      </c>
      <c r="AO3628" s="75">
        <f>AM3619</f>
        <v>13235.181513907162</v>
      </c>
      <c r="AP3628" s="61"/>
      <c r="AQ3628" s="69">
        <f>IFERROR(ABS(AP$23-AP3627),Q_max*10)</f>
        <v>5500</v>
      </c>
      <c r="AR3628" s="75">
        <f>AP3619</f>
        <v>15365.634856333118</v>
      </c>
      <c r="AS3628" s="61"/>
      <c r="AT3628" s="69">
        <f>IFERROR(ABS(AS$23-AS3627),Q_max*10)</f>
        <v>5500</v>
      </c>
      <c r="AU3628" s="75">
        <f>AS3619</f>
        <v>17487.525779584255</v>
      </c>
    </row>
    <row r="3629" spans="15:47" ht="14.5" x14ac:dyDescent="0.35">
      <c r="O3629" s="6"/>
      <c r="P3629" s="6"/>
      <c r="Q3629" s="60"/>
      <c r="R3629" s="67"/>
      <c r="S3629" s="56"/>
      <c r="T3629" s="72"/>
      <c r="V3629" s="11"/>
      <c r="W3629" s="38"/>
      <c r="Y3629" s="11"/>
      <c r="Z3629" s="38"/>
      <c r="AB3629" s="11"/>
      <c r="AC3629" s="38"/>
      <c r="AE3629" s="11"/>
      <c r="AF3629" s="38"/>
      <c r="AH3629" s="11"/>
      <c r="AI3629" s="38"/>
      <c r="AK3629" s="11"/>
      <c r="AL3629" s="38"/>
      <c r="AN3629" s="11"/>
      <c r="AO3629" s="38"/>
      <c r="AQ3629" s="11"/>
      <c r="AR3629" s="38"/>
      <c r="AT3629" s="11"/>
      <c r="AU3629" s="38"/>
    </row>
    <row r="3630" spans="15:47" ht="14" x14ac:dyDescent="0.3">
      <c r="O3630" s="8" t="s">
        <v>235</v>
      </c>
      <c r="P3630" s="6"/>
      <c r="Q3630" s="60"/>
      <c r="R3630" s="53">
        <f>R3619*1.02</f>
        <v>519.21371181001575</v>
      </c>
      <c r="S3630" s="58" t="s">
        <v>238</v>
      </c>
      <c r="T3630" s="73" t="s">
        <v>241</v>
      </c>
      <c r="U3630" s="84">
        <f>U3619*1.01</f>
        <v>731.49292681245254</v>
      </c>
      <c r="V3630" s="58" t="s">
        <v>238</v>
      </c>
      <c r="W3630" s="73" t="s">
        <v>241</v>
      </c>
      <c r="X3630" s="84">
        <f>X3619*1.01</f>
        <v>1755.8646033400848</v>
      </c>
      <c r="Y3630" s="58" t="s">
        <v>238</v>
      </c>
      <c r="Z3630" s="73" t="s">
        <v>241</v>
      </c>
      <c r="AA3630" s="84">
        <f>AA3619*1.01</f>
        <v>3352.5890313891059</v>
      </c>
      <c r="AB3630" s="58" t="s">
        <v>238</v>
      </c>
      <c r="AC3630" s="73" t="s">
        <v>241</v>
      </c>
      <c r="AD3630" s="84">
        <f>AD3619*1.01</f>
        <v>5513.7746065872816</v>
      </c>
      <c r="AE3630" s="58" t="s">
        <v>238</v>
      </c>
      <c r="AF3630" s="73" t="s">
        <v>241</v>
      </c>
      <c r="AG3630" s="84">
        <f>AG3619*1.01</f>
        <v>8209.2590469274674</v>
      </c>
      <c r="AH3630" s="58" t="s">
        <v>238</v>
      </c>
      <c r="AI3630" s="73" t="s">
        <v>241</v>
      </c>
      <c r="AJ3630" s="84">
        <f>AJ3619*1.01</f>
        <v>10955.288021869341</v>
      </c>
      <c r="AK3630" s="58" t="s">
        <v>238</v>
      </c>
      <c r="AL3630" s="73" t="s">
        <v>241</v>
      </c>
      <c r="AM3630" s="84">
        <f>AM3619*1.01</f>
        <v>13367.533329046235</v>
      </c>
      <c r="AN3630" s="58" t="s">
        <v>238</v>
      </c>
      <c r="AO3630" s="73" t="s">
        <v>241</v>
      </c>
      <c r="AP3630" s="84">
        <f>AP3619*1.01</f>
        <v>15519.291204896448</v>
      </c>
      <c r="AQ3630" s="58" t="s">
        <v>238</v>
      </c>
      <c r="AR3630" s="73" t="s">
        <v>241</v>
      </c>
      <c r="AS3630" s="84">
        <f>AS3619*1.01</f>
        <v>17662.401037380099</v>
      </c>
      <c r="AT3630" s="58" t="s">
        <v>238</v>
      </c>
      <c r="AU3630" s="73" t="s">
        <v>241</v>
      </c>
    </row>
    <row r="3631" spans="15:47" ht="13" x14ac:dyDescent="0.25">
      <c r="O3631" s="6"/>
      <c r="P3631" s="6"/>
      <c r="Q3631" s="60"/>
      <c r="R3631" s="70"/>
      <c r="S3631" s="63" t="s">
        <v>250</v>
      </c>
      <c r="T3631" s="71" t="s">
        <v>242</v>
      </c>
      <c r="U3631" s="61"/>
      <c r="V3631" s="63" t="s">
        <v>250</v>
      </c>
      <c r="W3631" s="71" t="s">
        <v>242</v>
      </c>
      <c r="X3631" s="61"/>
      <c r="Y3631" s="63" t="s">
        <v>250</v>
      </c>
      <c r="Z3631" s="71" t="s">
        <v>242</v>
      </c>
      <c r="AA3631" s="61"/>
      <c r="AB3631" s="63" t="s">
        <v>250</v>
      </c>
      <c r="AC3631" s="71" t="s">
        <v>242</v>
      </c>
      <c r="AD3631" s="61"/>
      <c r="AE3631" s="63" t="s">
        <v>250</v>
      </c>
      <c r="AF3631" s="71" t="s">
        <v>242</v>
      </c>
      <c r="AG3631" s="61"/>
      <c r="AH3631" s="63" t="s">
        <v>250</v>
      </c>
      <c r="AI3631" s="71" t="s">
        <v>242</v>
      </c>
      <c r="AJ3631" s="61"/>
      <c r="AK3631" s="63" t="s">
        <v>250</v>
      </c>
      <c r="AL3631" s="71" t="s">
        <v>242</v>
      </c>
      <c r="AM3631" s="61"/>
      <c r="AN3631" s="63" t="s">
        <v>250</v>
      </c>
      <c r="AO3631" s="71" t="s">
        <v>242</v>
      </c>
      <c r="AP3631" s="61"/>
      <c r="AQ3631" s="63" t="s">
        <v>250</v>
      </c>
      <c r="AR3631" s="71" t="s">
        <v>242</v>
      </c>
      <c r="AS3631" s="61"/>
      <c r="AT3631" s="63" t="s">
        <v>250</v>
      </c>
      <c r="AU3631" s="71" t="s">
        <v>242</v>
      </c>
    </row>
    <row r="3632" spans="15:47" ht="13" x14ac:dyDescent="0.3">
      <c r="O3632" s="6" t="s">
        <v>231</v>
      </c>
      <c r="P3632" s="6"/>
      <c r="Q3632" s="60"/>
      <c r="R3632" s="85">
        <f>P_1_minQ-(R3630^2*R_up)+dpup_minQ</f>
        <v>47.811689343750956</v>
      </c>
      <c r="S3632" s="56"/>
      <c r="T3632" s="72"/>
      <c r="U3632" s="53">
        <f>P_1_minQ-(U3630^2*R_up)+dpup_minQ</f>
        <v>38.845156974783926</v>
      </c>
      <c r="V3632" s="44"/>
      <c r="W3632" s="72"/>
      <c r="X3632" s="53">
        <f>P_1_minQ-(X3630^2*R_up)+dpup_minQ</f>
        <v>-47.206129863648549</v>
      </c>
      <c r="Y3632" s="44"/>
      <c r="Z3632" s="72"/>
      <c r="AA3632" s="53">
        <f>P_1_minQ-(AA3630^2*R_up)+dpup_minQ</f>
        <v>-322.68038545729632</v>
      </c>
      <c r="AB3632" s="44"/>
      <c r="AC3632" s="72"/>
      <c r="AD3632" s="53">
        <f>P_1_minQ-(AD3630^2*R_up)+dpup_minQ</f>
        <v>-969.82179710390847</v>
      </c>
      <c r="AE3632" s="44"/>
      <c r="AF3632" s="72"/>
      <c r="AG3632" s="53">
        <f>P_1_minQ-(AG3630^2*R_up)+dpup_minQ</f>
        <v>-2219.0694731361186</v>
      </c>
      <c r="AH3632" s="44"/>
      <c r="AI3632" s="72"/>
      <c r="AJ3632" s="53">
        <f>P_1_minQ-(AJ3630^2*R_up)+dpup_minQ</f>
        <v>-3996.387998720495</v>
      </c>
      <c r="AK3632" s="44"/>
      <c r="AL3632" s="72"/>
      <c r="AM3632" s="53">
        <f>P_1_minQ-(AM3630^2*R_up)+dpup_minQ</f>
        <v>-5977.9013949058408</v>
      </c>
      <c r="AN3632" s="44"/>
      <c r="AO3632" s="72"/>
      <c r="AP3632" s="53">
        <f>P_1_minQ-(AP3630^2*R_up)+dpup_minQ</f>
        <v>-8077.1061297661699</v>
      </c>
      <c r="AQ3632" s="44"/>
      <c r="AR3632" s="72"/>
      <c r="AS3632" s="53">
        <f>P_1_minQ-(AS3630^2*R_up)+dpup_minQ</f>
        <v>-10478.727571943453</v>
      </c>
      <c r="AT3632" s="44"/>
      <c r="AU3632" s="72"/>
    </row>
    <row r="3633" spans="15:47" ht="13" x14ac:dyDescent="0.3">
      <c r="O3633" s="6" t="s">
        <v>233</v>
      </c>
      <c r="P3633" s="6"/>
      <c r="Q3633" s="60"/>
      <c r="R3633" s="85">
        <f>P_2_minQ+(R3630^2*R_dn)-dpdn_minQ</f>
        <v>26.477662131249808</v>
      </c>
      <c r="S3633" s="66"/>
      <c r="T3633" s="74"/>
      <c r="U3633" s="53">
        <f>P_2_minQ+(U3630^2*R_dn)-dpdn_minQ</f>
        <v>28.270968605043215</v>
      </c>
      <c r="V3633" s="45"/>
      <c r="W3633" s="74"/>
      <c r="X3633" s="53">
        <f>P_2_minQ+(X3630^2*R_dn)-dpdn_minQ</f>
        <v>45.481225972729717</v>
      </c>
      <c r="Y3633" s="45"/>
      <c r="Z3633" s="74"/>
      <c r="AA3633" s="53">
        <f>P_2_minQ+(AA3630^2*R_dn)-dpdn_minQ</f>
        <v>100.57607709145927</v>
      </c>
      <c r="AB3633" s="45"/>
      <c r="AC3633" s="74"/>
      <c r="AD3633" s="53">
        <f>P_2_minQ+(AD3630^2*R_dn)-dpdn_minQ</f>
        <v>230.0043594207817</v>
      </c>
      <c r="AE3633" s="45"/>
      <c r="AF3633" s="74"/>
      <c r="AG3633" s="53">
        <f>P_2_minQ+(AG3630^2*R_dn)-dpdn_minQ</f>
        <v>479.85389462722367</v>
      </c>
      <c r="AH3633" s="45"/>
      <c r="AI3633" s="74"/>
      <c r="AJ3633" s="53">
        <f>P_2_minQ+(AJ3630^2*R_dn)-dpdn_minQ</f>
        <v>835.31759974409897</v>
      </c>
      <c r="AK3633" s="45"/>
      <c r="AL3633" s="74"/>
      <c r="AM3633" s="53">
        <f>P_2_minQ+(AM3630^2*R_dn)-dpdn_minQ</f>
        <v>1231.620278981168</v>
      </c>
      <c r="AN3633" s="45"/>
      <c r="AO3633" s="74"/>
      <c r="AP3633" s="53">
        <f>P_2_minQ+(AP3630^2*R_dn)-dpdn_minQ</f>
        <v>1651.4612259532339</v>
      </c>
      <c r="AQ3633" s="45"/>
      <c r="AR3633" s="74"/>
      <c r="AS3633" s="53">
        <f>P_2_minQ+(AS3630^2*R_dn)-dpdn_minQ</f>
        <v>2131.78551438869</v>
      </c>
      <c r="AT3633" s="45"/>
      <c r="AU3633" s="74"/>
    </row>
    <row r="3634" spans="15:47" x14ac:dyDescent="0.25">
      <c r="O3634" s="6" t="s">
        <v>243</v>
      </c>
      <c r="Q3634" s="60"/>
      <c r="R3634" s="53">
        <f>R3632-R3633</f>
        <v>21.334027212501148</v>
      </c>
      <c r="S3634" s="56"/>
      <c r="T3634" s="72"/>
      <c r="U3634" s="64">
        <f>U3632-U3633</f>
        <v>10.57418836974071</v>
      </c>
      <c r="V3634" s="44"/>
      <c r="W3634" s="72"/>
      <c r="X3634" s="64">
        <f>X3632-X3633</f>
        <v>-92.687355836378259</v>
      </c>
      <c r="Y3634" s="44"/>
      <c r="Z3634" s="72"/>
      <c r="AA3634" s="64">
        <f>AA3632-AA3633</f>
        <v>-423.25646254875562</v>
      </c>
      <c r="AB3634" s="44"/>
      <c r="AC3634" s="72"/>
      <c r="AD3634" s="64">
        <f>AD3632-AD3633</f>
        <v>-1199.8261565246901</v>
      </c>
      <c r="AE3634" s="44"/>
      <c r="AF3634" s="72"/>
      <c r="AG3634" s="64">
        <f>AG3632-AG3633</f>
        <v>-2698.9233677633424</v>
      </c>
      <c r="AH3634" s="44"/>
      <c r="AI3634" s="72"/>
      <c r="AJ3634" s="64">
        <f>AJ3632-AJ3633</f>
        <v>-4831.705598464594</v>
      </c>
      <c r="AK3634" s="44"/>
      <c r="AL3634" s="72"/>
      <c r="AM3634" s="64">
        <f>AM3632-AM3633</f>
        <v>-7209.5216738870085</v>
      </c>
      <c r="AN3634" s="44"/>
      <c r="AO3634" s="72"/>
      <c r="AP3634" s="64">
        <f>AP3632-AP3633</f>
        <v>-9728.5673557194041</v>
      </c>
      <c r="AQ3634" s="44"/>
      <c r="AR3634" s="72"/>
      <c r="AS3634" s="64">
        <f>AS3632-AS3633</f>
        <v>-12610.513086332143</v>
      </c>
      <c r="AT3634" s="44"/>
      <c r="AU3634" s="72"/>
    </row>
    <row r="3635" spans="15:47" ht="13" x14ac:dyDescent="0.3">
      <c r="O3635" s="6" t="s">
        <v>75</v>
      </c>
      <c r="P3635" s="6">
        <v>3</v>
      </c>
      <c r="Q3635" s="65"/>
      <c r="R3635" s="85">
        <f>(F_LP_h/F_P_h)^2*(R3632-('Valve Sizing'!$V$4*'Valve Sizing'!$G$7))</f>
        <v>39.226197560769087</v>
      </c>
      <c r="S3635" s="58"/>
      <c r="T3635" s="73"/>
      <c r="U3635" s="53">
        <f>(U$29/U$27)^2*(U3632-('Valve Sizing'!$V$4*'Valve Sizing'!$G$7))</f>
        <v>31.792770348258959</v>
      </c>
      <c r="V3635" s="41"/>
      <c r="W3635" s="73"/>
      <c r="X3635" s="53">
        <f>(X$29/X$27)^2*(X3632-('Valve Sizing'!$V$4*'Valve Sizing'!$G$7))</f>
        <v>-38.5530824953617</v>
      </c>
      <c r="Y3635" s="41"/>
      <c r="Z3635" s="73"/>
      <c r="AA3635" s="53">
        <f>(AA$29/AA$27)^2*(AA3632-('Valve Sizing'!$V$4*'Valve Sizing'!$G$7))</f>
        <v>-249.70658061043079</v>
      </c>
      <c r="AB3635" s="41"/>
      <c r="AC3635" s="73"/>
      <c r="AD3635" s="53">
        <f>(AD$29/AD$27)^2*(AD3632-('Valve Sizing'!$V$4*'Valve Sizing'!$G$7))</f>
        <v>-699.74063132512106</v>
      </c>
      <c r="AE3635" s="41"/>
      <c r="AF3635" s="73"/>
      <c r="AG3635" s="53">
        <f>(AG$29/AG$27)^2*(AG3632-('Valve Sizing'!$V$4*'Valve Sizing'!$G$7))</f>
        <v>-1429.4616879082521</v>
      </c>
      <c r="AH3635" s="41"/>
      <c r="AI3635" s="73"/>
      <c r="AJ3635" s="53">
        <f>(AJ$29/AJ$27)^2*(AJ3632-('Valve Sizing'!$V$4*'Valve Sizing'!$G$7))</f>
        <v>-2311.6228022468717</v>
      </c>
      <c r="AK3635" s="41"/>
      <c r="AL3635" s="73"/>
      <c r="AM3635" s="53">
        <f>(AM$29/AM$27)^2*(AM3632-('Valve Sizing'!$V$4*'Valve Sizing'!$G$7))</f>
        <v>-2860.4698840897645</v>
      </c>
      <c r="AN3635" s="41"/>
      <c r="AO3635" s="73"/>
      <c r="AP3635" s="53">
        <f>(AP$29/AP$27)^2*(AP3632-('Valve Sizing'!$V$4*'Valve Sizing'!$G$7))</f>
        <v>-3187.6164247884612</v>
      </c>
      <c r="AQ3635" s="41"/>
      <c r="AR3635" s="73"/>
      <c r="AS3635" s="53">
        <f>(AS$29/AS$27)^2*(AS3632-('Valve Sizing'!$V$4*'Valve Sizing'!$G$7))</f>
        <v>-3941.6424337494527</v>
      </c>
      <c r="AT3635" s="41"/>
      <c r="AU3635" s="73"/>
    </row>
    <row r="3636" spans="15:47" ht="13" x14ac:dyDescent="0.25">
      <c r="O3636" s="1" t="s">
        <v>69</v>
      </c>
      <c r="P3636" s="17">
        <v>7</v>
      </c>
      <c r="Q3636" s="65"/>
      <c r="R3636" s="53">
        <f>(R3630/(N_1*F_P_h))*SQRT('Valve Sizing'!$G$6/R3634)</f>
        <v>112.42768272901182</v>
      </c>
      <c r="S3636" s="58"/>
      <c r="T3636" s="73"/>
      <c r="U3636" s="64">
        <f>(U3630/(N_1*U$27))*SQRT('Valve Sizing'!$G$6/U3634)</f>
        <v>225.13980217084239</v>
      </c>
      <c r="V3636" s="41"/>
      <c r="W3636" s="73"/>
      <c r="X3636" s="64" t="e">
        <f>(X3630/(N_1*X$27))*SQRT('Valve Sizing'!$G$6/X3634)</f>
        <v>#NUM!</v>
      </c>
      <c r="Y3636" s="41"/>
      <c r="Z3636" s="73"/>
      <c r="AA3636" s="64" t="e">
        <f>(AA3630/(N_1*AA$27))*SQRT('Valve Sizing'!$G$6/AA3634)</f>
        <v>#NUM!</v>
      </c>
      <c r="AB3636" s="41"/>
      <c r="AC3636" s="73"/>
      <c r="AD3636" s="64" t="e">
        <f>(AD3630/(N_1*AD$27))*SQRT('Valve Sizing'!$G$6/AD3634)</f>
        <v>#NUM!</v>
      </c>
      <c r="AE3636" s="41"/>
      <c r="AF3636" s="73"/>
      <c r="AG3636" s="64" t="e">
        <f>(AG3630/(N_1*AG$27))*SQRT('Valve Sizing'!$G$6/AG3634)</f>
        <v>#NUM!</v>
      </c>
      <c r="AH3636" s="41"/>
      <c r="AI3636" s="73"/>
      <c r="AJ3636" s="64" t="e">
        <f>(AJ3630/(N_1*AJ$27))*SQRT('Valve Sizing'!$G$6/AJ3634)</f>
        <v>#NUM!</v>
      </c>
      <c r="AK3636" s="41"/>
      <c r="AL3636" s="73"/>
      <c r="AM3636" s="64" t="e">
        <f>(AM3630/(N_1*AM$27))*SQRT('Valve Sizing'!$G$6/AM3634)</f>
        <v>#NUM!</v>
      </c>
      <c r="AN3636" s="41"/>
      <c r="AO3636" s="73"/>
      <c r="AP3636" s="64" t="e">
        <f>(AP3630/(N_1*AP$27))*SQRT('Valve Sizing'!$G$6/AP3634)</f>
        <v>#NUM!</v>
      </c>
      <c r="AQ3636" s="41"/>
      <c r="AR3636" s="73"/>
      <c r="AS3636" s="64" t="e">
        <f>(AS3630/(N_1*AS$27))*SQRT('Valve Sizing'!$G$6/AS3634)</f>
        <v>#NUM!</v>
      </c>
      <c r="AT3636" s="41"/>
      <c r="AU3636" s="73"/>
    </row>
    <row r="3637" spans="15:47" ht="13" x14ac:dyDescent="0.3">
      <c r="O3637" s="1" t="s">
        <v>72</v>
      </c>
      <c r="P3637" s="17">
        <v>7</v>
      </c>
      <c r="Q3637" s="65"/>
      <c r="R3637" s="53">
        <f>(R3630/(N_1*F_P_h))*SQRT('Valve Sizing'!$G$6/R3635)</f>
        <v>82.91279893593908</v>
      </c>
      <c r="S3637" s="56"/>
      <c r="T3637" s="72"/>
      <c r="U3637" s="85">
        <f>(U3630/(N_1*U$27))*SQRT('Valve Sizing'!$G$6/U3635)</f>
        <v>129.84092925086011</v>
      </c>
      <c r="V3637" s="44"/>
      <c r="W3637" s="72"/>
      <c r="X3637" s="85" t="e">
        <f>(X3630/(N_1*X$27))*SQRT('Valve Sizing'!$G$6/X3635)</f>
        <v>#NUM!</v>
      </c>
      <c r="Y3637" s="44"/>
      <c r="Z3637" s="72"/>
      <c r="AA3637" s="85" t="e">
        <f>(AA3630/(N_1*AA$27))*SQRT('Valve Sizing'!$G$6/AA3635)</f>
        <v>#NUM!</v>
      </c>
      <c r="AB3637" s="44"/>
      <c r="AC3637" s="72"/>
      <c r="AD3637" s="85" t="e">
        <f>(AD3630/(N_1*AD$27))*SQRT('Valve Sizing'!$G$6/AD3635)</f>
        <v>#NUM!</v>
      </c>
      <c r="AE3637" s="44"/>
      <c r="AF3637" s="72"/>
      <c r="AG3637" s="85" t="e">
        <f>(AG3630/(N_1*AG$27))*SQRT('Valve Sizing'!$G$6/AG3635)</f>
        <v>#NUM!</v>
      </c>
      <c r="AH3637" s="44"/>
      <c r="AI3637" s="72"/>
      <c r="AJ3637" s="85" t="e">
        <f>(AJ3630/(N_1*AJ$27))*SQRT('Valve Sizing'!$G$6/AJ3635)</f>
        <v>#NUM!</v>
      </c>
      <c r="AK3637" s="44"/>
      <c r="AL3637" s="72"/>
      <c r="AM3637" s="85" t="e">
        <f>(AM3630/(N_1*AM$27))*SQRT('Valve Sizing'!$G$6/AM3635)</f>
        <v>#NUM!</v>
      </c>
      <c r="AN3637" s="44"/>
      <c r="AO3637" s="72"/>
      <c r="AP3637" s="85" t="e">
        <f>(AP3630/(N_1*AP$27))*SQRT('Valve Sizing'!$G$6/AP3635)</f>
        <v>#NUM!</v>
      </c>
      <c r="AQ3637" s="44"/>
      <c r="AR3637" s="72"/>
      <c r="AS3637" s="85" t="e">
        <f>(AS3630/(N_1*AS$27))*SQRT('Valve Sizing'!$G$6/AS3635)</f>
        <v>#NUM!</v>
      </c>
      <c r="AT3637" s="44"/>
      <c r="AU3637" s="72"/>
    </row>
    <row r="3638" spans="15:47" x14ac:dyDescent="0.25">
      <c r="O3638" s="1" t="s">
        <v>246</v>
      </c>
      <c r="P3638" s="18"/>
      <c r="Q3638" s="65"/>
      <c r="R3638" s="53">
        <f>IF(R3634&lt;R3635,R3636,R3637)</f>
        <v>112.42768272901182</v>
      </c>
      <c r="S3638" s="49"/>
      <c r="T3638" s="72"/>
      <c r="U3638" s="64">
        <f>IF(U3634&lt;U3635,U3636,U3637)</f>
        <v>225.13980217084239</v>
      </c>
      <c r="V3638" s="44"/>
      <c r="W3638" s="72"/>
      <c r="X3638" s="64" t="e">
        <f>IF(X3634&lt;X3635,X3636,X3637)</f>
        <v>#NUM!</v>
      </c>
      <c r="Y3638" s="44"/>
      <c r="Z3638" s="72"/>
      <c r="AA3638" s="64" t="e">
        <f>IF(AA3634&lt;AA3635,AA3636,AA3637)</f>
        <v>#NUM!</v>
      </c>
      <c r="AB3638" s="44"/>
      <c r="AC3638" s="72"/>
      <c r="AD3638" s="64" t="e">
        <f>IF(AD3634&lt;AD3635,AD3636,AD3637)</f>
        <v>#NUM!</v>
      </c>
      <c r="AE3638" s="44"/>
      <c r="AF3638" s="72"/>
      <c r="AG3638" s="64" t="e">
        <f>IF(AG3634&lt;AG3635,AG3636,AG3637)</f>
        <v>#NUM!</v>
      </c>
      <c r="AH3638" s="44"/>
      <c r="AI3638" s="72"/>
      <c r="AJ3638" s="64" t="e">
        <f>IF(AJ3634&lt;AJ3635,AJ3636,AJ3637)</f>
        <v>#NUM!</v>
      </c>
      <c r="AK3638" s="44"/>
      <c r="AL3638" s="72"/>
      <c r="AM3638" s="64" t="e">
        <f>IF(AM3634&lt;AM3635,AM3636,AM3637)</f>
        <v>#NUM!</v>
      </c>
      <c r="AN3638" s="44"/>
      <c r="AO3638" s="72"/>
      <c r="AP3638" s="64" t="e">
        <f>IF(AP3634&lt;AP3635,AP3636,AP3637)</f>
        <v>#NUM!</v>
      </c>
      <c r="AQ3638" s="44"/>
      <c r="AR3638" s="72"/>
      <c r="AS3638" s="64" t="e">
        <f>IF(AS3634&lt;AS3635,AS3636,AS3637)</f>
        <v>#NUM!</v>
      </c>
      <c r="AT3638" s="44"/>
      <c r="AU3638" s="72"/>
    </row>
    <row r="3639" spans="15:47" ht="13" x14ac:dyDescent="0.3">
      <c r="O3639" s="7" t="s">
        <v>264</v>
      </c>
      <c r="Q3639" s="61"/>
      <c r="R3639" s="53"/>
      <c r="S3639" s="69">
        <f>IFERROR(ABS(C_h-R3638),Q_max*10)</f>
        <v>107.42768272901182</v>
      </c>
      <c r="T3639" s="76">
        <f>R3630</f>
        <v>519.21371181001575</v>
      </c>
      <c r="U3639" s="61"/>
      <c r="V3639" s="69">
        <f>IFERROR(ABS(U$23-U3638),Q_max*10)</f>
        <v>213.13980217084239</v>
      </c>
      <c r="W3639" s="75">
        <f>U3630</f>
        <v>731.49292681245254</v>
      </c>
      <c r="X3639" s="61"/>
      <c r="Y3639" s="69">
        <f>IFERROR(ABS(X$23-X3638),Q_max*10)</f>
        <v>5500</v>
      </c>
      <c r="Z3639" s="75">
        <f>X3630</f>
        <v>1755.8646033400848</v>
      </c>
      <c r="AA3639" s="61"/>
      <c r="AB3639" s="69">
        <f>IFERROR(ABS(AA$23-AA3638),Q_max*10)</f>
        <v>5500</v>
      </c>
      <c r="AC3639" s="75">
        <f>AA3630</f>
        <v>3352.5890313891059</v>
      </c>
      <c r="AD3639" s="61"/>
      <c r="AE3639" s="69">
        <f>IFERROR(ABS(AD$23-AD3638),Q_max*10)</f>
        <v>5500</v>
      </c>
      <c r="AF3639" s="75">
        <f>AD3630</f>
        <v>5513.7746065872816</v>
      </c>
      <c r="AG3639" s="61"/>
      <c r="AH3639" s="69">
        <f>IFERROR(ABS(AG$23-AG3638),Q_max*10)</f>
        <v>5500</v>
      </c>
      <c r="AI3639" s="75">
        <f>AG3630</f>
        <v>8209.2590469274674</v>
      </c>
      <c r="AJ3639" s="61"/>
      <c r="AK3639" s="69">
        <f>IFERROR(ABS(AJ$23-AJ3638),Q_max*10)</f>
        <v>5500</v>
      </c>
      <c r="AL3639" s="75">
        <f>AJ3630</f>
        <v>10955.288021869341</v>
      </c>
      <c r="AM3639" s="61"/>
      <c r="AN3639" s="69">
        <f>IFERROR(ABS(AM$23-AM3638),Q_max*10)</f>
        <v>5500</v>
      </c>
      <c r="AO3639" s="75">
        <f>AM3630</f>
        <v>13367.533329046235</v>
      </c>
      <c r="AP3639" s="61"/>
      <c r="AQ3639" s="69">
        <f>IFERROR(ABS(AP$23-AP3638),Q_max*10)</f>
        <v>5500</v>
      </c>
      <c r="AR3639" s="75">
        <f>AP3630</f>
        <v>15519.291204896448</v>
      </c>
      <c r="AS3639" s="61"/>
      <c r="AT3639" s="69">
        <f>IFERROR(ABS(AS$23-AS3638),Q_max*10)</f>
        <v>5500</v>
      </c>
      <c r="AU3639" s="75">
        <f>AS3630</f>
        <v>17662.401037380099</v>
      </c>
    </row>
    <row r="3640" spans="15:47" ht="14.5" x14ac:dyDescent="0.35">
      <c r="O3640" s="8"/>
      <c r="P3640" s="6"/>
      <c r="Q3640" s="60"/>
      <c r="R3640" s="67"/>
      <c r="S3640" s="56"/>
      <c r="T3640" s="72"/>
      <c r="V3640" s="11"/>
      <c r="W3640" s="38"/>
      <c r="Y3640" s="11"/>
      <c r="Z3640" s="38"/>
      <c r="AB3640" s="11"/>
      <c r="AC3640" s="38"/>
      <c r="AE3640" s="11"/>
      <c r="AF3640" s="38"/>
      <c r="AH3640" s="11"/>
      <c r="AI3640" s="38"/>
      <c r="AK3640" s="11"/>
      <c r="AL3640" s="38"/>
      <c r="AN3640" s="11"/>
      <c r="AO3640" s="38"/>
      <c r="AQ3640" s="11"/>
      <c r="AR3640" s="38"/>
      <c r="AT3640" s="11"/>
      <c r="AU3640" s="38"/>
    </row>
    <row r="3641" spans="15:47" ht="14" x14ac:dyDescent="0.3">
      <c r="O3641" s="8" t="s">
        <v>235</v>
      </c>
      <c r="P3641" s="6"/>
      <c r="Q3641" s="60"/>
      <c r="R3641" s="53">
        <f>R3630*1.02</f>
        <v>529.59798604621608</v>
      </c>
      <c r="S3641" s="58" t="s">
        <v>238</v>
      </c>
      <c r="T3641" s="73" t="s">
        <v>241</v>
      </c>
      <c r="U3641" s="84">
        <f>U3630*1.01</f>
        <v>738.80785608057704</v>
      </c>
      <c r="V3641" s="58" t="s">
        <v>238</v>
      </c>
      <c r="W3641" s="73" t="s">
        <v>241</v>
      </c>
      <c r="X3641" s="84">
        <f>X3630*1.01</f>
        <v>1773.4232493734858</v>
      </c>
      <c r="Y3641" s="58" t="s">
        <v>238</v>
      </c>
      <c r="Z3641" s="73" t="s">
        <v>241</v>
      </c>
      <c r="AA3641" s="84">
        <f>AA3630*1.01</f>
        <v>3386.114921702997</v>
      </c>
      <c r="AB3641" s="58" t="s">
        <v>238</v>
      </c>
      <c r="AC3641" s="73" t="s">
        <v>241</v>
      </c>
      <c r="AD3641" s="84">
        <f>AD3630*1.01</f>
        <v>5568.9123526531548</v>
      </c>
      <c r="AE3641" s="58" t="s">
        <v>238</v>
      </c>
      <c r="AF3641" s="73" t="s">
        <v>241</v>
      </c>
      <c r="AG3641" s="84">
        <f>AG3630*1.01</f>
        <v>8291.3516373967414</v>
      </c>
      <c r="AH3641" s="58" t="s">
        <v>238</v>
      </c>
      <c r="AI3641" s="73" t="s">
        <v>241</v>
      </c>
      <c r="AJ3641" s="84">
        <f>AJ3630*1.01</f>
        <v>11064.840902088034</v>
      </c>
      <c r="AK3641" s="58" t="s">
        <v>238</v>
      </c>
      <c r="AL3641" s="73" t="s">
        <v>241</v>
      </c>
      <c r="AM3641" s="84">
        <f>AM3630*1.01</f>
        <v>13501.208662336698</v>
      </c>
      <c r="AN3641" s="58" t="s">
        <v>238</v>
      </c>
      <c r="AO3641" s="73" t="s">
        <v>241</v>
      </c>
      <c r="AP3641" s="84">
        <f>AP3630*1.01</f>
        <v>15674.484116945412</v>
      </c>
      <c r="AQ3641" s="58" t="s">
        <v>238</v>
      </c>
      <c r="AR3641" s="73" t="s">
        <v>241</v>
      </c>
      <c r="AS3641" s="84">
        <f>AS3630*1.01</f>
        <v>17839.025047753901</v>
      </c>
      <c r="AT3641" s="58" t="s">
        <v>238</v>
      </c>
      <c r="AU3641" s="73" t="s">
        <v>241</v>
      </c>
    </row>
    <row r="3642" spans="15:47" ht="13" x14ac:dyDescent="0.25">
      <c r="O3642" s="6"/>
      <c r="P3642" s="6"/>
      <c r="Q3642" s="60"/>
      <c r="R3642" s="70"/>
      <c r="S3642" s="63" t="s">
        <v>250</v>
      </c>
      <c r="T3642" s="71" t="s">
        <v>242</v>
      </c>
      <c r="U3642" s="61"/>
      <c r="V3642" s="63" t="s">
        <v>250</v>
      </c>
      <c r="W3642" s="71" t="s">
        <v>242</v>
      </c>
      <c r="X3642" s="61"/>
      <c r="Y3642" s="63" t="s">
        <v>250</v>
      </c>
      <c r="Z3642" s="71" t="s">
        <v>242</v>
      </c>
      <c r="AA3642" s="61"/>
      <c r="AB3642" s="63" t="s">
        <v>250</v>
      </c>
      <c r="AC3642" s="71" t="s">
        <v>242</v>
      </c>
      <c r="AD3642" s="61"/>
      <c r="AE3642" s="63" t="s">
        <v>250</v>
      </c>
      <c r="AF3642" s="71" t="s">
        <v>242</v>
      </c>
      <c r="AG3642" s="61"/>
      <c r="AH3642" s="63" t="s">
        <v>250</v>
      </c>
      <c r="AI3642" s="71" t="s">
        <v>242</v>
      </c>
      <c r="AJ3642" s="61"/>
      <c r="AK3642" s="63" t="s">
        <v>250</v>
      </c>
      <c r="AL3642" s="71" t="s">
        <v>242</v>
      </c>
      <c r="AM3642" s="61"/>
      <c r="AN3642" s="63" t="s">
        <v>250</v>
      </c>
      <c r="AO3642" s="71" t="s">
        <v>242</v>
      </c>
      <c r="AP3642" s="61"/>
      <c r="AQ3642" s="63" t="s">
        <v>250</v>
      </c>
      <c r="AR3642" s="71" t="s">
        <v>242</v>
      </c>
      <c r="AS3642" s="61"/>
      <c r="AT3642" s="63" t="s">
        <v>250</v>
      </c>
      <c r="AU3642" s="71" t="s">
        <v>242</v>
      </c>
    </row>
    <row r="3643" spans="15:47" ht="13" x14ac:dyDescent="0.3">
      <c r="O3643" s="6" t="s">
        <v>231</v>
      </c>
      <c r="P3643" s="6"/>
      <c r="Q3643" s="60"/>
      <c r="R3643" s="85">
        <f>P_1_minQ-(R3641^2*R_up)+dpup_minQ</f>
        <v>47.443869408165888</v>
      </c>
      <c r="S3643" s="56"/>
      <c r="T3643" s="72"/>
      <c r="U3643" s="53">
        <f>P_1_minQ-(U3641^2*R_up)+dpup_minQ</f>
        <v>38.48193015176026</v>
      </c>
      <c r="V3643" s="44"/>
      <c r="W3643" s="72"/>
      <c r="X3643" s="53">
        <f>P_1_minQ-(X3641^2*R_up)+dpup_minQ</f>
        <v>-49.298987552124721</v>
      </c>
      <c r="Y3643" s="44"/>
      <c r="Z3643" s="72"/>
      <c r="AA3643" s="53">
        <f>P_1_minQ-(AA3641^2*R_up)+dpup_minQ</f>
        <v>-330.31027568320479</v>
      </c>
      <c r="AB3643" s="44"/>
      <c r="AC3643" s="72"/>
      <c r="AD3643" s="53">
        <f>P_1_minQ-(AD3641^2*R_up)+dpup_minQ</f>
        <v>-990.45922970391416</v>
      </c>
      <c r="AE3643" s="44"/>
      <c r="AF3643" s="72"/>
      <c r="AG3643" s="53">
        <f>P_1_minQ-(AG3641^2*R_up)+dpup_minQ</f>
        <v>-2264.8167840243714</v>
      </c>
      <c r="AH3643" s="44"/>
      <c r="AI3643" s="72"/>
      <c r="AJ3643" s="53">
        <f>P_1_minQ-(AJ3641^2*R_up)+dpup_minQ</f>
        <v>-4077.8594119729937</v>
      </c>
      <c r="AK3643" s="44"/>
      <c r="AL3643" s="72"/>
      <c r="AM3643" s="53">
        <f>P_1_minQ-(AM3641^2*R_up)+dpup_minQ</f>
        <v>-6099.2012274216659</v>
      </c>
      <c r="AN3643" s="44"/>
      <c r="AO3643" s="72"/>
      <c r="AP3643" s="53">
        <f>P_1_minQ-(AP3641^2*R_up)+dpup_minQ</f>
        <v>-8240.5999774526863</v>
      </c>
      <c r="AQ3643" s="44"/>
      <c r="AR3643" s="72"/>
      <c r="AS3643" s="53">
        <f>P_1_minQ-(AS3641^2*R_up)+dpup_minQ</f>
        <v>-10690.494010617733</v>
      </c>
      <c r="AT3643" s="44"/>
      <c r="AU3643" s="72"/>
    </row>
    <row r="3644" spans="15:47" ht="13" x14ac:dyDescent="0.3">
      <c r="O3644" s="6" t="s">
        <v>233</v>
      </c>
      <c r="P3644" s="6"/>
      <c r="Q3644" s="60"/>
      <c r="R3644" s="85">
        <f>P_2_minQ+(R3641^2*R_dn)-dpdn_minQ</f>
        <v>26.551226118366824</v>
      </c>
      <c r="S3644" s="66"/>
      <c r="T3644" s="74"/>
      <c r="U3644" s="53">
        <f>P_2_minQ+(U3641^2*R_dn)-dpdn_minQ</f>
        <v>28.343613969647947</v>
      </c>
      <c r="V3644" s="45"/>
      <c r="W3644" s="74"/>
      <c r="X3644" s="53">
        <f>P_2_minQ+(X3641^2*R_dn)-dpdn_minQ</f>
        <v>45.899797510424946</v>
      </c>
      <c r="Y3644" s="45"/>
      <c r="Z3644" s="74"/>
      <c r="AA3644" s="53">
        <f>P_2_minQ+(AA3641^2*R_dn)-dpdn_minQ</f>
        <v>102.10205513664096</v>
      </c>
      <c r="AB3644" s="45"/>
      <c r="AC3644" s="74"/>
      <c r="AD3644" s="53">
        <f>P_2_minQ+(AD3641^2*R_dn)-dpdn_minQ</f>
        <v>234.13184594078282</v>
      </c>
      <c r="AE3644" s="45"/>
      <c r="AF3644" s="74"/>
      <c r="AG3644" s="53">
        <f>P_2_minQ+(AG3641^2*R_dn)-dpdn_minQ</f>
        <v>489.00335680487416</v>
      </c>
      <c r="AH3644" s="45"/>
      <c r="AI3644" s="74"/>
      <c r="AJ3644" s="53">
        <f>P_2_minQ+(AJ3641^2*R_dn)-dpdn_minQ</f>
        <v>851.61188239459864</v>
      </c>
      <c r="AK3644" s="45"/>
      <c r="AL3644" s="74"/>
      <c r="AM3644" s="53">
        <f>P_2_minQ+(AM3641^2*R_dn)-dpdn_minQ</f>
        <v>1255.880245484333</v>
      </c>
      <c r="AN3644" s="45"/>
      <c r="AO3644" s="74"/>
      <c r="AP3644" s="53">
        <f>P_2_minQ+(AP3641^2*R_dn)-dpdn_minQ</f>
        <v>1684.1599954905371</v>
      </c>
      <c r="AQ3644" s="45"/>
      <c r="AR3644" s="74"/>
      <c r="AS3644" s="53">
        <f>P_2_minQ+(AS3641^2*R_dn)-dpdn_minQ</f>
        <v>2174.1388021235462</v>
      </c>
      <c r="AT3644" s="45"/>
      <c r="AU3644" s="74"/>
    </row>
    <row r="3645" spans="15:47" x14ac:dyDescent="0.25">
      <c r="O3645" s="6" t="s">
        <v>243</v>
      </c>
      <c r="Q3645" s="60"/>
      <c r="R3645" s="53">
        <f>R3643-R3644</f>
        <v>20.892643289799064</v>
      </c>
      <c r="S3645" s="56"/>
      <c r="T3645" s="72"/>
      <c r="U3645" s="64">
        <f>U3643-U3644</f>
        <v>10.138316182112312</v>
      </c>
      <c r="V3645" s="44"/>
      <c r="W3645" s="72"/>
      <c r="X3645" s="64">
        <f>X3643-X3644</f>
        <v>-95.198785062549661</v>
      </c>
      <c r="Y3645" s="44"/>
      <c r="Z3645" s="72"/>
      <c r="AA3645" s="64">
        <f>AA3643-AA3644</f>
        <v>-432.41233081984575</v>
      </c>
      <c r="AB3645" s="44"/>
      <c r="AC3645" s="72"/>
      <c r="AD3645" s="64">
        <f>AD3643-AD3644</f>
        <v>-1224.591075644697</v>
      </c>
      <c r="AE3645" s="44"/>
      <c r="AF3645" s="72"/>
      <c r="AG3645" s="64">
        <f>AG3643-AG3644</f>
        <v>-2753.8201408292457</v>
      </c>
      <c r="AH3645" s="44"/>
      <c r="AI3645" s="72"/>
      <c r="AJ3645" s="64">
        <f>AJ3643-AJ3644</f>
        <v>-4929.4712943675922</v>
      </c>
      <c r="AK3645" s="44"/>
      <c r="AL3645" s="72"/>
      <c r="AM3645" s="64">
        <f>AM3643-AM3644</f>
        <v>-7355.0814729059985</v>
      </c>
      <c r="AN3645" s="44"/>
      <c r="AO3645" s="72"/>
      <c r="AP3645" s="64">
        <f>AP3643-AP3644</f>
        <v>-9924.7599729432241</v>
      </c>
      <c r="AQ3645" s="44"/>
      <c r="AR3645" s="72"/>
      <c r="AS3645" s="64">
        <f>AS3643-AS3644</f>
        <v>-12864.632812741278</v>
      </c>
      <c r="AT3645" s="44"/>
      <c r="AU3645" s="72"/>
    </row>
    <row r="3646" spans="15:47" ht="13" x14ac:dyDescent="0.3">
      <c r="O3646" s="6" t="s">
        <v>75</v>
      </c>
      <c r="P3646" s="6">
        <v>3</v>
      </c>
      <c r="Q3646" s="65"/>
      <c r="R3646" s="85">
        <f>(F_LP_h/F_P_h)^2*(R3643-('Valve Sizing'!$V$4*'Valve Sizing'!$G$7))</f>
        <v>38.921623347258787</v>
      </c>
      <c r="S3646" s="58"/>
      <c r="T3646" s="73"/>
      <c r="U3646" s="53">
        <f>(U$29/U$27)^2*(U3643-('Valve Sizing'!$V$4*'Valve Sizing'!$G$7))</f>
        <v>31.492081450757063</v>
      </c>
      <c r="V3646" s="41"/>
      <c r="W3646" s="73"/>
      <c r="X3646" s="53">
        <f>(X$29/X$27)^2*(X3643-('Valve Sizing'!$V$4*'Valve Sizing'!$G$7))</f>
        <v>-40.246525754796743</v>
      </c>
      <c r="Y3646" s="41"/>
      <c r="Z3646" s="73"/>
      <c r="AA3646" s="53">
        <f>(AA$29/AA$27)^2*(AA3643-('Valve Sizing'!$V$4*'Valve Sizing'!$G$7))</f>
        <v>-255.60293857624387</v>
      </c>
      <c r="AB3646" s="41"/>
      <c r="AC3646" s="73"/>
      <c r="AD3646" s="53">
        <f>(AD$29/AD$27)^2*(AD3643-('Valve Sizing'!$V$4*'Valve Sizing'!$G$7))</f>
        <v>-714.62408783268222</v>
      </c>
      <c r="AE3646" s="41"/>
      <c r="AF3646" s="73"/>
      <c r="AG3646" s="53">
        <f>(AG$29/AG$27)^2*(AG3643-('Valve Sizing'!$V$4*'Valve Sizing'!$G$7))</f>
        <v>-1458.9249667687241</v>
      </c>
      <c r="AH3646" s="41"/>
      <c r="AI3646" s="73"/>
      <c r="AJ3646" s="53">
        <f>(AJ$29/AJ$27)^2*(AJ3643-('Valve Sizing'!$V$4*'Valve Sizing'!$G$7))</f>
        <v>-2358.7429620207408</v>
      </c>
      <c r="AK3646" s="41"/>
      <c r="AL3646" s="73"/>
      <c r="AM3646" s="53">
        <f>(AM$29/AM$27)^2*(AM3643-('Valve Sizing'!$V$4*'Valve Sizing'!$G$7))</f>
        <v>-2918.5084756638894</v>
      </c>
      <c r="AN3646" s="41"/>
      <c r="AO3646" s="73"/>
      <c r="AP3646" s="53">
        <f>(AP$29/AP$27)^2*(AP3643-('Valve Sizing'!$V$4*'Valve Sizing'!$G$7))</f>
        <v>-3252.1354831936092</v>
      </c>
      <c r="AQ3646" s="41"/>
      <c r="AR3646" s="73"/>
      <c r="AS3646" s="53">
        <f>(AS$29/AS$27)^2*(AS3643-('Valve Sizing'!$V$4*'Valve Sizing'!$G$7))</f>
        <v>-4021.2964301569341</v>
      </c>
      <c r="AT3646" s="41"/>
      <c r="AU3646" s="73"/>
    </row>
    <row r="3647" spans="15:47" ht="13" x14ac:dyDescent="0.25">
      <c r="O3647" s="1" t="s">
        <v>69</v>
      </c>
      <c r="P3647" s="17">
        <v>7</v>
      </c>
      <c r="Q3647" s="65"/>
      <c r="R3647" s="53">
        <f>(R3641/(N_1*F_P_h))*SQRT('Valve Sizing'!$G$6/R3645)</f>
        <v>115.88124668761783</v>
      </c>
      <c r="S3647" s="58"/>
      <c r="T3647" s="73"/>
      <c r="U3647" s="64">
        <f>(U3641/(N_1*U$27))*SQRT('Valve Sizing'!$G$6/U3645)</f>
        <v>232.22782762611527</v>
      </c>
      <c r="V3647" s="41"/>
      <c r="W3647" s="73"/>
      <c r="X3647" s="64" t="e">
        <f>(X3641/(N_1*X$27))*SQRT('Valve Sizing'!$G$6/X3645)</f>
        <v>#NUM!</v>
      </c>
      <c r="Y3647" s="41"/>
      <c r="Z3647" s="73"/>
      <c r="AA3647" s="64" t="e">
        <f>(AA3641/(N_1*AA$27))*SQRT('Valve Sizing'!$G$6/AA3645)</f>
        <v>#NUM!</v>
      </c>
      <c r="AB3647" s="41"/>
      <c r="AC3647" s="73"/>
      <c r="AD3647" s="64" t="e">
        <f>(AD3641/(N_1*AD$27))*SQRT('Valve Sizing'!$G$6/AD3645)</f>
        <v>#NUM!</v>
      </c>
      <c r="AE3647" s="41"/>
      <c r="AF3647" s="73"/>
      <c r="AG3647" s="64" t="e">
        <f>(AG3641/(N_1*AG$27))*SQRT('Valve Sizing'!$G$6/AG3645)</f>
        <v>#NUM!</v>
      </c>
      <c r="AH3647" s="41"/>
      <c r="AI3647" s="73"/>
      <c r="AJ3647" s="64" t="e">
        <f>(AJ3641/(N_1*AJ$27))*SQRT('Valve Sizing'!$G$6/AJ3645)</f>
        <v>#NUM!</v>
      </c>
      <c r="AK3647" s="41"/>
      <c r="AL3647" s="73"/>
      <c r="AM3647" s="64" t="e">
        <f>(AM3641/(N_1*AM$27))*SQRT('Valve Sizing'!$G$6/AM3645)</f>
        <v>#NUM!</v>
      </c>
      <c r="AN3647" s="41"/>
      <c r="AO3647" s="73"/>
      <c r="AP3647" s="64" t="e">
        <f>(AP3641/(N_1*AP$27))*SQRT('Valve Sizing'!$G$6/AP3645)</f>
        <v>#NUM!</v>
      </c>
      <c r="AQ3647" s="41"/>
      <c r="AR3647" s="73"/>
      <c r="AS3647" s="64" t="e">
        <f>(AS3641/(N_1*AS$27))*SQRT('Valve Sizing'!$G$6/AS3645)</f>
        <v>#NUM!</v>
      </c>
      <c r="AT3647" s="41"/>
      <c r="AU3647" s="73"/>
    </row>
    <row r="3648" spans="15:47" ht="13" x14ac:dyDescent="0.3">
      <c r="O3648" s="1" t="s">
        <v>72</v>
      </c>
      <c r="P3648" s="17">
        <v>7</v>
      </c>
      <c r="Q3648" s="65"/>
      <c r="R3648" s="53">
        <f>(R3641/(N_1*F_P_h))*SQRT('Valve Sizing'!$G$6/R3646)</f>
        <v>84.901307934134181</v>
      </c>
      <c r="S3648" s="56"/>
      <c r="T3648" s="72"/>
      <c r="U3648" s="85">
        <f>(U3641/(N_1*U$27))*SQRT('Valve Sizing'!$G$6/U3646)</f>
        <v>131.76391562272164</v>
      </c>
      <c r="V3648" s="44"/>
      <c r="W3648" s="72"/>
      <c r="X3648" s="85" t="e">
        <f>(X3641/(N_1*X$27))*SQRT('Valve Sizing'!$G$6/X3646)</f>
        <v>#NUM!</v>
      </c>
      <c r="Y3648" s="44"/>
      <c r="Z3648" s="72"/>
      <c r="AA3648" s="85" t="e">
        <f>(AA3641/(N_1*AA$27))*SQRT('Valve Sizing'!$G$6/AA3646)</f>
        <v>#NUM!</v>
      </c>
      <c r="AB3648" s="44"/>
      <c r="AC3648" s="72"/>
      <c r="AD3648" s="85" t="e">
        <f>(AD3641/(N_1*AD$27))*SQRT('Valve Sizing'!$G$6/AD3646)</f>
        <v>#NUM!</v>
      </c>
      <c r="AE3648" s="44"/>
      <c r="AF3648" s="72"/>
      <c r="AG3648" s="85" t="e">
        <f>(AG3641/(N_1*AG$27))*SQRT('Valve Sizing'!$G$6/AG3646)</f>
        <v>#NUM!</v>
      </c>
      <c r="AH3648" s="44"/>
      <c r="AI3648" s="72"/>
      <c r="AJ3648" s="85" t="e">
        <f>(AJ3641/(N_1*AJ$27))*SQRT('Valve Sizing'!$G$6/AJ3646)</f>
        <v>#NUM!</v>
      </c>
      <c r="AK3648" s="44"/>
      <c r="AL3648" s="72"/>
      <c r="AM3648" s="85" t="e">
        <f>(AM3641/(N_1*AM$27))*SQRT('Valve Sizing'!$G$6/AM3646)</f>
        <v>#NUM!</v>
      </c>
      <c r="AN3648" s="44"/>
      <c r="AO3648" s="72"/>
      <c r="AP3648" s="85" t="e">
        <f>(AP3641/(N_1*AP$27))*SQRT('Valve Sizing'!$G$6/AP3646)</f>
        <v>#NUM!</v>
      </c>
      <c r="AQ3648" s="44"/>
      <c r="AR3648" s="72"/>
      <c r="AS3648" s="85" t="e">
        <f>(AS3641/(N_1*AS$27))*SQRT('Valve Sizing'!$G$6/AS3646)</f>
        <v>#NUM!</v>
      </c>
      <c r="AT3648" s="44"/>
      <c r="AU3648" s="72"/>
    </row>
    <row r="3649" spans="15:47" x14ac:dyDescent="0.25">
      <c r="O3649" s="1" t="s">
        <v>246</v>
      </c>
      <c r="P3649" s="18"/>
      <c r="Q3649" s="65"/>
      <c r="R3649" s="53">
        <f>IF(R3645&lt;R3646,R3647,R3648)</f>
        <v>115.88124668761783</v>
      </c>
      <c r="S3649" s="49"/>
      <c r="T3649" s="72"/>
      <c r="U3649" s="64">
        <f>IF(U3645&lt;U3646,U3647,U3648)</f>
        <v>232.22782762611527</v>
      </c>
      <c r="V3649" s="44"/>
      <c r="W3649" s="72"/>
      <c r="X3649" s="64" t="e">
        <f>IF(X3645&lt;X3646,X3647,X3648)</f>
        <v>#NUM!</v>
      </c>
      <c r="Y3649" s="44"/>
      <c r="Z3649" s="72"/>
      <c r="AA3649" s="64" t="e">
        <f>IF(AA3645&lt;AA3646,AA3647,AA3648)</f>
        <v>#NUM!</v>
      </c>
      <c r="AB3649" s="44"/>
      <c r="AC3649" s="72"/>
      <c r="AD3649" s="64" t="e">
        <f>IF(AD3645&lt;AD3646,AD3647,AD3648)</f>
        <v>#NUM!</v>
      </c>
      <c r="AE3649" s="44"/>
      <c r="AF3649" s="72"/>
      <c r="AG3649" s="64" t="e">
        <f>IF(AG3645&lt;AG3646,AG3647,AG3648)</f>
        <v>#NUM!</v>
      </c>
      <c r="AH3649" s="44"/>
      <c r="AI3649" s="72"/>
      <c r="AJ3649" s="64" t="e">
        <f>IF(AJ3645&lt;AJ3646,AJ3647,AJ3648)</f>
        <v>#NUM!</v>
      </c>
      <c r="AK3649" s="44"/>
      <c r="AL3649" s="72"/>
      <c r="AM3649" s="64" t="e">
        <f>IF(AM3645&lt;AM3646,AM3647,AM3648)</f>
        <v>#NUM!</v>
      </c>
      <c r="AN3649" s="44"/>
      <c r="AO3649" s="72"/>
      <c r="AP3649" s="64" t="e">
        <f>IF(AP3645&lt;AP3646,AP3647,AP3648)</f>
        <v>#NUM!</v>
      </c>
      <c r="AQ3649" s="44"/>
      <c r="AR3649" s="72"/>
      <c r="AS3649" s="64" t="e">
        <f>IF(AS3645&lt;AS3646,AS3647,AS3648)</f>
        <v>#NUM!</v>
      </c>
      <c r="AT3649" s="44"/>
      <c r="AU3649" s="72"/>
    </row>
    <row r="3650" spans="15:47" ht="13" x14ac:dyDescent="0.3">
      <c r="O3650" s="7" t="s">
        <v>264</v>
      </c>
      <c r="Q3650" s="61"/>
      <c r="R3650" s="53"/>
      <c r="S3650" s="69">
        <f>IFERROR(ABS(C_h-R3649),Q_max*10)</f>
        <v>110.88124668761783</v>
      </c>
      <c r="T3650" s="76">
        <f>R3641</f>
        <v>529.59798604621608</v>
      </c>
      <c r="U3650" s="61"/>
      <c r="V3650" s="69">
        <f>IFERROR(ABS(U$23-U3649),Q_max*10)</f>
        <v>220.22782762611527</v>
      </c>
      <c r="W3650" s="75">
        <f>U3641</f>
        <v>738.80785608057704</v>
      </c>
      <c r="X3650" s="61"/>
      <c r="Y3650" s="69">
        <f>IFERROR(ABS(X$23-X3649),Q_max*10)</f>
        <v>5500</v>
      </c>
      <c r="Z3650" s="75">
        <f>X3641</f>
        <v>1773.4232493734858</v>
      </c>
      <c r="AA3650" s="61"/>
      <c r="AB3650" s="69">
        <f>IFERROR(ABS(AA$23-AA3649),Q_max*10)</f>
        <v>5500</v>
      </c>
      <c r="AC3650" s="75">
        <f>AA3641</f>
        <v>3386.114921702997</v>
      </c>
      <c r="AD3650" s="61"/>
      <c r="AE3650" s="69">
        <f>IFERROR(ABS(AD$23-AD3649),Q_max*10)</f>
        <v>5500</v>
      </c>
      <c r="AF3650" s="75">
        <f>AD3641</f>
        <v>5568.9123526531548</v>
      </c>
      <c r="AG3650" s="61"/>
      <c r="AH3650" s="69">
        <f>IFERROR(ABS(AG$23-AG3649),Q_max*10)</f>
        <v>5500</v>
      </c>
      <c r="AI3650" s="75">
        <f>AG3641</f>
        <v>8291.3516373967414</v>
      </c>
      <c r="AJ3650" s="61"/>
      <c r="AK3650" s="69">
        <f>IFERROR(ABS(AJ$23-AJ3649),Q_max*10)</f>
        <v>5500</v>
      </c>
      <c r="AL3650" s="75">
        <f>AJ3641</f>
        <v>11064.840902088034</v>
      </c>
      <c r="AM3650" s="61"/>
      <c r="AN3650" s="69">
        <f>IFERROR(ABS(AM$23-AM3649),Q_max*10)</f>
        <v>5500</v>
      </c>
      <c r="AO3650" s="75">
        <f>AM3641</f>
        <v>13501.208662336698</v>
      </c>
      <c r="AP3650" s="61"/>
      <c r="AQ3650" s="69">
        <f>IFERROR(ABS(AP$23-AP3649),Q_max*10)</f>
        <v>5500</v>
      </c>
      <c r="AR3650" s="75">
        <f>AP3641</f>
        <v>15674.484116945412</v>
      </c>
      <c r="AS3650" s="61"/>
      <c r="AT3650" s="69">
        <f>IFERROR(ABS(AS$23-AS3649),Q_max*10)</f>
        <v>5500</v>
      </c>
      <c r="AU3650" s="75">
        <f>AS3641</f>
        <v>17839.025047753901</v>
      </c>
    </row>
    <row r="3651" spans="15:47" ht="14.5" x14ac:dyDescent="0.35">
      <c r="O3651" s="6"/>
      <c r="P3651" s="6"/>
      <c r="Q3651" s="60"/>
      <c r="R3651" s="67"/>
      <c r="S3651" s="58"/>
      <c r="T3651" s="73"/>
      <c r="V3651" s="11"/>
      <c r="W3651" s="38"/>
      <c r="Y3651" s="11"/>
      <c r="Z3651" s="38"/>
      <c r="AB3651" s="11"/>
      <c r="AC3651" s="38"/>
      <c r="AE3651" s="11"/>
      <c r="AF3651" s="38"/>
      <c r="AH3651" s="11"/>
      <c r="AI3651" s="38"/>
      <c r="AK3651" s="11"/>
      <c r="AL3651" s="38"/>
      <c r="AN3651" s="11"/>
      <c r="AO3651" s="38"/>
      <c r="AQ3651" s="11"/>
      <c r="AR3651" s="38"/>
      <c r="AT3651" s="11"/>
      <c r="AU3651" s="38"/>
    </row>
    <row r="3652" spans="15:47" ht="14" x14ac:dyDescent="0.3">
      <c r="O3652" s="8" t="s">
        <v>235</v>
      </c>
      <c r="P3652" s="6"/>
      <c r="Q3652" s="60"/>
      <c r="R3652" s="53">
        <f>R3641*1.02</f>
        <v>540.18994576714044</v>
      </c>
      <c r="S3652" s="58" t="s">
        <v>238</v>
      </c>
      <c r="T3652" s="73" t="s">
        <v>241</v>
      </c>
      <c r="U3652" s="84">
        <f>U3641*1.01</f>
        <v>746.19593464138279</v>
      </c>
      <c r="V3652" s="58" t="s">
        <v>238</v>
      </c>
      <c r="W3652" s="73" t="s">
        <v>241</v>
      </c>
      <c r="X3652" s="84">
        <f>X3641*1.01</f>
        <v>1791.1574818672207</v>
      </c>
      <c r="Y3652" s="58" t="s">
        <v>238</v>
      </c>
      <c r="Z3652" s="73" t="s">
        <v>241</v>
      </c>
      <c r="AA3652" s="84">
        <f>AA3641*1.01</f>
        <v>3419.9760709200268</v>
      </c>
      <c r="AB3652" s="58" t="s">
        <v>238</v>
      </c>
      <c r="AC3652" s="73" t="s">
        <v>241</v>
      </c>
      <c r="AD3652" s="84">
        <f>AD3641*1.01</f>
        <v>5624.601476179686</v>
      </c>
      <c r="AE3652" s="58" t="s">
        <v>238</v>
      </c>
      <c r="AF3652" s="73" t="s">
        <v>241</v>
      </c>
      <c r="AG3652" s="84">
        <f>AG3641*1.01</f>
        <v>8374.2651537707097</v>
      </c>
      <c r="AH3652" s="58" t="s">
        <v>238</v>
      </c>
      <c r="AI3652" s="73" t="s">
        <v>241</v>
      </c>
      <c r="AJ3652" s="84">
        <f>AJ3641*1.01</f>
        <v>11175.489311108913</v>
      </c>
      <c r="AK3652" s="58" t="s">
        <v>238</v>
      </c>
      <c r="AL3652" s="73" t="s">
        <v>241</v>
      </c>
      <c r="AM3652" s="84">
        <f>AM3641*1.01</f>
        <v>13636.220748960064</v>
      </c>
      <c r="AN3652" s="58" t="s">
        <v>238</v>
      </c>
      <c r="AO3652" s="73" t="s">
        <v>241</v>
      </c>
      <c r="AP3652" s="84">
        <f>AP3641*1.01</f>
        <v>15831.228958114867</v>
      </c>
      <c r="AQ3652" s="58" t="s">
        <v>238</v>
      </c>
      <c r="AR3652" s="73" t="s">
        <v>241</v>
      </c>
      <c r="AS3652" s="84">
        <f>AS3641*1.01</f>
        <v>18017.415298231441</v>
      </c>
      <c r="AT3652" s="58" t="s">
        <v>238</v>
      </c>
      <c r="AU3652" s="73" t="s">
        <v>241</v>
      </c>
    </row>
    <row r="3653" spans="15:47" ht="13" x14ac:dyDescent="0.25">
      <c r="O3653" s="6"/>
      <c r="P3653" s="6"/>
      <c r="Q3653" s="60"/>
      <c r="R3653" s="70"/>
      <c r="S3653" s="63" t="s">
        <v>250</v>
      </c>
      <c r="T3653" s="71" t="s">
        <v>242</v>
      </c>
      <c r="U3653" s="61"/>
      <c r="V3653" s="63" t="s">
        <v>250</v>
      </c>
      <c r="W3653" s="71" t="s">
        <v>242</v>
      </c>
      <c r="X3653" s="61"/>
      <c r="Y3653" s="63" t="s">
        <v>250</v>
      </c>
      <c r="Z3653" s="71" t="s">
        <v>242</v>
      </c>
      <c r="AA3653" s="61"/>
      <c r="AB3653" s="63" t="s">
        <v>250</v>
      </c>
      <c r="AC3653" s="71" t="s">
        <v>242</v>
      </c>
      <c r="AD3653" s="61"/>
      <c r="AE3653" s="63" t="s">
        <v>250</v>
      </c>
      <c r="AF3653" s="71" t="s">
        <v>242</v>
      </c>
      <c r="AG3653" s="61"/>
      <c r="AH3653" s="63" t="s">
        <v>250</v>
      </c>
      <c r="AI3653" s="71" t="s">
        <v>242</v>
      </c>
      <c r="AJ3653" s="61"/>
      <c r="AK3653" s="63" t="s">
        <v>250</v>
      </c>
      <c r="AL3653" s="71" t="s">
        <v>242</v>
      </c>
      <c r="AM3653" s="61"/>
      <c r="AN3653" s="63" t="s">
        <v>250</v>
      </c>
      <c r="AO3653" s="71" t="s">
        <v>242</v>
      </c>
      <c r="AP3653" s="61"/>
      <c r="AQ3653" s="63" t="s">
        <v>250</v>
      </c>
      <c r="AR3653" s="71" t="s">
        <v>242</v>
      </c>
      <c r="AS3653" s="61"/>
      <c r="AT3653" s="63" t="s">
        <v>250</v>
      </c>
      <c r="AU3653" s="71" t="s">
        <v>242</v>
      </c>
    </row>
    <row r="3654" spans="15:47" ht="13" x14ac:dyDescent="0.3">
      <c r="O3654" s="6" t="s">
        <v>231</v>
      </c>
      <c r="P3654" s="6"/>
      <c r="Q3654" s="60"/>
      <c r="R3654" s="85">
        <f>P_1_minQ-(R3652^2*R_up)+dpup_minQ</f>
        <v>47.061189547183176</v>
      </c>
      <c r="S3654" s="56"/>
      <c r="T3654" s="72"/>
      <c r="U3654" s="53">
        <f>P_1_minQ-(U3652^2*R_up)+dpup_minQ</f>
        <v>38.111402469593827</v>
      </c>
      <c r="V3654" s="44"/>
      <c r="W3654" s="72"/>
      <c r="X3654" s="53">
        <f>P_1_minQ-(X3652^2*R_up)+dpup_minQ</f>
        <v>-51.433911680139239</v>
      </c>
      <c r="Y3654" s="44"/>
      <c r="Z3654" s="72"/>
      <c r="AA3654" s="53">
        <f>P_1_minQ-(AA3652^2*R_up)+dpup_minQ</f>
        <v>-338.093526702654</v>
      </c>
      <c r="AB3654" s="44"/>
      <c r="AC3654" s="72"/>
      <c r="AD3654" s="53">
        <f>P_1_minQ-(AD3652^2*R_up)+dpup_minQ</f>
        <v>-1011.5114746991794</v>
      </c>
      <c r="AE3654" s="44"/>
      <c r="AF3654" s="72"/>
      <c r="AG3654" s="53">
        <f>P_1_minQ-(AG3652^2*R_up)+dpup_minQ</f>
        <v>-2311.4836158614785</v>
      </c>
      <c r="AH3654" s="44"/>
      <c r="AI3654" s="72"/>
      <c r="AJ3654" s="53">
        <f>P_1_minQ-(AJ3652^2*R_up)+dpup_minQ</f>
        <v>-4160.9684006318676</v>
      </c>
      <c r="AK3654" s="44"/>
      <c r="AL3654" s="72"/>
      <c r="AM3654" s="53">
        <f>P_1_minQ-(AM3652^2*R_up)+dpup_minQ</f>
        <v>-6222.9391865710568</v>
      </c>
      <c r="AN3654" s="44"/>
      <c r="AO3654" s="72"/>
      <c r="AP3654" s="53">
        <f>P_1_minQ-(AP3652^2*R_up)+dpup_minQ</f>
        <v>-8407.3800514777013</v>
      </c>
      <c r="AQ3654" s="44"/>
      <c r="AR3654" s="72"/>
      <c r="AS3654" s="53">
        <f>P_1_minQ-(AS3652^2*R_up)+dpup_minQ</f>
        <v>-10906.516954709368</v>
      </c>
      <c r="AT3654" s="44"/>
      <c r="AU3654" s="72"/>
    </row>
    <row r="3655" spans="15:47" ht="13" x14ac:dyDescent="0.3">
      <c r="O3655" s="6" t="s">
        <v>233</v>
      </c>
      <c r="P3655" s="6"/>
      <c r="Q3655" s="60"/>
      <c r="R3655" s="85">
        <f>P_2_minQ+(R3652^2*R_dn)-dpdn_minQ</f>
        <v>26.627762090563365</v>
      </c>
      <c r="S3655" s="66"/>
      <c r="T3655" s="74"/>
      <c r="U3655" s="53">
        <f>P_2_minQ+(U3652^2*R_dn)-dpdn_minQ</f>
        <v>28.417719506081237</v>
      </c>
      <c r="V3655" s="45"/>
      <c r="W3655" s="74"/>
      <c r="X3655" s="53">
        <f>P_2_minQ+(X3652^2*R_dn)-dpdn_minQ</f>
        <v>46.326782336027847</v>
      </c>
      <c r="Y3655" s="45"/>
      <c r="Z3655" s="74"/>
      <c r="AA3655" s="53">
        <f>P_2_minQ+(AA3652^2*R_dn)-dpdn_minQ</f>
        <v>103.6587053405308</v>
      </c>
      <c r="AB3655" s="45"/>
      <c r="AC3655" s="74"/>
      <c r="AD3655" s="53">
        <f>P_2_minQ+(AD3652^2*R_dn)-dpdn_minQ</f>
        <v>238.34229493983585</v>
      </c>
      <c r="AE3655" s="45"/>
      <c r="AF3655" s="74"/>
      <c r="AG3655" s="53">
        <f>P_2_minQ+(AG3652^2*R_dn)-dpdn_minQ</f>
        <v>498.33672317229559</v>
      </c>
      <c r="AH3655" s="45"/>
      <c r="AI3655" s="74"/>
      <c r="AJ3655" s="53">
        <f>P_2_minQ+(AJ3652^2*R_dn)-dpdn_minQ</f>
        <v>868.23368012637332</v>
      </c>
      <c r="AK3655" s="45"/>
      <c r="AL3655" s="74"/>
      <c r="AM3655" s="53">
        <f>P_2_minQ+(AM3652^2*R_dn)-dpdn_minQ</f>
        <v>1280.6278373142113</v>
      </c>
      <c r="AN3655" s="45"/>
      <c r="AO3655" s="74"/>
      <c r="AP3655" s="53">
        <f>P_2_minQ+(AP3652^2*R_dn)-dpdn_minQ</f>
        <v>1717.5160102955404</v>
      </c>
      <c r="AQ3655" s="45"/>
      <c r="AR3655" s="74"/>
      <c r="AS3655" s="53">
        <f>P_2_minQ+(AS3652^2*R_dn)-dpdn_minQ</f>
        <v>2217.3433909418732</v>
      </c>
      <c r="AT3655" s="45"/>
      <c r="AU3655" s="74"/>
    </row>
    <row r="3656" spans="15:47" x14ac:dyDescent="0.25">
      <c r="O3656" s="6" t="s">
        <v>243</v>
      </c>
      <c r="Q3656" s="60"/>
      <c r="R3656" s="53">
        <f>R3654-R3655</f>
        <v>20.43342745661981</v>
      </c>
      <c r="S3656" s="56"/>
      <c r="T3656" s="72"/>
      <c r="U3656" s="64">
        <f>U3654-U3655</f>
        <v>9.6936829635125896</v>
      </c>
      <c r="V3656" s="44"/>
      <c r="W3656" s="72"/>
      <c r="X3656" s="64">
        <f>X3654-X3655</f>
        <v>-97.760694016167093</v>
      </c>
      <c r="Y3656" s="44"/>
      <c r="Z3656" s="72"/>
      <c r="AA3656" s="64">
        <f>AA3654-AA3655</f>
        <v>-441.75223204318479</v>
      </c>
      <c r="AB3656" s="44"/>
      <c r="AC3656" s="72"/>
      <c r="AD3656" s="64">
        <f>AD3654-AD3655</f>
        <v>-1249.8537696390154</v>
      </c>
      <c r="AE3656" s="44"/>
      <c r="AF3656" s="72"/>
      <c r="AG3656" s="64">
        <f>AG3654-AG3655</f>
        <v>-2809.820339033774</v>
      </c>
      <c r="AH3656" s="44"/>
      <c r="AI3656" s="72"/>
      <c r="AJ3656" s="64">
        <f>AJ3654-AJ3655</f>
        <v>-5029.2020807582412</v>
      </c>
      <c r="AK3656" s="44"/>
      <c r="AL3656" s="72"/>
      <c r="AM3656" s="64">
        <f>AM3654-AM3655</f>
        <v>-7503.5670238852681</v>
      </c>
      <c r="AN3656" s="44"/>
      <c r="AO3656" s="72"/>
      <c r="AP3656" s="64">
        <f>AP3654-AP3655</f>
        <v>-10124.896061773241</v>
      </c>
      <c r="AQ3656" s="44"/>
      <c r="AR3656" s="72"/>
      <c r="AS3656" s="64">
        <f>AS3654-AS3655</f>
        <v>-13123.860345651241</v>
      </c>
      <c r="AT3656" s="44"/>
      <c r="AU3656" s="72"/>
    </row>
    <row r="3657" spans="15:47" ht="13" x14ac:dyDescent="0.3">
      <c r="O3657" s="6" t="s">
        <v>75</v>
      </c>
      <c r="P3657" s="6">
        <v>3</v>
      </c>
      <c r="Q3657" s="65"/>
      <c r="R3657" s="85">
        <f>(F_LP_h/F_P_h)^2*(R3654-('Valve Sizing'!$V$4*'Valve Sizing'!$G$7))</f>
        <v>38.60474433552266</v>
      </c>
      <c r="S3657" s="58"/>
      <c r="T3657" s="73"/>
      <c r="U3657" s="53">
        <f>(U$29/U$27)^2*(U3654-('Valve Sizing'!$V$4*'Valve Sizing'!$G$7))</f>
        <v>31.185348706415386</v>
      </c>
      <c r="V3657" s="41"/>
      <c r="W3657" s="73"/>
      <c r="X3657" s="53">
        <f>(X$29/X$27)^2*(X3654-('Valve Sizing'!$V$4*'Valve Sizing'!$G$7))</f>
        <v>-41.974007223746419</v>
      </c>
      <c r="Y3657" s="41"/>
      <c r="Z3657" s="73"/>
      <c r="AA3657" s="53">
        <f>(AA$29/AA$27)^2*(AA3654-('Valve Sizing'!$V$4*'Valve Sizing'!$G$7))</f>
        <v>-261.61781333716976</v>
      </c>
      <c r="AB3657" s="41"/>
      <c r="AC3657" s="73"/>
      <c r="AD3657" s="53">
        <f>(AD$29/AD$27)^2*(AD3654-('Valve Sizing'!$V$4*'Valve Sizing'!$G$7))</f>
        <v>-729.80670181604501</v>
      </c>
      <c r="AE3657" s="41"/>
      <c r="AF3657" s="73"/>
      <c r="AG3657" s="53">
        <f>(AG$29/AG$27)^2*(AG3654-('Valve Sizing'!$V$4*'Valve Sizing'!$G$7))</f>
        <v>-1488.9804575342919</v>
      </c>
      <c r="AH3657" s="41"/>
      <c r="AI3657" s="73"/>
      <c r="AJ3657" s="53">
        <f>(AJ$29/AJ$27)^2*(AJ3654-('Valve Sizing'!$V$4*'Valve Sizing'!$G$7))</f>
        <v>-2406.8102370060647</v>
      </c>
      <c r="AK3657" s="41"/>
      <c r="AL3657" s="73"/>
      <c r="AM3657" s="53">
        <f>(AM$29/AM$27)^2*(AM3654-('Valve Sizing'!$V$4*'Valve Sizing'!$G$7))</f>
        <v>-2977.7136429286534</v>
      </c>
      <c r="AN3657" s="41"/>
      <c r="AO3657" s="73"/>
      <c r="AP3657" s="53">
        <f>(AP$29/AP$27)^2*(AP3654-('Valve Sizing'!$V$4*'Valve Sizing'!$G$7))</f>
        <v>-3317.9513746726998</v>
      </c>
      <c r="AQ3657" s="41"/>
      <c r="AR3657" s="73"/>
      <c r="AS3657" s="53">
        <f>(AS$29/AS$27)^2*(AS3654-('Valve Sizing'!$V$4*'Valve Sizing'!$G$7))</f>
        <v>-4102.5514718922068</v>
      </c>
      <c r="AT3657" s="41"/>
      <c r="AU3657" s="73"/>
    </row>
    <row r="3658" spans="15:47" ht="13" x14ac:dyDescent="0.25">
      <c r="O3658" s="1" t="s">
        <v>69</v>
      </c>
      <c r="P3658" s="17">
        <v>7</v>
      </c>
      <c r="Q3658" s="65"/>
      <c r="R3658" s="53">
        <f>(R3652/(N_1*F_P_h))*SQRT('Valve Sizing'!$G$6/R3656)</f>
        <v>119.51967819653066</v>
      </c>
      <c r="S3658" s="58"/>
      <c r="T3658" s="73"/>
      <c r="U3658" s="64">
        <f>(U3652/(N_1*U$27))*SQRT('Valve Sizing'!$G$6/U3656)</f>
        <v>239.86901025418135</v>
      </c>
      <c r="V3658" s="41"/>
      <c r="W3658" s="73"/>
      <c r="X3658" s="64" t="e">
        <f>(X3652/(N_1*X$27))*SQRT('Valve Sizing'!$G$6/X3656)</f>
        <v>#NUM!</v>
      </c>
      <c r="Y3658" s="41"/>
      <c r="Z3658" s="73"/>
      <c r="AA3658" s="64" t="e">
        <f>(AA3652/(N_1*AA$27))*SQRT('Valve Sizing'!$G$6/AA3656)</f>
        <v>#NUM!</v>
      </c>
      <c r="AB3658" s="41"/>
      <c r="AC3658" s="73"/>
      <c r="AD3658" s="64" t="e">
        <f>(AD3652/(N_1*AD$27))*SQRT('Valve Sizing'!$G$6/AD3656)</f>
        <v>#NUM!</v>
      </c>
      <c r="AE3658" s="41"/>
      <c r="AF3658" s="73"/>
      <c r="AG3658" s="64" t="e">
        <f>(AG3652/(N_1*AG$27))*SQRT('Valve Sizing'!$G$6/AG3656)</f>
        <v>#NUM!</v>
      </c>
      <c r="AH3658" s="41"/>
      <c r="AI3658" s="73"/>
      <c r="AJ3658" s="64" t="e">
        <f>(AJ3652/(N_1*AJ$27))*SQRT('Valve Sizing'!$G$6/AJ3656)</f>
        <v>#NUM!</v>
      </c>
      <c r="AK3658" s="41"/>
      <c r="AL3658" s="73"/>
      <c r="AM3658" s="64" t="e">
        <f>(AM3652/(N_1*AM$27))*SQRT('Valve Sizing'!$G$6/AM3656)</f>
        <v>#NUM!</v>
      </c>
      <c r="AN3658" s="41"/>
      <c r="AO3658" s="73"/>
      <c r="AP3658" s="64" t="e">
        <f>(AP3652/(N_1*AP$27))*SQRT('Valve Sizing'!$G$6/AP3656)</f>
        <v>#NUM!</v>
      </c>
      <c r="AQ3658" s="41"/>
      <c r="AR3658" s="73"/>
      <c r="AS3658" s="64" t="e">
        <f>(AS3652/(N_1*AS$27))*SQRT('Valve Sizing'!$G$6/AS3656)</f>
        <v>#NUM!</v>
      </c>
      <c r="AT3658" s="41"/>
      <c r="AU3658" s="73"/>
    </row>
    <row r="3659" spans="15:47" ht="13" x14ac:dyDescent="0.3">
      <c r="O3659" s="1" t="s">
        <v>72</v>
      </c>
      <c r="P3659" s="17">
        <v>7</v>
      </c>
      <c r="Q3659" s="65"/>
      <c r="R3659" s="53">
        <f>(R3652/(N_1*F_P_h))*SQRT('Valve Sizing'!$G$6/R3657)</f>
        <v>86.954024038641109</v>
      </c>
      <c r="S3659" s="56"/>
      <c r="T3659" s="72"/>
      <c r="U3659" s="85">
        <f>(U3652/(N_1*U$27))*SQRT('Valve Sizing'!$G$6/U3657)</f>
        <v>133.7344348551658</v>
      </c>
      <c r="V3659" s="44"/>
      <c r="W3659" s="72"/>
      <c r="X3659" s="85" t="e">
        <f>(X3652/(N_1*X$27))*SQRT('Valve Sizing'!$G$6/X3657)</f>
        <v>#NUM!</v>
      </c>
      <c r="Y3659" s="44"/>
      <c r="Z3659" s="72"/>
      <c r="AA3659" s="85" t="e">
        <f>(AA3652/(N_1*AA$27))*SQRT('Valve Sizing'!$G$6/AA3657)</f>
        <v>#NUM!</v>
      </c>
      <c r="AB3659" s="44"/>
      <c r="AC3659" s="72"/>
      <c r="AD3659" s="85" t="e">
        <f>(AD3652/(N_1*AD$27))*SQRT('Valve Sizing'!$G$6/AD3657)</f>
        <v>#NUM!</v>
      </c>
      <c r="AE3659" s="44"/>
      <c r="AF3659" s="72"/>
      <c r="AG3659" s="85" t="e">
        <f>(AG3652/(N_1*AG$27))*SQRT('Valve Sizing'!$G$6/AG3657)</f>
        <v>#NUM!</v>
      </c>
      <c r="AH3659" s="44"/>
      <c r="AI3659" s="72"/>
      <c r="AJ3659" s="85" t="e">
        <f>(AJ3652/(N_1*AJ$27))*SQRT('Valve Sizing'!$G$6/AJ3657)</f>
        <v>#NUM!</v>
      </c>
      <c r="AK3659" s="44"/>
      <c r="AL3659" s="72"/>
      <c r="AM3659" s="85" t="e">
        <f>(AM3652/(N_1*AM$27))*SQRT('Valve Sizing'!$G$6/AM3657)</f>
        <v>#NUM!</v>
      </c>
      <c r="AN3659" s="44"/>
      <c r="AO3659" s="72"/>
      <c r="AP3659" s="85" t="e">
        <f>(AP3652/(N_1*AP$27))*SQRT('Valve Sizing'!$G$6/AP3657)</f>
        <v>#NUM!</v>
      </c>
      <c r="AQ3659" s="44"/>
      <c r="AR3659" s="72"/>
      <c r="AS3659" s="85" t="e">
        <f>(AS3652/(N_1*AS$27))*SQRT('Valve Sizing'!$G$6/AS3657)</f>
        <v>#NUM!</v>
      </c>
      <c r="AT3659" s="44"/>
      <c r="AU3659" s="72"/>
    </row>
    <row r="3660" spans="15:47" x14ac:dyDescent="0.25">
      <c r="O3660" s="1" t="s">
        <v>246</v>
      </c>
      <c r="P3660" s="18"/>
      <c r="Q3660" s="65"/>
      <c r="R3660" s="53">
        <f>IF(R3656&lt;R3657,R3658,R3659)</f>
        <v>119.51967819653066</v>
      </c>
      <c r="S3660" s="49"/>
      <c r="T3660" s="72"/>
      <c r="U3660" s="64">
        <f>IF(U3656&lt;U3657,U3658,U3659)</f>
        <v>239.86901025418135</v>
      </c>
      <c r="V3660" s="44"/>
      <c r="W3660" s="72"/>
      <c r="X3660" s="64" t="e">
        <f>IF(X3656&lt;X3657,X3658,X3659)</f>
        <v>#NUM!</v>
      </c>
      <c r="Y3660" s="44"/>
      <c r="Z3660" s="72"/>
      <c r="AA3660" s="64" t="e">
        <f>IF(AA3656&lt;AA3657,AA3658,AA3659)</f>
        <v>#NUM!</v>
      </c>
      <c r="AB3660" s="44"/>
      <c r="AC3660" s="72"/>
      <c r="AD3660" s="64" t="e">
        <f>IF(AD3656&lt;AD3657,AD3658,AD3659)</f>
        <v>#NUM!</v>
      </c>
      <c r="AE3660" s="44"/>
      <c r="AF3660" s="72"/>
      <c r="AG3660" s="64" t="e">
        <f>IF(AG3656&lt;AG3657,AG3658,AG3659)</f>
        <v>#NUM!</v>
      </c>
      <c r="AH3660" s="44"/>
      <c r="AI3660" s="72"/>
      <c r="AJ3660" s="64" t="e">
        <f>IF(AJ3656&lt;AJ3657,AJ3658,AJ3659)</f>
        <v>#NUM!</v>
      </c>
      <c r="AK3660" s="44"/>
      <c r="AL3660" s="72"/>
      <c r="AM3660" s="64" t="e">
        <f>IF(AM3656&lt;AM3657,AM3658,AM3659)</f>
        <v>#NUM!</v>
      </c>
      <c r="AN3660" s="44"/>
      <c r="AO3660" s="72"/>
      <c r="AP3660" s="64" t="e">
        <f>IF(AP3656&lt;AP3657,AP3658,AP3659)</f>
        <v>#NUM!</v>
      </c>
      <c r="AQ3660" s="44"/>
      <c r="AR3660" s="72"/>
      <c r="AS3660" s="64" t="e">
        <f>IF(AS3656&lt;AS3657,AS3658,AS3659)</f>
        <v>#NUM!</v>
      </c>
      <c r="AT3660" s="44"/>
      <c r="AU3660" s="72"/>
    </row>
    <row r="3661" spans="15:47" ht="13" x14ac:dyDescent="0.3">
      <c r="O3661" s="7" t="s">
        <v>264</v>
      </c>
      <c r="Q3661" s="61"/>
      <c r="R3661" s="53"/>
      <c r="S3661" s="69">
        <f>IFERROR(ABS(C_h-R3660),Q_max*10)</f>
        <v>114.51967819653066</v>
      </c>
      <c r="T3661" s="76">
        <f>R3652</f>
        <v>540.18994576714044</v>
      </c>
      <c r="U3661" s="61"/>
      <c r="V3661" s="69">
        <f>IFERROR(ABS(U$23-U3660),Q_max*10)</f>
        <v>227.86901025418135</v>
      </c>
      <c r="W3661" s="75">
        <f>U3652</f>
        <v>746.19593464138279</v>
      </c>
      <c r="X3661" s="61"/>
      <c r="Y3661" s="69">
        <f>IFERROR(ABS(X$23-X3660),Q_max*10)</f>
        <v>5500</v>
      </c>
      <c r="Z3661" s="75">
        <f>X3652</f>
        <v>1791.1574818672207</v>
      </c>
      <c r="AA3661" s="61"/>
      <c r="AB3661" s="69">
        <f>IFERROR(ABS(AA$23-AA3660),Q_max*10)</f>
        <v>5500</v>
      </c>
      <c r="AC3661" s="75">
        <f>AA3652</f>
        <v>3419.9760709200268</v>
      </c>
      <c r="AD3661" s="61"/>
      <c r="AE3661" s="69">
        <f>IFERROR(ABS(AD$23-AD3660),Q_max*10)</f>
        <v>5500</v>
      </c>
      <c r="AF3661" s="75">
        <f>AD3652</f>
        <v>5624.601476179686</v>
      </c>
      <c r="AG3661" s="61"/>
      <c r="AH3661" s="69">
        <f>IFERROR(ABS(AG$23-AG3660),Q_max*10)</f>
        <v>5500</v>
      </c>
      <c r="AI3661" s="75">
        <f>AG3652</f>
        <v>8374.2651537707097</v>
      </c>
      <c r="AJ3661" s="61"/>
      <c r="AK3661" s="69">
        <f>IFERROR(ABS(AJ$23-AJ3660),Q_max*10)</f>
        <v>5500</v>
      </c>
      <c r="AL3661" s="75">
        <f>AJ3652</f>
        <v>11175.489311108913</v>
      </c>
      <c r="AM3661" s="61"/>
      <c r="AN3661" s="69">
        <f>IFERROR(ABS(AM$23-AM3660),Q_max*10)</f>
        <v>5500</v>
      </c>
      <c r="AO3661" s="75">
        <f>AM3652</f>
        <v>13636.220748960064</v>
      </c>
      <c r="AP3661" s="61"/>
      <c r="AQ3661" s="69">
        <f>IFERROR(ABS(AP$23-AP3660),Q_max*10)</f>
        <v>5500</v>
      </c>
      <c r="AR3661" s="75">
        <f>AP3652</f>
        <v>15831.228958114867</v>
      </c>
      <c r="AS3661" s="61"/>
      <c r="AT3661" s="69">
        <f>IFERROR(ABS(AS$23-AS3660),Q_max*10)</f>
        <v>5500</v>
      </c>
      <c r="AU3661" s="75">
        <f>AS3652</f>
        <v>18017.415298231441</v>
      </c>
    </row>
    <row r="3662" spans="15:47" ht="14.5" x14ac:dyDescent="0.35">
      <c r="O3662" s="8"/>
      <c r="P3662" s="6"/>
      <c r="Q3662" s="60"/>
      <c r="R3662" s="67"/>
      <c r="S3662" s="56"/>
      <c r="T3662" s="72"/>
      <c r="V3662" s="11"/>
      <c r="W3662" s="38"/>
      <c r="Y3662" s="11"/>
      <c r="Z3662" s="38"/>
      <c r="AB3662" s="11"/>
      <c r="AC3662" s="38"/>
      <c r="AE3662" s="11"/>
      <c r="AF3662" s="38"/>
      <c r="AH3662" s="11"/>
      <c r="AI3662" s="38"/>
      <c r="AK3662" s="11"/>
      <c r="AL3662" s="38"/>
      <c r="AN3662" s="11"/>
      <c r="AO3662" s="38"/>
      <c r="AQ3662" s="11"/>
      <c r="AR3662" s="38"/>
      <c r="AT3662" s="11"/>
      <c r="AU3662" s="38"/>
    </row>
    <row r="3663" spans="15:47" ht="14" x14ac:dyDescent="0.3">
      <c r="O3663" s="8" t="s">
        <v>235</v>
      </c>
      <c r="P3663" s="6"/>
      <c r="Q3663" s="60"/>
      <c r="R3663" s="53">
        <f>R3652*1.02</f>
        <v>550.99374468248323</v>
      </c>
      <c r="S3663" s="58" t="s">
        <v>238</v>
      </c>
      <c r="T3663" s="73" t="s">
        <v>241</v>
      </c>
      <c r="U3663" s="84">
        <f>U3652*1.01</f>
        <v>753.65789398779657</v>
      </c>
      <c r="V3663" s="58" t="s">
        <v>238</v>
      </c>
      <c r="W3663" s="73" t="s">
        <v>241</v>
      </c>
      <c r="X3663" s="84">
        <f>X3652*1.01</f>
        <v>1809.069056685893</v>
      </c>
      <c r="Y3663" s="58" t="s">
        <v>238</v>
      </c>
      <c r="Z3663" s="73" t="s">
        <v>241</v>
      </c>
      <c r="AA3663" s="84">
        <f>AA3652*1.01</f>
        <v>3454.1758316292271</v>
      </c>
      <c r="AB3663" s="58" t="s">
        <v>238</v>
      </c>
      <c r="AC3663" s="73" t="s">
        <v>241</v>
      </c>
      <c r="AD3663" s="84">
        <f>AD3652*1.01</f>
        <v>5680.8474909414826</v>
      </c>
      <c r="AE3663" s="58" t="s">
        <v>238</v>
      </c>
      <c r="AF3663" s="73" t="s">
        <v>241</v>
      </c>
      <c r="AG3663" s="84">
        <f>AG3652*1.01</f>
        <v>8458.0078053084162</v>
      </c>
      <c r="AH3663" s="58" t="s">
        <v>238</v>
      </c>
      <c r="AI3663" s="73" t="s">
        <v>241</v>
      </c>
      <c r="AJ3663" s="84">
        <f>AJ3652*1.01</f>
        <v>11287.244204220002</v>
      </c>
      <c r="AK3663" s="58" t="s">
        <v>238</v>
      </c>
      <c r="AL3663" s="73" t="s">
        <v>241</v>
      </c>
      <c r="AM3663" s="84">
        <f>AM3652*1.01</f>
        <v>13772.582956449665</v>
      </c>
      <c r="AN3663" s="58" t="s">
        <v>238</v>
      </c>
      <c r="AO3663" s="73" t="s">
        <v>241</v>
      </c>
      <c r="AP3663" s="84">
        <f>AP3652*1.01</f>
        <v>15989.541247696015</v>
      </c>
      <c r="AQ3663" s="58" t="s">
        <v>238</v>
      </c>
      <c r="AR3663" s="73" t="s">
        <v>241</v>
      </c>
      <c r="AS3663" s="84">
        <f>AS3652*1.01</f>
        <v>18197.589451213757</v>
      </c>
      <c r="AT3663" s="58" t="s">
        <v>238</v>
      </c>
      <c r="AU3663" s="73" t="s">
        <v>241</v>
      </c>
    </row>
    <row r="3664" spans="15:47" ht="13" x14ac:dyDescent="0.25">
      <c r="O3664" s="6"/>
      <c r="P3664" s="6"/>
      <c r="Q3664" s="60"/>
      <c r="R3664" s="70"/>
      <c r="S3664" s="63" t="s">
        <v>250</v>
      </c>
      <c r="T3664" s="71" t="s">
        <v>242</v>
      </c>
      <c r="U3664" s="61"/>
      <c r="V3664" s="63" t="s">
        <v>250</v>
      </c>
      <c r="W3664" s="71" t="s">
        <v>242</v>
      </c>
      <c r="X3664" s="61"/>
      <c r="Y3664" s="63" t="s">
        <v>250</v>
      </c>
      <c r="Z3664" s="71" t="s">
        <v>242</v>
      </c>
      <c r="AA3664" s="61"/>
      <c r="AB3664" s="63" t="s">
        <v>250</v>
      </c>
      <c r="AC3664" s="71" t="s">
        <v>242</v>
      </c>
      <c r="AD3664" s="61"/>
      <c r="AE3664" s="63" t="s">
        <v>250</v>
      </c>
      <c r="AF3664" s="71" t="s">
        <v>242</v>
      </c>
      <c r="AG3664" s="61"/>
      <c r="AH3664" s="63" t="s">
        <v>250</v>
      </c>
      <c r="AI3664" s="71" t="s">
        <v>242</v>
      </c>
      <c r="AJ3664" s="61"/>
      <c r="AK3664" s="63" t="s">
        <v>250</v>
      </c>
      <c r="AL3664" s="71" t="s">
        <v>242</v>
      </c>
      <c r="AM3664" s="61"/>
      <c r="AN3664" s="63" t="s">
        <v>250</v>
      </c>
      <c r="AO3664" s="71" t="s">
        <v>242</v>
      </c>
      <c r="AP3664" s="61"/>
      <c r="AQ3664" s="63" t="s">
        <v>250</v>
      </c>
      <c r="AR3664" s="71" t="s">
        <v>242</v>
      </c>
      <c r="AS3664" s="61"/>
      <c r="AT3664" s="63" t="s">
        <v>250</v>
      </c>
      <c r="AU3664" s="71" t="s">
        <v>242</v>
      </c>
    </row>
    <row r="3665" spans="15:47" ht="13" x14ac:dyDescent="0.3">
      <c r="O3665" s="6" t="s">
        <v>231</v>
      </c>
      <c r="P3665" s="6"/>
      <c r="Q3665" s="60"/>
      <c r="R3665" s="85">
        <f>P_1_minQ-(R3663^2*R_up)+dpup_minQ</f>
        <v>46.663049419816765</v>
      </c>
      <c r="S3665" s="56"/>
      <c r="T3665" s="72"/>
      <c r="U3665" s="53">
        <f>P_1_minQ-(U3663^2*R_up)+dpup_minQ</f>
        <v>37.733427181015848</v>
      </c>
      <c r="V3665" s="44"/>
      <c r="W3665" s="72"/>
      <c r="X3665" s="53">
        <f>P_1_minQ-(X3663^2*R_up)+dpup_minQ</f>
        <v>-53.61174778312688</v>
      </c>
      <c r="Y3665" s="44"/>
      <c r="Z3665" s="72"/>
      <c r="AA3665" s="53">
        <f>P_1_minQ-(AA3663^2*R_up)+dpup_minQ</f>
        <v>-346.03322106759413</v>
      </c>
      <c r="AB3665" s="44"/>
      <c r="AC3665" s="72"/>
      <c r="AD3665" s="53">
        <f>P_1_minQ-(AD3663^2*R_up)+dpup_minQ</f>
        <v>-1032.9868698188498</v>
      </c>
      <c r="AE3665" s="44"/>
      <c r="AF3665" s="72"/>
      <c r="AG3665" s="53">
        <f>P_1_minQ-(AG3663^2*R_up)+dpup_minQ</f>
        <v>-2359.0884510185106</v>
      </c>
      <c r="AH3665" s="44"/>
      <c r="AI3665" s="72"/>
      <c r="AJ3665" s="53">
        <f>P_1_minQ-(AJ3663^2*R_up)+dpup_minQ</f>
        <v>-4245.7478799627843</v>
      </c>
      <c r="AK3665" s="44"/>
      <c r="AL3665" s="72"/>
      <c r="AM3665" s="53">
        <f>P_1_minQ-(AM3663^2*R_up)+dpup_minQ</f>
        <v>-6349.1642786993525</v>
      </c>
      <c r="AN3665" s="44"/>
      <c r="AO3665" s="72"/>
      <c r="AP3665" s="53">
        <f>P_1_minQ-(AP3663^2*R_up)+dpup_minQ</f>
        <v>-8577.5124049906208</v>
      </c>
      <c r="AQ3665" s="44"/>
      <c r="AR3665" s="72"/>
      <c r="AS3665" s="53">
        <f>P_1_minQ-(AS3663^2*R_up)+dpup_minQ</f>
        <v>-11126.881959977245</v>
      </c>
      <c r="AT3665" s="44"/>
      <c r="AU3665" s="72"/>
    </row>
    <row r="3666" spans="15:47" ht="13" x14ac:dyDescent="0.3">
      <c r="O3666" s="6" t="s">
        <v>233</v>
      </c>
      <c r="P3666" s="6"/>
      <c r="Q3666" s="60"/>
      <c r="R3666" s="85">
        <f>P_2_minQ+(R3663^2*R_dn)-dpdn_minQ</f>
        <v>26.707390116036649</v>
      </c>
      <c r="S3666" s="66"/>
      <c r="T3666" s="74"/>
      <c r="U3666" s="53">
        <f>P_2_minQ+(U3663^2*R_dn)-dpdn_minQ</f>
        <v>28.493314563796833</v>
      </c>
      <c r="V3666" s="45"/>
      <c r="W3666" s="74"/>
      <c r="X3666" s="53">
        <f>P_2_minQ+(X3663^2*R_dn)-dpdn_minQ</f>
        <v>46.762349556625381</v>
      </c>
      <c r="Y3666" s="45"/>
      <c r="Z3666" s="74"/>
      <c r="AA3666" s="53">
        <f>P_2_minQ+(AA3663^2*R_dn)-dpdn_minQ</f>
        <v>105.24664421351883</v>
      </c>
      <c r="AB3666" s="45"/>
      <c r="AC3666" s="74"/>
      <c r="AD3666" s="53">
        <f>P_2_minQ+(AD3663^2*R_dn)-dpdn_minQ</f>
        <v>242.63737396376993</v>
      </c>
      <c r="AE3666" s="45"/>
      <c r="AF3666" s="74"/>
      <c r="AG3666" s="53">
        <f>P_2_minQ+(AG3663^2*R_dn)-dpdn_minQ</f>
        <v>507.85769020370202</v>
      </c>
      <c r="AH3666" s="45"/>
      <c r="AI3666" s="74"/>
      <c r="AJ3666" s="53">
        <f>P_2_minQ+(AJ3663^2*R_dn)-dpdn_minQ</f>
        <v>885.18957599255668</v>
      </c>
      <c r="AK3666" s="45"/>
      <c r="AL3666" s="74"/>
      <c r="AM3666" s="53">
        <f>P_2_minQ+(AM3663^2*R_dn)-dpdn_minQ</f>
        <v>1305.8728557398704</v>
      </c>
      <c r="AN3666" s="45"/>
      <c r="AO3666" s="74"/>
      <c r="AP3666" s="53">
        <f>P_2_minQ+(AP3663^2*R_dn)-dpdn_minQ</f>
        <v>1751.5424809981241</v>
      </c>
      <c r="AQ3666" s="45"/>
      <c r="AR3666" s="74"/>
      <c r="AS3666" s="53">
        <f>P_2_minQ+(AS3663^2*R_dn)-dpdn_minQ</f>
        <v>2261.4163919954485</v>
      </c>
      <c r="AT3666" s="45"/>
      <c r="AU3666" s="74"/>
    </row>
    <row r="3667" spans="15:47" x14ac:dyDescent="0.25">
      <c r="O3667" s="6" t="s">
        <v>243</v>
      </c>
      <c r="Q3667" s="60"/>
      <c r="R3667" s="53">
        <f>R3665-R3666</f>
        <v>19.955659303780116</v>
      </c>
      <c r="S3667" s="56"/>
      <c r="T3667" s="72"/>
      <c r="U3667" s="64">
        <f>U3665-U3666</f>
        <v>9.2401126172190153</v>
      </c>
      <c r="V3667" s="44"/>
      <c r="W3667" s="72"/>
      <c r="X3667" s="64">
        <f>X3665-X3666</f>
        <v>-100.37409733975227</v>
      </c>
      <c r="Y3667" s="44"/>
      <c r="Z3667" s="72"/>
      <c r="AA3667" s="64">
        <f>AA3665-AA3666</f>
        <v>-451.27986528111296</v>
      </c>
      <c r="AB3667" s="44"/>
      <c r="AC3667" s="72"/>
      <c r="AD3667" s="64">
        <f>AD3665-AD3666</f>
        <v>-1275.6242437826197</v>
      </c>
      <c r="AE3667" s="44"/>
      <c r="AF3667" s="72"/>
      <c r="AG3667" s="64">
        <f>AG3665-AG3666</f>
        <v>-2866.9461412222126</v>
      </c>
      <c r="AH3667" s="44"/>
      <c r="AI3667" s="72"/>
      <c r="AJ3667" s="64">
        <f>AJ3665-AJ3666</f>
        <v>-5130.9374559553407</v>
      </c>
      <c r="AK3667" s="44"/>
      <c r="AL3667" s="72"/>
      <c r="AM3667" s="64">
        <f>AM3665-AM3666</f>
        <v>-7655.0371344392224</v>
      </c>
      <c r="AN3667" s="44"/>
      <c r="AO3667" s="72"/>
      <c r="AP3667" s="64">
        <f>AP3665-AP3666</f>
        <v>-10329.054885988746</v>
      </c>
      <c r="AQ3667" s="44"/>
      <c r="AR3667" s="72"/>
      <c r="AS3667" s="64">
        <f>AS3665-AS3666</f>
        <v>-13388.298351972693</v>
      </c>
      <c r="AT3667" s="44"/>
      <c r="AU3667" s="72"/>
    </row>
    <row r="3668" spans="15:47" ht="13" x14ac:dyDescent="0.3">
      <c r="O3668" s="6" t="s">
        <v>75</v>
      </c>
      <c r="P3668" s="6">
        <v>3</v>
      </c>
      <c r="Q3668" s="65"/>
      <c r="R3668" s="85">
        <f>(F_LP_h/F_P_h)^2*(R3665-('Valve Sizing'!$V$4*'Valve Sizing'!$G$7))</f>
        <v>38.275063411712395</v>
      </c>
      <c r="S3668" s="58"/>
      <c r="T3668" s="73"/>
      <c r="U3668" s="53">
        <f>(U$29/U$27)^2*(U3665-('Valve Sizing'!$V$4*'Valve Sizing'!$G$7))</f>
        <v>30.87245063391244</v>
      </c>
      <c r="V3668" s="41"/>
      <c r="W3668" s="73"/>
      <c r="X3668" s="53">
        <f>(X$29/X$27)^2*(X3665-('Valve Sizing'!$V$4*'Valve Sizing'!$G$7))</f>
        <v>-43.736211070221998</v>
      </c>
      <c r="Y3668" s="41"/>
      <c r="Z3668" s="73"/>
      <c r="AA3668" s="53">
        <f>(AA$29/AA$27)^2*(AA3665-('Valve Sizing'!$V$4*'Valve Sizing'!$G$7))</f>
        <v>-267.75358708079028</v>
      </c>
      <c r="AB3668" s="41"/>
      <c r="AC3668" s="73"/>
      <c r="AD3668" s="53">
        <f>(AD$29/AD$27)^2*(AD3665-('Valve Sizing'!$V$4*'Valve Sizing'!$G$7))</f>
        <v>-745.29448634047344</v>
      </c>
      <c r="AE3668" s="41"/>
      <c r="AF3668" s="73"/>
      <c r="AG3668" s="53">
        <f>(AG$29/AG$27)^2*(AG3665-('Valve Sizing'!$V$4*'Valve Sizing'!$G$7))</f>
        <v>-1519.640063664247</v>
      </c>
      <c r="AH3668" s="41"/>
      <c r="AI3668" s="73"/>
      <c r="AJ3668" s="53">
        <f>(AJ$29/AJ$27)^2*(AJ3665-('Valve Sizing'!$V$4*'Valve Sizing'!$G$7))</f>
        <v>-2455.8436642185929</v>
      </c>
      <c r="AK3668" s="41"/>
      <c r="AL3668" s="73"/>
      <c r="AM3668" s="53">
        <f>(AM$29/AM$27)^2*(AM3665-('Valve Sizing'!$V$4*'Valve Sizing'!$G$7))</f>
        <v>-3038.1088340554397</v>
      </c>
      <c r="AN3668" s="41"/>
      <c r="AO3668" s="73"/>
      <c r="AP3668" s="53">
        <f>(AP$29/AP$27)^2*(AP3665-('Valve Sizing'!$V$4*'Valve Sizing'!$G$7))</f>
        <v>-3385.0901655705206</v>
      </c>
      <c r="AQ3668" s="41"/>
      <c r="AR3668" s="73"/>
      <c r="AS3668" s="53">
        <f>(AS$29/AS$27)^2*(AS3665-('Valve Sizing'!$V$4*'Valve Sizing'!$G$7))</f>
        <v>-4185.4397399663585</v>
      </c>
      <c r="AT3668" s="41"/>
      <c r="AU3668" s="73"/>
    </row>
    <row r="3669" spans="15:47" ht="13" x14ac:dyDescent="0.25">
      <c r="O3669" s="1" t="s">
        <v>69</v>
      </c>
      <c r="P3669" s="17">
        <v>7</v>
      </c>
      <c r="Q3669" s="65"/>
      <c r="R3669" s="53">
        <f>(R3663/(N_1*F_P_h))*SQRT('Valve Sizing'!$G$6/R3667)</f>
        <v>123.36079419014499</v>
      </c>
      <c r="S3669" s="58"/>
      <c r="T3669" s="73"/>
      <c r="U3669" s="64">
        <f>(U3663/(N_1*U$27))*SQRT('Valve Sizing'!$G$6/U3667)</f>
        <v>248.14257844168858</v>
      </c>
      <c r="V3669" s="41"/>
      <c r="W3669" s="73"/>
      <c r="X3669" s="64" t="e">
        <f>(X3663/(N_1*X$27))*SQRT('Valve Sizing'!$G$6/X3667)</f>
        <v>#NUM!</v>
      </c>
      <c r="Y3669" s="41"/>
      <c r="Z3669" s="73"/>
      <c r="AA3669" s="64" t="e">
        <f>(AA3663/(N_1*AA$27))*SQRT('Valve Sizing'!$G$6/AA3667)</f>
        <v>#NUM!</v>
      </c>
      <c r="AB3669" s="41"/>
      <c r="AC3669" s="73"/>
      <c r="AD3669" s="64" t="e">
        <f>(AD3663/(N_1*AD$27))*SQRT('Valve Sizing'!$G$6/AD3667)</f>
        <v>#NUM!</v>
      </c>
      <c r="AE3669" s="41"/>
      <c r="AF3669" s="73"/>
      <c r="AG3669" s="64" t="e">
        <f>(AG3663/(N_1*AG$27))*SQRT('Valve Sizing'!$G$6/AG3667)</f>
        <v>#NUM!</v>
      </c>
      <c r="AH3669" s="41"/>
      <c r="AI3669" s="73"/>
      <c r="AJ3669" s="64" t="e">
        <f>(AJ3663/(N_1*AJ$27))*SQRT('Valve Sizing'!$G$6/AJ3667)</f>
        <v>#NUM!</v>
      </c>
      <c r="AK3669" s="41"/>
      <c r="AL3669" s="73"/>
      <c r="AM3669" s="64" t="e">
        <f>(AM3663/(N_1*AM$27))*SQRT('Valve Sizing'!$G$6/AM3667)</f>
        <v>#NUM!</v>
      </c>
      <c r="AN3669" s="41"/>
      <c r="AO3669" s="73"/>
      <c r="AP3669" s="64" t="e">
        <f>(AP3663/(N_1*AP$27))*SQRT('Valve Sizing'!$G$6/AP3667)</f>
        <v>#NUM!</v>
      </c>
      <c r="AQ3669" s="41"/>
      <c r="AR3669" s="73"/>
      <c r="AS3669" s="64" t="e">
        <f>(AS3663/(N_1*AS$27))*SQRT('Valve Sizing'!$G$6/AS3667)</f>
        <v>#NUM!</v>
      </c>
      <c r="AT3669" s="41"/>
      <c r="AU3669" s="73"/>
    </row>
    <row r="3670" spans="15:47" ht="13" x14ac:dyDescent="0.3">
      <c r="O3670" s="1" t="s">
        <v>72</v>
      </c>
      <c r="P3670" s="17">
        <v>7</v>
      </c>
      <c r="Q3670" s="65"/>
      <c r="R3670" s="53">
        <f>(R3663/(N_1*F_P_h))*SQRT('Valve Sizing'!$G$6/R3668)</f>
        <v>89.07426298673056</v>
      </c>
      <c r="S3670" s="56"/>
      <c r="T3670" s="72"/>
      <c r="U3670" s="85">
        <f>(U3663/(N_1*U$27))*SQRT('Valve Sizing'!$G$6/U3668)</f>
        <v>135.75454247860685</v>
      </c>
      <c r="V3670" s="44"/>
      <c r="W3670" s="72"/>
      <c r="X3670" s="85" t="e">
        <f>(X3663/(N_1*X$27))*SQRT('Valve Sizing'!$G$6/X3668)</f>
        <v>#NUM!</v>
      </c>
      <c r="Y3670" s="44"/>
      <c r="Z3670" s="72"/>
      <c r="AA3670" s="85" t="e">
        <f>(AA3663/(N_1*AA$27))*SQRT('Valve Sizing'!$G$6/AA3668)</f>
        <v>#NUM!</v>
      </c>
      <c r="AB3670" s="44"/>
      <c r="AC3670" s="72"/>
      <c r="AD3670" s="85" t="e">
        <f>(AD3663/(N_1*AD$27))*SQRT('Valve Sizing'!$G$6/AD3668)</f>
        <v>#NUM!</v>
      </c>
      <c r="AE3670" s="44"/>
      <c r="AF3670" s="72"/>
      <c r="AG3670" s="85" t="e">
        <f>(AG3663/(N_1*AG$27))*SQRT('Valve Sizing'!$G$6/AG3668)</f>
        <v>#NUM!</v>
      </c>
      <c r="AH3670" s="44"/>
      <c r="AI3670" s="72"/>
      <c r="AJ3670" s="85" t="e">
        <f>(AJ3663/(N_1*AJ$27))*SQRT('Valve Sizing'!$G$6/AJ3668)</f>
        <v>#NUM!</v>
      </c>
      <c r="AK3670" s="44"/>
      <c r="AL3670" s="72"/>
      <c r="AM3670" s="85" t="e">
        <f>(AM3663/(N_1*AM$27))*SQRT('Valve Sizing'!$G$6/AM3668)</f>
        <v>#NUM!</v>
      </c>
      <c r="AN3670" s="44"/>
      <c r="AO3670" s="72"/>
      <c r="AP3670" s="85" t="e">
        <f>(AP3663/(N_1*AP$27))*SQRT('Valve Sizing'!$G$6/AP3668)</f>
        <v>#NUM!</v>
      </c>
      <c r="AQ3670" s="44"/>
      <c r="AR3670" s="72"/>
      <c r="AS3670" s="85" t="e">
        <f>(AS3663/(N_1*AS$27))*SQRT('Valve Sizing'!$G$6/AS3668)</f>
        <v>#NUM!</v>
      </c>
      <c r="AT3670" s="44"/>
      <c r="AU3670" s="72"/>
    </row>
    <row r="3671" spans="15:47" x14ac:dyDescent="0.25">
      <c r="O3671" s="1" t="s">
        <v>246</v>
      </c>
      <c r="P3671" s="18"/>
      <c r="Q3671" s="65"/>
      <c r="R3671" s="53">
        <f>IF(R3667&lt;R3668,R3669,R3670)</f>
        <v>123.36079419014499</v>
      </c>
      <c r="S3671" s="49"/>
      <c r="T3671" s="72"/>
      <c r="U3671" s="64">
        <f>IF(U3667&lt;U3668,U3669,U3670)</f>
        <v>248.14257844168858</v>
      </c>
      <c r="V3671" s="44"/>
      <c r="W3671" s="72"/>
      <c r="X3671" s="64" t="e">
        <f>IF(X3667&lt;X3668,X3669,X3670)</f>
        <v>#NUM!</v>
      </c>
      <c r="Y3671" s="44"/>
      <c r="Z3671" s="72"/>
      <c r="AA3671" s="64" t="e">
        <f>IF(AA3667&lt;AA3668,AA3669,AA3670)</f>
        <v>#NUM!</v>
      </c>
      <c r="AB3671" s="44"/>
      <c r="AC3671" s="72"/>
      <c r="AD3671" s="64" t="e">
        <f>IF(AD3667&lt;AD3668,AD3669,AD3670)</f>
        <v>#NUM!</v>
      </c>
      <c r="AE3671" s="44"/>
      <c r="AF3671" s="72"/>
      <c r="AG3671" s="64" t="e">
        <f>IF(AG3667&lt;AG3668,AG3669,AG3670)</f>
        <v>#NUM!</v>
      </c>
      <c r="AH3671" s="44"/>
      <c r="AI3671" s="72"/>
      <c r="AJ3671" s="64" t="e">
        <f>IF(AJ3667&lt;AJ3668,AJ3669,AJ3670)</f>
        <v>#NUM!</v>
      </c>
      <c r="AK3671" s="44"/>
      <c r="AL3671" s="72"/>
      <c r="AM3671" s="64" t="e">
        <f>IF(AM3667&lt;AM3668,AM3669,AM3670)</f>
        <v>#NUM!</v>
      </c>
      <c r="AN3671" s="44"/>
      <c r="AO3671" s="72"/>
      <c r="AP3671" s="64" t="e">
        <f>IF(AP3667&lt;AP3668,AP3669,AP3670)</f>
        <v>#NUM!</v>
      </c>
      <c r="AQ3671" s="44"/>
      <c r="AR3671" s="72"/>
      <c r="AS3671" s="64" t="e">
        <f>IF(AS3667&lt;AS3668,AS3669,AS3670)</f>
        <v>#NUM!</v>
      </c>
      <c r="AT3671" s="44"/>
      <c r="AU3671" s="72"/>
    </row>
    <row r="3672" spans="15:47" ht="13" x14ac:dyDescent="0.3">
      <c r="O3672" s="7" t="s">
        <v>264</v>
      </c>
      <c r="Q3672" s="61"/>
      <c r="R3672" s="53"/>
      <c r="S3672" s="69">
        <f>IFERROR(ABS(C_h-R3671),Q_max*10)</f>
        <v>118.36079419014499</v>
      </c>
      <c r="T3672" s="76">
        <f>R3663</f>
        <v>550.99374468248323</v>
      </c>
      <c r="U3672" s="61"/>
      <c r="V3672" s="69">
        <f>IFERROR(ABS(U$23-U3671),Q_max*10)</f>
        <v>236.14257844168858</v>
      </c>
      <c r="W3672" s="75">
        <f>U3663</f>
        <v>753.65789398779657</v>
      </c>
      <c r="X3672" s="61"/>
      <c r="Y3672" s="69">
        <f>IFERROR(ABS(X$23-X3671),Q_max*10)</f>
        <v>5500</v>
      </c>
      <c r="Z3672" s="75">
        <f>X3663</f>
        <v>1809.069056685893</v>
      </c>
      <c r="AA3672" s="61"/>
      <c r="AB3672" s="69">
        <f>IFERROR(ABS(AA$23-AA3671),Q_max*10)</f>
        <v>5500</v>
      </c>
      <c r="AC3672" s="75">
        <f>AA3663</f>
        <v>3454.1758316292271</v>
      </c>
      <c r="AD3672" s="61"/>
      <c r="AE3672" s="69">
        <f>IFERROR(ABS(AD$23-AD3671),Q_max*10)</f>
        <v>5500</v>
      </c>
      <c r="AF3672" s="75">
        <f>AD3663</f>
        <v>5680.8474909414826</v>
      </c>
      <c r="AG3672" s="61"/>
      <c r="AH3672" s="69">
        <f>IFERROR(ABS(AG$23-AG3671),Q_max*10)</f>
        <v>5500</v>
      </c>
      <c r="AI3672" s="75">
        <f>AG3663</f>
        <v>8458.0078053084162</v>
      </c>
      <c r="AJ3672" s="61"/>
      <c r="AK3672" s="69">
        <f>IFERROR(ABS(AJ$23-AJ3671),Q_max*10)</f>
        <v>5500</v>
      </c>
      <c r="AL3672" s="75">
        <f>AJ3663</f>
        <v>11287.244204220002</v>
      </c>
      <c r="AM3672" s="61"/>
      <c r="AN3672" s="69">
        <f>IFERROR(ABS(AM$23-AM3671),Q_max*10)</f>
        <v>5500</v>
      </c>
      <c r="AO3672" s="75">
        <f>AM3663</f>
        <v>13772.582956449665</v>
      </c>
      <c r="AP3672" s="61"/>
      <c r="AQ3672" s="69">
        <f>IFERROR(ABS(AP$23-AP3671),Q_max*10)</f>
        <v>5500</v>
      </c>
      <c r="AR3672" s="75">
        <f>AP3663</f>
        <v>15989.541247696015</v>
      </c>
      <c r="AS3672" s="61"/>
      <c r="AT3672" s="69">
        <f>IFERROR(ABS(AS$23-AS3671),Q_max*10)</f>
        <v>5500</v>
      </c>
      <c r="AU3672" s="75">
        <f>AS3663</f>
        <v>18197.589451213757</v>
      </c>
    </row>
    <row r="3673" spans="15:47" ht="14.5" x14ac:dyDescent="0.35">
      <c r="O3673" s="6"/>
      <c r="P3673" s="6"/>
      <c r="Q3673" s="60"/>
      <c r="R3673" s="67"/>
      <c r="S3673" s="66"/>
      <c r="T3673" s="74"/>
      <c r="V3673" s="11"/>
      <c r="W3673" s="38"/>
      <c r="Y3673" s="11"/>
      <c r="Z3673" s="38"/>
      <c r="AB3673" s="11"/>
      <c r="AC3673" s="38"/>
      <c r="AE3673" s="11"/>
      <c r="AF3673" s="38"/>
      <c r="AH3673" s="11"/>
      <c r="AI3673" s="38"/>
      <c r="AK3673" s="11"/>
      <c r="AL3673" s="38"/>
      <c r="AN3673" s="11"/>
      <c r="AO3673" s="38"/>
      <c r="AQ3673" s="11"/>
      <c r="AR3673" s="38"/>
      <c r="AT3673" s="11"/>
      <c r="AU3673" s="38"/>
    </row>
    <row r="3674" spans="15:47" ht="14" x14ac:dyDescent="0.3">
      <c r="O3674" s="8" t="s">
        <v>235</v>
      </c>
      <c r="P3674" s="6"/>
      <c r="Q3674" s="60"/>
      <c r="R3674" s="53">
        <f>R3663*1.02</f>
        <v>562.0136195761329</v>
      </c>
      <c r="S3674" s="58" t="s">
        <v>238</v>
      </c>
      <c r="T3674" s="73" t="s">
        <v>241</v>
      </c>
      <c r="U3674" s="84">
        <f>U3663*1.01</f>
        <v>761.1944729276745</v>
      </c>
      <c r="V3674" s="58" t="s">
        <v>238</v>
      </c>
      <c r="W3674" s="73" t="s">
        <v>241</v>
      </c>
      <c r="X3674" s="84">
        <f>X3663*1.01</f>
        <v>1827.1597472527519</v>
      </c>
      <c r="Y3674" s="58" t="s">
        <v>238</v>
      </c>
      <c r="Z3674" s="73" t="s">
        <v>241</v>
      </c>
      <c r="AA3674" s="84">
        <f>AA3663*1.01</f>
        <v>3488.7175899455192</v>
      </c>
      <c r="AB3674" s="58" t="s">
        <v>238</v>
      </c>
      <c r="AC3674" s="73" t="s">
        <v>241</v>
      </c>
      <c r="AD3674" s="84">
        <f>AD3663*1.01</f>
        <v>5737.6559658508977</v>
      </c>
      <c r="AE3674" s="58" t="s">
        <v>238</v>
      </c>
      <c r="AF3674" s="73" t="s">
        <v>241</v>
      </c>
      <c r="AG3674" s="84">
        <f>AG3663*1.01</f>
        <v>8542.5878833615006</v>
      </c>
      <c r="AH3674" s="58" t="s">
        <v>238</v>
      </c>
      <c r="AI3674" s="73" t="s">
        <v>241</v>
      </c>
      <c r="AJ3674" s="84">
        <f>AJ3663*1.01</f>
        <v>11400.116646262202</v>
      </c>
      <c r="AK3674" s="58" t="s">
        <v>238</v>
      </c>
      <c r="AL3674" s="73" t="s">
        <v>241</v>
      </c>
      <c r="AM3674" s="84">
        <f>AM3663*1.01</f>
        <v>13910.308786014162</v>
      </c>
      <c r="AN3674" s="58" t="s">
        <v>238</v>
      </c>
      <c r="AO3674" s="73" t="s">
        <v>241</v>
      </c>
      <c r="AP3674" s="84">
        <f>AP3663*1.01</f>
        <v>16149.436660172976</v>
      </c>
      <c r="AQ3674" s="58" t="s">
        <v>238</v>
      </c>
      <c r="AR3674" s="73" t="s">
        <v>241</v>
      </c>
      <c r="AS3674" s="84">
        <f>AS3663*1.01</f>
        <v>18379.565345725896</v>
      </c>
      <c r="AT3674" s="58" t="s">
        <v>238</v>
      </c>
      <c r="AU3674" s="73" t="s">
        <v>241</v>
      </c>
    </row>
    <row r="3675" spans="15:47" ht="13" x14ac:dyDescent="0.25">
      <c r="O3675" s="6"/>
      <c r="P3675" s="6"/>
      <c r="Q3675" s="60"/>
      <c r="R3675" s="70"/>
      <c r="S3675" s="63" t="s">
        <v>250</v>
      </c>
      <c r="T3675" s="71" t="s">
        <v>242</v>
      </c>
      <c r="U3675" s="61"/>
      <c r="V3675" s="63" t="s">
        <v>250</v>
      </c>
      <c r="W3675" s="71" t="s">
        <v>242</v>
      </c>
      <c r="X3675" s="61"/>
      <c r="Y3675" s="63" t="s">
        <v>250</v>
      </c>
      <c r="Z3675" s="71" t="s">
        <v>242</v>
      </c>
      <c r="AA3675" s="61"/>
      <c r="AB3675" s="63" t="s">
        <v>250</v>
      </c>
      <c r="AC3675" s="71" t="s">
        <v>242</v>
      </c>
      <c r="AD3675" s="61"/>
      <c r="AE3675" s="63" t="s">
        <v>250</v>
      </c>
      <c r="AF3675" s="71" t="s">
        <v>242</v>
      </c>
      <c r="AG3675" s="61"/>
      <c r="AH3675" s="63" t="s">
        <v>250</v>
      </c>
      <c r="AI3675" s="71" t="s">
        <v>242</v>
      </c>
      <c r="AJ3675" s="61"/>
      <c r="AK3675" s="63" t="s">
        <v>250</v>
      </c>
      <c r="AL3675" s="71" t="s">
        <v>242</v>
      </c>
      <c r="AM3675" s="61"/>
      <c r="AN3675" s="63" t="s">
        <v>250</v>
      </c>
      <c r="AO3675" s="71" t="s">
        <v>242</v>
      </c>
      <c r="AP3675" s="61"/>
      <c r="AQ3675" s="63" t="s">
        <v>250</v>
      </c>
      <c r="AR3675" s="71" t="s">
        <v>242</v>
      </c>
      <c r="AS3675" s="61"/>
      <c r="AT3675" s="63" t="s">
        <v>250</v>
      </c>
      <c r="AU3675" s="71" t="s">
        <v>242</v>
      </c>
    </row>
    <row r="3676" spans="15:47" ht="13" x14ac:dyDescent="0.3">
      <c r="O3676" s="6" t="s">
        <v>231</v>
      </c>
      <c r="P3676" s="6"/>
      <c r="Q3676" s="60"/>
      <c r="R3676" s="85">
        <f>P_1_minQ-(R3674^2*R_up)+dpup_minQ</f>
        <v>46.248824431304755</v>
      </c>
      <c r="S3676" s="56"/>
      <c r="T3676" s="72"/>
      <c r="U3676" s="53">
        <f>P_1_minQ-(U3674^2*R_up)+dpup_minQ</f>
        <v>37.347854589137448</v>
      </c>
      <c r="V3676" s="44"/>
      <c r="W3676" s="72"/>
      <c r="X3676" s="53">
        <f>P_1_minQ-(X3674^2*R_up)+dpup_minQ</f>
        <v>-55.83335839178455</v>
      </c>
      <c r="Y3676" s="44"/>
      <c r="Z3676" s="72"/>
      <c r="AA3676" s="53">
        <f>P_1_minQ-(AA3674^2*R_up)+dpup_minQ</f>
        <v>-354.13250328926961</v>
      </c>
      <c r="AB3676" s="44"/>
      <c r="AC3676" s="72"/>
      <c r="AD3676" s="53">
        <f>P_1_minQ-(AD3674^2*R_up)+dpup_minQ</f>
        <v>-1054.8939203804255</v>
      </c>
      <c r="AE3676" s="44"/>
      <c r="AF3676" s="72"/>
      <c r="AG3676" s="53">
        <f>P_1_minQ-(AG3674^2*R_up)+dpup_minQ</f>
        <v>-2407.6501433621997</v>
      </c>
      <c r="AH3676" s="44"/>
      <c r="AI3676" s="72"/>
      <c r="AJ3676" s="53">
        <f>P_1_minQ-(AJ3674^2*R_up)+dpup_minQ</f>
        <v>-4332.2314268282535</v>
      </c>
      <c r="AK3676" s="44"/>
      <c r="AL3676" s="72"/>
      <c r="AM3676" s="53">
        <f>P_1_minQ-(AM3674^2*R_up)+dpup_minQ</f>
        <v>-6477.9264951794266</v>
      </c>
      <c r="AN3676" s="44"/>
      <c r="AO3676" s="72"/>
      <c r="AP3676" s="53">
        <f>P_1_minQ-(AP3674^2*R_up)+dpup_minQ</f>
        <v>-8751.0644188091483</v>
      </c>
      <c r="AQ3676" s="44"/>
      <c r="AR3676" s="72"/>
      <c r="AS3676" s="53">
        <f>P_1_minQ-(AS3674^2*R_up)+dpup_minQ</f>
        <v>-11351.676301851006</v>
      </c>
      <c r="AT3676" s="44"/>
      <c r="AU3676" s="72"/>
    </row>
    <row r="3677" spans="15:47" ht="13" x14ac:dyDescent="0.3">
      <c r="O3677" s="6" t="s">
        <v>233</v>
      </c>
      <c r="P3677" s="6"/>
      <c r="Q3677" s="60"/>
      <c r="R3677" s="85">
        <f>P_2_minQ+(R3674^2*R_dn)-dpdn_minQ</f>
        <v>26.790235113739051</v>
      </c>
      <c r="S3677" s="66"/>
      <c r="T3677" s="74"/>
      <c r="U3677" s="53">
        <f>P_2_minQ+(U3674^2*R_dn)-dpdn_minQ</f>
        <v>28.570429082172513</v>
      </c>
      <c r="V3677" s="45"/>
      <c r="W3677" s="74"/>
      <c r="X3677" s="53">
        <f>P_2_minQ+(X3674^2*R_dn)-dpdn_minQ</f>
        <v>47.206671678356912</v>
      </c>
      <c r="Y3677" s="45"/>
      <c r="Z3677" s="74"/>
      <c r="AA3677" s="53">
        <f>P_2_minQ+(AA3674^2*R_dn)-dpdn_minQ</f>
        <v>106.86650065785392</v>
      </c>
      <c r="AB3677" s="45"/>
      <c r="AC3677" s="74"/>
      <c r="AD3677" s="53">
        <f>P_2_minQ+(AD3674^2*R_dn)-dpdn_minQ</f>
        <v>247.0187840760851</v>
      </c>
      <c r="AE3677" s="45"/>
      <c r="AF3677" s="74"/>
      <c r="AG3677" s="53">
        <f>P_2_minQ+(AG3674^2*R_dn)-dpdn_minQ</f>
        <v>517.57002867243978</v>
      </c>
      <c r="AH3677" s="45"/>
      <c r="AI3677" s="74"/>
      <c r="AJ3677" s="53">
        <f>P_2_minQ+(AJ3674^2*R_dn)-dpdn_minQ</f>
        <v>902.48628536565047</v>
      </c>
      <c r="AK3677" s="45"/>
      <c r="AL3677" s="74"/>
      <c r="AM3677" s="53">
        <f>P_2_minQ+(AM3674^2*R_dn)-dpdn_minQ</f>
        <v>1331.6252990358851</v>
      </c>
      <c r="AN3677" s="45"/>
      <c r="AO3677" s="74"/>
      <c r="AP3677" s="53">
        <f>P_2_minQ+(AP3674^2*R_dn)-dpdn_minQ</f>
        <v>1786.2528837618297</v>
      </c>
      <c r="AQ3677" s="45"/>
      <c r="AR3677" s="74"/>
      <c r="AS3677" s="53">
        <f>P_2_minQ+(AS3674^2*R_dn)-dpdn_minQ</f>
        <v>2306.375260370201</v>
      </c>
      <c r="AT3677" s="45"/>
      <c r="AU3677" s="74"/>
    </row>
    <row r="3678" spans="15:47" x14ac:dyDescent="0.25">
      <c r="O3678" s="6" t="s">
        <v>243</v>
      </c>
      <c r="Q3678" s="60"/>
      <c r="R3678" s="53">
        <f>R3676-R3677</f>
        <v>19.458589317565703</v>
      </c>
      <c r="S3678" s="56"/>
      <c r="T3678" s="72"/>
      <c r="U3678" s="64">
        <f>U3676-U3677</f>
        <v>8.777425506964935</v>
      </c>
      <c r="V3678" s="44"/>
      <c r="W3678" s="72"/>
      <c r="X3678" s="64">
        <f>X3676-X3677</f>
        <v>-103.04003007014146</v>
      </c>
      <c r="Y3678" s="44"/>
      <c r="Z3678" s="72"/>
      <c r="AA3678" s="64">
        <f>AA3676-AA3677</f>
        <v>-460.99900394712353</v>
      </c>
      <c r="AB3678" s="44"/>
      <c r="AC3678" s="72"/>
      <c r="AD3678" s="64">
        <f>AD3676-AD3677</f>
        <v>-1301.9127044565105</v>
      </c>
      <c r="AE3678" s="44"/>
      <c r="AF3678" s="72"/>
      <c r="AG3678" s="64">
        <f>AG3676-AG3677</f>
        <v>-2925.2201720346393</v>
      </c>
      <c r="AH3678" s="44"/>
      <c r="AI3678" s="72"/>
      <c r="AJ3678" s="64">
        <f>AJ3676-AJ3677</f>
        <v>-5234.7177121939039</v>
      </c>
      <c r="AK3678" s="44"/>
      <c r="AL3678" s="72"/>
      <c r="AM3678" s="64">
        <f>AM3676-AM3677</f>
        <v>-7809.5517942153119</v>
      </c>
      <c r="AN3678" s="44"/>
      <c r="AO3678" s="72"/>
      <c r="AP3678" s="64">
        <f>AP3676-AP3677</f>
        <v>-10537.317302570978</v>
      </c>
      <c r="AQ3678" s="44"/>
      <c r="AR3678" s="72"/>
      <c r="AS3678" s="64">
        <f>AS3676-AS3677</f>
        <v>-13658.051562221208</v>
      </c>
      <c r="AT3678" s="44"/>
      <c r="AU3678" s="72"/>
    </row>
    <row r="3679" spans="15:47" ht="13" x14ac:dyDescent="0.3">
      <c r="O3679" s="6" t="s">
        <v>75</v>
      </c>
      <c r="P3679" s="6">
        <v>3</v>
      </c>
      <c r="Q3679" s="65"/>
      <c r="R3679" s="85">
        <f>(F_LP_h/F_P_h)^2*(R3676-('Valve Sizing'!$V$4*'Valve Sizing'!$G$7))</f>
        <v>37.932063378580203</v>
      </c>
      <c r="S3679" s="58"/>
      <c r="T3679" s="73"/>
      <c r="U3679" s="53">
        <f>(U$29/U$27)^2*(U3676-('Valve Sizing'!$V$4*'Valve Sizing'!$G$7))</f>
        <v>30.553263310152179</v>
      </c>
      <c r="V3679" s="41"/>
      <c r="W3679" s="73"/>
      <c r="X3679" s="53">
        <f>(X$29/X$27)^2*(X3676-('Valve Sizing'!$V$4*'Valve Sizing'!$G$7))</f>
        <v>-45.533835214011724</v>
      </c>
      <c r="Y3679" s="41"/>
      <c r="Z3679" s="73"/>
      <c r="AA3679" s="53">
        <f>(AA$29/AA$27)^2*(AA3676-('Valve Sizing'!$V$4*'Valve Sizing'!$G$7))</f>
        <v>-274.01268987665759</v>
      </c>
      <c r="AB3679" s="41"/>
      <c r="AC3679" s="73"/>
      <c r="AD3679" s="53">
        <f>(AD$29/AD$27)^2*(AD3676-('Valve Sizing'!$V$4*'Valve Sizing'!$G$7))</f>
        <v>-761.09357533384298</v>
      </c>
      <c r="AE3679" s="41"/>
      <c r="AF3679" s="73"/>
      <c r="AG3679" s="53">
        <f>(AG$29/AG$27)^2*(AG3676-('Valve Sizing'!$V$4*'Valve Sizing'!$G$7))</f>
        <v>-1550.9159278774148</v>
      </c>
      <c r="AH3679" s="41"/>
      <c r="AI3679" s="73"/>
      <c r="AJ3679" s="53">
        <f>(AJ$29/AJ$27)^2*(AJ3676-('Valve Sizing'!$V$4*'Valve Sizing'!$G$7))</f>
        <v>-2505.8626633180943</v>
      </c>
      <c r="AK3679" s="41"/>
      <c r="AL3679" s="73"/>
      <c r="AM3679" s="53">
        <f>(AM$29/AM$27)^2*(AM3676-('Valve Sizing'!$V$4*'Valve Sizing'!$G$7))</f>
        <v>-3099.7179685238748</v>
      </c>
      <c r="AN3679" s="41"/>
      <c r="AO3679" s="73"/>
      <c r="AP3679" s="53">
        <f>(AP$29/AP$27)^2*(AP3676-('Valve Sizing'!$V$4*'Valve Sizing'!$G$7))</f>
        <v>-3453.5784461653875</v>
      </c>
      <c r="AQ3679" s="41"/>
      <c r="AR3679" s="73"/>
      <c r="AS3679" s="53">
        <f>(AS$29/AS$27)^2*(AS3676-('Valve Sizing'!$V$4*'Valve Sizing'!$G$7))</f>
        <v>-4269.9940622288004</v>
      </c>
      <c r="AT3679" s="41"/>
      <c r="AU3679" s="73"/>
    </row>
    <row r="3680" spans="15:47" ht="13" x14ac:dyDescent="0.25">
      <c r="O3680" s="1" t="s">
        <v>69</v>
      </c>
      <c r="P3680" s="17">
        <v>7</v>
      </c>
      <c r="Q3680" s="65"/>
      <c r="R3680" s="53">
        <f>(R3674/(N_1*F_P_h))*SQRT('Valve Sizing'!$G$6/R3678)</f>
        <v>127.42501480969712</v>
      </c>
      <c r="S3680" s="58"/>
      <c r="T3680" s="73"/>
      <c r="U3680" s="64">
        <f>(U3674/(N_1*U$27))*SQRT('Valve Sizing'!$G$6/U3678)</f>
        <v>257.14478462931083</v>
      </c>
      <c r="V3680" s="41"/>
      <c r="W3680" s="73"/>
      <c r="X3680" s="64" t="e">
        <f>(X3674/(N_1*X$27))*SQRT('Valve Sizing'!$G$6/X3678)</f>
        <v>#NUM!</v>
      </c>
      <c r="Y3680" s="41"/>
      <c r="Z3680" s="73"/>
      <c r="AA3680" s="64" t="e">
        <f>(AA3674/(N_1*AA$27))*SQRT('Valve Sizing'!$G$6/AA3678)</f>
        <v>#NUM!</v>
      </c>
      <c r="AB3680" s="41"/>
      <c r="AC3680" s="73"/>
      <c r="AD3680" s="64" t="e">
        <f>(AD3674/(N_1*AD$27))*SQRT('Valve Sizing'!$G$6/AD3678)</f>
        <v>#NUM!</v>
      </c>
      <c r="AE3680" s="41"/>
      <c r="AF3680" s="73"/>
      <c r="AG3680" s="64" t="e">
        <f>(AG3674/(N_1*AG$27))*SQRT('Valve Sizing'!$G$6/AG3678)</f>
        <v>#NUM!</v>
      </c>
      <c r="AH3680" s="41"/>
      <c r="AI3680" s="73"/>
      <c r="AJ3680" s="64" t="e">
        <f>(AJ3674/(N_1*AJ$27))*SQRT('Valve Sizing'!$G$6/AJ3678)</f>
        <v>#NUM!</v>
      </c>
      <c r="AK3680" s="41"/>
      <c r="AL3680" s="73"/>
      <c r="AM3680" s="64" t="e">
        <f>(AM3674/(N_1*AM$27))*SQRT('Valve Sizing'!$G$6/AM3678)</f>
        <v>#NUM!</v>
      </c>
      <c r="AN3680" s="41"/>
      <c r="AO3680" s="73"/>
      <c r="AP3680" s="64" t="e">
        <f>(AP3674/(N_1*AP$27))*SQRT('Valve Sizing'!$G$6/AP3678)</f>
        <v>#NUM!</v>
      </c>
      <c r="AQ3680" s="41"/>
      <c r="AR3680" s="73"/>
      <c r="AS3680" s="64" t="e">
        <f>(AS3674/(N_1*AS$27))*SQRT('Valve Sizing'!$G$6/AS3678)</f>
        <v>#NUM!</v>
      </c>
      <c r="AT3680" s="41"/>
      <c r="AU3680" s="73"/>
    </row>
    <row r="3681" spans="15:47" ht="13" x14ac:dyDescent="0.3">
      <c r="O3681" s="1" t="s">
        <v>72</v>
      </c>
      <c r="P3681" s="17">
        <v>7</v>
      </c>
      <c r="Q3681" s="65"/>
      <c r="R3681" s="53">
        <f>(R3674/(N_1*F_P_h))*SQRT('Valve Sizing'!$G$6/R3679)</f>
        <v>91.26560457522271</v>
      </c>
      <c r="S3681" s="56"/>
      <c r="T3681" s="72"/>
      <c r="U3681" s="85">
        <f>(U3674/(N_1*U$27))*SQRT('Valve Sizing'!$G$6/U3679)</f>
        <v>137.826426209678</v>
      </c>
      <c r="V3681" s="44"/>
      <c r="W3681" s="72"/>
      <c r="X3681" s="85" t="e">
        <f>(X3674/(N_1*X$27))*SQRT('Valve Sizing'!$G$6/X3679)</f>
        <v>#NUM!</v>
      </c>
      <c r="Y3681" s="44"/>
      <c r="Z3681" s="72"/>
      <c r="AA3681" s="85" t="e">
        <f>(AA3674/(N_1*AA$27))*SQRT('Valve Sizing'!$G$6/AA3679)</f>
        <v>#NUM!</v>
      </c>
      <c r="AB3681" s="44"/>
      <c r="AC3681" s="72"/>
      <c r="AD3681" s="85" t="e">
        <f>(AD3674/(N_1*AD$27))*SQRT('Valve Sizing'!$G$6/AD3679)</f>
        <v>#NUM!</v>
      </c>
      <c r="AE3681" s="44"/>
      <c r="AF3681" s="72"/>
      <c r="AG3681" s="85" t="e">
        <f>(AG3674/(N_1*AG$27))*SQRT('Valve Sizing'!$G$6/AG3679)</f>
        <v>#NUM!</v>
      </c>
      <c r="AH3681" s="44"/>
      <c r="AI3681" s="72"/>
      <c r="AJ3681" s="85" t="e">
        <f>(AJ3674/(N_1*AJ$27))*SQRT('Valve Sizing'!$G$6/AJ3679)</f>
        <v>#NUM!</v>
      </c>
      <c r="AK3681" s="44"/>
      <c r="AL3681" s="72"/>
      <c r="AM3681" s="85" t="e">
        <f>(AM3674/(N_1*AM$27))*SQRT('Valve Sizing'!$G$6/AM3679)</f>
        <v>#NUM!</v>
      </c>
      <c r="AN3681" s="44"/>
      <c r="AO3681" s="72"/>
      <c r="AP3681" s="85" t="e">
        <f>(AP3674/(N_1*AP$27))*SQRT('Valve Sizing'!$G$6/AP3679)</f>
        <v>#NUM!</v>
      </c>
      <c r="AQ3681" s="44"/>
      <c r="AR3681" s="72"/>
      <c r="AS3681" s="85" t="e">
        <f>(AS3674/(N_1*AS$27))*SQRT('Valve Sizing'!$G$6/AS3679)</f>
        <v>#NUM!</v>
      </c>
      <c r="AT3681" s="44"/>
      <c r="AU3681" s="72"/>
    </row>
    <row r="3682" spans="15:47" x14ac:dyDescent="0.25">
      <c r="O3682" s="1" t="s">
        <v>246</v>
      </c>
      <c r="P3682" s="18"/>
      <c r="Q3682" s="65"/>
      <c r="R3682" s="53">
        <f>IF(R3678&lt;R3679,R3680,R3681)</f>
        <v>127.42501480969712</v>
      </c>
      <c r="S3682" s="49"/>
      <c r="T3682" s="72"/>
      <c r="U3682" s="64">
        <f>IF(U3678&lt;U3679,U3680,U3681)</f>
        <v>257.14478462931083</v>
      </c>
      <c r="V3682" s="44"/>
      <c r="W3682" s="72"/>
      <c r="X3682" s="64" t="e">
        <f>IF(X3678&lt;X3679,X3680,X3681)</f>
        <v>#NUM!</v>
      </c>
      <c r="Y3682" s="44"/>
      <c r="Z3682" s="72"/>
      <c r="AA3682" s="64" t="e">
        <f>IF(AA3678&lt;AA3679,AA3680,AA3681)</f>
        <v>#NUM!</v>
      </c>
      <c r="AB3682" s="44"/>
      <c r="AC3682" s="72"/>
      <c r="AD3682" s="64" t="e">
        <f>IF(AD3678&lt;AD3679,AD3680,AD3681)</f>
        <v>#NUM!</v>
      </c>
      <c r="AE3682" s="44"/>
      <c r="AF3682" s="72"/>
      <c r="AG3682" s="64" t="e">
        <f>IF(AG3678&lt;AG3679,AG3680,AG3681)</f>
        <v>#NUM!</v>
      </c>
      <c r="AH3682" s="44"/>
      <c r="AI3682" s="72"/>
      <c r="AJ3682" s="64" t="e">
        <f>IF(AJ3678&lt;AJ3679,AJ3680,AJ3681)</f>
        <v>#NUM!</v>
      </c>
      <c r="AK3682" s="44"/>
      <c r="AL3682" s="72"/>
      <c r="AM3682" s="64" t="e">
        <f>IF(AM3678&lt;AM3679,AM3680,AM3681)</f>
        <v>#NUM!</v>
      </c>
      <c r="AN3682" s="44"/>
      <c r="AO3682" s="72"/>
      <c r="AP3682" s="64" t="e">
        <f>IF(AP3678&lt;AP3679,AP3680,AP3681)</f>
        <v>#NUM!</v>
      </c>
      <c r="AQ3682" s="44"/>
      <c r="AR3682" s="72"/>
      <c r="AS3682" s="64" t="e">
        <f>IF(AS3678&lt;AS3679,AS3680,AS3681)</f>
        <v>#NUM!</v>
      </c>
      <c r="AT3682" s="44"/>
      <c r="AU3682" s="72"/>
    </row>
    <row r="3683" spans="15:47" ht="13" x14ac:dyDescent="0.3">
      <c r="O3683" s="7" t="s">
        <v>264</v>
      </c>
      <c r="Q3683" s="61"/>
      <c r="R3683" s="53"/>
      <c r="S3683" s="69">
        <f>IFERROR(ABS(C_h-R3682),Q_max*10)</f>
        <v>122.42501480969712</v>
      </c>
      <c r="T3683" s="76">
        <f>R3674</f>
        <v>562.0136195761329</v>
      </c>
      <c r="U3683" s="61"/>
      <c r="V3683" s="69">
        <f>IFERROR(ABS(U$23-U3682),Q_max*10)</f>
        <v>245.14478462931083</v>
      </c>
      <c r="W3683" s="75">
        <f>U3674</f>
        <v>761.1944729276745</v>
      </c>
      <c r="X3683" s="61"/>
      <c r="Y3683" s="69">
        <f>IFERROR(ABS(X$23-X3682),Q_max*10)</f>
        <v>5500</v>
      </c>
      <c r="Z3683" s="75">
        <f>X3674</f>
        <v>1827.1597472527519</v>
      </c>
      <c r="AA3683" s="61"/>
      <c r="AB3683" s="69">
        <f>IFERROR(ABS(AA$23-AA3682),Q_max*10)</f>
        <v>5500</v>
      </c>
      <c r="AC3683" s="75">
        <f>AA3674</f>
        <v>3488.7175899455192</v>
      </c>
      <c r="AD3683" s="61"/>
      <c r="AE3683" s="69">
        <f>IFERROR(ABS(AD$23-AD3682),Q_max*10)</f>
        <v>5500</v>
      </c>
      <c r="AF3683" s="75">
        <f>AD3674</f>
        <v>5737.6559658508977</v>
      </c>
      <c r="AG3683" s="61"/>
      <c r="AH3683" s="69">
        <f>IFERROR(ABS(AG$23-AG3682),Q_max*10)</f>
        <v>5500</v>
      </c>
      <c r="AI3683" s="75">
        <f>AG3674</f>
        <v>8542.5878833615006</v>
      </c>
      <c r="AJ3683" s="61"/>
      <c r="AK3683" s="69">
        <f>IFERROR(ABS(AJ$23-AJ3682),Q_max*10)</f>
        <v>5500</v>
      </c>
      <c r="AL3683" s="75">
        <f>AJ3674</f>
        <v>11400.116646262202</v>
      </c>
      <c r="AM3683" s="61"/>
      <c r="AN3683" s="69">
        <f>IFERROR(ABS(AM$23-AM3682),Q_max*10)</f>
        <v>5500</v>
      </c>
      <c r="AO3683" s="75">
        <f>AM3674</f>
        <v>13910.308786014162</v>
      </c>
      <c r="AP3683" s="61"/>
      <c r="AQ3683" s="69">
        <f>IFERROR(ABS(AP$23-AP3682),Q_max*10)</f>
        <v>5500</v>
      </c>
      <c r="AR3683" s="75">
        <f>AP3674</f>
        <v>16149.436660172976</v>
      </c>
      <c r="AS3683" s="61"/>
      <c r="AT3683" s="69">
        <f>IFERROR(ABS(AS$23-AS3682),Q_max*10)</f>
        <v>5500</v>
      </c>
      <c r="AU3683" s="75">
        <f>AS3674</f>
        <v>18379.565345725896</v>
      </c>
    </row>
    <row r="3684" spans="15:47" ht="14.5" x14ac:dyDescent="0.35">
      <c r="O3684" s="6"/>
      <c r="P3684" s="6"/>
      <c r="Q3684" s="60"/>
      <c r="R3684" s="67"/>
      <c r="S3684" s="56"/>
      <c r="T3684" s="72"/>
      <c r="V3684" s="11"/>
      <c r="W3684" s="38"/>
      <c r="Y3684" s="11"/>
      <c r="Z3684" s="38"/>
      <c r="AB3684" s="11"/>
      <c r="AC3684" s="38"/>
      <c r="AE3684" s="11"/>
      <c r="AF3684" s="38"/>
      <c r="AH3684" s="11"/>
      <c r="AI3684" s="38"/>
      <c r="AK3684" s="11"/>
      <c r="AL3684" s="38"/>
      <c r="AN3684" s="11"/>
      <c r="AO3684" s="38"/>
      <c r="AQ3684" s="11"/>
      <c r="AR3684" s="38"/>
      <c r="AT3684" s="11"/>
      <c r="AU3684" s="38"/>
    </row>
    <row r="3685" spans="15:47" ht="14" x14ac:dyDescent="0.3">
      <c r="O3685" s="8" t="s">
        <v>235</v>
      </c>
      <c r="P3685" s="6"/>
      <c r="Q3685" s="60"/>
      <c r="R3685" s="53">
        <f>R3674*1.02</f>
        <v>573.25389196765559</v>
      </c>
      <c r="S3685" s="58" t="s">
        <v>238</v>
      </c>
      <c r="T3685" s="73" t="s">
        <v>241</v>
      </c>
      <c r="U3685" s="84">
        <f>U3674*1.01</f>
        <v>768.80641765695123</v>
      </c>
      <c r="V3685" s="58" t="s">
        <v>238</v>
      </c>
      <c r="W3685" s="73" t="s">
        <v>241</v>
      </c>
      <c r="X3685" s="84">
        <f>X3674*1.01</f>
        <v>1845.4313447252794</v>
      </c>
      <c r="Y3685" s="58" t="s">
        <v>238</v>
      </c>
      <c r="Z3685" s="73" t="s">
        <v>241</v>
      </c>
      <c r="AA3685" s="84">
        <f>AA3674*1.01</f>
        <v>3523.6047658449743</v>
      </c>
      <c r="AB3685" s="58" t="s">
        <v>238</v>
      </c>
      <c r="AC3685" s="73" t="s">
        <v>241</v>
      </c>
      <c r="AD3685" s="84">
        <f>AD3674*1.01</f>
        <v>5795.0325255094067</v>
      </c>
      <c r="AE3685" s="58" t="s">
        <v>238</v>
      </c>
      <c r="AF3685" s="73" t="s">
        <v>241</v>
      </c>
      <c r="AG3685" s="84">
        <f>AG3674*1.01</f>
        <v>8628.0137621951162</v>
      </c>
      <c r="AH3685" s="58" t="s">
        <v>238</v>
      </c>
      <c r="AI3685" s="73" t="s">
        <v>241</v>
      </c>
      <c r="AJ3685" s="84">
        <f>AJ3674*1.01</f>
        <v>11514.117812724824</v>
      </c>
      <c r="AK3685" s="58" t="s">
        <v>238</v>
      </c>
      <c r="AL3685" s="73" t="s">
        <v>241</v>
      </c>
      <c r="AM3685" s="84">
        <f>AM3674*1.01</f>
        <v>14049.411873874304</v>
      </c>
      <c r="AN3685" s="58" t="s">
        <v>238</v>
      </c>
      <c r="AO3685" s="73" t="s">
        <v>241</v>
      </c>
      <c r="AP3685" s="84">
        <f>AP3674*1.01</f>
        <v>16310.931026774706</v>
      </c>
      <c r="AQ3685" s="58" t="s">
        <v>238</v>
      </c>
      <c r="AR3685" s="73" t="s">
        <v>241</v>
      </c>
      <c r="AS3685" s="84">
        <f>AS3674*1.01</f>
        <v>18563.360999183154</v>
      </c>
      <c r="AT3685" s="58" t="s">
        <v>238</v>
      </c>
      <c r="AU3685" s="73" t="s">
        <v>241</v>
      </c>
    </row>
    <row r="3686" spans="15:47" ht="13" x14ac:dyDescent="0.25">
      <c r="O3686" s="6"/>
      <c r="P3686" s="6"/>
      <c r="Q3686" s="60"/>
      <c r="R3686" s="70"/>
      <c r="S3686" s="63" t="s">
        <v>250</v>
      </c>
      <c r="T3686" s="71" t="s">
        <v>242</v>
      </c>
      <c r="U3686" s="61"/>
      <c r="V3686" s="63" t="s">
        <v>250</v>
      </c>
      <c r="W3686" s="71" t="s">
        <v>242</v>
      </c>
      <c r="X3686" s="61"/>
      <c r="Y3686" s="63" t="s">
        <v>250</v>
      </c>
      <c r="Z3686" s="71" t="s">
        <v>242</v>
      </c>
      <c r="AA3686" s="61"/>
      <c r="AB3686" s="63" t="s">
        <v>250</v>
      </c>
      <c r="AC3686" s="71" t="s">
        <v>242</v>
      </c>
      <c r="AD3686" s="61"/>
      <c r="AE3686" s="63" t="s">
        <v>250</v>
      </c>
      <c r="AF3686" s="71" t="s">
        <v>242</v>
      </c>
      <c r="AG3686" s="61"/>
      <c r="AH3686" s="63" t="s">
        <v>250</v>
      </c>
      <c r="AI3686" s="71" t="s">
        <v>242</v>
      </c>
      <c r="AJ3686" s="61"/>
      <c r="AK3686" s="63" t="s">
        <v>250</v>
      </c>
      <c r="AL3686" s="71" t="s">
        <v>242</v>
      </c>
      <c r="AM3686" s="61"/>
      <c r="AN3686" s="63" t="s">
        <v>250</v>
      </c>
      <c r="AO3686" s="71" t="s">
        <v>242</v>
      </c>
      <c r="AP3686" s="61"/>
      <c r="AQ3686" s="63" t="s">
        <v>250</v>
      </c>
      <c r="AR3686" s="71" t="s">
        <v>242</v>
      </c>
      <c r="AS3686" s="61"/>
      <c r="AT3686" s="63" t="s">
        <v>250</v>
      </c>
      <c r="AU3686" s="71" t="s">
        <v>242</v>
      </c>
    </row>
    <row r="3687" spans="15:47" ht="13" x14ac:dyDescent="0.3">
      <c r="O3687" s="6" t="s">
        <v>231</v>
      </c>
      <c r="P3687" s="6"/>
      <c r="Q3687" s="60"/>
      <c r="R3687" s="85">
        <f>P_1_minQ-(R3685^2*R_up)+dpup_minQ</f>
        <v>45.817864753256849</v>
      </c>
      <c r="S3687" s="56"/>
      <c r="T3687" s="72"/>
      <c r="U3687" s="53">
        <f>P_1_minQ-(U3685^2*R_up)+dpup_minQ</f>
        <v>36.954531988162294</v>
      </c>
      <c r="V3687" s="44"/>
      <c r="W3687" s="72"/>
      <c r="X3687" s="53">
        <f>P_1_minQ-(X3685^2*R_up)+dpup_minQ</f>
        <v>-58.099623373676231</v>
      </c>
      <c r="Y3687" s="44"/>
      <c r="Z3687" s="72"/>
      <c r="AA3687" s="53">
        <f>P_1_minQ-(AA3685^2*R_up)+dpup_minQ</f>
        <v>-362.39458108360071</v>
      </c>
      <c r="AB3687" s="44"/>
      <c r="AC3687" s="72"/>
      <c r="AD3687" s="53">
        <f>P_1_minQ-(AD3685^2*R_up)+dpup_minQ</f>
        <v>-1077.241302658289</v>
      </c>
      <c r="AE3687" s="44"/>
      <c r="AF3687" s="72"/>
      <c r="AG3687" s="53">
        <f>P_1_minQ-(AG3685^2*R_up)+dpup_minQ</f>
        <v>-2457.1879257219971</v>
      </c>
      <c r="AH3687" s="44"/>
      <c r="AI3687" s="72"/>
      <c r="AJ3687" s="53">
        <f>P_1_minQ-(AJ3685^2*R_up)+dpup_minQ</f>
        <v>-4420.4532929857187</v>
      </c>
      <c r="AK3687" s="44"/>
      <c r="AL3687" s="72"/>
      <c r="AM3687" s="53">
        <f>P_1_minQ-(AM3685^2*R_up)+dpup_minQ</f>
        <v>-6609.2768322107495</v>
      </c>
      <c r="AN3687" s="44"/>
      <c r="AO3687" s="72"/>
      <c r="AP3687" s="53">
        <f>P_1_minQ-(AP3685^2*R_up)+dpup_minQ</f>
        <v>-8928.10482810543</v>
      </c>
      <c r="AQ3687" s="44"/>
      <c r="AR3687" s="72"/>
      <c r="AS3687" s="53">
        <f>P_1_minQ-(AS3685^2*R_up)+dpup_minQ</f>
        <v>-11580.989009996427</v>
      </c>
      <c r="AT3687" s="44"/>
      <c r="AU3687" s="72"/>
    </row>
    <row r="3688" spans="15:47" ht="13" x14ac:dyDescent="0.3">
      <c r="O3688" s="6" t="s">
        <v>233</v>
      </c>
      <c r="P3688" s="6"/>
      <c r="Q3688" s="60"/>
      <c r="R3688" s="85">
        <f>P_2_minQ+(R3685^2*R_dn)-dpdn_minQ</f>
        <v>26.876427049348631</v>
      </c>
      <c r="S3688" s="66"/>
      <c r="T3688" s="74"/>
      <c r="U3688" s="53">
        <f>P_2_minQ+(U3685^2*R_dn)-dpdn_minQ</f>
        <v>28.649093602367543</v>
      </c>
      <c r="V3688" s="45"/>
      <c r="W3688" s="74"/>
      <c r="X3688" s="53">
        <f>P_2_minQ+(X3685^2*R_dn)-dpdn_minQ</f>
        <v>47.659924674735251</v>
      </c>
      <c r="Y3688" s="45"/>
      <c r="Z3688" s="74"/>
      <c r="AA3688" s="53">
        <f>P_2_minQ+(AA3685^2*R_dn)-dpdn_minQ</f>
        <v>108.51891621672013</v>
      </c>
      <c r="AB3688" s="45"/>
      <c r="AC3688" s="74"/>
      <c r="AD3688" s="53">
        <f>P_2_minQ+(AD3685^2*R_dn)-dpdn_minQ</f>
        <v>251.4882605316578</v>
      </c>
      <c r="AE3688" s="45"/>
      <c r="AF3688" s="74"/>
      <c r="AG3688" s="53">
        <f>P_2_minQ+(AG3685^2*R_dn)-dpdn_minQ</f>
        <v>527.47758514439931</v>
      </c>
      <c r="AH3688" s="45"/>
      <c r="AI3688" s="74"/>
      <c r="AJ3688" s="53">
        <f>P_2_minQ+(AJ3685^2*R_dn)-dpdn_minQ</f>
        <v>920.13065859714345</v>
      </c>
      <c r="AK3688" s="45"/>
      <c r="AL3688" s="74"/>
      <c r="AM3688" s="53">
        <f>P_2_minQ+(AM3685^2*R_dn)-dpdn_minQ</f>
        <v>1357.8953664421499</v>
      </c>
      <c r="AN3688" s="45"/>
      <c r="AO3688" s="74"/>
      <c r="AP3688" s="53">
        <f>P_2_minQ+(AP3685^2*R_dn)-dpdn_minQ</f>
        <v>1821.660965621086</v>
      </c>
      <c r="AQ3688" s="45"/>
      <c r="AR3688" s="74"/>
      <c r="AS3688" s="53">
        <f>P_2_minQ+(AS3685^2*R_dn)-dpdn_minQ</f>
        <v>2352.2378019992852</v>
      </c>
      <c r="AT3688" s="45"/>
      <c r="AU3688" s="74"/>
    </row>
    <row r="3689" spans="15:47" x14ac:dyDescent="0.25">
      <c r="O3689" s="6" t="s">
        <v>243</v>
      </c>
      <c r="Q3689" s="60"/>
      <c r="R3689" s="53">
        <f>R3687-R3688</f>
        <v>18.941437703908218</v>
      </c>
      <c r="S3689" s="56"/>
      <c r="T3689" s="72"/>
      <c r="U3689" s="64">
        <f>U3687-U3688</f>
        <v>8.3054383857947514</v>
      </c>
      <c r="V3689" s="44"/>
      <c r="W3689" s="72"/>
      <c r="X3689" s="64">
        <f>X3687-X3688</f>
        <v>-105.75954804841149</v>
      </c>
      <c r="Y3689" s="44"/>
      <c r="Z3689" s="72"/>
      <c r="AA3689" s="64">
        <f>AA3687-AA3688</f>
        <v>-470.91349730032084</v>
      </c>
      <c r="AB3689" s="44"/>
      <c r="AC3689" s="72"/>
      <c r="AD3689" s="64">
        <f>AD3687-AD3688</f>
        <v>-1328.7295631899467</v>
      </c>
      <c r="AE3689" s="44"/>
      <c r="AF3689" s="72"/>
      <c r="AG3689" s="64">
        <f>AG3687-AG3688</f>
        <v>-2984.6655108663963</v>
      </c>
      <c r="AH3689" s="44"/>
      <c r="AI3689" s="72"/>
      <c r="AJ3689" s="64">
        <f>AJ3687-AJ3688</f>
        <v>-5340.583951582862</v>
      </c>
      <c r="AK3689" s="44"/>
      <c r="AL3689" s="72"/>
      <c r="AM3689" s="64">
        <f>AM3687-AM3688</f>
        <v>-7967.1721986528992</v>
      </c>
      <c r="AN3689" s="44"/>
      <c r="AO3689" s="72"/>
      <c r="AP3689" s="64">
        <f>AP3687-AP3688</f>
        <v>-10749.765793726516</v>
      </c>
      <c r="AQ3689" s="44"/>
      <c r="AR3689" s="72"/>
      <c r="AS3689" s="64">
        <f>AS3687-AS3688</f>
        <v>-13933.226811995712</v>
      </c>
      <c r="AT3689" s="44"/>
      <c r="AU3689" s="72"/>
    </row>
    <row r="3690" spans="15:47" ht="13" x14ac:dyDescent="0.3">
      <c r="O3690" s="6" t="s">
        <v>75</v>
      </c>
      <c r="P3690" s="6">
        <v>3</v>
      </c>
      <c r="Q3690" s="65"/>
      <c r="R3690" s="85">
        <f>(F_LP_h/F_P_h)^2*(R3687-('Valve Sizing'!$V$4*'Valve Sizing'!$G$7))</f>
        <v>37.575206144109458</v>
      </c>
      <c r="S3690" s="58"/>
      <c r="T3690" s="73"/>
      <c r="U3690" s="53">
        <f>(U$29/U$27)^2*(U3687-('Valve Sizing'!$V$4*'Valve Sizing'!$G$7))</f>
        <v>30.227660321184342</v>
      </c>
      <c r="V3690" s="41"/>
      <c r="W3690" s="73"/>
      <c r="X3690" s="53">
        <f>(X$29/X$27)^2*(X3687-('Valve Sizing'!$V$4*'Valve Sizing'!$G$7))</f>
        <v>-47.367591603091618</v>
      </c>
      <c r="Y3690" s="41"/>
      <c r="Z3690" s="73"/>
      <c r="AA3690" s="53">
        <f>(AA$29/AA$27)^2*(AA3687-('Valve Sizing'!$V$4*'Valve Sizing'!$G$7))</f>
        <v>-280.39760063872183</v>
      </c>
      <c r="AB3690" s="41"/>
      <c r="AC3690" s="73"/>
      <c r="AD3690" s="53">
        <f>(AD$29/AD$27)^2*(AD3687-('Valve Sizing'!$V$4*'Valve Sizing'!$G$7))</f>
        <v>-777.2102260159794</v>
      </c>
      <c r="AE3690" s="41"/>
      <c r="AF3690" s="73"/>
      <c r="AG3690" s="53">
        <f>(AG$29/AG$27)^2*(AG3687-('Valve Sizing'!$V$4*'Valve Sizing'!$G$7))</f>
        <v>-1582.8204369612672</v>
      </c>
      <c r="AH3690" s="41"/>
      <c r="AI3690" s="73"/>
      <c r="AJ3690" s="53">
        <f>(AJ$29/AJ$27)^2*(AJ3687-('Valve Sizing'!$V$4*'Valve Sizing'!$G$7))</f>
        <v>-2556.8870442994953</v>
      </c>
      <c r="AK3690" s="41"/>
      <c r="AL3690" s="73"/>
      <c r="AM3690" s="53">
        <f>(AM$29/AM$27)^2*(AM3687-('Valve Sizing'!$V$4*'Valve Sizing'!$G$7))</f>
        <v>-3162.5654465951247</v>
      </c>
      <c r="AN3690" s="41"/>
      <c r="AO3690" s="73"/>
      <c r="AP3690" s="53">
        <f>(AP$29/AP$27)^2*(AP3687-('Valve Sizing'!$V$4*'Valve Sizing'!$G$7))</f>
        <v>-3523.4433412002118</v>
      </c>
      <c r="AQ3690" s="41"/>
      <c r="AR3690" s="73"/>
      <c r="AS3690" s="53">
        <f>(AS$29/AS$27)^2*(AS3687-('Valve Sizing'!$V$4*'Valve Sizing'!$G$7))</f>
        <v>-4356.2479263687164</v>
      </c>
      <c r="AT3690" s="41"/>
      <c r="AU3690" s="73"/>
    </row>
    <row r="3691" spans="15:47" ht="13" x14ac:dyDescent="0.25">
      <c r="O3691" s="1" t="s">
        <v>69</v>
      </c>
      <c r="P3691" s="17">
        <v>7</v>
      </c>
      <c r="Q3691" s="65"/>
      <c r="R3691" s="53">
        <f>(R3685/(N_1*F_P_h))*SQRT('Valve Sizing'!$G$6/R3689)</f>
        <v>131.73587809061013</v>
      </c>
      <c r="S3691" s="58"/>
      <c r="T3691" s="73"/>
      <c r="U3691" s="64">
        <f>(U3685/(N_1*U$27))*SQRT('Valve Sizing'!$G$6/U3689)</f>
        <v>266.99393127074887</v>
      </c>
      <c r="V3691" s="41"/>
      <c r="W3691" s="73"/>
      <c r="X3691" s="64" t="e">
        <f>(X3685/(N_1*X$27))*SQRT('Valve Sizing'!$G$6/X3689)</f>
        <v>#NUM!</v>
      </c>
      <c r="Y3691" s="41"/>
      <c r="Z3691" s="73"/>
      <c r="AA3691" s="64" t="e">
        <f>(AA3685/(N_1*AA$27))*SQRT('Valve Sizing'!$G$6/AA3689)</f>
        <v>#NUM!</v>
      </c>
      <c r="AB3691" s="41"/>
      <c r="AC3691" s="73"/>
      <c r="AD3691" s="64" t="e">
        <f>(AD3685/(N_1*AD$27))*SQRT('Valve Sizing'!$G$6/AD3689)</f>
        <v>#NUM!</v>
      </c>
      <c r="AE3691" s="41"/>
      <c r="AF3691" s="73"/>
      <c r="AG3691" s="64" t="e">
        <f>(AG3685/(N_1*AG$27))*SQRT('Valve Sizing'!$G$6/AG3689)</f>
        <v>#NUM!</v>
      </c>
      <c r="AH3691" s="41"/>
      <c r="AI3691" s="73"/>
      <c r="AJ3691" s="64" t="e">
        <f>(AJ3685/(N_1*AJ$27))*SQRT('Valve Sizing'!$G$6/AJ3689)</f>
        <v>#NUM!</v>
      </c>
      <c r="AK3691" s="41"/>
      <c r="AL3691" s="73"/>
      <c r="AM3691" s="64" t="e">
        <f>(AM3685/(N_1*AM$27))*SQRT('Valve Sizing'!$G$6/AM3689)</f>
        <v>#NUM!</v>
      </c>
      <c r="AN3691" s="41"/>
      <c r="AO3691" s="73"/>
      <c r="AP3691" s="64" t="e">
        <f>(AP3685/(N_1*AP$27))*SQRT('Valve Sizing'!$G$6/AP3689)</f>
        <v>#NUM!</v>
      </c>
      <c r="AQ3691" s="41"/>
      <c r="AR3691" s="73"/>
      <c r="AS3691" s="64" t="e">
        <f>(AS3685/(N_1*AS$27))*SQRT('Valve Sizing'!$G$6/AS3689)</f>
        <v>#NUM!</v>
      </c>
      <c r="AT3691" s="41"/>
      <c r="AU3691" s="73"/>
    </row>
    <row r="3692" spans="15:47" ht="13" x14ac:dyDescent="0.3">
      <c r="O3692" s="1" t="s">
        <v>72</v>
      </c>
      <c r="P3692" s="17">
        <v>7</v>
      </c>
      <c r="Q3692" s="65"/>
      <c r="R3692" s="53">
        <f>(R3685/(N_1*F_P_h))*SQRT('Valve Sizing'!$G$6/R3690)</f>
        <v>93.531921103038826</v>
      </c>
      <c r="S3692" s="56"/>
      <c r="T3692" s="72"/>
      <c r="U3692" s="85">
        <f>(U3685/(N_1*U$27))*SQRT('Valve Sizing'!$G$6/U3690)</f>
        <v>139.95241718709761</v>
      </c>
      <c r="V3692" s="44"/>
      <c r="W3692" s="72"/>
      <c r="X3692" s="85" t="e">
        <f>(X3685/(N_1*X$27))*SQRT('Valve Sizing'!$G$6/X3690)</f>
        <v>#NUM!</v>
      </c>
      <c r="Y3692" s="44"/>
      <c r="Z3692" s="72"/>
      <c r="AA3692" s="85" t="e">
        <f>(AA3685/(N_1*AA$27))*SQRT('Valve Sizing'!$G$6/AA3690)</f>
        <v>#NUM!</v>
      </c>
      <c r="AB3692" s="44"/>
      <c r="AC3692" s="72"/>
      <c r="AD3692" s="85" t="e">
        <f>(AD3685/(N_1*AD$27))*SQRT('Valve Sizing'!$G$6/AD3690)</f>
        <v>#NUM!</v>
      </c>
      <c r="AE3692" s="44"/>
      <c r="AF3692" s="72"/>
      <c r="AG3692" s="85" t="e">
        <f>(AG3685/(N_1*AG$27))*SQRT('Valve Sizing'!$G$6/AG3690)</f>
        <v>#NUM!</v>
      </c>
      <c r="AH3692" s="44"/>
      <c r="AI3692" s="72"/>
      <c r="AJ3692" s="85" t="e">
        <f>(AJ3685/(N_1*AJ$27))*SQRT('Valve Sizing'!$G$6/AJ3690)</f>
        <v>#NUM!</v>
      </c>
      <c r="AK3692" s="44"/>
      <c r="AL3692" s="72"/>
      <c r="AM3692" s="85" t="e">
        <f>(AM3685/(N_1*AM$27))*SQRT('Valve Sizing'!$G$6/AM3690)</f>
        <v>#NUM!</v>
      </c>
      <c r="AN3692" s="44"/>
      <c r="AO3692" s="72"/>
      <c r="AP3692" s="85" t="e">
        <f>(AP3685/(N_1*AP$27))*SQRT('Valve Sizing'!$G$6/AP3690)</f>
        <v>#NUM!</v>
      </c>
      <c r="AQ3692" s="44"/>
      <c r="AR3692" s="72"/>
      <c r="AS3692" s="85" t="e">
        <f>(AS3685/(N_1*AS$27))*SQRT('Valve Sizing'!$G$6/AS3690)</f>
        <v>#NUM!</v>
      </c>
      <c r="AT3692" s="44"/>
      <c r="AU3692" s="72"/>
    </row>
    <row r="3693" spans="15:47" x14ac:dyDescent="0.25">
      <c r="O3693" s="1" t="s">
        <v>246</v>
      </c>
      <c r="P3693" s="18"/>
      <c r="Q3693" s="65"/>
      <c r="R3693" s="53">
        <f>IF(R3689&lt;R3690,R3691,R3692)</f>
        <v>131.73587809061013</v>
      </c>
      <c r="S3693" s="49"/>
      <c r="T3693" s="72"/>
      <c r="U3693" s="64">
        <f>IF(U3689&lt;U3690,U3691,U3692)</f>
        <v>266.99393127074887</v>
      </c>
      <c r="V3693" s="44"/>
      <c r="W3693" s="72"/>
      <c r="X3693" s="64" t="e">
        <f>IF(X3689&lt;X3690,X3691,X3692)</f>
        <v>#NUM!</v>
      </c>
      <c r="Y3693" s="44"/>
      <c r="Z3693" s="72"/>
      <c r="AA3693" s="64" t="e">
        <f>IF(AA3689&lt;AA3690,AA3691,AA3692)</f>
        <v>#NUM!</v>
      </c>
      <c r="AB3693" s="44"/>
      <c r="AC3693" s="72"/>
      <c r="AD3693" s="64" t="e">
        <f>IF(AD3689&lt;AD3690,AD3691,AD3692)</f>
        <v>#NUM!</v>
      </c>
      <c r="AE3693" s="44"/>
      <c r="AF3693" s="72"/>
      <c r="AG3693" s="64" t="e">
        <f>IF(AG3689&lt;AG3690,AG3691,AG3692)</f>
        <v>#NUM!</v>
      </c>
      <c r="AH3693" s="44"/>
      <c r="AI3693" s="72"/>
      <c r="AJ3693" s="64" t="e">
        <f>IF(AJ3689&lt;AJ3690,AJ3691,AJ3692)</f>
        <v>#NUM!</v>
      </c>
      <c r="AK3693" s="44"/>
      <c r="AL3693" s="72"/>
      <c r="AM3693" s="64" t="e">
        <f>IF(AM3689&lt;AM3690,AM3691,AM3692)</f>
        <v>#NUM!</v>
      </c>
      <c r="AN3693" s="44"/>
      <c r="AO3693" s="72"/>
      <c r="AP3693" s="64" t="e">
        <f>IF(AP3689&lt;AP3690,AP3691,AP3692)</f>
        <v>#NUM!</v>
      </c>
      <c r="AQ3693" s="44"/>
      <c r="AR3693" s="72"/>
      <c r="AS3693" s="64" t="e">
        <f>IF(AS3689&lt;AS3690,AS3691,AS3692)</f>
        <v>#NUM!</v>
      </c>
      <c r="AT3693" s="44"/>
      <c r="AU3693" s="72"/>
    </row>
    <row r="3694" spans="15:47" ht="13" x14ac:dyDescent="0.3">
      <c r="O3694" s="7" t="s">
        <v>264</v>
      </c>
      <c r="Q3694" s="61"/>
      <c r="R3694" s="53"/>
      <c r="S3694" s="69">
        <f>IFERROR(ABS(C_h-R3693),Q_max*10)</f>
        <v>126.73587809061013</v>
      </c>
      <c r="T3694" s="76">
        <f>R3685</f>
        <v>573.25389196765559</v>
      </c>
      <c r="U3694" s="61"/>
      <c r="V3694" s="69">
        <f>IFERROR(ABS(U$23-U3693),Q_max*10)</f>
        <v>254.99393127074887</v>
      </c>
      <c r="W3694" s="75">
        <f>U3685</f>
        <v>768.80641765695123</v>
      </c>
      <c r="X3694" s="61"/>
      <c r="Y3694" s="69">
        <f>IFERROR(ABS(X$23-X3693),Q_max*10)</f>
        <v>5500</v>
      </c>
      <c r="Z3694" s="75">
        <f>X3685</f>
        <v>1845.4313447252794</v>
      </c>
      <c r="AA3694" s="61"/>
      <c r="AB3694" s="69">
        <f>IFERROR(ABS(AA$23-AA3693),Q_max*10)</f>
        <v>5500</v>
      </c>
      <c r="AC3694" s="75">
        <f>AA3685</f>
        <v>3523.6047658449743</v>
      </c>
      <c r="AD3694" s="61"/>
      <c r="AE3694" s="69">
        <f>IFERROR(ABS(AD$23-AD3693),Q_max*10)</f>
        <v>5500</v>
      </c>
      <c r="AF3694" s="75">
        <f>AD3685</f>
        <v>5795.0325255094067</v>
      </c>
      <c r="AG3694" s="61"/>
      <c r="AH3694" s="69">
        <f>IFERROR(ABS(AG$23-AG3693),Q_max*10)</f>
        <v>5500</v>
      </c>
      <c r="AI3694" s="75">
        <f>AG3685</f>
        <v>8628.0137621951162</v>
      </c>
      <c r="AJ3694" s="61"/>
      <c r="AK3694" s="69">
        <f>IFERROR(ABS(AJ$23-AJ3693),Q_max*10)</f>
        <v>5500</v>
      </c>
      <c r="AL3694" s="75">
        <f>AJ3685</f>
        <v>11514.117812724824</v>
      </c>
      <c r="AM3694" s="61"/>
      <c r="AN3694" s="69">
        <f>IFERROR(ABS(AM$23-AM3693),Q_max*10)</f>
        <v>5500</v>
      </c>
      <c r="AO3694" s="75">
        <f>AM3685</f>
        <v>14049.411873874304</v>
      </c>
      <c r="AP3694" s="61"/>
      <c r="AQ3694" s="69">
        <f>IFERROR(ABS(AP$23-AP3693),Q_max*10)</f>
        <v>5500</v>
      </c>
      <c r="AR3694" s="75">
        <f>AP3685</f>
        <v>16310.931026774706</v>
      </c>
      <c r="AS3694" s="61"/>
      <c r="AT3694" s="69">
        <f>IFERROR(ABS(AS$23-AS3693),Q_max*10)</f>
        <v>5500</v>
      </c>
      <c r="AU3694" s="75">
        <f>AS3685</f>
        <v>18563.360999183154</v>
      </c>
    </row>
    <row r="3695" spans="15:47" ht="14.5" x14ac:dyDescent="0.35">
      <c r="O3695" s="6"/>
      <c r="P3695" s="6"/>
      <c r="Q3695" s="60"/>
      <c r="R3695" s="67"/>
      <c r="S3695" s="58"/>
      <c r="T3695" s="73"/>
      <c r="V3695" s="11"/>
      <c r="W3695" s="38"/>
      <c r="Y3695" s="11"/>
      <c r="Z3695" s="38"/>
      <c r="AB3695" s="11"/>
      <c r="AC3695" s="38"/>
      <c r="AE3695" s="11"/>
      <c r="AF3695" s="38"/>
      <c r="AH3695" s="11"/>
      <c r="AI3695" s="38"/>
      <c r="AK3695" s="11"/>
      <c r="AL3695" s="38"/>
      <c r="AN3695" s="11"/>
      <c r="AO3695" s="38"/>
      <c r="AQ3695" s="11"/>
      <c r="AR3695" s="38"/>
      <c r="AT3695" s="11"/>
      <c r="AU3695" s="38"/>
    </row>
    <row r="3696" spans="15:47" ht="14" x14ac:dyDescent="0.3">
      <c r="O3696" s="8" t="s">
        <v>235</v>
      </c>
      <c r="P3696" s="6"/>
      <c r="Q3696" s="60"/>
      <c r="R3696" s="53">
        <f>R3685*1.02</f>
        <v>584.71896980700876</v>
      </c>
      <c r="S3696" s="58" t="s">
        <v>238</v>
      </c>
      <c r="T3696" s="73" t="s">
        <v>241</v>
      </c>
      <c r="U3696" s="84">
        <f>U3685*1.01</f>
        <v>776.49448183352069</v>
      </c>
      <c r="V3696" s="58" t="s">
        <v>238</v>
      </c>
      <c r="W3696" s="73" t="s">
        <v>241</v>
      </c>
      <c r="X3696" s="84">
        <f>X3685*1.01</f>
        <v>1863.8856581725322</v>
      </c>
      <c r="Y3696" s="58" t="s">
        <v>238</v>
      </c>
      <c r="Z3696" s="73" t="s">
        <v>241</v>
      </c>
      <c r="AA3696" s="84">
        <f>AA3685*1.01</f>
        <v>3558.8408135034242</v>
      </c>
      <c r="AB3696" s="58" t="s">
        <v>238</v>
      </c>
      <c r="AC3696" s="73" t="s">
        <v>241</v>
      </c>
      <c r="AD3696" s="84">
        <f>AD3685*1.01</f>
        <v>5852.9828507645007</v>
      </c>
      <c r="AE3696" s="58" t="s">
        <v>238</v>
      </c>
      <c r="AF3696" s="73" t="s">
        <v>241</v>
      </c>
      <c r="AG3696" s="84">
        <f>AG3685*1.01</f>
        <v>8714.2938998170666</v>
      </c>
      <c r="AH3696" s="58" t="s">
        <v>238</v>
      </c>
      <c r="AI3696" s="73" t="s">
        <v>241</v>
      </c>
      <c r="AJ3696" s="84">
        <f>AJ3685*1.01</f>
        <v>11629.258990852073</v>
      </c>
      <c r="AK3696" s="58" t="s">
        <v>238</v>
      </c>
      <c r="AL3696" s="73" t="s">
        <v>241</v>
      </c>
      <c r="AM3696" s="84">
        <f>AM3685*1.01</f>
        <v>14189.905992613047</v>
      </c>
      <c r="AN3696" s="58" t="s">
        <v>238</v>
      </c>
      <c r="AO3696" s="73" t="s">
        <v>241</v>
      </c>
      <c r="AP3696" s="84">
        <f>AP3685*1.01</f>
        <v>16474.040337042454</v>
      </c>
      <c r="AQ3696" s="58" t="s">
        <v>238</v>
      </c>
      <c r="AR3696" s="73" t="s">
        <v>241</v>
      </c>
      <c r="AS3696" s="84">
        <f>AS3685*1.01</f>
        <v>18748.994609174988</v>
      </c>
      <c r="AT3696" s="58" t="s">
        <v>238</v>
      </c>
      <c r="AU3696" s="73" t="s">
        <v>241</v>
      </c>
    </row>
    <row r="3697" spans="15:47" ht="13" x14ac:dyDescent="0.25">
      <c r="O3697" s="6"/>
      <c r="P3697" s="6"/>
      <c r="Q3697" s="60"/>
      <c r="R3697" s="70"/>
      <c r="S3697" s="63" t="s">
        <v>250</v>
      </c>
      <c r="T3697" s="71" t="s">
        <v>242</v>
      </c>
      <c r="U3697" s="61"/>
      <c r="V3697" s="63" t="s">
        <v>250</v>
      </c>
      <c r="W3697" s="71" t="s">
        <v>242</v>
      </c>
      <c r="X3697" s="61"/>
      <c r="Y3697" s="63" t="s">
        <v>250</v>
      </c>
      <c r="Z3697" s="71" t="s">
        <v>242</v>
      </c>
      <c r="AA3697" s="61"/>
      <c r="AB3697" s="63" t="s">
        <v>250</v>
      </c>
      <c r="AC3697" s="71" t="s">
        <v>242</v>
      </c>
      <c r="AD3697" s="61"/>
      <c r="AE3697" s="63" t="s">
        <v>250</v>
      </c>
      <c r="AF3697" s="71" t="s">
        <v>242</v>
      </c>
      <c r="AG3697" s="61"/>
      <c r="AH3697" s="63" t="s">
        <v>250</v>
      </c>
      <c r="AI3697" s="71" t="s">
        <v>242</v>
      </c>
      <c r="AJ3697" s="61"/>
      <c r="AK3697" s="63" t="s">
        <v>250</v>
      </c>
      <c r="AL3697" s="71" t="s">
        <v>242</v>
      </c>
      <c r="AM3697" s="61"/>
      <c r="AN3697" s="63" t="s">
        <v>250</v>
      </c>
      <c r="AO3697" s="71" t="s">
        <v>242</v>
      </c>
      <c r="AP3697" s="61"/>
      <c r="AQ3697" s="63" t="s">
        <v>250</v>
      </c>
      <c r="AR3697" s="71" t="s">
        <v>242</v>
      </c>
      <c r="AS3697" s="61"/>
      <c r="AT3697" s="63" t="s">
        <v>250</v>
      </c>
      <c r="AU3697" s="71" t="s">
        <v>242</v>
      </c>
    </row>
    <row r="3698" spans="15:47" ht="13" x14ac:dyDescent="0.3">
      <c r="O3698" s="6" t="s">
        <v>231</v>
      </c>
      <c r="P3698" s="6"/>
      <c r="Q3698" s="60"/>
      <c r="R3698" s="85">
        <f>P_1_minQ-(R3696^2*R_up)+dpup_minQ</f>
        <v>45.36949430421582</v>
      </c>
      <c r="S3698" s="56"/>
      <c r="T3698" s="72"/>
      <c r="U3698" s="53">
        <f>P_1_minQ-(U3696^2*R_up)+dpup_minQ</f>
        <v>36.55330360290754</v>
      </c>
      <c r="V3698" s="44"/>
      <c r="W3698" s="72"/>
      <c r="X3698" s="53">
        <f>P_1_minQ-(X3696^2*R_up)+dpup_minQ</f>
        <v>-60.411440281703939</v>
      </c>
      <c r="Y3698" s="44"/>
      <c r="Z3698" s="72"/>
      <c r="AA3698" s="53">
        <f>P_1_minQ-(AA3696^2*R_up)+dpup_minQ</f>
        <v>-370.82272664159797</v>
      </c>
      <c r="AB3698" s="44"/>
      <c r="AC3698" s="72"/>
      <c r="AD3698" s="53">
        <f>P_1_minQ-(AD3696^2*R_up)+dpup_minQ</f>
        <v>-1100.0378673199373</v>
      </c>
      <c r="AE3698" s="44"/>
      <c r="AF3698" s="72"/>
      <c r="AG3698" s="53">
        <f>P_1_minQ-(AG3696^2*R_up)+dpup_minQ</f>
        <v>-2507.7214175072259</v>
      </c>
      <c r="AH3698" s="44"/>
      <c r="AI3698" s="72"/>
      <c r="AJ3698" s="53">
        <f>P_1_minQ-(AJ3696^2*R_up)+dpup_minQ</f>
        <v>-4510.4484186529489</v>
      </c>
      <c r="AK3698" s="44"/>
      <c r="AL3698" s="72"/>
      <c r="AM3698" s="53">
        <f>P_1_minQ-(AM3696^2*R_up)+dpup_minQ</f>
        <v>-6743.2673110164023</v>
      </c>
      <c r="AN3698" s="44"/>
      <c r="AO3698" s="72"/>
      <c r="AP3698" s="53">
        <f>P_1_minQ-(AP3696^2*R_up)+dpup_minQ</f>
        <v>-9108.7037496285666</v>
      </c>
      <c r="AQ3698" s="44"/>
      <c r="AR3698" s="72"/>
      <c r="AS3698" s="53">
        <f>P_1_minQ-(AS3696^2*R_up)+dpup_minQ</f>
        <v>-11814.910903575576</v>
      </c>
      <c r="AT3698" s="44"/>
      <c r="AU3698" s="72"/>
    </row>
    <row r="3699" spans="15:47" ht="13" x14ac:dyDescent="0.3">
      <c r="O3699" s="6" t="s">
        <v>233</v>
      </c>
      <c r="P3699" s="6"/>
      <c r="Q3699" s="60"/>
      <c r="R3699" s="85">
        <f>P_2_minQ+(R3696^2*R_dn)-dpdn_minQ</f>
        <v>26.966101139156837</v>
      </c>
      <c r="S3699" s="66"/>
      <c r="T3699" s="74"/>
      <c r="U3699" s="53">
        <f>P_2_minQ+(U3696^2*R_dn)-dpdn_minQ</f>
        <v>28.729339279418493</v>
      </c>
      <c r="V3699" s="45"/>
      <c r="W3699" s="74"/>
      <c r="X3699" s="53">
        <f>P_2_minQ+(X3696^2*R_dn)-dpdn_minQ</f>
        <v>48.122288056340793</v>
      </c>
      <c r="Y3699" s="45"/>
      <c r="Z3699" s="74"/>
      <c r="AA3699" s="53">
        <f>P_2_minQ+(AA3696^2*R_dn)-dpdn_minQ</f>
        <v>110.2045453283196</v>
      </c>
      <c r="AB3699" s="45"/>
      <c r="AC3699" s="74"/>
      <c r="AD3699" s="53">
        <f>P_2_minQ+(AD3696^2*R_dn)-dpdn_minQ</f>
        <v>256.04757346398742</v>
      </c>
      <c r="AE3699" s="45"/>
      <c r="AF3699" s="74"/>
      <c r="AG3699" s="53">
        <f>P_2_minQ+(AG3696^2*R_dn)-dpdn_minQ</f>
        <v>537.58428350144504</v>
      </c>
      <c r="AH3699" s="45"/>
      <c r="AI3699" s="74"/>
      <c r="AJ3699" s="53">
        <f>P_2_minQ+(AJ3696^2*R_dn)-dpdn_minQ</f>
        <v>938.12968373058959</v>
      </c>
      <c r="AK3699" s="45"/>
      <c r="AL3699" s="74"/>
      <c r="AM3699" s="53">
        <f>P_2_minQ+(AM3696^2*R_dn)-dpdn_minQ</f>
        <v>1384.6934622032804</v>
      </c>
      <c r="AN3699" s="45"/>
      <c r="AO3699" s="74"/>
      <c r="AP3699" s="53">
        <f>P_2_minQ+(AP3696^2*R_dn)-dpdn_minQ</f>
        <v>1857.7807499257133</v>
      </c>
      <c r="AQ3699" s="45"/>
      <c r="AR3699" s="74"/>
      <c r="AS3699" s="53">
        <f>P_2_minQ+(AS3696^2*R_dn)-dpdn_minQ</f>
        <v>2399.0221807151147</v>
      </c>
      <c r="AT3699" s="45"/>
      <c r="AU3699" s="74"/>
    </row>
    <row r="3700" spans="15:47" x14ac:dyDescent="0.25">
      <c r="O3700" s="6" t="s">
        <v>243</v>
      </c>
      <c r="Q3700" s="60"/>
      <c r="R3700" s="53">
        <f>R3698-R3699</f>
        <v>18.403393165058983</v>
      </c>
      <c r="S3700" s="56"/>
      <c r="T3700" s="72"/>
      <c r="U3700" s="64">
        <f>U3698-U3699</f>
        <v>7.8239643234890472</v>
      </c>
      <c r="V3700" s="44"/>
      <c r="W3700" s="72"/>
      <c r="X3700" s="64">
        <f>X3698-X3699</f>
        <v>-108.53372833804474</v>
      </c>
      <c r="Y3700" s="44"/>
      <c r="Z3700" s="72"/>
      <c r="AA3700" s="64">
        <f>AA3698-AA3699</f>
        <v>-481.02727196991759</v>
      </c>
      <c r="AB3700" s="44"/>
      <c r="AC3700" s="72"/>
      <c r="AD3700" s="64">
        <f>AD3698-AD3699</f>
        <v>-1356.0854407839247</v>
      </c>
      <c r="AE3700" s="44"/>
      <c r="AF3700" s="72"/>
      <c r="AG3700" s="64">
        <f>AG3698-AG3699</f>
        <v>-3045.3057010086709</v>
      </c>
      <c r="AH3700" s="44"/>
      <c r="AI3700" s="72"/>
      <c r="AJ3700" s="64">
        <f>AJ3698-AJ3699</f>
        <v>-5448.5781023835389</v>
      </c>
      <c r="AK3700" s="44"/>
      <c r="AL3700" s="72"/>
      <c r="AM3700" s="64">
        <f>AM3698-AM3699</f>
        <v>-8127.9607732196828</v>
      </c>
      <c r="AN3700" s="44"/>
      <c r="AO3700" s="72"/>
      <c r="AP3700" s="64">
        <f>AP3698-AP3699</f>
        <v>-10966.484499554281</v>
      </c>
      <c r="AQ3700" s="44"/>
      <c r="AR3700" s="72"/>
      <c r="AS3700" s="64">
        <f>AS3698-AS3699</f>
        <v>-14213.933084290689</v>
      </c>
      <c r="AT3700" s="44"/>
      <c r="AU3700" s="72"/>
    </row>
    <row r="3701" spans="15:47" ht="13" x14ac:dyDescent="0.3">
      <c r="O3701" s="6" t="s">
        <v>75</v>
      </c>
      <c r="P3701" s="6">
        <v>3</v>
      </c>
      <c r="Q3701" s="65"/>
      <c r="R3701" s="85">
        <f>(F_LP_h/F_P_h)^2*(R3698-('Valve Sizing'!$V$4*'Valve Sizing'!$G$7))</f>
        <v>37.203931877366109</v>
      </c>
      <c r="S3701" s="58"/>
      <c r="T3701" s="73"/>
      <c r="U3701" s="53">
        <f>(U$29/U$27)^2*(U3698-('Valve Sizing'!$V$4*'Valve Sizing'!$G$7))</f>
        <v>29.895512712138249</v>
      </c>
      <c r="V3701" s="41"/>
      <c r="W3701" s="73"/>
      <c r="X3701" s="53">
        <f>(X$29/X$27)^2*(X3698-('Valve Sizing'!$V$4*'Valve Sizing'!$G$7))</f>
        <v>-49.238206495592017</v>
      </c>
      <c r="Y3701" s="41"/>
      <c r="Z3701" s="73"/>
      <c r="AA3701" s="53">
        <f>(AA$29/AA$27)^2*(AA3698-('Valve Sizing'!$V$4*'Valve Sizing'!$G$7))</f>
        <v>-286.91084810710362</v>
      </c>
      <c r="AB3701" s="41"/>
      <c r="AC3701" s="73"/>
      <c r="AD3701" s="53">
        <f>(AD$29/AD$27)^2*(AD3698-('Valve Sizing'!$V$4*'Valve Sizing'!$G$7))</f>
        <v>-793.65082137682646</v>
      </c>
      <c r="AE3701" s="41"/>
      <c r="AF3701" s="73"/>
      <c r="AG3701" s="53">
        <f>(AG$29/AG$27)^2*(AG3698-('Valve Sizing'!$V$4*'Valve Sizing'!$G$7))</f>
        <v>-1615.3662266777046</v>
      </c>
      <c r="AH3701" s="41"/>
      <c r="AI3701" s="73"/>
      <c r="AJ3701" s="53">
        <f>(AJ$29/AJ$27)^2*(AJ3698-('Valve Sizing'!$V$4*'Valve Sizing'!$G$7))</f>
        <v>-2608.9370153386226</v>
      </c>
      <c r="AK3701" s="41"/>
      <c r="AL3701" s="73"/>
      <c r="AM3701" s="53">
        <f>(AM$29/AM$27)^2*(AM3698-('Valve Sizing'!$V$4*'Valve Sizing'!$G$7))</f>
        <v>-3226.676158975607</v>
      </c>
      <c r="AN3701" s="41"/>
      <c r="AO3701" s="73"/>
      <c r="AP3701" s="53">
        <f>(AP$29/AP$27)^2*(AP3698-('Valve Sizing'!$V$4*'Valve Sizing'!$G$7))</f>
        <v>-3594.7125206252354</v>
      </c>
      <c r="AQ3701" s="41"/>
      <c r="AR3701" s="73"/>
      <c r="AS3701" s="53">
        <f>(AS$29/AS$27)^2*(AS3698-('Valve Sizing'!$V$4*'Valve Sizing'!$G$7))</f>
        <v>-4444.2354931778464</v>
      </c>
      <c r="AT3701" s="41"/>
      <c r="AU3701" s="73"/>
    </row>
    <row r="3702" spans="15:47" ht="13" x14ac:dyDescent="0.25">
      <c r="O3702" s="1" t="s">
        <v>69</v>
      </c>
      <c r="P3702" s="17">
        <v>7</v>
      </c>
      <c r="Q3702" s="65"/>
      <c r="R3702" s="53">
        <f>(R3696/(N_1*F_P_h))*SQRT('Valve Sizing'!$G$6/R3700)</f>
        <v>136.32068513948576</v>
      </c>
      <c r="S3702" s="58"/>
      <c r="T3702" s="73"/>
      <c r="U3702" s="64">
        <f>(U3696/(N_1*U$27))*SQRT('Valve Sizing'!$G$6/U3700)</f>
        <v>277.83734067699481</v>
      </c>
      <c r="V3702" s="41"/>
      <c r="W3702" s="73"/>
      <c r="X3702" s="64" t="e">
        <f>(X3696/(N_1*X$27))*SQRT('Valve Sizing'!$G$6/X3700)</f>
        <v>#NUM!</v>
      </c>
      <c r="Y3702" s="41"/>
      <c r="Z3702" s="73"/>
      <c r="AA3702" s="64" t="e">
        <f>(AA3696/(N_1*AA$27))*SQRT('Valve Sizing'!$G$6/AA3700)</f>
        <v>#NUM!</v>
      </c>
      <c r="AB3702" s="41"/>
      <c r="AC3702" s="73"/>
      <c r="AD3702" s="64" t="e">
        <f>(AD3696/(N_1*AD$27))*SQRT('Valve Sizing'!$G$6/AD3700)</f>
        <v>#NUM!</v>
      </c>
      <c r="AE3702" s="41"/>
      <c r="AF3702" s="73"/>
      <c r="AG3702" s="64" t="e">
        <f>(AG3696/(N_1*AG$27))*SQRT('Valve Sizing'!$G$6/AG3700)</f>
        <v>#NUM!</v>
      </c>
      <c r="AH3702" s="41"/>
      <c r="AI3702" s="73"/>
      <c r="AJ3702" s="64" t="e">
        <f>(AJ3696/(N_1*AJ$27))*SQRT('Valve Sizing'!$G$6/AJ3700)</f>
        <v>#NUM!</v>
      </c>
      <c r="AK3702" s="41"/>
      <c r="AL3702" s="73"/>
      <c r="AM3702" s="64" t="e">
        <f>(AM3696/(N_1*AM$27))*SQRT('Valve Sizing'!$G$6/AM3700)</f>
        <v>#NUM!</v>
      </c>
      <c r="AN3702" s="41"/>
      <c r="AO3702" s="73"/>
      <c r="AP3702" s="64" t="e">
        <f>(AP3696/(N_1*AP$27))*SQRT('Valve Sizing'!$G$6/AP3700)</f>
        <v>#NUM!</v>
      </c>
      <c r="AQ3702" s="41"/>
      <c r="AR3702" s="73"/>
      <c r="AS3702" s="64" t="e">
        <f>(AS3696/(N_1*AS$27))*SQRT('Valve Sizing'!$G$6/AS3700)</f>
        <v>#NUM!</v>
      </c>
      <c r="AT3702" s="41"/>
      <c r="AU3702" s="73"/>
    </row>
    <row r="3703" spans="15:47" ht="13" x14ac:dyDescent="0.3">
      <c r="O3703" s="1" t="s">
        <v>72</v>
      </c>
      <c r="P3703" s="17">
        <v>7</v>
      </c>
      <c r="Q3703" s="65"/>
      <c r="R3703" s="53">
        <f>(R3696/(N_1*F_P_h))*SQRT('Valve Sizing'!$G$6/R3701)</f>
        <v>95.877409662741996</v>
      </c>
      <c r="S3703" s="56"/>
      <c r="T3703" s="72"/>
      <c r="U3703" s="85">
        <f>(U3696/(N_1*U$27))*SQRT('Valve Sizing'!$G$6/U3701)</f>
        <v>142.13500240060182</v>
      </c>
      <c r="V3703" s="44"/>
      <c r="W3703" s="72"/>
      <c r="X3703" s="85" t="e">
        <f>(X3696/(N_1*X$27))*SQRT('Valve Sizing'!$G$6/X3701)</f>
        <v>#NUM!</v>
      </c>
      <c r="Y3703" s="44"/>
      <c r="Z3703" s="72"/>
      <c r="AA3703" s="85" t="e">
        <f>(AA3696/(N_1*AA$27))*SQRT('Valve Sizing'!$G$6/AA3701)</f>
        <v>#NUM!</v>
      </c>
      <c r="AB3703" s="44"/>
      <c r="AC3703" s="72"/>
      <c r="AD3703" s="85" t="e">
        <f>(AD3696/(N_1*AD$27))*SQRT('Valve Sizing'!$G$6/AD3701)</f>
        <v>#NUM!</v>
      </c>
      <c r="AE3703" s="44"/>
      <c r="AF3703" s="72"/>
      <c r="AG3703" s="85" t="e">
        <f>(AG3696/(N_1*AG$27))*SQRT('Valve Sizing'!$G$6/AG3701)</f>
        <v>#NUM!</v>
      </c>
      <c r="AH3703" s="44"/>
      <c r="AI3703" s="72"/>
      <c r="AJ3703" s="85" t="e">
        <f>(AJ3696/(N_1*AJ$27))*SQRT('Valve Sizing'!$G$6/AJ3701)</f>
        <v>#NUM!</v>
      </c>
      <c r="AK3703" s="44"/>
      <c r="AL3703" s="72"/>
      <c r="AM3703" s="85" t="e">
        <f>(AM3696/(N_1*AM$27))*SQRT('Valve Sizing'!$G$6/AM3701)</f>
        <v>#NUM!</v>
      </c>
      <c r="AN3703" s="44"/>
      <c r="AO3703" s="72"/>
      <c r="AP3703" s="85" t="e">
        <f>(AP3696/(N_1*AP$27))*SQRT('Valve Sizing'!$G$6/AP3701)</f>
        <v>#NUM!</v>
      </c>
      <c r="AQ3703" s="44"/>
      <c r="AR3703" s="72"/>
      <c r="AS3703" s="85" t="e">
        <f>(AS3696/(N_1*AS$27))*SQRT('Valve Sizing'!$G$6/AS3701)</f>
        <v>#NUM!</v>
      </c>
      <c r="AT3703" s="44"/>
      <c r="AU3703" s="72"/>
    </row>
    <row r="3704" spans="15:47" x14ac:dyDescent="0.25">
      <c r="O3704" s="1" t="s">
        <v>246</v>
      </c>
      <c r="P3704" s="18"/>
      <c r="Q3704" s="65"/>
      <c r="R3704" s="53">
        <f>IF(R3700&lt;R3701,R3702,R3703)</f>
        <v>136.32068513948576</v>
      </c>
      <c r="S3704" s="49"/>
      <c r="T3704" s="72"/>
      <c r="U3704" s="64">
        <f>IF(U3700&lt;U3701,U3702,U3703)</f>
        <v>277.83734067699481</v>
      </c>
      <c r="V3704" s="44"/>
      <c r="W3704" s="72"/>
      <c r="X3704" s="64" t="e">
        <f>IF(X3700&lt;X3701,X3702,X3703)</f>
        <v>#NUM!</v>
      </c>
      <c r="Y3704" s="44"/>
      <c r="Z3704" s="72"/>
      <c r="AA3704" s="64" t="e">
        <f>IF(AA3700&lt;AA3701,AA3702,AA3703)</f>
        <v>#NUM!</v>
      </c>
      <c r="AB3704" s="44"/>
      <c r="AC3704" s="72"/>
      <c r="AD3704" s="64" t="e">
        <f>IF(AD3700&lt;AD3701,AD3702,AD3703)</f>
        <v>#NUM!</v>
      </c>
      <c r="AE3704" s="44"/>
      <c r="AF3704" s="72"/>
      <c r="AG3704" s="64" t="e">
        <f>IF(AG3700&lt;AG3701,AG3702,AG3703)</f>
        <v>#NUM!</v>
      </c>
      <c r="AH3704" s="44"/>
      <c r="AI3704" s="72"/>
      <c r="AJ3704" s="64" t="e">
        <f>IF(AJ3700&lt;AJ3701,AJ3702,AJ3703)</f>
        <v>#NUM!</v>
      </c>
      <c r="AK3704" s="44"/>
      <c r="AL3704" s="72"/>
      <c r="AM3704" s="64" t="e">
        <f>IF(AM3700&lt;AM3701,AM3702,AM3703)</f>
        <v>#NUM!</v>
      </c>
      <c r="AN3704" s="44"/>
      <c r="AO3704" s="72"/>
      <c r="AP3704" s="64" t="e">
        <f>IF(AP3700&lt;AP3701,AP3702,AP3703)</f>
        <v>#NUM!</v>
      </c>
      <c r="AQ3704" s="44"/>
      <c r="AR3704" s="72"/>
      <c r="AS3704" s="64" t="e">
        <f>IF(AS3700&lt;AS3701,AS3702,AS3703)</f>
        <v>#NUM!</v>
      </c>
      <c r="AT3704" s="44"/>
      <c r="AU3704" s="72"/>
    </row>
    <row r="3705" spans="15:47" ht="13" x14ac:dyDescent="0.3">
      <c r="O3705" s="7" t="s">
        <v>264</v>
      </c>
      <c r="Q3705" s="61"/>
      <c r="R3705" s="53"/>
      <c r="S3705" s="69">
        <f>IFERROR(ABS(C_h-R3704),Q_max*10)</f>
        <v>131.32068513948576</v>
      </c>
      <c r="T3705" s="76">
        <f>R3696</f>
        <v>584.71896980700876</v>
      </c>
      <c r="U3705" s="61"/>
      <c r="V3705" s="69">
        <f>IFERROR(ABS(U$23-U3704),Q_max*10)</f>
        <v>265.83734067699481</v>
      </c>
      <c r="W3705" s="75">
        <f>U3696</f>
        <v>776.49448183352069</v>
      </c>
      <c r="X3705" s="61"/>
      <c r="Y3705" s="69">
        <f>IFERROR(ABS(X$23-X3704),Q_max*10)</f>
        <v>5500</v>
      </c>
      <c r="Z3705" s="75">
        <f>X3696</f>
        <v>1863.8856581725322</v>
      </c>
      <c r="AA3705" s="61"/>
      <c r="AB3705" s="69">
        <f>IFERROR(ABS(AA$23-AA3704),Q_max*10)</f>
        <v>5500</v>
      </c>
      <c r="AC3705" s="75">
        <f>AA3696</f>
        <v>3558.8408135034242</v>
      </c>
      <c r="AD3705" s="61"/>
      <c r="AE3705" s="69">
        <f>IFERROR(ABS(AD$23-AD3704),Q_max*10)</f>
        <v>5500</v>
      </c>
      <c r="AF3705" s="75">
        <f>AD3696</f>
        <v>5852.9828507645007</v>
      </c>
      <c r="AG3705" s="61"/>
      <c r="AH3705" s="69">
        <f>IFERROR(ABS(AG$23-AG3704),Q_max*10)</f>
        <v>5500</v>
      </c>
      <c r="AI3705" s="75">
        <f>AG3696</f>
        <v>8714.2938998170666</v>
      </c>
      <c r="AJ3705" s="61"/>
      <c r="AK3705" s="69">
        <f>IFERROR(ABS(AJ$23-AJ3704),Q_max*10)</f>
        <v>5500</v>
      </c>
      <c r="AL3705" s="75">
        <f>AJ3696</f>
        <v>11629.258990852073</v>
      </c>
      <c r="AM3705" s="61"/>
      <c r="AN3705" s="69">
        <f>IFERROR(ABS(AM$23-AM3704),Q_max*10)</f>
        <v>5500</v>
      </c>
      <c r="AO3705" s="75">
        <f>AM3696</f>
        <v>14189.905992613047</v>
      </c>
      <c r="AP3705" s="61"/>
      <c r="AQ3705" s="69">
        <f>IFERROR(ABS(AP$23-AP3704),Q_max*10)</f>
        <v>5500</v>
      </c>
      <c r="AR3705" s="75">
        <f>AP3696</f>
        <v>16474.040337042454</v>
      </c>
      <c r="AS3705" s="61"/>
      <c r="AT3705" s="69">
        <f>IFERROR(ABS(AS$23-AS3704),Q_max*10)</f>
        <v>5500</v>
      </c>
      <c r="AU3705" s="75">
        <f>AS3696</f>
        <v>18748.994609174988</v>
      </c>
    </row>
    <row r="3706" spans="15:47" ht="14.5" x14ac:dyDescent="0.35">
      <c r="O3706" s="8"/>
      <c r="P3706" s="6"/>
      <c r="Q3706" s="60"/>
      <c r="R3706" s="67"/>
      <c r="S3706" s="56"/>
      <c r="T3706" s="72"/>
      <c r="V3706" s="11"/>
      <c r="W3706" s="38"/>
      <c r="Y3706" s="11"/>
      <c r="Z3706" s="38"/>
      <c r="AB3706" s="11"/>
      <c r="AC3706" s="38"/>
      <c r="AE3706" s="11"/>
      <c r="AF3706" s="38"/>
      <c r="AH3706" s="11"/>
      <c r="AI3706" s="38"/>
      <c r="AK3706" s="11"/>
      <c r="AL3706" s="38"/>
      <c r="AN3706" s="11"/>
      <c r="AO3706" s="38"/>
      <c r="AQ3706" s="11"/>
      <c r="AR3706" s="38"/>
      <c r="AT3706" s="11"/>
      <c r="AU3706" s="38"/>
    </row>
    <row r="3707" spans="15:47" ht="14" x14ac:dyDescent="0.3">
      <c r="O3707" s="8" t="s">
        <v>235</v>
      </c>
      <c r="P3707" s="6"/>
      <c r="Q3707" s="60"/>
      <c r="R3707" s="53">
        <f>R3696*1.02</f>
        <v>596.41334920314898</v>
      </c>
      <c r="S3707" s="58" t="s">
        <v>238</v>
      </c>
      <c r="T3707" s="73" t="s">
        <v>241</v>
      </c>
      <c r="U3707" s="84">
        <f>U3696*1.01</f>
        <v>784.25942665185596</v>
      </c>
      <c r="V3707" s="58" t="s">
        <v>238</v>
      </c>
      <c r="W3707" s="73" t="s">
        <v>241</v>
      </c>
      <c r="X3707" s="84">
        <f>X3696*1.01</f>
        <v>1882.5245147542576</v>
      </c>
      <c r="Y3707" s="58" t="s">
        <v>238</v>
      </c>
      <c r="Z3707" s="73" t="s">
        <v>241</v>
      </c>
      <c r="AA3707" s="84">
        <f>AA3696*1.01</f>
        <v>3594.4292216384583</v>
      </c>
      <c r="AB3707" s="58" t="s">
        <v>238</v>
      </c>
      <c r="AC3707" s="73" t="s">
        <v>241</v>
      </c>
      <c r="AD3707" s="84">
        <f>AD3696*1.01</f>
        <v>5911.5126792721458</v>
      </c>
      <c r="AE3707" s="58" t="s">
        <v>238</v>
      </c>
      <c r="AF3707" s="73" t="s">
        <v>241</v>
      </c>
      <c r="AG3707" s="84">
        <f>AG3696*1.01</f>
        <v>8801.4368388152379</v>
      </c>
      <c r="AH3707" s="58" t="s">
        <v>238</v>
      </c>
      <c r="AI3707" s="73" t="s">
        <v>241</v>
      </c>
      <c r="AJ3707" s="84">
        <f>AJ3696*1.01</f>
        <v>11745.551580760593</v>
      </c>
      <c r="AK3707" s="58" t="s">
        <v>238</v>
      </c>
      <c r="AL3707" s="73" t="s">
        <v>241</v>
      </c>
      <c r="AM3707" s="84">
        <f>AM3696*1.01</f>
        <v>14331.805052539177</v>
      </c>
      <c r="AN3707" s="58" t="s">
        <v>238</v>
      </c>
      <c r="AO3707" s="73" t="s">
        <v>241</v>
      </c>
      <c r="AP3707" s="84">
        <f>AP3696*1.01</f>
        <v>16638.78074041288</v>
      </c>
      <c r="AQ3707" s="58" t="s">
        <v>238</v>
      </c>
      <c r="AR3707" s="73" t="s">
        <v>241</v>
      </c>
      <c r="AS3707" s="84">
        <f>AS3696*1.01</f>
        <v>18936.484555266739</v>
      </c>
      <c r="AT3707" s="58" t="s">
        <v>238</v>
      </c>
      <c r="AU3707" s="73" t="s">
        <v>241</v>
      </c>
    </row>
    <row r="3708" spans="15:47" ht="13" x14ac:dyDescent="0.25">
      <c r="O3708" s="6"/>
      <c r="P3708" s="6"/>
      <c r="Q3708" s="60"/>
      <c r="R3708" s="70"/>
      <c r="S3708" s="63" t="s">
        <v>250</v>
      </c>
      <c r="T3708" s="71" t="s">
        <v>242</v>
      </c>
      <c r="U3708" s="61"/>
      <c r="V3708" s="63" t="s">
        <v>250</v>
      </c>
      <c r="W3708" s="71" t="s">
        <v>242</v>
      </c>
      <c r="X3708" s="61"/>
      <c r="Y3708" s="63" t="s">
        <v>250</v>
      </c>
      <c r="Z3708" s="71" t="s">
        <v>242</v>
      </c>
      <c r="AA3708" s="61"/>
      <c r="AB3708" s="63" t="s">
        <v>250</v>
      </c>
      <c r="AC3708" s="71" t="s">
        <v>242</v>
      </c>
      <c r="AD3708" s="61"/>
      <c r="AE3708" s="63" t="s">
        <v>250</v>
      </c>
      <c r="AF3708" s="71" t="s">
        <v>242</v>
      </c>
      <c r="AG3708" s="61"/>
      <c r="AH3708" s="63" t="s">
        <v>250</v>
      </c>
      <c r="AI3708" s="71" t="s">
        <v>242</v>
      </c>
      <c r="AJ3708" s="61"/>
      <c r="AK3708" s="63" t="s">
        <v>250</v>
      </c>
      <c r="AL3708" s="71" t="s">
        <v>242</v>
      </c>
      <c r="AM3708" s="61"/>
      <c r="AN3708" s="63" t="s">
        <v>250</v>
      </c>
      <c r="AO3708" s="71" t="s">
        <v>242</v>
      </c>
      <c r="AP3708" s="61"/>
      <c r="AQ3708" s="63" t="s">
        <v>250</v>
      </c>
      <c r="AR3708" s="71" t="s">
        <v>242</v>
      </c>
      <c r="AS3708" s="61"/>
      <c r="AT3708" s="63" t="s">
        <v>250</v>
      </c>
      <c r="AU3708" s="71" t="s">
        <v>242</v>
      </c>
    </row>
    <row r="3709" spans="15:47" ht="13" x14ac:dyDescent="0.3">
      <c r="O3709" s="6" t="s">
        <v>231</v>
      </c>
      <c r="P3709" s="6"/>
      <c r="Q3709" s="60"/>
      <c r="R3709" s="85">
        <f>P_1_minQ-(R3707^2*R_up)+dpup_minQ</f>
        <v>44.903009689033524</v>
      </c>
      <c r="S3709" s="56"/>
      <c r="T3709" s="72"/>
      <c r="U3709" s="53">
        <f>P_1_minQ-(U3707^2*R_up)+dpup_minQ</f>
        <v>36.144010527109153</v>
      </c>
      <c r="V3709" s="44"/>
      <c r="W3709" s="72"/>
      <c r="X3709" s="53">
        <f>P_1_minQ-(X3707^2*R_up)+dpup_minQ</f>
        <v>-62.769724709583009</v>
      </c>
      <c r="Y3709" s="44"/>
      <c r="Z3709" s="72"/>
      <c r="AA3709" s="53">
        <f>P_1_minQ-(AA3707^2*R_up)+dpup_minQ</f>
        <v>-379.42027792531081</v>
      </c>
      <c r="AB3709" s="44"/>
      <c r="AC3709" s="72"/>
      <c r="AD3709" s="53">
        <f>P_1_minQ-(AD3707^2*R_up)+dpup_minQ</f>
        <v>-1123.2926429312849</v>
      </c>
      <c r="AE3709" s="44"/>
      <c r="AF3709" s="72"/>
      <c r="AG3709" s="53">
        <f>P_1_minQ-(AG3707^2*R_up)+dpup_minQ</f>
        <v>-2559.270632477338</v>
      </c>
      <c r="AH3709" s="44"/>
      <c r="AI3709" s="72"/>
      <c r="AJ3709" s="53">
        <f>P_1_minQ-(AJ3707^2*R_up)+dpup_minQ</f>
        <v>-4602.2524463460886</v>
      </c>
      <c r="AK3709" s="44"/>
      <c r="AL3709" s="72"/>
      <c r="AM3709" s="53">
        <f>P_1_minQ-(AM3707^2*R_up)+dpup_minQ</f>
        <v>-6879.9509984460492</v>
      </c>
      <c r="AN3709" s="44"/>
      <c r="AO3709" s="72"/>
      <c r="AP3709" s="53">
        <f>P_1_minQ-(AP3707^2*R_up)+dpup_minQ</f>
        <v>-9292.9327094743203</v>
      </c>
      <c r="AQ3709" s="44"/>
      <c r="AR3709" s="72"/>
      <c r="AS3709" s="53">
        <f>P_1_minQ-(AS3707^2*R_up)+dpup_minQ</f>
        <v>-12053.534627215662</v>
      </c>
      <c r="AT3709" s="44"/>
      <c r="AU3709" s="72"/>
    </row>
    <row r="3710" spans="15:47" ht="13" x14ac:dyDescent="0.3">
      <c r="O3710" s="6" t="s">
        <v>233</v>
      </c>
      <c r="P3710" s="6"/>
      <c r="Q3710" s="60"/>
      <c r="R3710" s="85">
        <f>P_2_minQ+(R3707^2*R_dn)-dpdn_minQ</f>
        <v>27.059398062193296</v>
      </c>
      <c r="S3710" s="66"/>
      <c r="T3710" s="74"/>
      <c r="U3710" s="53">
        <f>P_2_minQ+(U3707^2*R_dn)-dpdn_minQ</f>
        <v>28.811197894578168</v>
      </c>
      <c r="V3710" s="45"/>
      <c r="W3710" s="74"/>
      <c r="X3710" s="53">
        <f>P_2_minQ+(X3707^2*R_dn)-dpdn_minQ</f>
        <v>48.593944941916604</v>
      </c>
      <c r="Y3710" s="45"/>
      <c r="Z3710" s="74"/>
      <c r="AA3710" s="53">
        <f>P_2_minQ+(AA3707^2*R_dn)-dpdn_minQ</f>
        <v>111.92405558506216</v>
      </c>
      <c r="AB3710" s="45"/>
      <c r="AC3710" s="74"/>
      <c r="AD3710" s="53">
        <f>P_2_minQ+(AD3707^2*R_dn)-dpdn_minQ</f>
        <v>260.69852858625694</v>
      </c>
      <c r="AE3710" s="45"/>
      <c r="AF3710" s="74"/>
      <c r="AG3710" s="53">
        <f>P_2_minQ+(AG3707^2*R_dn)-dpdn_minQ</f>
        <v>547.8941264954675</v>
      </c>
      <c r="AH3710" s="45"/>
      <c r="AI3710" s="74"/>
      <c r="AJ3710" s="53">
        <f>P_2_minQ+(AJ3707^2*R_dn)-dpdn_minQ</f>
        <v>956.49048926921762</v>
      </c>
      <c r="AK3710" s="45"/>
      <c r="AL3710" s="74"/>
      <c r="AM3710" s="53">
        <f>P_2_minQ+(AM3707^2*R_dn)-dpdn_minQ</f>
        <v>1412.0301996892097</v>
      </c>
      <c r="AN3710" s="45"/>
      <c r="AO3710" s="74"/>
      <c r="AP3710" s="53">
        <f>P_2_minQ+(AP3707^2*R_dn)-dpdn_minQ</f>
        <v>1894.626541894864</v>
      </c>
      <c r="AQ3710" s="45"/>
      <c r="AR3710" s="74"/>
      <c r="AS3710" s="53">
        <f>P_2_minQ+(AS3707^2*R_dn)-dpdn_minQ</f>
        <v>2446.7469254431321</v>
      </c>
      <c r="AT3710" s="45"/>
      <c r="AU3710" s="74"/>
    </row>
    <row r="3711" spans="15:47" x14ac:dyDescent="0.25">
      <c r="O3711" s="6" t="s">
        <v>243</v>
      </c>
      <c r="Q3711" s="60"/>
      <c r="R3711" s="53">
        <f>R3709-R3710</f>
        <v>17.843611626840229</v>
      </c>
      <c r="S3711" s="56"/>
      <c r="T3711" s="72"/>
      <c r="U3711" s="64">
        <f>U3709-U3710</f>
        <v>7.3328126325309846</v>
      </c>
      <c r="V3711" s="44"/>
      <c r="W3711" s="72"/>
      <c r="X3711" s="64">
        <f>X3709-X3710</f>
        <v>-111.36366965149961</v>
      </c>
      <c r="Y3711" s="44"/>
      <c r="Z3711" s="72"/>
      <c r="AA3711" s="64">
        <f>AA3709-AA3710</f>
        <v>-491.34433351037296</v>
      </c>
      <c r="AB3711" s="44"/>
      <c r="AC3711" s="72"/>
      <c r="AD3711" s="64">
        <f>AD3709-AD3710</f>
        <v>-1383.9911715175419</v>
      </c>
      <c r="AE3711" s="44"/>
      <c r="AF3711" s="72"/>
      <c r="AG3711" s="64">
        <f>AG3709-AG3710</f>
        <v>-3107.1647589728054</v>
      </c>
      <c r="AH3711" s="44"/>
      <c r="AI3711" s="72"/>
      <c r="AJ3711" s="64">
        <f>AJ3709-AJ3710</f>
        <v>-5558.7429356153061</v>
      </c>
      <c r="AK3711" s="44"/>
      <c r="AL3711" s="72"/>
      <c r="AM3711" s="64">
        <f>AM3709-AM3710</f>
        <v>-8291.9811981352595</v>
      </c>
      <c r="AN3711" s="44"/>
      <c r="AO3711" s="72"/>
      <c r="AP3711" s="64">
        <f>AP3709-AP3710</f>
        <v>-11187.559251369184</v>
      </c>
      <c r="AQ3711" s="44"/>
      <c r="AR3711" s="72"/>
      <c r="AS3711" s="64">
        <f>AS3709-AS3710</f>
        <v>-14500.281552658795</v>
      </c>
      <c r="AT3711" s="44"/>
      <c r="AU3711" s="72"/>
    </row>
    <row r="3712" spans="15:47" ht="13" x14ac:dyDescent="0.3">
      <c r="O3712" s="6" t="s">
        <v>75</v>
      </c>
      <c r="P3712" s="6">
        <v>3</v>
      </c>
      <c r="Q3712" s="65"/>
      <c r="R3712" s="85">
        <f>(F_LP_h/F_P_h)^2*(R3709-('Valve Sizing'!$V$4*'Valve Sizing'!$G$7))</f>
        <v>36.817658130246322</v>
      </c>
      <c r="S3712" s="58"/>
      <c r="T3712" s="73"/>
      <c r="U3712" s="53">
        <f>(U$29/U$27)^2*(U3709-('Valve Sizing'!$V$4*'Valve Sizing'!$G$7))</f>
        <v>29.556688936150323</v>
      </c>
      <c r="V3712" s="41"/>
      <c r="W3712" s="73"/>
      <c r="X3712" s="53">
        <f>(X$29/X$27)^2*(X3709-('Valve Sizing'!$V$4*'Valve Sizing'!$G$7))</f>
        <v>-51.146420747431684</v>
      </c>
      <c r="Y3712" s="41"/>
      <c r="Z3712" s="73"/>
      <c r="AA3712" s="53">
        <f>(AA$29/AA$27)^2*(AA3709-('Valve Sizing'!$V$4*'Valve Sizing'!$G$7))</f>
        <v>-293.55501184959974</v>
      </c>
      <c r="AB3712" s="41"/>
      <c r="AC3712" s="73"/>
      <c r="AD3712" s="53">
        <f>(AD$29/AD$27)^2*(AD3709-('Valve Sizing'!$V$4*'Valve Sizing'!$G$7))</f>
        <v>-810.42187270442673</v>
      </c>
      <c r="AE3712" s="41"/>
      <c r="AF3712" s="73"/>
      <c r="AG3712" s="53">
        <f>(AG$29/AG$27)^2*(AG3709-('Valve Sizing'!$V$4*'Valve Sizing'!$G$7))</f>
        <v>-1648.5661867674426</v>
      </c>
      <c r="AH3712" s="41"/>
      <c r="AI3712" s="73"/>
      <c r="AJ3712" s="53">
        <f>(AJ$29/AJ$27)^2*(AJ3709-('Valve Sizing'!$V$4*'Valve Sizing'!$G$7))</f>
        <v>-2662.0331907956347</v>
      </c>
      <c r="AK3712" s="41"/>
      <c r="AL3712" s="73"/>
      <c r="AM3712" s="53">
        <f>(AM$29/AM$27)^2*(AM3709-('Valve Sizing'!$V$4*'Valve Sizing'!$G$7))</f>
        <v>-3292.0754966749373</v>
      </c>
      <c r="AN3712" s="41"/>
      <c r="AO3712" s="73"/>
      <c r="AP3712" s="53">
        <f>(AP$29/AP$27)^2*(AP3709-('Valve Sizing'!$V$4*'Valve Sizing'!$G$7))</f>
        <v>-3667.4142105567034</v>
      </c>
      <c r="AQ3712" s="41"/>
      <c r="AR3712" s="73"/>
      <c r="AS3712" s="53">
        <f>(AS$29/AS$27)^2*(AS3709-('Valve Sizing'!$V$4*'Valve Sizing'!$G$7))</f>
        <v>-4533.9916100798391</v>
      </c>
      <c r="AT3712" s="41"/>
      <c r="AU3712" s="73"/>
    </row>
    <row r="3713" spans="15:47" ht="13" x14ac:dyDescent="0.25">
      <c r="O3713" s="1" t="s">
        <v>69</v>
      </c>
      <c r="P3713" s="17">
        <v>7</v>
      </c>
      <c r="Q3713" s="65"/>
      <c r="R3713" s="53">
        <f>(R3707/(N_1*F_P_h))*SQRT('Valve Sizing'!$G$6/R3711)</f>
        <v>141.21131686991072</v>
      </c>
      <c r="S3713" s="58"/>
      <c r="T3713" s="73"/>
      <c r="U3713" s="64">
        <f>(U3707/(N_1*U$27))*SQRT('Valve Sizing'!$G$6/U3711)</f>
        <v>289.86122544174879</v>
      </c>
      <c r="V3713" s="41"/>
      <c r="W3713" s="73"/>
      <c r="X3713" s="64" t="e">
        <f>(X3707/(N_1*X$27))*SQRT('Valve Sizing'!$G$6/X3711)</f>
        <v>#NUM!</v>
      </c>
      <c r="Y3713" s="41"/>
      <c r="Z3713" s="73"/>
      <c r="AA3713" s="64" t="e">
        <f>(AA3707/(N_1*AA$27))*SQRT('Valve Sizing'!$G$6/AA3711)</f>
        <v>#NUM!</v>
      </c>
      <c r="AB3713" s="41"/>
      <c r="AC3713" s="73"/>
      <c r="AD3713" s="64" t="e">
        <f>(AD3707/(N_1*AD$27))*SQRT('Valve Sizing'!$G$6/AD3711)</f>
        <v>#NUM!</v>
      </c>
      <c r="AE3713" s="41"/>
      <c r="AF3713" s="73"/>
      <c r="AG3713" s="64" t="e">
        <f>(AG3707/(N_1*AG$27))*SQRT('Valve Sizing'!$G$6/AG3711)</f>
        <v>#NUM!</v>
      </c>
      <c r="AH3713" s="41"/>
      <c r="AI3713" s="73"/>
      <c r="AJ3713" s="64" t="e">
        <f>(AJ3707/(N_1*AJ$27))*SQRT('Valve Sizing'!$G$6/AJ3711)</f>
        <v>#NUM!</v>
      </c>
      <c r="AK3713" s="41"/>
      <c r="AL3713" s="73"/>
      <c r="AM3713" s="64" t="e">
        <f>(AM3707/(N_1*AM$27))*SQRT('Valve Sizing'!$G$6/AM3711)</f>
        <v>#NUM!</v>
      </c>
      <c r="AN3713" s="41"/>
      <c r="AO3713" s="73"/>
      <c r="AP3713" s="64" t="e">
        <f>(AP3707/(N_1*AP$27))*SQRT('Valve Sizing'!$G$6/AP3711)</f>
        <v>#NUM!</v>
      </c>
      <c r="AQ3713" s="41"/>
      <c r="AR3713" s="73"/>
      <c r="AS3713" s="64" t="e">
        <f>(AS3707/(N_1*AS$27))*SQRT('Valve Sizing'!$G$6/AS3711)</f>
        <v>#NUM!</v>
      </c>
      <c r="AT3713" s="41"/>
      <c r="AU3713" s="73"/>
    </row>
    <row r="3714" spans="15:47" ht="13" x14ac:dyDescent="0.3">
      <c r="O3714" s="1" t="s">
        <v>72</v>
      </c>
      <c r="P3714" s="17">
        <v>7</v>
      </c>
      <c r="Q3714" s="65"/>
      <c r="R3714" s="53">
        <f>(R3707/(N_1*F_P_h))*SQRT('Valve Sizing'!$G$6/R3712)</f>
        <v>98.306628913239095</v>
      </c>
      <c r="S3714" s="56"/>
      <c r="T3714" s="72"/>
      <c r="U3714" s="85">
        <f>(U3707/(N_1*U$27))*SQRT('Valve Sizing'!$G$6/U3712)</f>
        <v>144.37683846588297</v>
      </c>
      <c r="V3714" s="44"/>
      <c r="W3714" s="72"/>
      <c r="X3714" s="85" t="e">
        <f>(X3707/(N_1*X$27))*SQRT('Valve Sizing'!$G$6/X3712)</f>
        <v>#NUM!</v>
      </c>
      <c r="Y3714" s="44"/>
      <c r="Z3714" s="72"/>
      <c r="AA3714" s="85" t="e">
        <f>(AA3707/(N_1*AA$27))*SQRT('Valve Sizing'!$G$6/AA3712)</f>
        <v>#NUM!</v>
      </c>
      <c r="AB3714" s="44"/>
      <c r="AC3714" s="72"/>
      <c r="AD3714" s="85" t="e">
        <f>(AD3707/(N_1*AD$27))*SQRT('Valve Sizing'!$G$6/AD3712)</f>
        <v>#NUM!</v>
      </c>
      <c r="AE3714" s="44"/>
      <c r="AF3714" s="72"/>
      <c r="AG3714" s="85" t="e">
        <f>(AG3707/(N_1*AG$27))*SQRT('Valve Sizing'!$G$6/AG3712)</f>
        <v>#NUM!</v>
      </c>
      <c r="AH3714" s="44"/>
      <c r="AI3714" s="72"/>
      <c r="AJ3714" s="85" t="e">
        <f>(AJ3707/(N_1*AJ$27))*SQRT('Valve Sizing'!$G$6/AJ3712)</f>
        <v>#NUM!</v>
      </c>
      <c r="AK3714" s="44"/>
      <c r="AL3714" s="72"/>
      <c r="AM3714" s="85" t="e">
        <f>(AM3707/(N_1*AM$27))*SQRT('Valve Sizing'!$G$6/AM3712)</f>
        <v>#NUM!</v>
      </c>
      <c r="AN3714" s="44"/>
      <c r="AO3714" s="72"/>
      <c r="AP3714" s="85" t="e">
        <f>(AP3707/(N_1*AP$27))*SQRT('Valve Sizing'!$G$6/AP3712)</f>
        <v>#NUM!</v>
      </c>
      <c r="AQ3714" s="44"/>
      <c r="AR3714" s="72"/>
      <c r="AS3714" s="85" t="e">
        <f>(AS3707/(N_1*AS$27))*SQRT('Valve Sizing'!$G$6/AS3712)</f>
        <v>#NUM!</v>
      </c>
      <c r="AT3714" s="44"/>
      <c r="AU3714" s="72"/>
    </row>
    <row r="3715" spans="15:47" x14ac:dyDescent="0.25">
      <c r="O3715" s="1" t="s">
        <v>246</v>
      </c>
      <c r="P3715" s="18"/>
      <c r="Q3715" s="65"/>
      <c r="R3715" s="53">
        <f>IF(R3711&lt;R3712,R3713,R3714)</f>
        <v>141.21131686991072</v>
      </c>
      <c r="S3715" s="49"/>
      <c r="T3715" s="72"/>
      <c r="U3715" s="64">
        <f>IF(U3711&lt;U3712,U3713,U3714)</f>
        <v>289.86122544174879</v>
      </c>
      <c r="V3715" s="44"/>
      <c r="W3715" s="72"/>
      <c r="X3715" s="64" t="e">
        <f>IF(X3711&lt;X3712,X3713,X3714)</f>
        <v>#NUM!</v>
      </c>
      <c r="Y3715" s="44"/>
      <c r="Z3715" s="72"/>
      <c r="AA3715" s="64" t="e">
        <f>IF(AA3711&lt;AA3712,AA3713,AA3714)</f>
        <v>#NUM!</v>
      </c>
      <c r="AB3715" s="44"/>
      <c r="AC3715" s="72"/>
      <c r="AD3715" s="64" t="e">
        <f>IF(AD3711&lt;AD3712,AD3713,AD3714)</f>
        <v>#NUM!</v>
      </c>
      <c r="AE3715" s="44"/>
      <c r="AF3715" s="72"/>
      <c r="AG3715" s="64" t="e">
        <f>IF(AG3711&lt;AG3712,AG3713,AG3714)</f>
        <v>#NUM!</v>
      </c>
      <c r="AH3715" s="44"/>
      <c r="AI3715" s="72"/>
      <c r="AJ3715" s="64" t="e">
        <f>IF(AJ3711&lt;AJ3712,AJ3713,AJ3714)</f>
        <v>#NUM!</v>
      </c>
      <c r="AK3715" s="44"/>
      <c r="AL3715" s="72"/>
      <c r="AM3715" s="64" t="e">
        <f>IF(AM3711&lt;AM3712,AM3713,AM3714)</f>
        <v>#NUM!</v>
      </c>
      <c r="AN3715" s="44"/>
      <c r="AO3715" s="72"/>
      <c r="AP3715" s="64" t="e">
        <f>IF(AP3711&lt;AP3712,AP3713,AP3714)</f>
        <v>#NUM!</v>
      </c>
      <c r="AQ3715" s="44"/>
      <c r="AR3715" s="72"/>
      <c r="AS3715" s="64" t="e">
        <f>IF(AS3711&lt;AS3712,AS3713,AS3714)</f>
        <v>#NUM!</v>
      </c>
      <c r="AT3715" s="44"/>
      <c r="AU3715" s="72"/>
    </row>
    <row r="3716" spans="15:47" ht="13" x14ac:dyDescent="0.3">
      <c r="O3716" s="7" t="s">
        <v>264</v>
      </c>
      <c r="Q3716" s="61"/>
      <c r="R3716" s="53"/>
      <c r="S3716" s="69">
        <f>IFERROR(ABS(C_h-R3715),Q_max*10)</f>
        <v>136.21131686991072</v>
      </c>
      <c r="T3716" s="76">
        <f>R3707</f>
        <v>596.41334920314898</v>
      </c>
      <c r="U3716" s="61"/>
      <c r="V3716" s="69">
        <f>IFERROR(ABS(U$23-U3715),Q_max*10)</f>
        <v>277.86122544174879</v>
      </c>
      <c r="W3716" s="75">
        <f>U3707</f>
        <v>784.25942665185596</v>
      </c>
      <c r="X3716" s="61"/>
      <c r="Y3716" s="69">
        <f>IFERROR(ABS(X$23-X3715),Q_max*10)</f>
        <v>5500</v>
      </c>
      <c r="Z3716" s="75">
        <f>X3707</f>
        <v>1882.5245147542576</v>
      </c>
      <c r="AA3716" s="61"/>
      <c r="AB3716" s="69">
        <f>IFERROR(ABS(AA$23-AA3715),Q_max*10)</f>
        <v>5500</v>
      </c>
      <c r="AC3716" s="75">
        <f>AA3707</f>
        <v>3594.4292216384583</v>
      </c>
      <c r="AD3716" s="61"/>
      <c r="AE3716" s="69">
        <f>IFERROR(ABS(AD$23-AD3715),Q_max*10)</f>
        <v>5500</v>
      </c>
      <c r="AF3716" s="75">
        <f>AD3707</f>
        <v>5911.5126792721458</v>
      </c>
      <c r="AG3716" s="61"/>
      <c r="AH3716" s="69">
        <f>IFERROR(ABS(AG$23-AG3715),Q_max*10)</f>
        <v>5500</v>
      </c>
      <c r="AI3716" s="75">
        <f>AG3707</f>
        <v>8801.4368388152379</v>
      </c>
      <c r="AJ3716" s="61"/>
      <c r="AK3716" s="69">
        <f>IFERROR(ABS(AJ$23-AJ3715),Q_max*10)</f>
        <v>5500</v>
      </c>
      <c r="AL3716" s="75">
        <f>AJ3707</f>
        <v>11745.551580760593</v>
      </c>
      <c r="AM3716" s="61"/>
      <c r="AN3716" s="69">
        <f>IFERROR(ABS(AM$23-AM3715),Q_max*10)</f>
        <v>5500</v>
      </c>
      <c r="AO3716" s="75">
        <f>AM3707</f>
        <v>14331.805052539177</v>
      </c>
      <c r="AP3716" s="61"/>
      <c r="AQ3716" s="69">
        <f>IFERROR(ABS(AP$23-AP3715),Q_max*10)</f>
        <v>5500</v>
      </c>
      <c r="AR3716" s="75">
        <f>AP3707</f>
        <v>16638.78074041288</v>
      </c>
      <c r="AS3716" s="61"/>
      <c r="AT3716" s="69">
        <f>IFERROR(ABS(AS$23-AS3715),Q_max*10)</f>
        <v>5500</v>
      </c>
      <c r="AU3716" s="75">
        <f>AS3707</f>
        <v>18936.484555266739</v>
      </c>
    </row>
    <row r="3717" spans="15:47" ht="14.5" x14ac:dyDescent="0.35">
      <c r="O3717" s="6"/>
      <c r="P3717" s="6"/>
      <c r="Q3717" s="60"/>
      <c r="R3717" s="67"/>
      <c r="S3717" s="56"/>
      <c r="T3717" s="72"/>
      <c r="V3717" s="11"/>
      <c r="W3717" s="38"/>
      <c r="Y3717" s="11"/>
      <c r="Z3717" s="38"/>
      <c r="AB3717" s="11"/>
      <c r="AC3717" s="38"/>
      <c r="AE3717" s="11"/>
      <c r="AF3717" s="38"/>
      <c r="AH3717" s="11"/>
      <c r="AI3717" s="38"/>
      <c r="AK3717" s="11"/>
      <c r="AL3717" s="38"/>
      <c r="AN3717" s="11"/>
      <c r="AO3717" s="38"/>
      <c r="AQ3717" s="11"/>
      <c r="AR3717" s="38"/>
      <c r="AT3717" s="11"/>
      <c r="AU3717" s="38"/>
    </row>
    <row r="3718" spans="15:47" ht="14" x14ac:dyDescent="0.3">
      <c r="O3718" s="8" t="s">
        <v>235</v>
      </c>
      <c r="P3718" s="6"/>
      <c r="Q3718" s="60"/>
      <c r="R3718" s="53">
        <f>R3707*1.02</f>
        <v>608.34161618721203</v>
      </c>
      <c r="S3718" s="58" t="s">
        <v>238</v>
      </c>
      <c r="T3718" s="73" t="s">
        <v>241</v>
      </c>
      <c r="U3718" s="84">
        <f>U3707*1.01</f>
        <v>792.10202091837448</v>
      </c>
      <c r="V3718" s="58" t="s">
        <v>238</v>
      </c>
      <c r="W3718" s="73" t="s">
        <v>241</v>
      </c>
      <c r="X3718" s="84">
        <f>X3707*1.01</f>
        <v>1901.3497599018001</v>
      </c>
      <c r="Y3718" s="58" t="s">
        <v>238</v>
      </c>
      <c r="Z3718" s="73" t="s">
        <v>241</v>
      </c>
      <c r="AA3718" s="84">
        <f>AA3707*1.01</f>
        <v>3630.3735138548432</v>
      </c>
      <c r="AB3718" s="58" t="s">
        <v>238</v>
      </c>
      <c r="AC3718" s="73" t="s">
        <v>241</v>
      </c>
      <c r="AD3718" s="84">
        <f>AD3707*1.01</f>
        <v>5970.6278060648674</v>
      </c>
      <c r="AE3718" s="58" t="s">
        <v>238</v>
      </c>
      <c r="AF3718" s="73" t="s">
        <v>241</v>
      </c>
      <c r="AG3718" s="84">
        <f>AG3707*1.01</f>
        <v>8889.4512072033904</v>
      </c>
      <c r="AH3718" s="58" t="s">
        <v>238</v>
      </c>
      <c r="AI3718" s="73" t="s">
        <v>241</v>
      </c>
      <c r="AJ3718" s="84">
        <f>AJ3707*1.01</f>
        <v>11863.007096568199</v>
      </c>
      <c r="AK3718" s="58" t="s">
        <v>238</v>
      </c>
      <c r="AL3718" s="73" t="s">
        <v>241</v>
      </c>
      <c r="AM3718" s="84">
        <f>AM3707*1.01</f>
        <v>14475.123103064569</v>
      </c>
      <c r="AN3718" s="58" t="s">
        <v>238</v>
      </c>
      <c r="AO3718" s="73" t="s">
        <v>241</v>
      </c>
      <c r="AP3718" s="84">
        <f>AP3707*1.01</f>
        <v>16805.168547817007</v>
      </c>
      <c r="AQ3718" s="58" t="s">
        <v>238</v>
      </c>
      <c r="AR3718" s="73" t="s">
        <v>241</v>
      </c>
      <c r="AS3718" s="84">
        <f>AS3707*1.01</f>
        <v>19125.849400819407</v>
      </c>
      <c r="AT3718" s="58" t="s">
        <v>238</v>
      </c>
      <c r="AU3718" s="73" t="s">
        <v>241</v>
      </c>
    </row>
    <row r="3719" spans="15:47" ht="13" x14ac:dyDescent="0.25">
      <c r="O3719" s="6"/>
      <c r="P3719" s="6"/>
      <c r="Q3719" s="60"/>
      <c r="R3719" s="70"/>
      <c r="S3719" s="63" t="s">
        <v>250</v>
      </c>
      <c r="T3719" s="71" t="s">
        <v>242</v>
      </c>
      <c r="U3719" s="61"/>
      <c r="V3719" s="63" t="s">
        <v>250</v>
      </c>
      <c r="W3719" s="71" t="s">
        <v>242</v>
      </c>
      <c r="X3719" s="61"/>
      <c r="Y3719" s="63" t="s">
        <v>250</v>
      </c>
      <c r="Z3719" s="71" t="s">
        <v>242</v>
      </c>
      <c r="AA3719" s="61"/>
      <c r="AB3719" s="63" t="s">
        <v>250</v>
      </c>
      <c r="AC3719" s="71" t="s">
        <v>242</v>
      </c>
      <c r="AD3719" s="61"/>
      <c r="AE3719" s="63" t="s">
        <v>250</v>
      </c>
      <c r="AF3719" s="71" t="s">
        <v>242</v>
      </c>
      <c r="AG3719" s="61"/>
      <c r="AH3719" s="63" t="s">
        <v>250</v>
      </c>
      <c r="AI3719" s="71" t="s">
        <v>242</v>
      </c>
      <c r="AJ3719" s="61"/>
      <c r="AK3719" s="63" t="s">
        <v>250</v>
      </c>
      <c r="AL3719" s="71" t="s">
        <v>242</v>
      </c>
      <c r="AM3719" s="61"/>
      <c r="AN3719" s="63" t="s">
        <v>250</v>
      </c>
      <c r="AO3719" s="71" t="s">
        <v>242</v>
      </c>
      <c r="AP3719" s="61"/>
      <c r="AQ3719" s="63" t="s">
        <v>250</v>
      </c>
      <c r="AR3719" s="71" t="s">
        <v>242</v>
      </c>
      <c r="AS3719" s="61"/>
      <c r="AT3719" s="63" t="s">
        <v>250</v>
      </c>
      <c r="AU3719" s="71" t="s">
        <v>242</v>
      </c>
    </row>
    <row r="3720" spans="15:47" ht="13" x14ac:dyDescent="0.3">
      <c r="O3720" s="6" t="s">
        <v>231</v>
      </c>
      <c r="P3720" s="6"/>
      <c r="Q3720" s="60"/>
      <c r="R3720" s="85">
        <f>P_1_minQ-(R3718^2*R_up)+dpup_minQ</f>
        <v>44.417679095397865</v>
      </c>
      <c r="S3720" s="56"/>
      <c r="T3720" s="72"/>
      <c r="U3720" s="53">
        <f>P_1_minQ-(U3718^2*R_up)+dpup_minQ</f>
        <v>35.726490660487237</v>
      </c>
      <c r="V3720" s="44"/>
      <c r="W3720" s="72"/>
      <c r="X3720" s="53">
        <f>P_1_minQ-(X3718^2*R_up)+dpup_minQ</f>
        <v>-65.175410654462439</v>
      </c>
      <c r="Y3720" s="44"/>
      <c r="Z3720" s="72"/>
      <c r="AA3720" s="53">
        <f>P_1_minQ-(AA3718^2*R_up)+dpup_minQ</f>
        <v>-388.19063998982648</v>
      </c>
      <c r="AB3720" s="44"/>
      <c r="AC3720" s="72"/>
      <c r="AD3720" s="53">
        <f>P_1_minQ-(AD3718^2*R_up)+dpup_minQ</f>
        <v>-1147.0148395324206</v>
      </c>
      <c r="AE3720" s="44"/>
      <c r="AF3720" s="72"/>
      <c r="AG3720" s="53">
        <f>P_1_minQ-(AG3718^2*R_up)+dpup_minQ</f>
        <v>-2611.8559866683495</v>
      </c>
      <c r="AH3720" s="44"/>
      <c r="AI3720" s="72"/>
      <c r="AJ3720" s="53">
        <f>P_1_minQ-(AJ3718^2*R_up)+dpup_minQ</f>
        <v>-4695.9017349958622</v>
      </c>
      <c r="AK3720" s="44"/>
      <c r="AL3720" s="72"/>
      <c r="AM3720" s="53">
        <f>P_1_minQ-(AM3718^2*R_up)+dpup_minQ</f>
        <v>-7019.3820279930314</v>
      </c>
      <c r="AN3720" s="44"/>
      <c r="AO3720" s="72"/>
      <c r="AP3720" s="53">
        <f>P_1_minQ-(AP3718^2*R_up)+dpup_minQ</f>
        <v>-9480.86467141297</v>
      </c>
      <c r="AQ3720" s="44"/>
      <c r="AR3720" s="72"/>
      <c r="AS3720" s="53">
        <f>P_1_minQ-(AS3718^2*R_up)+dpup_minQ</f>
        <v>-12296.954687700914</v>
      </c>
      <c r="AT3720" s="44"/>
      <c r="AU3720" s="72"/>
    </row>
    <row r="3721" spans="15:47" ht="13" x14ac:dyDescent="0.3">
      <c r="O3721" s="6" t="s">
        <v>233</v>
      </c>
      <c r="P3721" s="6"/>
      <c r="Q3721" s="60"/>
      <c r="R3721" s="85">
        <f>P_2_minQ+(R3718^2*R_dn)-dpdn_minQ</f>
        <v>27.156464180920427</v>
      </c>
      <c r="S3721" s="66"/>
      <c r="T3721" s="74"/>
      <c r="U3721" s="53">
        <f>P_2_minQ+(U3718^2*R_dn)-dpdn_minQ</f>
        <v>28.894701867902555</v>
      </c>
      <c r="V3721" s="45"/>
      <c r="W3721" s="74"/>
      <c r="X3721" s="53">
        <f>P_2_minQ+(X3718^2*R_dn)-dpdn_minQ</f>
        <v>49.07508213089249</v>
      </c>
      <c r="Y3721" s="45"/>
      <c r="Z3721" s="74"/>
      <c r="AA3721" s="53">
        <f>P_2_minQ+(AA3718^2*R_dn)-dpdn_minQ</f>
        <v>113.67812799796529</v>
      </c>
      <c r="AB3721" s="45"/>
      <c r="AC3721" s="74"/>
      <c r="AD3721" s="53">
        <f>P_2_minQ+(AD3718^2*R_dn)-dpdn_minQ</f>
        <v>265.44296790648406</v>
      </c>
      <c r="AE3721" s="45"/>
      <c r="AF3721" s="74"/>
      <c r="AG3721" s="53">
        <f>P_2_minQ+(AG3718^2*R_dn)-dpdn_minQ</f>
        <v>558.41119733366986</v>
      </c>
      <c r="AH3721" s="45"/>
      <c r="AI3721" s="74"/>
      <c r="AJ3721" s="53">
        <f>P_2_minQ+(AJ3718^2*R_dn)-dpdn_minQ</f>
        <v>975.22034699917219</v>
      </c>
      <c r="AK3721" s="45"/>
      <c r="AL3721" s="74"/>
      <c r="AM3721" s="53">
        <f>P_2_minQ+(AM3718^2*R_dn)-dpdn_minQ</f>
        <v>1439.9164055986062</v>
      </c>
      <c r="AN3721" s="45"/>
      <c r="AO3721" s="74"/>
      <c r="AP3721" s="53">
        <f>P_2_minQ+(AP3718^2*R_dn)-dpdn_minQ</f>
        <v>1932.2129342825938</v>
      </c>
      <c r="AQ3721" s="45"/>
      <c r="AR3721" s="74"/>
      <c r="AS3721" s="53">
        <f>P_2_minQ+(AS3718^2*R_dn)-dpdn_minQ</f>
        <v>2495.4309375401826</v>
      </c>
      <c r="AT3721" s="45"/>
      <c r="AU3721" s="74"/>
    </row>
    <row r="3722" spans="15:47" x14ac:dyDescent="0.25">
      <c r="O3722" s="6" t="s">
        <v>243</v>
      </c>
      <c r="Q3722" s="60"/>
      <c r="R3722" s="53">
        <f>R3720-R3721</f>
        <v>17.261214914477438</v>
      </c>
      <c r="S3722" s="56"/>
      <c r="T3722" s="72"/>
      <c r="U3722" s="64">
        <f>U3720-U3721</f>
        <v>6.8317887925846819</v>
      </c>
      <c r="V3722" s="44"/>
      <c r="W3722" s="72"/>
      <c r="X3722" s="64">
        <f>X3720-X3721</f>
        <v>-114.25049278535494</v>
      </c>
      <c r="Y3722" s="44"/>
      <c r="Z3722" s="72"/>
      <c r="AA3722" s="64">
        <f>AA3720-AA3721</f>
        <v>-501.86876798779178</v>
      </c>
      <c r="AB3722" s="44"/>
      <c r="AC3722" s="72"/>
      <c r="AD3722" s="64">
        <f>AD3720-AD3721</f>
        <v>-1412.4578074389046</v>
      </c>
      <c r="AE3722" s="44"/>
      <c r="AF3722" s="72"/>
      <c r="AG3722" s="64">
        <f>AG3720-AG3721</f>
        <v>-3170.2671840020193</v>
      </c>
      <c r="AH3722" s="44"/>
      <c r="AI3722" s="72"/>
      <c r="AJ3722" s="64">
        <f>AJ3720-AJ3721</f>
        <v>-5671.122081995034</v>
      </c>
      <c r="AK3722" s="44"/>
      <c r="AL3722" s="72"/>
      <c r="AM3722" s="64">
        <f>AM3720-AM3721</f>
        <v>-8459.2984335916371</v>
      </c>
      <c r="AN3722" s="44"/>
      <c r="AO3722" s="72"/>
      <c r="AP3722" s="64">
        <f>AP3720-AP3721</f>
        <v>-11413.077605695564</v>
      </c>
      <c r="AQ3722" s="44"/>
      <c r="AR3722" s="72"/>
      <c r="AS3722" s="64">
        <f>AS3720-AS3721</f>
        <v>-14792.385625241097</v>
      </c>
      <c r="AT3722" s="44"/>
      <c r="AU3722" s="72"/>
    </row>
    <row r="3723" spans="15:47" ht="13" x14ac:dyDescent="0.3">
      <c r="O3723" s="6" t="s">
        <v>75</v>
      </c>
      <c r="P3723" s="6">
        <v>3</v>
      </c>
      <c r="Q3723" s="65"/>
      <c r="R3723" s="85">
        <f>(F_LP_h/F_P_h)^2*(R3720-('Valve Sizing'!$V$4*'Valve Sizing'!$G$7))</f>
        <v>36.415778923742891</v>
      </c>
      <c r="S3723" s="58"/>
      <c r="T3723" s="73"/>
      <c r="U3723" s="53">
        <f>(U$29/U$27)^2*(U3720-('Valve Sizing'!$V$4*'Valve Sizing'!$G$7))</f>
        <v>29.211054802265053</v>
      </c>
      <c r="V3723" s="41"/>
      <c r="W3723" s="73"/>
      <c r="X3723" s="53">
        <f>(X$29/X$27)^2*(X3720-('Valve Sizing'!$V$4*'Valve Sizing'!$G$7))</f>
        <v>-53.092990105733314</v>
      </c>
      <c r="Y3723" s="41"/>
      <c r="Z3723" s="73"/>
      <c r="AA3723" s="53">
        <f>(AA$29/AA$27)^2*(AA3720-('Valve Sizing'!$V$4*'Valve Sizing'!$G$7))</f>
        <v>-300.33272328332015</v>
      </c>
      <c r="AB3723" s="41"/>
      <c r="AC3723" s="73"/>
      <c r="AD3723" s="53">
        <f>(AD$29/AD$27)^2*(AD3720-('Valve Sizing'!$V$4*'Valve Sizing'!$G$7))</f>
        <v>-827.53002216371181</v>
      </c>
      <c r="AE3723" s="41"/>
      <c r="AF3723" s="73"/>
      <c r="AG3723" s="53">
        <f>(AG$29/AG$27)^2*(AG3720-('Valve Sizing'!$V$4*'Valve Sizing'!$G$7))</f>
        <v>-1682.4334660549846</v>
      </c>
      <c r="AH3723" s="41"/>
      <c r="AI3723" s="73"/>
      <c r="AJ3723" s="53">
        <f>(AJ$29/AJ$27)^2*(AJ3720-('Valve Sizing'!$V$4*'Valve Sizing'!$G$7))</f>
        <v>-2716.1965993793347</v>
      </c>
      <c r="AK3723" s="41"/>
      <c r="AL3723" s="73"/>
      <c r="AM3723" s="53">
        <f>(AM$29/AM$27)^2*(AM3720-('Valve Sizing'!$V$4*'Valve Sizing'!$G$7))</f>
        <v>-3358.7893610620235</v>
      </c>
      <c r="AN3723" s="41"/>
      <c r="AO3723" s="73"/>
      <c r="AP3723" s="53">
        <f>(AP$29/AP$27)^2*(AP3720-('Valve Sizing'!$V$4*'Valve Sizing'!$G$7))</f>
        <v>-3741.5772044557921</v>
      </c>
      <c r="AQ3723" s="41"/>
      <c r="AR3723" s="73"/>
      <c r="AS3723" s="53">
        <f>(AS$29/AS$27)^2*(AS3720-('Valve Sizing'!$V$4*'Valve Sizing'!$G$7))</f>
        <v>-4625.551824931561</v>
      </c>
      <c r="AT3723" s="41"/>
      <c r="AU3723" s="73"/>
    </row>
    <row r="3724" spans="15:47" ht="13" x14ac:dyDescent="0.25">
      <c r="O3724" s="1" t="s">
        <v>69</v>
      </c>
      <c r="P3724" s="17">
        <v>7</v>
      </c>
      <c r="Q3724" s="65"/>
      <c r="R3724" s="53">
        <f>(R3718/(N_1*F_P_h))*SQRT('Valve Sizing'!$G$6/R3722)</f>
        <v>146.44527905994295</v>
      </c>
      <c r="S3724" s="58"/>
      <c r="T3724" s="73"/>
      <c r="U3724" s="64">
        <f>(U3718/(N_1*U$27))*SQRT('Valve Sizing'!$G$6/U3722)</f>
        <v>303.30500437493401</v>
      </c>
      <c r="V3724" s="41"/>
      <c r="W3724" s="73"/>
      <c r="X3724" s="64" t="e">
        <f>(X3718/(N_1*X$27))*SQRT('Valve Sizing'!$G$6/X3722)</f>
        <v>#NUM!</v>
      </c>
      <c r="Y3724" s="41"/>
      <c r="Z3724" s="73"/>
      <c r="AA3724" s="64" t="e">
        <f>(AA3718/(N_1*AA$27))*SQRT('Valve Sizing'!$G$6/AA3722)</f>
        <v>#NUM!</v>
      </c>
      <c r="AB3724" s="41"/>
      <c r="AC3724" s="73"/>
      <c r="AD3724" s="64" t="e">
        <f>(AD3718/(N_1*AD$27))*SQRT('Valve Sizing'!$G$6/AD3722)</f>
        <v>#NUM!</v>
      </c>
      <c r="AE3724" s="41"/>
      <c r="AF3724" s="73"/>
      <c r="AG3724" s="64" t="e">
        <f>(AG3718/(N_1*AG$27))*SQRT('Valve Sizing'!$G$6/AG3722)</f>
        <v>#NUM!</v>
      </c>
      <c r="AH3724" s="41"/>
      <c r="AI3724" s="73"/>
      <c r="AJ3724" s="64" t="e">
        <f>(AJ3718/(N_1*AJ$27))*SQRT('Valve Sizing'!$G$6/AJ3722)</f>
        <v>#NUM!</v>
      </c>
      <c r="AK3724" s="41"/>
      <c r="AL3724" s="73"/>
      <c r="AM3724" s="64" t="e">
        <f>(AM3718/(N_1*AM$27))*SQRT('Valve Sizing'!$G$6/AM3722)</f>
        <v>#NUM!</v>
      </c>
      <c r="AN3724" s="41"/>
      <c r="AO3724" s="73"/>
      <c r="AP3724" s="64" t="e">
        <f>(AP3718/(N_1*AP$27))*SQRT('Valve Sizing'!$G$6/AP3722)</f>
        <v>#NUM!</v>
      </c>
      <c r="AQ3724" s="41"/>
      <c r="AR3724" s="73"/>
      <c r="AS3724" s="64" t="e">
        <f>(AS3718/(N_1*AS$27))*SQRT('Valve Sizing'!$G$6/AS3722)</f>
        <v>#NUM!</v>
      </c>
      <c r="AT3724" s="41"/>
      <c r="AU3724" s="73"/>
    </row>
    <row r="3725" spans="15:47" ht="13" x14ac:dyDescent="0.3">
      <c r="O3725" s="1" t="s">
        <v>72</v>
      </c>
      <c r="P3725" s="17">
        <v>7</v>
      </c>
      <c r="Q3725" s="65"/>
      <c r="R3725" s="53">
        <f>(R3718/(N_1*F_P_h))*SQRT('Valve Sizing'!$G$6/R3723)</f>
        <v>100.82454108895314</v>
      </c>
      <c r="S3725" s="56"/>
      <c r="T3725" s="72"/>
      <c r="U3725" s="85">
        <f>(U3718/(N_1*U$27))*SQRT('Valve Sizing'!$G$6/U3723)</f>
        <v>146.6807669215784</v>
      </c>
      <c r="V3725" s="44"/>
      <c r="W3725" s="72"/>
      <c r="X3725" s="85" t="e">
        <f>(X3718/(N_1*X$27))*SQRT('Valve Sizing'!$G$6/X3723)</f>
        <v>#NUM!</v>
      </c>
      <c r="Y3725" s="44"/>
      <c r="Z3725" s="72"/>
      <c r="AA3725" s="85" t="e">
        <f>(AA3718/(N_1*AA$27))*SQRT('Valve Sizing'!$G$6/AA3723)</f>
        <v>#NUM!</v>
      </c>
      <c r="AB3725" s="44"/>
      <c r="AC3725" s="72"/>
      <c r="AD3725" s="85" t="e">
        <f>(AD3718/(N_1*AD$27))*SQRT('Valve Sizing'!$G$6/AD3723)</f>
        <v>#NUM!</v>
      </c>
      <c r="AE3725" s="44"/>
      <c r="AF3725" s="72"/>
      <c r="AG3725" s="85" t="e">
        <f>(AG3718/(N_1*AG$27))*SQRT('Valve Sizing'!$G$6/AG3723)</f>
        <v>#NUM!</v>
      </c>
      <c r="AH3725" s="44"/>
      <c r="AI3725" s="72"/>
      <c r="AJ3725" s="85" t="e">
        <f>(AJ3718/(N_1*AJ$27))*SQRT('Valve Sizing'!$G$6/AJ3723)</f>
        <v>#NUM!</v>
      </c>
      <c r="AK3725" s="44"/>
      <c r="AL3725" s="72"/>
      <c r="AM3725" s="85" t="e">
        <f>(AM3718/(N_1*AM$27))*SQRT('Valve Sizing'!$G$6/AM3723)</f>
        <v>#NUM!</v>
      </c>
      <c r="AN3725" s="44"/>
      <c r="AO3725" s="72"/>
      <c r="AP3725" s="85" t="e">
        <f>(AP3718/(N_1*AP$27))*SQRT('Valve Sizing'!$G$6/AP3723)</f>
        <v>#NUM!</v>
      </c>
      <c r="AQ3725" s="44"/>
      <c r="AR3725" s="72"/>
      <c r="AS3725" s="85" t="e">
        <f>(AS3718/(N_1*AS$27))*SQRT('Valve Sizing'!$G$6/AS3723)</f>
        <v>#NUM!</v>
      </c>
      <c r="AT3725" s="44"/>
      <c r="AU3725" s="72"/>
    </row>
    <row r="3726" spans="15:47" x14ac:dyDescent="0.25">
      <c r="O3726" s="1" t="s">
        <v>246</v>
      </c>
      <c r="P3726" s="18"/>
      <c r="Q3726" s="65"/>
      <c r="R3726" s="53">
        <f>IF(R3722&lt;R3723,R3724,R3725)</f>
        <v>146.44527905994295</v>
      </c>
      <c r="S3726" s="49"/>
      <c r="T3726" s="72"/>
      <c r="U3726" s="64">
        <f>IF(U3722&lt;U3723,U3724,U3725)</f>
        <v>303.30500437493401</v>
      </c>
      <c r="V3726" s="44"/>
      <c r="W3726" s="72"/>
      <c r="X3726" s="64" t="e">
        <f>IF(X3722&lt;X3723,X3724,X3725)</f>
        <v>#NUM!</v>
      </c>
      <c r="Y3726" s="44"/>
      <c r="Z3726" s="72"/>
      <c r="AA3726" s="64" t="e">
        <f>IF(AA3722&lt;AA3723,AA3724,AA3725)</f>
        <v>#NUM!</v>
      </c>
      <c r="AB3726" s="44"/>
      <c r="AC3726" s="72"/>
      <c r="AD3726" s="64" t="e">
        <f>IF(AD3722&lt;AD3723,AD3724,AD3725)</f>
        <v>#NUM!</v>
      </c>
      <c r="AE3726" s="44"/>
      <c r="AF3726" s="72"/>
      <c r="AG3726" s="64" t="e">
        <f>IF(AG3722&lt;AG3723,AG3724,AG3725)</f>
        <v>#NUM!</v>
      </c>
      <c r="AH3726" s="44"/>
      <c r="AI3726" s="72"/>
      <c r="AJ3726" s="64" t="e">
        <f>IF(AJ3722&lt;AJ3723,AJ3724,AJ3725)</f>
        <v>#NUM!</v>
      </c>
      <c r="AK3726" s="44"/>
      <c r="AL3726" s="72"/>
      <c r="AM3726" s="64" t="e">
        <f>IF(AM3722&lt;AM3723,AM3724,AM3725)</f>
        <v>#NUM!</v>
      </c>
      <c r="AN3726" s="44"/>
      <c r="AO3726" s="72"/>
      <c r="AP3726" s="64" t="e">
        <f>IF(AP3722&lt;AP3723,AP3724,AP3725)</f>
        <v>#NUM!</v>
      </c>
      <c r="AQ3726" s="44"/>
      <c r="AR3726" s="72"/>
      <c r="AS3726" s="64" t="e">
        <f>IF(AS3722&lt;AS3723,AS3724,AS3725)</f>
        <v>#NUM!</v>
      </c>
      <c r="AT3726" s="44"/>
      <c r="AU3726" s="72"/>
    </row>
    <row r="3727" spans="15:47" ht="13" x14ac:dyDescent="0.3">
      <c r="O3727" s="7" t="s">
        <v>264</v>
      </c>
      <c r="Q3727" s="61"/>
      <c r="R3727" s="53"/>
      <c r="S3727" s="69">
        <f>IFERROR(ABS(C_h-R3726),Q_max*10)</f>
        <v>141.44527905994295</v>
      </c>
      <c r="T3727" s="76">
        <f>R3718</f>
        <v>608.34161618721203</v>
      </c>
      <c r="U3727" s="61"/>
      <c r="V3727" s="69">
        <f>IFERROR(ABS(U$23-U3726),Q_max*10)</f>
        <v>291.30500437493401</v>
      </c>
      <c r="W3727" s="75">
        <f>U3718</f>
        <v>792.10202091837448</v>
      </c>
      <c r="X3727" s="61"/>
      <c r="Y3727" s="69">
        <f>IFERROR(ABS(X$23-X3726),Q_max*10)</f>
        <v>5500</v>
      </c>
      <c r="Z3727" s="75">
        <f>X3718</f>
        <v>1901.3497599018001</v>
      </c>
      <c r="AA3727" s="61"/>
      <c r="AB3727" s="69">
        <f>IFERROR(ABS(AA$23-AA3726),Q_max*10)</f>
        <v>5500</v>
      </c>
      <c r="AC3727" s="75">
        <f>AA3718</f>
        <v>3630.3735138548432</v>
      </c>
      <c r="AD3727" s="61"/>
      <c r="AE3727" s="69">
        <f>IFERROR(ABS(AD$23-AD3726),Q_max*10)</f>
        <v>5500</v>
      </c>
      <c r="AF3727" s="75">
        <f>AD3718</f>
        <v>5970.6278060648674</v>
      </c>
      <c r="AG3727" s="61"/>
      <c r="AH3727" s="69">
        <f>IFERROR(ABS(AG$23-AG3726),Q_max*10)</f>
        <v>5500</v>
      </c>
      <c r="AI3727" s="75">
        <f>AG3718</f>
        <v>8889.4512072033904</v>
      </c>
      <c r="AJ3727" s="61"/>
      <c r="AK3727" s="69">
        <f>IFERROR(ABS(AJ$23-AJ3726),Q_max*10)</f>
        <v>5500</v>
      </c>
      <c r="AL3727" s="75">
        <f>AJ3718</f>
        <v>11863.007096568199</v>
      </c>
      <c r="AM3727" s="61"/>
      <c r="AN3727" s="69">
        <f>IFERROR(ABS(AM$23-AM3726),Q_max*10)</f>
        <v>5500</v>
      </c>
      <c r="AO3727" s="75">
        <f>AM3718</f>
        <v>14475.123103064569</v>
      </c>
      <c r="AP3727" s="61"/>
      <c r="AQ3727" s="69">
        <f>IFERROR(ABS(AP$23-AP3726),Q_max*10)</f>
        <v>5500</v>
      </c>
      <c r="AR3727" s="75">
        <f>AP3718</f>
        <v>16805.168547817007</v>
      </c>
      <c r="AS3727" s="61"/>
      <c r="AT3727" s="69">
        <f>IFERROR(ABS(AS$23-AS3726),Q_max*10)</f>
        <v>5500</v>
      </c>
      <c r="AU3727" s="75">
        <f>AS3718</f>
        <v>19125.849400819407</v>
      </c>
    </row>
    <row r="3728" spans="15:47" ht="14.5" x14ac:dyDescent="0.35">
      <c r="O3728" s="8"/>
      <c r="P3728" s="6"/>
      <c r="Q3728" s="60"/>
      <c r="R3728" s="67"/>
      <c r="S3728" s="56"/>
      <c r="T3728" s="72"/>
      <c r="V3728" s="11"/>
      <c r="W3728" s="38"/>
      <c r="Y3728" s="11"/>
      <c r="Z3728" s="38"/>
      <c r="AB3728" s="11"/>
      <c r="AC3728" s="38"/>
      <c r="AE3728" s="11"/>
      <c r="AF3728" s="38"/>
      <c r="AH3728" s="11"/>
      <c r="AI3728" s="38"/>
      <c r="AK3728" s="11"/>
      <c r="AL3728" s="38"/>
      <c r="AN3728" s="11"/>
      <c r="AO3728" s="38"/>
      <c r="AQ3728" s="11"/>
      <c r="AR3728" s="38"/>
      <c r="AT3728" s="11"/>
      <c r="AU3728" s="38"/>
    </row>
    <row r="3729" spans="15:47" ht="14" x14ac:dyDescent="0.3">
      <c r="O3729" s="8" t="s">
        <v>235</v>
      </c>
      <c r="P3729" s="6"/>
      <c r="Q3729" s="60"/>
      <c r="R3729" s="53">
        <f>R3718*1.02</f>
        <v>620.50844851095633</v>
      </c>
      <c r="S3729" s="58" t="s">
        <v>238</v>
      </c>
      <c r="T3729" s="73" t="s">
        <v>241</v>
      </c>
      <c r="U3729" s="84">
        <f>U3718*1.01</f>
        <v>800.02304112755826</v>
      </c>
      <c r="V3729" s="58" t="s">
        <v>238</v>
      </c>
      <c r="W3729" s="73" t="s">
        <v>241</v>
      </c>
      <c r="X3729" s="84">
        <f>X3718*1.01</f>
        <v>1920.363257500818</v>
      </c>
      <c r="Y3729" s="58" t="s">
        <v>238</v>
      </c>
      <c r="Z3729" s="73" t="s">
        <v>241</v>
      </c>
      <c r="AA3729" s="84">
        <f>AA3718*1.01</f>
        <v>3666.6772489933915</v>
      </c>
      <c r="AB3729" s="58" t="s">
        <v>238</v>
      </c>
      <c r="AC3729" s="73" t="s">
        <v>241</v>
      </c>
      <c r="AD3729" s="84">
        <f>AD3718*1.01</f>
        <v>6030.3340841255158</v>
      </c>
      <c r="AE3729" s="58" t="s">
        <v>238</v>
      </c>
      <c r="AF3729" s="73" t="s">
        <v>241</v>
      </c>
      <c r="AG3729" s="84">
        <f>AG3718*1.01</f>
        <v>8978.3457192754249</v>
      </c>
      <c r="AH3729" s="58" t="s">
        <v>238</v>
      </c>
      <c r="AI3729" s="73" t="s">
        <v>241</v>
      </c>
      <c r="AJ3729" s="84">
        <f>AJ3718*1.01</f>
        <v>11981.637167533881</v>
      </c>
      <c r="AK3729" s="58" t="s">
        <v>238</v>
      </c>
      <c r="AL3729" s="73" t="s">
        <v>241</v>
      </c>
      <c r="AM3729" s="84">
        <f>AM3718*1.01</f>
        <v>14619.874334095215</v>
      </c>
      <c r="AN3729" s="58" t="s">
        <v>238</v>
      </c>
      <c r="AO3729" s="73" t="s">
        <v>241</v>
      </c>
      <c r="AP3729" s="84">
        <f>AP3718*1.01</f>
        <v>16973.220233295178</v>
      </c>
      <c r="AQ3729" s="58" t="s">
        <v>238</v>
      </c>
      <c r="AR3729" s="73" t="s">
        <v>241</v>
      </c>
      <c r="AS3729" s="84">
        <f>AS3718*1.01</f>
        <v>19317.107894827601</v>
      </c>
      <c r="AT3729" s="58" t="s">
        <v>238</v>
      </c>
      <c r="AU3729" s="73" t="s">
        <v>241</v>
      </c>
    </row>
    <row r="3730" spans="15:47" ht="13" x14ac:dyDescent="0.25">
      <c r="O3730" s="6"/>
      <c r="P3730" s="6"/>
      <c r="Q3730" s="60"/>
      <c r="R3730" s="70"/>
      <c r="S3730" s="63" t="s">
        <v>250</v>
      </c>
      <c r="T3730" s="71" t="s">
        <v>242</v>
      </c>
      <c r="U3730" s="61"/>
      <c r="V3730" s="63" t="s">
        <v>250</v>
      </c>
      <c r="W3730" s="71" t="s">
        <v>242</v>
      </c>
      <c r="X3730" s="61"/>
      <c r="Y3730" s="63" t="s">
        <v>250</v>
      </c>
      <c r="Z3730" s="71" t="s">
        <v>242</v>
      </c>
      <c r="AA3730" s="61"/>
      <c r="AB3730" s="63" t="s">
        <v>250</v>
      </c>
      <c r="AC3730" s="71" t="s">
        <v>242</v>
      </c>
      <c r="AD3730" s="61"/>
      <c r="AE3730" s="63" t="s">
        <v>250</v>
      </c>
      <c r="AF3730" s="71" t="s">
        <v>242</v>
      </c>
      <c r="AG3730" s="61"/>
      <c r="AH3730" s="63" t="s">
        <v>250</v>
      </c>
      <c r="AI3730" s="71" t="s">
        <v>242</v>
      </c>
      <c r="AJ3730" s="61"/>
      <c r="AK3730" s="63" t="s">
        <v>250</v>
      </c>
      <c r="AL3730" s="71" t="s">
        <v>242</v>
      </c>
      <c r="AM3730" s="61"/>
      <c r="AN3730" s="63" t="s">
        <v>250</v>
      </c>
      <c r="AO3730" s="71" t="s">
        <v>242</v>
      </c>
      <c r="AP3730" s="61"/>
      <c r="AQ3730" s="63" t="s">
        <v>250</v>
      </c>
      <c r="AR3730" s="71" t="s">
        <v>242</v>
      </c>
      <c r="AS3730" s="61"/>
      <c r="AT3730" s="63" t="s">
        <v>250</v>
      </c>
      <c r="AU3730" s="71" t="s">
        <v>242</v>
      </c>
    </row>
    <row r="3731" spans="15:47" ht="13" x14ac:dyDescent="0.3">
      <c r="O3731" s="6" t="s">
        <v>231</v>
      </c>
      <c r="P3731" s="6"/>
      <c r="Q3731" s="60"/>
      <c r="R3731" s="85">
        <f>P_1_minQ-(R3729^2*R_up)+dpup_minQ</f>
        <v>43.912741145779329</v>
      </c>
      <c r="S3731" s="56"/>
      <c r="T3731" s="72"/>
      <c r="U3731" s="53">
        <f>P_1_minQ-(U3729^2*R_up)+dpup_minQ</f>
        <v>35.300578644546206</v>
      </c>
      <c r="V3731" s="44"/>
      <c r="W3731" s="72"/>
      <c r="X3731" s="53">
        <f>P_1_minQ-(X3729^2*R_up)+dpup_minQ</f>
        <v>-67.629450886833951</v>
      </c>
      <c r="Y3731" s="44"/>
      <c r="Z3731" s="72"/>
      <c r="AA3731" s="53">
        <f>P_1_minQ-(AA3729^2*R_up)+dpup_minQ</f>
        <v>-397.13728633183877</v>
      </c>
      <c r="AB3731" s="44"/>
      <c r="AC3731" s="72"/>
      <c r="AD3731" s="53">
        <f>P_1_minQ-(AD3729^2*R_up)+dpup_minQ</f>
        <v>-1171.213852285239</v>
      </c>
      <c r="AE3731" s="44"/>
      <c r="AF3731" s="72"/>
      <c r="AG3731" s="53">
        <f>P_1_minQ-(AG3729^2*R_up)+dpup_minQ</f>
        <v>-2665.4983064786006</v>
      </c>
      <c r="AH3731" s="44"/>
      <c r="AI3731" s="72"/>
      <c r="AJ3731" s="53">
        <f>P_1_minQ-(AJ3729^2*R_up)+dpup_minQ</f>
        <v>-4791.4333743474954</v>
      </c>
      <c r="AK3731" s="44"/>
      <c r="AL3731" s="72"/>
      <c r="AM3731" s="53">
        <f>P_1_minQ-(AM3729^2*R_up)+dpup_minQ</f>
        <v>-7161.6156212339083</v>
      </c>
      <c r="AN3731" s="44"/>
      <c r="AO3731" s="72"/>
      <c r="AP3731" s="53">
        <f>P_1_minQ-(AP3729^2*R_up)+dpup_minQ</f>
        <v>-9672.5740657865863</v>
      </c>
      <c r="AQ3731" s="44"/>
      <c r="AR3731" s="72"/>
      <c r="AS3731" s="53">
        <f>P_1_minQ-(AS3729^2*R_up)+dpup_minQ</f>
        <v>-12545.267491401919</v>
      </c>
      <c r="AT3731" s="44"/>
      <c r="AU3731" s="72"/>
    </row>
    <row r="3732" spans="15:47" ht="13" x14ac:dyDescent="0.3">
      <c r="O3732" s="6" t="s">
        <v>233</v>
      </c>
      <c r="P3732" s="6"/>
      <c r="Q3732" s="60"/>
      <c r="R3732" s="85">
        <f>P_2_minQ+(R3729^2*R_dn)-dpdn_minQ</f>
        <v>27.257451770844135</v>
      </c>
      <c r="S3732" s="66"/>
      <c r="T3732" s="74"/>
      <c r="U3732" s="53">
        <f>P_2_minQ+(U3729^2*R_dn)-dpdn_minQ</f>
        <v>28.979884271090757</v>
      </c>
      <c r="V3732" s="45"/>
      <c r="W3732" s="74"/>
      <c r="X3732" s="53">
        <f>P_2_minQ+(X3729^2*R_dn)-dpdn_minQ</f>
        <v>49.565890177366796</v>
      </c>
      <c r="Y3732" s="45"/>
      <c r="Z3732" s="74"/>
      <c r="AA3732" s="53">
        <f>P_2_minQ+(AA3729^2*R_dn)-dpdn_minQ</f>
        <v>115.46745726636775</v>
      </c>
      <c r="AB3732" s="45"/>
      <c r="AC3732" s="74"/>
      <c r="AD3732" s="53">
        <f>P_2_minQ+(AD3729^2*R_dn)-dpdn_minQ</f>
        <v>270.28277045704777</v>
      </c>
      <c r="AE3732" s="45"/>
      <c r="AF3732" s="74"/>
      <c r="AG3732" s="53">
        <f>P_2_minQ+(AG3729^2*R_dn)-dpdn_minQ</f>
        <v>569.13966129572009</v>
      </c>
      <c r="AH3732" s="45"/>
      <c r="AI3732" s="74"/>
      <c r="AJ3732" s="53">
        <f>P_2_minQ+(AJ3729^2*R_dn)-dpdn_minQ</f>
        <v>994.3266748694989</v>
      </c>
      <c r="AK3732" s="45"/>
      <c r="AL3732" s="74"/>
      <c r="AM3732" s="53">
        <f>P_2_minQ+(AM3729^2*R_dn)-dpdn_minQ</f>
        <v>1468.3631242467816</v>
      </c>
      <c r="AN3732" s="45"/>
      <c r="AO3732" s="74"/>
      <c r="AP3732" s="53">
        <f>P_2_minQ+(AP3729^2*R_dn)-dpdn_minQ</f>
        <v>1970.5548131573173</v>
      </c>
      <c r="AQ3732" s="45"/>
      <c r="AR3732" s="74"/>
      <c r="AS3732" s="53">
        <f>P_2_minQ+(AS3729^2*R_dn)-dpdn_minQ</f>
        <v>2545.0934982803838</v>
      </c>
      <c r="AT3732" s="45"/>
      <c r="AU3732" s="74"/>
    </row>
    <row r="3733" spans="15:47" x14ac:dyDescent="0.25">
      <c r="O3733" s="6" t="s">
        <v>243</v>
      </c>
      <c r="Q3733" s="60"/>
      <c r="R3733" s="53">
        <f>R3731-R3732</f>
        <v>16.655289374935194</v>
      </c>
      <c r="S3733" s="56"/>
      <c r="T3733" s="72"/>
      <c r="U3733" s="64">
        <f>U3731-U3732</f>
        <v>6.3206943734554493</v>
      </c>
      <c r="V3733" s="44"/>
      <c r="W3733" s="72"/>
      <c r="X3733" s="64">
        <f>X3731-X3732</f>
        <v>-117.19534106420075</v>
      </c>
      <c r="Y3733" s="44"/>
      <c r="Z3733" s="72"/>
      <c r="AA3733" s="64">
        <f>AA3731-AA3732</f>
        <v>-512.60474359820648</v>
      </c>
      <c r="AB3733" s="44"/>
      <c r="AC3733" s="72"/>
      <c r="AD3733" s="64">
        <f>AD3731-AD3732</f>
        <v>-1441.4966227422867</v>
      </c>
      <c r="AE3733" s="44"/>
      <c r="AF3733" s="72"/>
      <c r="AG3733" s="64">
        <f>AG3731-AG3732</f>
        <v>-3234.6379677743207</v>
      </c>
      <c r="AH3733" s="44"/>
      <c r="AI3733" s="72"/>
      <c r="AJ3733" s="64">
        <f>AJ3731-AJ3732</f>
        <v>-5785.760049216994</v>
      </c>
      <c r="AK3733" s="44"/>
      <c r="AL3733" s="72"/>
      <c r="AM3733" s="64">
        <f>AM3731-AM3732</f>
        <v>-8629.9787454806901</v>
      </c>
      <c r="AN3733" s="44"/>
      <c r="AO3733" s="72"/>
      <c r="AP3733" s="64">
        <f>AP3731-AP3732</f>
        <v>-11643.128878943904</v>
      </c>
      <c r="AQ3733" s="44"/>
      <c r="AR3733" s="72"/>
      <c r="AS3733" s="64">
        <f>AS3731-AS3732</f>
        <v>-15090.360989682304</v>
      </c>
      <c r="AT3733" s="44"/>
      <c r="AU3733" s="72"/>
    </row>
    <row r="3734" spans="15:47" ht="13" x14ac:dyDescent="0.3">
      <c r="O3734" s="6" t="s">
        <v>75</v>
      </c>
      <c r="P3734" s="6">
        <v>3</v>
      </c>
      <c r="Q3734" s="65"/>
      <c r="R3734" s="85">
        <f>(F_LP_h/F_P_h)^2*(R3731-('Valve Sizing'!$V$4*'Valve Sizing'!$G$7))</f>
        <v>35.997663797296731</v>
      </c>
      <c r="S3734" s="58"/>
      <c r="T3734" s="73"/>
      <c r="U3734" s="53">
        <f>(U$29/U$27)^2*(U3731-('Valve Sizing'!$V$4*'Valve Sizing'!$G$7))</f>
        <v>28.858473422288675</v>
      </c>
      <c r="V3734" s="41"/>
      <c r="W3734" s="73"/>
      <c r="X3734" s="53">
        <f>(X$29/X$27)^2*(X3731-('Valve Sizing'!$V$4*'Valve Sizing'!$G$7))</f>
        <v>-55.078685508136815</v>
      </c>
      <c r="Y3734" s="41"/>
      <c r="Z3734" s="73"/>
      <c r="AA3734" s="53">
        <f>(AA$29/AA$27)^2*(AA3731-('Valve Sizing'!$V$4*'Valve Sizing'!$G$7))</f>
        <v>-307.24666671685827</v>
      </c>
      <c r="AB3734" s="41"/>
      <c r="AC3734" s="73"/>
      <c r="AD3734" s="53">
        <f>(AD$29/AD$27)^2*(AD3731-('Valve Sizing'!$V$4*'Valve Sizing'!$G$7))</f>
        <v>-844.98204542712836</v>
      </c>
      <c r="AE3734" s="41"/>
      <c r="AF3734" s="73"/>
      <c r="AG3734" s="53">
        <f>(AG$29/AG$27)^2*(AG3731-('Valve Sizing'!$V$4*'Valve Sizing'!$G$7))</f>
        <v>-1716.9814776562062</v>
      </c>
      <c r="AH3734" s="41"/>
      <c r="AI3734" s="73"/>
      <c r="AJ3734" s="53">
        <f>(AJ$29/AJ$27)^2*(AJ3731-('Valve Sizing'!$V$4*'Valve Sizing'!$G$7))</f>
        <v>-2771.4486924755661</v>
      </c>
      <c r="AK3734" s="41"/>
      <c r="AL3734" s="73"/>
      <c r="AM3734" s="53">
        <f>(AM$29/AM$27)^2*(AM3731-('Valve Sizing'!$V$4*'Valve Sizing'!$G$7))</f>
        <v>-3426.8441741232905</v>
      </c>
      <c r="AN3734" s="41"/>
      <c r="AO3734" s="73"/>
      <c r="AP3734" s="53">
        <f>(AP$29/AP$27)^2*(AP3731-('Valve Sizing'!$V$4*'Valve Sizing'!$G$7))</f>
        <v>-3817.2308745322525</v>
      </c>
      <c r="AQ3734" s="41"/>
      <c r="AR3734" s="73"/>
      <c r="AS3734" s="53">
        <f>(AS$29/AS$27)^2*(AS3731-('Valve Sizing'!$V$4*'Valve Sizing'!$G$7))</f>
        <v>-4718.9524001018026</v>
      </c>
      <c r="AT3734" s="41"/>
      <c r="AU3734" s="73"/>
    </row>
    <row r="3735" spans="15:47" ht="13" x14ac:dyDescent="0.25">
      <c r="O3735" s="1" t="s">
        <v>69</v>
      </c>
      <c r="P3735" s="17">
        <v>7</v>
      </c>
      <c r="Q3735" s="65"/>
      <c r="R3735" s="53">
        <f>(R3729/(N_1*F_P_h))*SQRT('Valve Sizing'!$G$6/R3733)</f>
        <v>152.06705535589518</v>
      </c>
      <c r="S3735" s="58"/>
      <c r="T3735" s="73"/>
      <c r="U3735" s="64">
        <f>(U3729/(N_1*U$27))*SQRT('Valve Sizing'!$G$6/U3733)</f>
        <v>318.48264390086558</v>
      </c>
      <c r="V3735" s="41"/>
      <c r="W3735" s="73"/>
      <c r="X3735" s="64" t="e">
        <f>(X3729/(N_1*X$27))*SQRT('Valve Sizing'!$G$6/X3733)</f>
        <v>#NUM!</v>
      </c>
      <c r="Y3735" s="41"/>
      <c r="Z3735" s="73"/>
      <c r="AA3735" s="64" t="e">
        <f>(AA3729/(N_1*AA$27))*SQRT('Valve Sizing'!$G$6/AA3733)</f>
        <v>#NUM!</v>
      </c>
      <c r="AB3735" s="41"/>
      <c r="AC3735" s="73"/>
      <c r="AD3735" s="64" t="e">
        <f>(AD3729/(N_1*AD$27))*SQRT('Valve Sizing'!$G$6/AD3733)</f>
        <v>#NUM!</v>
      </c>
      <c r="AE3735" s="41"/>
      <c r="AF3735" s="73"/>
      <c r="AG3735" s="64" t="e">
        <f>(AG3729/(N_1*AG$27))*SQRT('Valve Sizing'!$G$6/AG3733)</f>
        <v>#NUM!</v>
      </c>
      <c r="AH3735" s="41"/>
      <c r="AI3735" s="73"/>
      <c r="AJ3735" s="64" t="e">
        <f>(AJ3729/(N_1*AJ$27))*SQRT('Valve Sizing'!$G$6/AJ3733)</f>
        <v>#NUM!</v>
      </c>
      <c r="AK3735" s="41"/>
      <c r="AL3735" s="73"/>
      <c r="AM3735" s="64" t="e">
        <f>(AM3729/(N_1*AM$27))*SQRT('Valve Sizing'!$G$6/AM3733)</f>
        <v>#NUM!</v>
      </c>
      <c r="AN3735" s="41"/>
      <c r="AO3735" s="73"/>
      <c r="AP3735" s="64" t="e">
        <f>(AP3729/(N_1*AP$27))*SQRT('Valve Sizing'!$G$6/AP3733)</f>
        <v>#NUM!</v>
      </c>
      <c r="AQ3735" s="41"/>
      <c r="AR3735" s="73"/>
      <c r="AS3735" s="64" t="e">
        <f>(AS3729/(N_1*AS$27))*SQRT('Valve Sizing'!$G$6/AS3733)</f>
        <v>#NUM!</v>
      </c>
      <c r="AT3735" s="41"/>
      <c r="AU3735" s="73"/>
    </row>
    <row r="3736" spans="15:47" ht="13" x14ac:dyDescent="0.3">
      <c r="O3736" s="1" t="s">
        <v>72</v>
      </c>
      <c r="P3736" s="17">
        <v>7</v>
      </c>
      <c r="Q3736" s="65"/>
      <c r="R3736" s="53">
        <f>(R3729/(N_1*F_P_h))*SQRT('Valve Sizing'!$G$6/R3734)</f>
        <v>103.43656015185948</v>
      </c>
      <c r="S3736" s="56"/>
      <c r="T3736" s="72"/>
      <c r="U3736" s="85">
        <f>(U3729/(N_1*U$27))*SQRT('Valve Sizing'!$G$6/U3734)</f>
        <v>149.04983125149872</v>
      </c>
      <c r="V3736" s="44"/>
      <c r="W3736" s="72"/>
      <c r="X3736" s="85" t="e">
        <f>(X3729/(N_1*X$27))*SQRT('Valve Sizing'!$G$6/X3734)</f>
        <v>#NUM!</v>
      </c>
      <c r="Y3736" s="44"/>
      <c r="Z3736" s="72"/>
      <c r="AA3736" s="85" t="e">
        <f>(AA3729/(N_1*AA$27))*SQRT('Valve Sizing'!$G$6/AA3734)</f>
        <v>#NUM!</v>
      </c>
      <c r="AB3736" s="44"/>
      <c r="AC3736" s="72"/>
      <c r="AD3736" s="85" t="e">
        <f>(AD3729/(N_1*AD$27))*SQRT('Valve Sizing'!$G$6/AD3734)</f>
        <v>#NUM!</v>
      </c>
      <c r="AE3736" s="44"/>
      <c r="AF3736" s="72"/>
      <c r="AG3736" s="85" t="e">
        <f>(AG3729/(N_1*AG$27))*SQRT('Valve Sizing'!$G$6/AG3734)</f>
        <v>#NUM!</v>
      </c>
      <c r="AH3736" s="44"/>
      <c r="AI3736" s="72"/>
      <c r="AJ3736" s="85" t="e">
        <f>(AJ3729/(N_1*AJ$27))*SQRT('Valve Sizing'!$G$6/AJ3734)</f>
        <v>#NUM!</v>
      </c>
      <c r="AK3736" s="44"/>
      <c r="AL3736" s="72"/>
      <c r="AM3736" s="85" t="e">
        <f>(AM3729/(N_1*AM$27))*SQRT('Valve Sizing'!$G$6/AM3734)</f>
        <v>#NUM!</v>
      </c>
      <c r="AN3736" s="44"/>
      <c r="AO3736" s="72"/>
      <c r="AP3736" s="85" t="e">
        <f>(AP3729/(N_1*AP$27))*SQRT('Valve Sizing'!$G$6/AP3734)</f>
        <v>#NUM!</v>
      </c>
      <c r="AQ3736" s="44"/>
      <c r="AR3736" s="72"/>
      <c r="AS3736" s="85" t="e">
        <f>(AS3729/(N_1*AS$27))*SQRT('Valve Sizing'!$G$6/AS3734)</f>
        <v>#NUM!</v>
      </c>
      <c r="AT3736" s="44"/>
      <c r="AU3736" s="72"/>
    </row>
    <row r="3737" spans="15:47" x14ac:dyDescent="0.25">
      <c r="O3737" s="1" t="s">
        <v>246</v>
      </c>
      <c r="P3737" s="18"/>
      <c r="Q3737" s="65"/>
      <c r="R3737" s="53">
        <f>IF(R3733&lt;R3734,R3735,R3736)</f>
        <v>152.06705535589518</v>
      </c>
      <c r="S3737" s="49"/>
      <c r="T3737" s="72"/>
      <c r="U3737" s="64">
        <f>IF(U3733&lt;U3734,U3735,U3736)</f>
        <v>318.48264390086558</v>
      </c>
      <c r="V3737" s="44"/>
      <c r="W3737" s="72"/>
      <c r="X3737" s="64" t="e">
        <f>IF(X3733&lt;X3734,X3735,X3736)</f>
        <v>#NUM!</v>
      </c>
      <c r="Y3737" s="44"/>
      <c r="Z3737" s="72"/>
      <c r="AA3737" s="64" t="e">
        <f>IF(AA3733&lt;AA3734,AA3735,AA3736)</f>
        <v>#NUM!</v>
      </c>
      <c r="AB3737" s="44"/>
      <c r="AC3737" s="72"/>
      <c r="AD3737" s="64" t="e">
        <f>IF(AD3733&lt;AD3734,AD3735,AD3736)</f>
        <v>#NUM!</v>
      </c>
      <c r="AE3737" s="44"/>
      <c r="AF3737" s="72"/>
      <c r="AG3737" s="64" t="e">
        <f>IF(AG3733&lt;AG3734,AG3735,AG3736)</f>
        <v>#NUM!</v>
      </c>
      <c r="AH3737" s="44"/>
      <c r="AI3737" s="72"/>
      <c r="AJ3737" s="64" t="e">
        <f>IF(AJ3733&lt;AJ3734,AJ3735,AJ3736)</f>
        <v>#NUM!</v>
      </c>
      <c r="AK3737" s="44"/>
      <c r="AL3737" s="72"/>
      <c r="AM3737" s="64" t="e">
        <f>IF(AM3733&lt;AM3734,AM3735,AM3736)</f>
        <v>#NUM!</v>
      </c>
      <c r="AN3737" s="44"/>
      <c r="AO3737" s="72"/>
      <c r="AP3737" s="64" t="e">
        <f>IF(AP3733&lt;AP3734,AP3735,AP3736)</f>
        <v>#NUM!</v>
      </c>
      <c r="AQ3737" s="44"/>
      <c r="AR3737" s="72"/>
      <c r="AS3737" s="64" t="e">
        <f>IF(AS3733&lt;AS3734,AS3735,AS3736)</f>
        <v>#NUM!</v>
      </c>
      <c r="AT3737" s="44"/>
      <c r="AU3737" s="72"/>
    </row>
    <row r="3738" spans="15:47" ht="13" x14ac:dyDescent="0.3">
      <c r="O3738" s="7" t="s">
        <v>264</v>
      </c>
      <c r="Q3738" s="61"/>
      <c r="R3738" s="53"/>
      <c r="S3738" s="69">
        <f>IFERROR(ABS(C_h-R3737),Q_max*10)</f>
        <v>147.06705535589518</v>
      </c>
      <c r="T3738" s="76">
        <f>R3729</f>
        <v>620.50844851095633</v>
      </c>
      <c r="U3738" s="61"/>
      <c r="V3738" s="69">
        <f>IFERROR(ABS(U$23-U3737),Q_max*10)</f>
        <v>306.48264390086558</v>
      </c>
      <c r="W3738" s="75">
        <f>U3729</f>
        <v>800.02304112755826</v>
      </c>
      <c r="X3738" s="61"/>
      <c r="Y3738" s="69">
        <f>IFERROR(ABS(X$23-X3737),Q_max*10)</f>
        <v>5500</v>
      </c>
      <c r="Z3738" s="75">
        <f>X3729</f>
        <v>1920.363257500818</v>
      </c>
      <c r="AA3738" s="61"/>
      <c r="AB3738" s="69">
        <f>IFERROR(ABS(AA$23-AA3737),Q_max*10)</f>
        <v>5500</v>
      </c>
      <c r="AC3738" s="75">
        <f>AA3729</f>
        <v>3666.6772489933915</v>
      </c>
      <c r="AD3738" s="61"/>
      <c r="AE3738" s="69">
        <f>IFERROR(ABS(AD$23-AD3737),Q_max*10)</f>
        <v>5500</v>
      </c>
      <c r="AF3738" s="75">
        <f>AD3729</f>
        <v>6030.3340841255158</v>
      </c>
      <c r="AG3738" s="61"/>
      <c r="AH3738" s="69">
        <f>IFERROR(ABS(AG$23-AG3737),Q_max*10)</f>
        <v>5500</v>
      </c>
      <c r="AI3738" s="75">
        <f>AG3729</f>
        <v>8978.3457192754249</v>
      </c>
      <c r="AJ3738" s="61"/>
      <c r="AK3738" s="69">
        <f>IFERROR(ABS(AJ$23-AJ3737),Q_max*10)</f>
        <v>5500</v>
      </c>
      <c r="AL3738" s="75">
        <f>AJ3729</f>
        <v>11981.637167533881</v>
      </c>
      <c r="AM3738" s="61"/>
      <c r="AN3738" s="69">
        <f>IFERROR(ABS(AM$23-AM3737),Q_max*10)</f>
        <v>5500</v>
      </c>
      <c r="AO3738" s="75">
        <f>AM3729</f>
        <v>14619.874334095215</v>
      </c>
      <c r="AP3738" s="61"/>
      <c r="AQ3738" s="69">
        <f>IFERROR(ABS(AP$23-AP3737),Q_max*10)</f>
        <v>5500</v>
      </c>
      <c r="AR3738" s="75">
        <f>AP3729</f>
        <v>16973.220233295178</v>
      </c>
      <c r="AS3738" s="61"/>
      <c r="AT3738" s="69">
        <f>IFERROR(ABS(AS$23-AS3737),Q_max*10)</f>
        <v>5500</v>
      </c>
      <c r="AU3738" s="75">
        <f>AS3729</f>
        <v>19317.107894827601</v>
      </c>
    </row>
    <row r="3739" spans="15:47" ht="14.5" x14ac:dyDescent="0.35">
      <c r="O3739" s="6"/>
      <c r="P3739" s="6"/>
      <c r="Q3739" s="60"/>
      <c r="R3739" s="67"/>
      <c r="S3739" s="58"/>
      <c r="T3739" s="73"/>
      <c r="V3739" s="11"/>
      <c r="W3739" s="38"/>
      <c r="Y3739" s="11"/>
      <c r="Z3739" s="38"/>
      <c r="AB3739" s="11"/>
      <c r="AC3739" s="38"/>
      <c r="AE3739" s="11"/>
      <c r="AF3739" s="38"/>
      <c r="AH3739" s="11"/>
      <c r="AI3739" s="38"/>
      <c r="AK3739" s="11"/>
      <c r="AL3739" s="38"/>
      <c r="AN3739" s="11"/>
      <c r="AO3739" s="38"/>
      <c r="AQ3739" s="11"/>
      <c r="AR3739" s="38"/>
      <c r="AT3739" s="11"/>
      <c r="AU3739" s="38"/>
    </row>
    <row r="3740" spans="15:47" ht="14" x14ac:dyDescent="0.3">
      <c r="O3740" s="8" t="s">
        <v>235</v>
      </c>
      <c r="P3740" s="6"/>
      <c r="Q3740" s="60"/>
      <c r="R3740" s="53">
        <f>R3729*1.02</f>
        <v>632.91861748117549</v>
      </c>
      <c r="S3740" s="58" t="s">
        <v>238</v>
      </c>
      <c r="T3740" s="73" t="s">
        <v>241</v>
      </c>
      <c r="U3740" s="84">
        <f>U3729*1.01</f>
        <v>808.0232715388338</v>
      </c>
      <c r="V3740" s="58" t="s">
        <v>238</v>
      </c>
      <c r="W3740" s="73" t="s">
        <v>241</v>
      </c>
      <c r="X3740" s="84">
        <f>X3729*1.01</f>
        <v>1939.5668900758262</v>
      </c>
      <c r="Y3740" s="58" t="s">
        <v>238</v>
      </c>
      <c r="Z3740" s="73" t="s">
        <v>241</v>
      </c>
      <c r="AA3740" s="84">
        <f>AA3729*1.01</f>
        <v>3703.3440214833254</v>
      </c>
      <c r="AB3740" s="58" t="s">
        <v>238</v>
      </c>
      <c r="AC3740" s="73" t="s">
        <v>241</v>
      </c>
      <c r="AD3740" s="84">
        <f>AD3729*1.01</f>
        <v>6090.6374249667706</v>
      </c>
      <c r="AE3740" s="58" t="s">
        <v>238</v>
      </c>
      <c r="AF3740" s="73" t="s">
        <v>241</v>
      </c>
      <c r="AG3740" s="84">
        <f>AG3729*1.01</f>
        <v>9068.1291764681791</v>
      </c>
      <c r="AH3740" s="58" t="s">
        <v>238</v>
      </c>
      <c r="AI3740" s="73" t="s">
        <v>241</v>
      </c>
      <c r="AJ3740" s="84">
        <f>AJ3729*1.01</f>
        <v>12101.45353920922</v>
      </c>
      <c r="AK3740" s="58" t="s">
        <v>238</v>
      </c>
      <c r="AL3740" s="73" t="s">
        <v>241</v>
      </c>
      <c r="AM3740" s="84">
        <f>AM3729*1.01</f>
        <v>14766.073077436167</v>
      </c>
      <c r="AN3740" s="58" t="s">
        <v>238</v>
      </c>
      <c r="AO3740" s="73" t="s">
        <v>241</v>
      </c>
      <c r="AP3740" s="84">
        <f>AP3729*1.01</f>
        <v>17142.952435628129</v>
      </c>
      <c r="AQ3740" s="58" t="s">
        <v>238</v>
      </c>
      <c r="AR3740" s="73" t="s">
        <v>241</v>
      </c>
      <c r="AS3740" s="84">
        <f>AS3729*1.01</f>
        <v>19510.278973775876</v>
      </c>
      <c r="AT3740" s="58" t="s">
        <v>238</v>
      </c>
      <c r="AU3740" s="73" t="s">
        <v>241</v>
      </c>
    </row>
    <row r="3741" spans="15:47" ht="13" x14ac:dyDescent="0.25">
      <c r="O3741" s="6"/>
      <c r="P3741" s="6"/>
      <c r="Q3741" s="60"/>
      <c r="R3741" s="70"/>
      <c r="S3741" s="63" t="s">
        <v>250</v>
      </c>
      <c r="T3741" s="71" t="s">
        <v>242</v>
      </c>
      <c r="U3741" s="61"/>
      <c r="V3741" s="63" t="s">
        <v>250</v>
      </c>
      <c r="W3741" s="71" t="s">
        <v>242</v>
      </c>
      <c r="X3741" s="61"/>
      <c r="Y3741" s="63" t="s">
        <v>250</v>
      </c>
      <c r="Z3741" s="71" t="s">
        <v>242</v>
      </c>
      <c r="AA3741" s="61"/>
      <c r="AB3741" s="63" t="s">
        <v>250</v>
      </c>
      <c r="AC3741" s="71" t="s">
        <v>242</v>
      </c>
      <c r="AD3741" s="61"/>
      <c r="AE3741" s="63" t="s">
        <v>250</v>
      </c>
      <c r="AF3741" s="71" t="s">
        <v>242</v>
      </c>
      <c r="AG3741" s="61"/>
      <c r="AH3741" s="63" t="s">
        <v>250</v>
      </c>
      <c r="AI3741" s="71" t="s">
        <v>242</v>
      </c>
      <c r="AJ3741" s="61"/>
      <c r="AK3741" s="63" t="s">
        <v>250</v>
      </c>
      <c r="AL3741" s="71" t="s">
        <v>242</v>
      </c>
      <c r="AM3741" s="61"/>
      <c r="AN3741" s="63" t="s">
        <v>250</v>
      </c>
      <c r="AO3741" s="71" t="s">
        <v>242</v>
      </c>
      <c r="AP3741" s="61"/>
      <c r="AQ3741" s="63" t="s">
        <v>250</v>
      </c>
      <c r="AR3741" s="71" t="s">
        <v>242</v>
      </c>
      <c r="AS3741" s="61"/>
      <c r="AT3741" s="63" t="s">
        <v>250</v>
      </c>
      <c r="AU3741" s="71" t="s">
        <v>242</v>
      </c>
    </row>
    <row r="3742" spans="15:47" ht="13" x14ac:dyDescent="0.3">
      <c r="O3742" s="6" t="s">
        <v>231</v>
      </c>
      <c r="P3742" s="6"/>
      <c r="Q3742" s="60"/>
      <c r="R3742" s="85">
        <f>P_1_minQ-(R3740^2*R_up)+dpup_minQ</f>
        <v>43.387403702996203</v>
      </c>
      <c r="S3742" s="56"/>
      <c r="T3742" s="72"/>
      <c r="U3742" s="53">
        <f>P_1_minQ-(U3740^2*R_up)+dpup_minQ</f>
        <v>34.866105797084764</v>
      </c>
      <c r="V3742" s="44"/>
      <c r="W3742" s="72"/>
      <c r="X3742" s="53">
        <f>P_1_minQ-(X3740^2*R_up)+dpup_minQ</f>
        <v>-70.132817327876126</v>
      </c>
      <c r="Y3742" s="44"/>
      <c r="Z3742" s="72"/>
      <c r="AA3742" s="53">
        <f>P_1_minQ-(AA3740^2*R_up)+dpup_minQ</f>
        <v>-406.26376026532552</v>
      </c>
      <c r="AB3742" s="44"/>
      <c r="AC3742" s="72"/>
      <c r="AD3742" s="53">
        <f>P_1_minQ-(AD3740^2*R_up)+dpup_minQ</f>
        <v>-1195.8992651943888</v>
      </c>
      <c r="AE3742" s="44"/>
      <c r="AF3742" s="72"/>
      <c r="AG3742" s="53">
        <f>P_1_minQ-(AG3740^2*R_up)+dpup_minQ</f>
        <v>-2720.2188369170367</v>
      </c>
      <c r="AH3742" s="44"/>
      <c r="AI3742" s="72"/>
      <c r="AJ3742" s="53">
        <f>P_1_minQ-(AJ3740^2*R_up)+dpup_minQ</f>
        <v>-4888.8851996500971</v>
      </c>
      <c r="AK3742" s="44"/>
      <c r="AL3742" s="72"/>
      <c r="AM3742" s="53">
        <f>P_1_minQ-(AM3740^2*R_up)+dpup_minQ</f>
        <v>-7306.7081096989277</v>
      </c>
      <c r="AN3742" s="44"/>
      <c r="AO3742" s="72"/>
      <c r="AP3742" s="53">
        <f>P_1_minQ-(AP3740^2*R_up)+dpup_minQ</f>
        <v>-9868.1368189871137</v>
      </c>
      <c r="AQ3742" s="44"/>
      <c r="AR3742" s="72"/>
      <c r="AS3742" s="53">
        <f>P_1_minQ-(AS3740^2*R_up)+dpup_minQ</f>
        <v>-12798.571382457314</v>
      </c>
      <c r="AT3742" s="44"/>
      <c r="AU3742" s="72"/>
    </row>
    <row r="3743" spans="15:47" ht="13" x14ac:dyDescent="0.3">
      <c r="O3743" s="6" t="s">
        <v>233</v>
      </c>
      <c r="P3743" s="6"/>
      <c r="Q3743" s="60"/>
      <c r="R3743" s="85">
        <f>P_2_minQ+(R3740^2*R_dn)-dpdn_minQ</f>
        <v>27.362519259400759</v>
      </c>
      <c r="S3743" s="66"/>
      <c r="T3743" s="74"/>
      <c r="U3743" s="53">
        <f>P_2_minQ+(U3740^2*R_dn)-dpdn_minQ</f>
        <v>29.066778840583048</v>
      </c>
      <c r="V3743" s="45"/>
      <c r="W3743" s="74"/>
      <c r="X3743" s="53">
        <f>P_2_minQ+(X3740^2*R_dn)-dpdn_minQ</f>
        <v>50.066563465575229</v>
      </c>
      <c r="Y3743" s="45"/>
      <c r="Z3743" s="74"/>
      <c r="AA3743" s="53">
        <f>P_2_minQ+(AA3740^2*R_dn)-dpdn_minQ</f>
        <v>117.2927520530651</v>
      </c>
      <c r="AB3743" s="45"/>
      <c r="AC3743" s="74"/>
      <c r="AD3743" s="53">
        <f>P_2_minQ+(AD3740^2*R_dn)-dpdn_minQ</f>
        <v>275.21985303887772</v>
      </c>
      <c r="AE3743" s="45"/>
      <c r="AF3743" s="74"/>
      <c r="AG3743" s="53">
        <f>P_2_minQ+(AG3740^2*R_dn)-dpdn_minQ</f>
        <v>580.08376738340735</v>
      </c>
      <c r="AH3743" s="45"/>
      <c r="AI3743" s="74"/>
      <c r="AJ3743" s="53">
        <f>P_2_minQ+(AJ3740^2*R_dn)-dpdn_minQ</f>
        <v>1013.8170399300193</v>
      </c>
      <c r="AK3743" s="45"/>
      <c r="AL3743" s="74"/>
      <c r="AM3743" s="53">
        <f>P_2_minQ+(AM3740^2*R_dn)-dpdn_minQ</f>
        <v>1497.3816219397854</v>
      </c>
      <c r="AN3743" s="45"/>
      <c r="AO3743" s="74"/>
      <c r="AP3743" s="53">
        <f>P_2_minQ+(AP3740^2*R_dn)-dpdn_minQ</f>
        <v>2009.6673637974227</v>
      </c>
      <c r="AQ3743" s="45"/>
      <c r="AR3743" s="74"/>
      <c r="AS3743" s="53">
        <f>P_2_minQ+(AS3740^2*R_dn)-dpdn_minQ</f>
        <v>2595.7542764914624</v>
      </c>
      <c r="AT3743" s="45"/>
      <c r="AU3743" s="74"/>
    </row>
    <row r="3744" spans="15:47" x14ac:dyDescent="0.25">
      <c r="O3744" s="6" t="s">
        <v>243</v>
      </c>
      <c r="Q3744" s="60"/>
      <c r="R3744" s="53">
        <f>R3742-R3743</f>
        <v>16.024884443595443</v>
      </c>
      <c r="S3744" s="56"/>
      <c r="T3744" s="72"/>
      <c r="U3744" s="64">
        <f>U3742-U3743</f>
        <v>5.7993269565017158</v>
      </c>
      <c r="V3744" s="44"/>
      <c r="W3744" s="72"/>
      <c r="X3744" s="64">
        <f>X3742-X3743</f>
        <v>-120.19938079345135</v>
      </c>
      <c r="Y3744" s="44"/>
      <c r="Z3744" s="72"/>
      <c r="AA3744" s="64">
        <f>AA3742-AA3743</f>
        <v>-523.55651231839056</v>
      </c>
      <c r="AB3744" s="44"/>
      <c r="AC3744" s="72"/>
      <c r="AD3744" s="64">
        <f>AD3742-AD3743</f>
        <v>-1471.1191182332666</v>
      </c>
      <c r="AE3744" s="44"/>
      <c r="AF3744" s="72"/>
      <c r="AG3744" s="64">
        <f>AG3742-AG3743</f>
        <v>-3300.3026043004438</v>
      </c>
      <c r="AH3744" s="44"/>
      <c r="AI3744" s="72"/>
      <c r="AJ3744" s="64">
        <f>AJ3742-AJ3743</f>
        <v>-5902.7022395801159</v>
      </c>
      <c r="AK3744" s="44"/>
      <c r="AL3744" s="72"/>
      <c r="AM3744" s="64">
        <f>AM3742-AM3743</f>
        <v>-8804.0897316387127</v>
      </c>
      <c r="AN3744" s="44"/>
      <c r="AO3744" s="72"/>
      <c r="AP3744" s="64">
        <f>AP3742-AP3743</f>
        <v>-11877.804182784537</v>
      </c>
      <c r="AQ3744" s="44"/>
      <c r="AR3744" s="72"/>
      <c r="AS3744" s="64">
        <f>AS3742-AS3743</f>
        <v>-15394.325658948776</v>
      </c>
      <c r="AT3744" s="44"/>
      <c r="AU3744" s="72"/>
    </row>
    <row r="3745" spans="15:47" ht="13" x14ac:dyDescent="0.3">
      <c r="O3745" s="6" t="s">
        <v>75</v>
      </c>
      <c r="P3745" s="6">
        <v>3</v>
      </c>
      <c r="Q3745" s="65"/>
      <c r="R3745" s="85">
        <f>(F_LP_h/F_P_h)^2*(R3742-('Valve Sizing'!$V$4*'Valve Sizing'!$G$7))</f>
        <v>35.562656819742138</v>
      </c>
      <c r="S3745" s="58"/>
      <c r="T3745" s="73"/>
      <c r="U3745" s="53">
        <f>(U$29/U$27)^2*(U3742-('Valve Sizing'!$V$4*'Valve Sizing'!$G$7))</f>
        <v>28.498805156574779</v>
      </c>
      <c r="V3745" s="41"/>
      <c r="W3745" s="73"/>
      <c r="X3745" s="53">
        <f>(X$29/X$27)^2*(X3742-('Valve Sizing'!$V$4*'Valve Sizing'!$G$7))</f>
        <v>-57.104293388128625</v>
      </c>
      <c r="Y3745" s="41"/>
      <c r="Z3745" s="73"/>
      <c r="AA3745" s="53">
        <f>(AA$29/AA$27)^2*(AA3742-('Valve Sizing'!$V$4*'Valve Sizing'!$G$7))</f>
        <v>-314.29958041341052</v>
      </c>
      <c r="AB3745" s="41"/>
      <c r="AC3745" s="73"/>
      <c r="AD3745" s="53">
        <f>(AD$29/AD$27)^2*(AD3742-('Valve Sizing'!$V$4*'Valve Sizing'!$G$7))</f>
        <v>-862.78485435813934</v>
      </c>
      <c r="AE3745" s="41"/>
      <c r="AF3745" s="73"/>
      <c r="AG3745" s="53">
        <f>(AG$29/AG$27)^2*(AG3742-('Valve Sizing'!$V$4*'Valve Sizing'!$G$7))</f>
        <v>-1752.2239042906117</v>
      </c>
      <c r="AH3745" s="41"/>
      <c r="AI3745" s="73"/>
      <c r="AJ3745" s="53">
        <f>(AJ$29/AJ$27)^2*(AJ3742-('Valve Sizing'!$V$4*'Valve Sizing'!$G$7))</f>
        <v>-2827.811352643032</v>
      </c>
      <c r="AK3745" s="41"/>
      <c r="AL3745" s="73"/>
      <c r="AM3745" s="53">
        <f>(AM$29/AM$27)^2*(AM3742-('Valve Sizing'!$V$4*'Valve Sizing'!$G$7))</f>
        <v>-3496.2668889270894</v>
      </c>
      <c r="AN3745" s="41"/>
      <c r="AO3745" s="73"/>
      <c r="AP3745" s="53">
        <f>(AP$29/AP$27)^2*(AP3742-('Valve Sizing'!$V$4*'Valve Sizing'!$G$7))</f>
        <v>-3894.4051833772505</v>
      </c>
      <c r="AQ3745" s="41"/>
      <c r="AR3745" s="73"/>
      <c r="AS3745" s="53">
        <f>(AS$29/AS$27)^2*(AS3742-('Valve Sizing'!$V$4*'Valve Sizing'!$G$7))</f>
        <v>-4814.230326832967</v>
      </c>
      <c r="AT3745" s="41"/>
      <c r="AU3745" s="73"/>
    </row>
    <row r="3746" spans="15:47" ht="13" x14ac:dyDescent="0.25">
      <c r="O3746" s="1" t="s">
        <v>69</v>
      </c>
      <c r="P3746" s="17">
        <v>7</v>
      </c>
      <c r="Q3746" s="65"/>
      <c r="R3746" s="53">
        <f>(R3740/(N_1*F_P_h))*SQRT('Valve Sizing'!$G$6/R3744)</f>
        <v>158.1298817464745</v>
      </c>
      <c r="S3746" s="58"/>
      <c r="T3746" s="73"/>
      <c r="U3746" s="64">
        <f>(U3740/(N_1*U$27))*SQRT('Valve Sizing'!$G$6/U3744)</f>
        <v>335.81550348584119</v>
      </c>
      <c r="V3746" s="41"/>
      <c r="W3746" s="73"/>
      <c r="X3746" s="64" t="e">
        <f>(X3740/(N_1*X$27))*SQRT('Valve Sizing'!$G$6/X3744)</f>
        <v>#NUM!</v>
      </c>
      <c r="Y3746" s="41"/>
      <c r="Z3746" s="73"/>
      <c r="AA3746" s="64" t="e">
        <f>(AA3740/(N_1*AA$27))*SQRT('Valve Sizing'!$G$6/AA3744)</f>
        <v>#NUM!</v>
      </c>
      <c r="AB3746" s="41"/>
      <c r="AC3746" s="73"/>
      <c r="AD3746" s="64" t="e">
        <f>(AD3740/(N_1*AD$27))*SQRT('Valve Sizing'!$G$6/AD3744)</f>
        <v>#NUM!</v>
      </c>
      <c r="AE3746" s="41"/>
      <c r="AF3746" s="73"/>
      <c r="AG3746" s="64" t="e">
        <f>(AG3740/(N_1*AG$27))*SQRT('Valve Sizing'!$G$6/AG3744)</f>
        <v>#NUM!</v>
      </c>
      <c r="AH3746" s="41"/>
      <c r="AI3746" s="73"/>
      <c r="AJ3746" s="64" t="e">
        <f>(AJ3740/(N_1*AJ$27))*SQRT('Valve Sizing'!$G$6/AJ3744)</f>
        <v>#NUM!</v>
      </c>
      <c r="AK3746" s="41"/>
      <c r="AL3746" s="73"/>
      <c r="AM3746" s="64" t="e">
        <f>(AM3740/(N_1*AM$27))*SQRT('Valve Sizing'!$G$6/AM3744)</f>
        <v>#NUM!</v>
      </c>
      <c r="AN3746" s="41"/>
      <c r="AO3746" s="73"/>
      <c r="AP3746" s="64" t="e">
        <f>(AP3740/(N_1*AP$27))*SQRT('Valve Sizing'!$G$6/AP3744)</f>
        <v>#NUM!</v>
      </c>
      <c r="AQ3746" s="41"/>
      <c r="AR3746" s="73"/>
      <c r="AS3746" s="64" t="e">
        <f>(AS3740/(N_1*AS$27))*SQRT('Valve Sizing'!$G$6/AS3744)</f>
        <v>#NUM!</v>
      </c>
      <c r="AT3746" s="41"/>
      <c r="AU3746" s="73"/>
    </row>
    <row r="3747" spans="15:47" ht="13" x14ac:dyDescent="0.3">
      <c r="O3747" s="1" t="s">
        <v>72</v>
      </c>
      <c r="P3747" s="17">
        <v>7</v>
      </c>
      <c r="Q3747" s="65"/>
      <c r="R3747" s="53">
        <f>(R3740/(N_1*F_P_h))*SQRT('Valve Sizing'!$G$6/R3745)</f>
        <v>106.14860717909495</v>
      </c>
      <c r="S3747" s="56"/>
      <c r="T3747" s="72"/>
      <c r="U3747" s="85">
        <f>(U3740/(N_1*U$27))*SQRT('Valve Sizing'!$G$6/U3745)</f>
        <v>151.48729586727228</v>
      </c>
      <c r="V3747" s="44"/>
      <c r="W3747" s="72"/>
      <c r="X3747" s="85" t="e">
        <f>(X3740/(N_1*X$27))*SQRT('Valve Sizing'!$G$6/X3745)</f>
        <v>#NUM!</v>
      </c>
      <c r="Y3747" s="44"/>
      <c r="Z3747" s="72"/>
      <c r="AA3747" s="85" t="e">
        <f>(AA3740/(N_1*AA$27))*SQRT('Valve Sizing'!$G$6/AA3745)</f>
        <v>#NUM!</v>
      </c>
      <c r="AB3747" s="44"/>
      <c r="AC3747" s="72"/>
      <c r="AD3747" s="85" t="e">
        <f>(AD3740/(N_1*AD$27))*SQRT('Valve Sizing'!$G$6/AD3745)</f>
        <v>#NUM!</v>
      </c>
      <c r="AE3747" s="44"/>
      <c r="AF3747" s="72"/>
      <c r="AG3747" s="85" t="e">
        <f>(AG3740/(N_1*AG$27))*SQRT('Valve Sizing'!$G$6/AG3745)</f>
        <v>#NUM!</v>
      </c>
      <c r="AH3747" s="44"/>
      <c r="AI3747" s="72"/>
      <c r="AJ3747" s="85" t="e">
        <f>(AJ3740/(N_1*AJ$27))*SQRT('Valve Sizing'!$G$6/AJ3745)</f>
        <v>#NUM!</v>
      </c>
      <c r="AK3747" s="44"/>
      <c r="AL3747" s="72"/>
      <c r="AM3747" s="85" t="e">
        <f>(AM3740/(N_1*AM$27))*SQRT('Valve Sizing'!$G$6/AM3745)</f>
        <v>#NUM!</v>
      </c>
      <c r="AN3747" s="44"/>
      <c r="AO3747" s="72"/>
      <c r="AP3747" s="85" t="e">
        <f>(AP3740/(N_1*AP$27))*SQRT('Valve Sizing'!$G$6/AP3745)</f>
        <v>#NUM!</v>
      </c>
      <c r="AQ3747" s="44"/>
      <c r="AR3747" s="72"/>
      <c r="AS3747" s="85" t="e">
        <f>(AS3740/(N_1*AS$27))*SQRT('Valve Sizing'!$G$6/AS3745)</f>
        <v>#NUM!</v>
      </c>
      <c r="AT3747" s="44"/>
      <c r="AU3747" s="72"/>
    </row>
    <row r="3748" spans="15:47" x14ac:dyDescent="0.25">
      <c r="O3748" s="1" t="s">
        <v>246</v>
      </c>
      <c r="P3748" s="18"/>
      <c r="Q3748" s="65"/>
      <c r="R3748" s="53">
        <f>IF(R3744&lt;R3745,R3746,R3747)</f>
        <v>158.1298817464745</v>
      </c>
      <c r="S3748" s="49"/>
      <c r="T3748" s="72"/>
      <c r="U3748" s="64">
        <f>IF(U3744&lt;U3745,U3746,U3747)</f>
        <v>335.81550348584119</v>
      </c>
      <c r="V3748" s="44"/>
      <c r="W3748" s="72"/>
      <c r="X3748" s="64" t="e">
        <f>IF(X3744&lt;X3745,X3746,X3747)</f>
        <v>#NUM!</v>
      </c>
      <c r="Y3748" s="44"/>
      <c r="Z3748" s="72"/>
      <c r="AA3748" s="64" t="e">
        <f>IF(AA3744&lt;AA3745,AA3746,AA3747)</f>
        <v>#NUM!</v>
      </c>
      <c r="AB3748" s="44"/>
      <c r="AC3748" s="72"/>
      <c r="AD3748" s="64" t="e">
        <f>IF(AD3744&lt;AD3745,AD3746,AD3747)</f>
        <v>#NUM!</v>
      </c>
      <c r="AE3748" s="44"/>
      <c r="AF3748" s="72"/>
      <c r="AG3748" s="64" t="e">
        <f>IF(AG3744&lt;AG3745,AG3746,AG3747)</f>
        <v>#NUM!</v>
      </c>
      <c r="AH3748" s="44"/>
      <c r="AI3748" s="72"/>
      <c r="AJ3748" s="64" t="e">
        <f>IF(AJ3744&lt;AJ3745,AJ3746,AJ3747)</f>
        <v>#NUM!</v>
      </c>
      <c r="AK3748" s="44"/>
      <c r="AL3748" s="72"/>
      <c r="AM3748" s="64" t="e">
        <f>IF(AM3744&lt;AM3745,AM3746,AM3747)</f>
        <v>#NUM!</v>
      </c>
      <c r="AN3748" s="44"/>
      <c r="AO3748" s="72"/>
      <c r="AP3748" s="64" t="e">
        <f>IF(AP3744&lt;AP3745,AP3746,AP3747)</f>
        <v>#NUM!</v>
      </c>
      <c r="AQ3748" s="44"/>
      <c r="AR3748" s="72"/>
      <c r="AS3748" s="64" t="e">
        <f>IF(AS3744&lt;AS3745,AS3746,AS3747)</f>
        <v>#NUM!</v>
      </c>
      <c r="AT3748" s="44"/>
      <c r="AU3748" s="72"/>
    </row>
    <row r="3749" spans="15:47" ht="13" x14ac:dyDescent="0.3">
      <c r="O3749" s="7" t="s">
        <v>264</v>
      </c>
      <c r="Q3749" s="61"/>
      <c r="R3749" s="53"/>
      <c r="S3749" s="69">
        <f>IFERROR(ABS(C_h-R3748),Q_max*10)</f>
        <v>153.1298817464745</v>
      </c>
      <c r="T3749" s="76">
        <f>R3740</f>
        <v>632.91861748117549</v>
      </c>
      <c r="U3749" s="61"/>
      <c r="V3749" s="69">
        <f>IFERROR(ABS(U$23-U3748),Q_max*10)</f>
        <v>323.81550348584119</v>
      </c>
      <c r="W3749" s="75">
        <f>U3740</f>
        <v>808.0232715388338</v>
      </c>
      <c r="X3749" s="61"/>
      <c r="Y3749" s="69">
        <f>IFERROR(ABS(X$23-X3748),Q_max*10)</f>
        <v>5500</v>
      </c>
      <c r="Z3749" s="75">
        <f>X3740</f>
        <v>1939.5668900758262</v>
      </c>
      <c r="AA3749" s="61"/>
      <c r="AB3749" s="69">
        <f>IFERROR(ABS(AA$23-AA3748),Q_max*10)</f>
        <v>5500</v>
      </c>
      <c r="AC3749" s="75">
        <f>AA3740</f>
        <v>3703.3440214833254</v>
      </c>
      <c r="AD3749" s="61"/>
      <c r="AE3749" s="69">
        <f>IFERROR(ABS(AD$23-AD3748),Q_max*10)</f>
        <v>5500</v>
      </c>
      <c r="AF3749" s="75">
        <f>AD3740</f>
        <v>6090.6374249667706</v>
      </c>
      <c r="AG3749" s="61"/>
      <c r="AH3749" s="69">
        <f>IFERROR(ABS(AG$23-AG3748),Q_max*10)</f>
        <v>5500</v>
      </c>
      <c r="AI3749" s="75">
        <f>AG3740</f>
        <v>9068.1291764681791</v>
      </c>
      <c r="AJ3749" s="61"/>
      <c r="AK3749" s="69">
        <f>IFERROR(ABS(AJ$23-AJ3748),Q_max*10)</f>
        <v>5500</v>
      </c>
      <c r="AL3749" s="75">
        <f>AJ3740</f>
        <v>12101.45353920922</v>
      </c>
      <c r="AM3749" s="61"/>
      <c r="AN3749" s="69">
        <f>IFERROR(ABS(AM$23-AM3748),Q_max*10)</f>
        <v>5500</v>
      </c>
      <c r="AO3749" s="75">
        <f>AM3740</f>
        <v>14766.073077436167</v>
      </c>
      <c r="AP3749" s="61"/>
      <c r="AQ3749" s="69">
        <f>IFERROR(ABS(AP$23-AP3748),Q_max*10)</f>
        <v>5500</v>
      </c>
      <c r="AR3749" s="75">
        <f>AP3740</f>
        <v>17142.952435628129</v>
      </c>
      <c r="AS3749" s="61"/>
      <c r="AT3749" s="69">
        <f>IFERROR(ABS(AS$23-AS3748),Q_max*10)</f>
        <v>5500</v>
      </c>
      <c r="AU3749" s="75">
        <f>AS3740</f>
        <v>19510.278973775876</v>
      </c>
    </row>
    <row r="3750" spans="15:47" ht="14.5" x14ac:dyDescent="0.35">
      <c r="O3750" s="8"/>
      <c r="P3750" s="6"/>
      <c r="Q3750" s="60"/>
      <c r="R3750" s="67"/>
      <c r="S3750" s="56"/>
      <c r="T3750" s="72"/>
      <c r="V3750" s="11"/>
      <c r="W3750" s="38"/>
      <c r="Y3750" s="11"/>
      <c r="Z3750" s="38"/>
      <c r="AB3750" s="11"/>
      <c r="AC3750" s="38"/>
      <c r="AE3750" s="11"/>
      <c r="AF3750" s="38"/>
      <c r="AH3750" s="11"/>
      <c r="AI3750" s="38"/>
      <c r="AK3750" s="11"/>
      <c r="AL3750" s="38"/>
      <c r="AN3750" s="11"/>
      <c r="AO3750" s="38"/>
      <c r="AQ3750" s="11"/>
      <c r="AR3750" s="38"/>
      <c r="AT3750" s="11"/>
      <c r="AU3750" s="38"/>
    </row>
    <row r="3751" spans="15:47" ht="14" x14ac:dyDescent="0.3">
      <c r="O3751" s="8" t="s">
        <v>235</v>
      </c>
      <c r="P3751" s="6"/>
      <c r="Q3751" s="60"/>
      <c r="R3751" s="53">
        <f>R3740*1.02</f>
        <v>645.57698983079899</v>
      </c>
      <c r="S3751" s="58" t="s">
        <v>238</v>
      </c>
      <c r="T3751" s="73" t="s">
        <v>241</v>
      </c>
      <c r="U3751" s="84">
        <f>U3740*1.01</f>
        <v>816.10350425422212</v>
      </c>
      <c r="V3751" s="58" t="s">
        <v>238</v>
      </c>
      <c r="W3751" s="73" t="s">
        <v>241</v>
      </c>
      <c r="X3751" s="84">
        <f>X3740*1.01</f>
        <v>1958.9625589765844</v>
      </c>
      <c r="Y3751" s="58" t="s">
        <v>238</v>
      </c>
      <c r="Z3751" s="73" t="s">
        <v>241</v>
      </c>
      <c r="AA3751" s="84">
        <f>AA3740*1.01</f>
        <v>3740.3774616981586</v>
      </c>
      <c r="AB3751" s="58" t="s">
        <v>238</v>
      </c>
      <c r="AC3751" s="73" t="s">
        <v>241</v>
      </c>
      <c r="AD3751" s="84">
        <f>AD3740*1.01</f>
        <v>6151.5437992164379</v>
      </c>
      <c r="AE3751" s="58" t="s">
        <v>238</v>
      </c>
      <c r="AF3751" s="73" t="s">
        <v>241</v>
      </c>
      <c r="AG3751" s="84">
        <f>AG3740*1.01</f>
        <v>9158.8104682328612</v>
      </c>
      <c r="AH3751" s="58" t="s">
        <v>238</v>
      </c>
      <c r="AI3751" s="73" t="s">
        <v>241</v>
      </c>
      <c r="AJ3751" s="84">
        <f>AJ3740*1.01</f>
        <v>12222.468074601313</v>
      </c>
      <c r="AK3751" s="58" t="s">
        <v>238</v>
      </c>
      <c r="AL3751" s="73" t="s">
        <v>241</v>
      </c>
      <c r="AM3751" s="84">
        <f>AM3740*1.01</f>
        <v>14913.733808210529</v>
      </c>
      <c r="AN3751" s="58" t="s">
        <v>238</v>
      </c>
      <c r="AO3751" s="73" t="s">
        <v>241</v>
      </c>
      <c r="AP3751" s="84">
        <f>AP3740*1.01</f>
        <v>17314.38195998441</v>
      </c>
      <c r="AQ3751" s="58" t="s">
        <v>238</v>
      </c>
      <c r="AR3751" s="73" t="s">
        <v>241</v>
      </c>
      <c r="AS3751" s="84">
        <f>AS3740*1.01</f>
        <v>19705.381763513633</v>
      </c>
      <c r="AT3751" s="58" t="s">
        <v>238</v>
      </c>
      <c r="AU3751" s="73" t="s">
        <v>241</v>
      </c>
    </row>
    <row r="3752" spans="15:47" ht="13" x14ac:dyDescent="0.25">
      <c r="O3752" s="6"/>
      <c r="P3752" s="6"/>
      <c r="Q3752" s="60"/>
      <c r="R3752" s="70"/>
      <c r="S3752" s="63" t="s">
        <v>250</v>
      </c>
      <c r="T3752" s="71" t="s">
        <v>242</v>
      </c>
      <c r="U3752" s="61"/>
      <c r="V3752" s="63" t="s">
        <v>250</v>
      </c>
      <c r="W3752" s="71" t="s">
        <v>242</v>
      </c>
      <c r="X3752" s="61"/>
      <c r="Y3752" s="63" t="s">
        <v>250</v>
      </c>
      <c r="Z3752" s="71" t="s">
        <v>242</v>
      </c>
      <c r="AA3752" s="61"/>
      <c r="AB3752" s="63" t="s">
        <v>250</v>
      </c>
      <c r="AC3752" s="71" t="s">
        <v>242</v>
      </c>
      <c r="AD3752" s="61"/>
      <c r="AE3752" s="63" t="s">
        <v>250</v>
      </c>
      <c r="AF3752" s="71" t="s">
        <v>242</v>
      </c>
      <c r="AG3752" s="61"/>
      <c r="AH3752" s="63" t="s">
        <v>250</v>
      </c>
      <c r="AI3752" s="71" t="s">
        <v>242</v>
      </c>
      <c r="AJ3752" s="61"/>
      <c r="AK3752" s="63" t="s">
        <v>250</v>
      </c>
      <c r="AL3752" s="71" t="s">
        <v>242</v>
      </c>
      <c r="AM3752" s="61"/>
      <c r="AN3752" s="63" t="s">
        <v>250</v>
      </c>
      <c r="AO3752" s="71" t="s">
        <v>242</v>
      </c>
      <c r="AP3752" s="61"/>
      <c r="AQ3752" s="63" t="s">
        <v>250</v>
      </c>
      <c r="AR3752" s="71" t="s">
        <v>242</v>
      </c>
      <c r="AS3752" s="61"/>
      <c r="AT3752" s="63" t="s">
        <v>250</v>
      </c>
      <c r="AU3752" s="71" t="s">
        <v>242</v>
      </c>
    </row>
    <row r="3753" spans="15:47" ht="13" x14ac:dyDescent="0.3">
      <c r="O3753" s="6" t="s">
        <v>231</v>
      </c>
      <c r="P3753" s="6"/>
      <c r="Q3753" s="60"/>
      <c r="R3753" s="85">
        <f>P_1_minQ-(R3751^2*R_up)+dpup_minQ</f>
        <v>42.840842627524637</v>
      </c>
      <c r="S3753" s="56"/>
      <c r="T3753" s="72"/>
      <c r="U3753" s="53">
        <f>P_1_minQ-(U3751^2*R_up)+dpup_minQ</f>
        <v>34.422900045389355</v>
      </c>
      <c r="V3753" s="44"/>
      <c r="W3753" s="72"/>
      <c r="X3753" s="53">
        <f>P_1_minQ-(X3751^2*R_up)+dpup_minQ</f>
        <v>-72.686501434383246</v>
      </c>
      <c r="Y3753" s="44"/>
      <c r="Z3753" s="72"/>
      <c r="AA3753" s="53">
        <f>P_1_minQ-(AA3751^2*R_up)+dpup_minQ</f>
        <v>-415.57367632487546</v>
      </c>
      <c r="AB3753" s="44"/>
      <c r="AC3753" s="72"/>
      <c r="AD3753" s="53">
        <f>P_1_minQ-(AD3751^2*R_up)+dpup_minQ</f>
        <v>-1221.0808549030128</v>
      </c>
      <c r="AE3753" s="44"/>
      <c r="AF3753" s="72"/>
      <c r="AG3753" s="53">
        <f>P_1_minQ-(AG3751^2*R_up)+dpup_minQ</f>
        <v>-2776.0392500172866</v>
      </c>
      <c r="AH3753" s="44"/>
      <c r="AI3753" s="72"/>
      <c r="AJ3753" s="53">
        <f>P_1_minQ-(AJ3751^2*R_up)+dpup_minQ</f>
        <v>-4988.2958066412812</v>
      </c>
      <c r="AK3753" s="44"/>
      <c r="AL3753" s="72"/>
      <c r="AM3753" s="53">
        <f>P_1_minQ-(AM3751^2*R_up)+dpup_minQ</f>
        <v>-7454.7169571820932</v>
      </c>
      <c r="AN3753" s="44"/>
      <c r="AO3753" s="72"/>
      <c r="AP3753" s="53">
        <f>P_1_minQ-(AP3751^2*R_up)+dpup_minQ</f>
        <v>-10067.630383526972</v>
      </c>
      <c r="AQ3753" s="44"/>
      <c r="AR3753" s="72"/>
      <c r="AS3753" s="53">
        <f>P_1_minQ-(AS3751^2*R_up)+dpup_minQ</f>
        <v>-13056.966681722921</v>
      </c>
      <c r="AT3753" s="44"/>
      <c r="AU3753" s="72"/>
    </row>
    <row r="3754" spans="15:47" ht="13" x14ac:dyDescent="0.3">
      <c r="O3754" s="6" t="s">
        <v>233</v>
      </c>
      <c r="P3754" s="6"/>
      <c r="Q3754" s="60"/>
      <c r="R3754" s="85">
        <f>P_2_minQ+(R3751^2*R_dn)-dpdn_minQ</f>
        <v>27.471831474495072</v>
      </c>
      <c r="S3754" s="66"/>
      <c r="T3754" s="74"/>
      <c r="U3754" s="53">
        <f>P_2_minQ+(U3751^2*R_dn)-dpdn_minQ</f>
        <v>29.15541999092213</v>
      </c>
      <c r="V3754" s="45"/>
      <c r="W3754" s="74"/>
      <c r="X3754" s="53">
        <f>P_2_minQ+(X3751^2*R_dn)-dpdn_minQ</f>
        <v>50.57730028687665</v>
      </c>
      <c r="Y3754" s="45"/>
      <c r="Z3754" s="74"/>
      <c r="AA3754" s="53">
        <f>P_2_minQ+(AA3751^2*R_dn)-dpdn_minQ</f>
        <v>119.15473526497509</v>
      </c>
      <c r="AB3754" s="45"/>
      <c r="AC3754" s="74"/>
      <c r="AD3754" s="53">
        <f>P_2_minQ+(AD3751^2*R_dn)-dpdn_minQ</f>
        <v>280.25617098060252</v>
      </c>
      <c r="AE3754" s="45"/>
      <c r="AF3754" s="74"/>
      <c r="AG3754" s="53">
        <f>P_2_minQ+(AG3751^2*R_dn)-dpdn_minQ</f>
        <v>591.2478500034573</v>
      </c>
      <c r="AH3754" s="45"/>
      <c r="AI3754" s="74"/>
      <c r="AJ3754" s="53">
        <f>P_2_minQ+(AJ3751^2*R_dn)-dpdn_minQ</f>
        <v>1033.6991613282562</v>
      </c>
      <c r="AK3754" s="45"/>
      <c r="AL3754" s="74"/>
      <c r="AM3754" s="53">
        <f>P_2_minQ+(AM3751^2*R_dn)-dpdn_minQ</f>
        <v>1526.9833914364185</v>
      </c>
      <c r="AN3754" s="45"/>
      <c r="AO3754" s="74"/>
      <c r="AP3754" s="53">
        <f>P_2_minQ+(AP3751^2*R_dn)-dpdn_minQ</f>
        <v>2049.5660767053942</v>
      </c>
      <c r="AQ3754" s="45"/>
      <c r="AR3754" s="74"/>
      <c r="AS3754" s="53">
        <f>P_2_minQ+(AS3751^2*R_dn)-dpdn_minQ</f>
        <v>2647.4333363445839</v>
      </c>
      <c r="AT3754" s="45"/>
      <c r="AU3754" s="74"/>
    </row>
    <row r="3755" spans="15:47" x14ac:dyDescent="0.25">
      <c r="O3755" s="6" t="s">
        <v>243</v>
      </c>
      <c r="Q3755" s="60"/>
      <c r="R3755" s="53">
        <f>R3753-R3754</f>
        <v>15.369011153029565</v>
      </c>
      <c r="S3755" s="56"/>
      <c r="T3755" s="72"/>
      <c r="U3755" s="64">
        <f>U3753-U3754</f>
        <v>5.2674800544672244</v>
      </c>
      <c r="V3755" s="44"/>
      <c r="W3755" s="72"/>
      <c r="X3755" s="64">
        <f>X3753-X3754</f>
        <v>-123.2638017212599</v>
      </c>
      <c r="Y3755" s="44"/>
      <c r="Z3755" s="72"/>
      <c r="AA3755" s="64">
        <f>AA3753-AA3754</f>
        <v>-534.72841158985057</v>
      </c>
      <c r="AB3755" s="44"/>
      <c r="AC3755" s="72"/>
      <c r="AD3755" s="64">
        <f>AD3753-AD3754</f>
        <v>-1501.3370258836153</v>
      </c>
      <c r="AE3755" s="44"/>
      <c r="AF3755" s="72"/>
      <c r="AG3755" s="64">
        <f>AG3753-AG3754</f>
        <v>-3367.2871000207438</v>
      </c>
      <c r="AH3755" s="44"/>
      <c r="AI3755" s="72"/>
      <c r="AJ3755" s="64">
        <f>AJ3753-AJ3754</f>
        <v>-6021.9949679695374</v>
      </c>
      <c r="AK3755" s="44"/>
      <c r="AL3755" s="72"/>
      <c r="AM3755" s="64">
        <f>AM3753-AM3754</f>
        <v>-8981.7003486185113</v>
      </c>
      <c r="AN3755" s="44"/>
      <c r="AO3755" s="72"/>
      <c r="AP3755" s="64">
        <f>AP3753-AP3754</f>
        <v>-12117.196460232366</v>
      </c>
      <c r="AQ3755" s="44"/>
      <c r="AR3755" s="72"/>
      <c r="AS3755" s="64">
        <f>AS3753-AS3754</f>
        <v>-15704.400018067505</v>
      </c>
      <c r="AT3755" s="44"/>
      <c r="AU3755" s="72"/>
    </row>
    <row r="3756" spans="15:47" ht="13" x14ac:dyDescent="0.3">
      <c r="O3756" s="6" t="s">
        <v>75</v>
      </c>
      <c r="P3756" s="6">
        <v>3</v>
      </c>
      <c r="Q3756" s="65"/>
      <c r="R3756" s="85">
        <f>(F_LP_h/F_P_h)^2*(R3753-('Valve Sizing'!$V$4*'Valve Sizing'!$G$7))</f>
        <v>35.110075560294341</v>
      </c>
      <c r="S3756" s="58"/>
      <c r="T3756" s="73"/>
      <c r="U3756" s="53">
        <f>(U$29/U$27)^2*(U3753-('Valve Sizing'!$V$4*'Valve Sizing'!$G$7))</f>
        <v>28.131907558720037</v>
      </c>
      <c r="V3756" s="41"/>
      <c r="W3756" s="73"/>
      <c r="X3756" s="53">
        <f>(X$29/X$27)^2*(X3753-('Valve Sizing'!$V$4*'Valve Sizing'!$G$7))</f>
        <v>-59.170615986508267</v>
      </c>
      <c r="Y3756" s="41"/>
      <c r="Z3756" s="73"/>
      <c r="AA3756" s="53">
        <f>(AA$29/AA$27)^2*(AA3753-('Valve Sizing'!$V$4*'Valve Sizing'!$G$7))</f>
        <v>-321.49425767526361</v>
      </c>
      <c r="AB3756" s="41"/>
      <c r="AC3756" s="73"/>
      <c r="AD3756" s="53">
        <f>(AD$29/AD$27)^2*(AD3753-('Valve Sizing'!$V$4*'Valve Sizing'!$G$7))</f>
        <v>-880.94549974866391</v>
      </c>
      <c r="AE3756" s="41"/>
      <c r="AF3756" s="73"/>
      <c r="AG3756" s="53">
        <f>(AG$29/AG$27)^2*(AG3753-('Valve Sizing'!$V$4*'Valve Sizing'!$G$7))</f>
        <v>-1788.1747037003695</v>
      </c>
      <c r="AH3756" s="41"/>
      <c r="AI3756" s="73"/>
      <c r="AJ3756" s="53">
        <f>(AJ$29/AJ$27)^2*(AJ3753-('Valve Sizing'!$V$4*'Valve Sizing'!$G$7))</f>
        <v>-2885.3069022798641</v>
      </c>
      <c r="AK3756" s="41"/>
      <c r="AL3756" s="73"/>
      <c r="AM3756" s="53">
        <f>(AM$29/AM$27)^2*(AM3753-('Valve Sizing'!$V$4*'Valve Sizing'!$G$7))</f>
        <v>-3567.0850002984444</v>
      </c>
      <c r="AN3756" s="41"/>
      <c r="AO3756" s="73"/>
      <c r="AP3756" s="53">
        <f>(AP$29/AP$27)^2*(AP3753-('Valve Sizing'!$V$4*'Valve Sizing'!$G$7))</f>
        <v>-3973.1306958300329</v>
      </c>
      <c r="AQ3756" s="41"/>
      <c r="AR3756" s="73"/>
      <c r="AS3756" s="53">
        <f>(AS$29/AS$27)^2*(AS3753-('Valve Sizing'!$V$4*'Valve Sizing'!$G$7))</f>
        <v>-4911.4233398914257</v>
      </c>
      <c r="AT3756" s="41"/>
      <c r="AU3756" s="73"/>
    </row>
    <row r="3757" spans="15:47" ht="13" x14ac:dyDescent="0.25">
      <c r="O3757" s="1" t="s">
        <v>69</v>
      </c>
      <c r="P3757" s="17">
        <v>7</v>
      </c>
      <c r="Q3757" s="65"/>
      <c r="R3757" s="53">
        <f>(R3751/(N_1*F_P_h))*SQRT('Valve Sizing'!$G$6/R3755)</f>
        <v>164.69810728752063</v>
      </c>
      <c r="S3757" s="58"/>
      <c r="T3757" s="73"/>
      <c r="U3757" s="64">
        <f>(U3751/(N_1*U$27))*SQRT('Valve Sizing'!$G$6/U3755)</f>
        <v>355.88481943078614</v>
      </c>
      <c r="V3757" s="41"/>
      <c r="W3757" s="73"/>
      <c r="X3757" s="64" t="e">
        <f>(X3751/(N_1*X$27))*SQRT('Valve Sizing'!$G$6/X3755)</f>
        <v>#NUM!</v>
      </c>
      <c r="Y3757" s="41"/>
      <c r="Z3757" s="73"/>
      <c r="AA3757" s="64" t="e">
        <f>(AA3751/(N_1*AA$27))*SQRT('Valve Sizing'!$G$6/AA3755)</f>
        <v>#NUM!</v>
      </c>
      <c r="AB3757" s="41"/>
      <c r="AC3757" s="73"/>
      <c r="AD3757" s="64" t="e">
        <f>(AD3751/(N_1*AD$27))*SQRT('Valve Sizing'!$G$6/AD3755)</f>
        <v>#NUM!</v>
      </c>
      <c r="AE3757" s="41"/>
      <c r="AF3757" s="73"/>
      <c r="AG3757" s="64" t="e">
        <f>(AG3751/(N_1*AG$27))*SQRT('Valve Sizing'!$G$6/AG3755)</f>
        <v>#NUM!</v>
      </c>
      <c r="AH3757" s="41"/>
      <c r="AI3757" s="73"/>
      <c r="AJ3757" s="64" t="e">
        <f>(AJ3751/(N_1*AJ$27))*SQRT('Valve Sizing'!$G$6/AJ3755)</f>
        <v>#NUM!</v>
      </c>
      <c r="AK3757" s="41"/>
      <c r="AL3757" s="73"/>
      <c r="AM3757" s="64" t="e">
        <f>(AM3751/(N_1*AM$27))*SQRT('Valve Sizing'!$G$6/AM3755)</f>
        <v>#NUM!</v>
      </c>
      <c r="AN3757" s="41"/>
      <c r="AO3757" s="73"/>
      <c r="AP3757" s="64" t="e">
        <f>(AP3751/(N_1*AP$27))*SQRT('Valve Sizing'!$G$6/AP3755)</f>
        <v>#NUM!</v>
      </c>
      <c r="AQ3757" s="41"/>
      <c r="AR3757" s="73"/>
      <c r="AS3757" s="64" t="e">
        <f>(AS3751/(N_1*AS$27))*SQRT('Valve Sizing'!$G$6/AS3755)</f>
        <v>#NUM!</v>
      </c>
      <c r="AT3757" s="41"/>
      <c r="AU3757" s="73"/>
    </row>
    <row r="3758" spans="15:47" ht="13" x14ac:dyDescent="0.3">
      <c r="O3758" s="1" t="s">
        <v>72</v>
      </c>
      <c r="P3758" s="17">
        <v>7</v>
      </c>
      <c r="Q3758" s="65"/>
      <c r="R3758" s="53">
        <f>(R3751/(N_1*F_P_h))*SQRT('Valve Sizing'!$G$6/R3756)</f>
        <v>108.96717430985061</v>
      </c>
      <c r="S3758" s="56"/>
      <c r="T3758" s="72"/>
      <c r="U3758" s="85">
        <f>(U3751/(N_1*U$27))*SQRT('Valve Sizing'!$G$6/U3756)</f>
        <v>153.99666732441105</v>
      </c>
      <c r="V3758" s="44"/>
      <c r="W3758" s="72"/>
      <c r="X3758" s="85" t="e">
        <f>(X3751/(N_1*X$27))*SQRT('Valve Sizing'!$G$6/X3756)</f>
        <v>#NUM!</v>
      </c>
      <c r="Y3758" s="44"/>
      <c r="Z3758" s="72"/>
      <c r="AA3758" s="85" t="e">
        <f>(AA3751/(N_1*AA$27))*SQRT('Valve Sizing'!$G$6/AA3756)</f>
        <v>#NUM!</v>
      </c>
      <c r="AB3758" s="44"/>
      <c r="AC3758" s="72"/>
      <c r="AD3758" s="85" t="e">
        <f>(AD3751/(N_1*AD$27))*SQRT('Valve Sizing'!$G$6/AD3756)</f>
        <v>#NUM!</v>
      </c>
      <c r="AE3758" s="44"/>
      <c r="AF3758" s="72"/>
      <c r="AG3758" s="85" t="e">
        <f>(AG3751/(N_1*AG$27))*SQRT('Valve Sizing'!$G$6/AG3756)</f>
        <v>#NUM!</v>
      </c>
      <c r="AH3758" s="44"/>
      <c r="AI3758" s="72"/>
      <c r="AJ3758" s="85" t="e">
        <f>(AJ3751/(N_1*AJ$27))*SQRT('Valve Sizing'!$G$6/AJ3756)</f>
        <v>#NUM!</v>
      </c>
      <c r="AK3758" s="44"/>
      <c r="AL3758" s="72"/>
      <c r="AM3758" s="85" t="e">
        <f>(AM3751/(N_1*AM$27))*SQRT('Valve Sizing'!$G$6/AM3756)</f>
        <v>#NUM!</v>
      </c>
      <c r="AN3758" s="44"/>
      <c r="AO3758" s="72"/>
      <c r="AP3758" s="85" t="e">
        <f>(AP3751/(N_1*AP$27))*SQRT('Valve Sizing'!$G$6/AP3756)</f>
        <v>#NUM!</v>
      </c>
      <c r="AQ3758" s="44"/>
      <c r="AR3758" s="72"/>
      <c r="AS3758" s="85" t="e">
        <f>(AS3751/(N_1*AS$27))*SQRT('Valve Sizing'!$G$6/AS3756)</f>
        <v>#NUM!</v>
      </c>
      <c r="AT3758" s="44"/>
      <c r="AU3758" s="72"/>
    </row>
    <row r="3759" spans="15:47" x14ac:dyDescent="0.25">
      <c r="O3759" s="1" t="s">
        <v>246</v>
      </c>
      <c r="P3759" s="18"/>
      <c r="Q3759" s="65"/>
      <c r="R3759" s="53">
        <f>IF(R3755&lt;R3756,R3757,R3758)</f>
        <v>164.69810728752063</v>
      </c>
      <c r="S3759" s="49"/>
      <c r="T3759" s="72"/>
      <c r="U3759" s="64">
        <f>IF(U3755&lt;U3756,U3757,U3758)</f>
        <v>355.88481943078614</v>
      </c>
      <c r="V3759" s="44"/>
      <c r="W3759" s="72"/>
      <c r="X3759" s="64" t="e">
        <f>IF(X3755&lt;X3756,X3757,X3758)</f>
        <v>#NUM!</v>
      </c>
      <c r="Y3759" s="44"/>
      <c r="Z3759" s="72"/>
      <c r="AA3759" s="64" t="e">
        <f>IF(AA3755&lt;AA3756,AA3757,AA3758)</f>
        <v>#NUM!</v>
      </c>
      <c r="AB3759" s="44"/>
      <c r="AC3759" s="72"/>
      <c r="AD3759" s="64" t="e">
        <f>IF(AD3755&lt;AD3756,AD3757,AD3758)</f>
        <v>#NUM!</v>
      </c>
      <c r="AE3759" s="44"/>
      <c r="AF3759" s="72"/>
      <c r="AG3759" s="64" t="e">
        <f>IF(AG3755&lt;AG3756,AG3757,AG3758)</f>
        <v>#NUM!</v>
      </c>
      <c r="AH3759" s="44"/>
      <c r="AI3759" s="72"/>
      <c r="AJ3759" s="64" t="e">
        <f>IF(AJ3755&lt;AJ3756,AJ3757,AJ3758)</f>
        <v>#NUM!</v>
      </c>
      <c r="AK3759" s="44"/>
      <c r="AL3759" s="72"/>
      <c r="AM3759" s="64" t="e">
        <f>IF(AM3755&lt;AM3756,AM3757,AM3758)</f>
        <v>#NUM!</v>
      </c>
      <c r="AN3759" s="44"/>
      <c r="AO3759" s="72"/>
      <c r="AP3759" s="64" t="e">
        <f>IF(AP3755&lt;AP3756,AP3757,AP3758)</f>
        <v>#NUM!</v>
      </c>
      <c r="AQ3759" s="44"/>
      <c r="AR3759" s="72"/>
      <c r="AS3759" s="64" t="e">
        <f>IF(AS3755&lt;AS3756,AS3757,AS3758)</f>
        <v>#NUM!</v>
      </c>
      <c r="AT3759" s="44"/>
      <c r="AU3759" s="72"/>
    </row>
    <row r="3760" spans="15:47" ht="13" x14ac:dyDescent="0.3">
      <c r="O3760" s="7" t="s">
        <v>264</v>
      </c>
      <c r="Q3760" s="61"/>
      <c r="R3760" s="53"/>
      <c r="S3760" s="69">
        <f>IFERROR(ABS(C_h-R3759),Q_max*10)</f>
        <v>159.69810728752063</v>
      </c>
      <c r="T3760" s="76">
        <f>R3751</f>
        <v>645.57698983079899</v>
      </c>
      <c r="U3760" s="61"/>
      <c r="V3760" s="69">
        <f>IFERROR(ABS(U$23-U3759),Q_max*10)</f>
        <v>343.88481943078614</v>
      </c>
      <c r="W3760" s="75">
        <f>U3751</f>
        <v>816.10350425422212</v>
      </c>
      <c r="X3760" s="61"/>
      <c r="Y3760" s="69">
        <f>IFERROR(ABS(X$23-X3759),Q_max*10)</f>
        <v>5500</v>
      </c>
      <c r="Z3760" s="75">
        <f>X3751</f>
        <v>1958.9625589765844</v>
      </c>
      <c r="AA3760" s="61"/>
      <c r="AB3760" s="69">
        <f>IFERROR(ABS(AA$23-AA3759),Q_max*10)</f>
        <v>5500</v>
      </c>
      <c r="AC3760" s="75">
        <f>AA3751</f>
        <v>3740.3774616981586</v>
      </c>
      <c r="AD3760" s="61"/>
      <c r="AE3760" s="69">
        <f>IFERROR(ABS(AD$23-AD3759),Q_max*10)</f>
        <v>5500</v>
      </c>
      <c r="AF3760" s="75">
        <f>AD3751</f>
        <v>6151.5437992164379</v>
      </c>
      <c r="AG3760" s="61"/>
      <c r="AH3760" s="69">
        <f>IFERROR(ABS(AG$23-AG3759),Q_max*10)</f>
        <v>5500</v>
      </c>
      <c r="AI3760" s="75">
        <f>AG3751</f>
        <v>9158.8104682328612</v>
      </c>
      <c r="AJ3760" s="61"/>
      <c r="AK3760" s="69">
        <f>IFERROR(ABS(AJ$23-AJ3759),Q_max*10)</f>
        <v>5500</v>
      </c>
      <c r="AL3760" s="75">
        <f>AJ3751</f>
        <v>12222.468074601313</v>
      </c>
      <c r="AM3760" s="61"/>
      <c r="AN3760" s="69">
        <f>IFERROR(ABS(AM$23-AM3759),Q_max*10)</f>
        <v>5500</v>
      </c>
      <c r="AO3760" s="75">
        <f>AM3751</f>
        <v>14913.733808210529</v>
      </c>
      <c r="AP3760" s="61"/>
      <c r="AQ3760" s="69">
        <f>IFERROR(ABS(AP$23-AP3759),Q_max*10)</f>
        <v>5500</v>
      </c>
      <c r="AR3760" s="75">
        <f>AP3751</f>
        <v>17314.38195998441</v>
      </c>
      <c r="AS3760" s="61"/>
      <c r="AT3760" s="69">
        <f>IFERROR(ABS(AS$23-AS3759),Q_max*10)</f>
        <v>5500</v>
      </c>
      <c r="AU3760" s="75">
        <f>AS3751</f>
        <v>19705.381763513633</v>
      </c>
    </row>
    <row r="3761" spans="15:47" ht="14.5" x14ac:dyDescent="0.35">
      <c r="O3761" s="6"/>
      <c r="P3761" s="6"/>
      <c r="Q3761" s="60"/>
      <c r="R3761" s="67"/>
      <c r="S3761" s="66"/>
      <c r="T3761" s="74"/>
      <c r="V3761" s="11"/>
      <c r="W3761" s="38"/>
      <c r="Y3761" s="11"/>
      <c r="Z3761" s="38"/>
      <c r="AB3761" s="11"/>
      <c r="AC3761" s="38"/>
      <c r="AE3761" s="11"/>
      <c r="AF3761" s="38"/>
      <c r="AH3761" s="11"/>
      <c r="AI3761" s="38"/>
      <c r="AK3761" s="11"/>
      <c r="AL3761" s="38"/>
      <c r="AN3761" s="11"/>
      <c r="AO3761" s="38"/>
      <c r="AQ3761" s="11"/>
      <c r="AR3761" s="38"/>
      <c r="AT3761" s="11"/>
      <c r="AU3761" s="38"/>
    </row>
    <row r="3762" spans="15:47" ht="14" x14ac:dyDescent="0.3">
      <c r="O3762" s="8" t="s">
        <v>235</v>
      </c>
      <c r="P3762" s="6"/>
      <c r="Q3762" s="60"/>
      <c r="R3762" s="53">
        <f>R3751*1.02</f>
        <v>658.48852962741501</v>
      </c>
      <c r="S3762" s="58" t="s">
        <v>238</v>
      </c>
      <c r="T3762" s="73" t="s">
        <v>241</v>
      </c>
      <c r="U3762" s="84">
        <f>U3751*1.01</f>
        <v>824.26453929676438</v>
      </c>
      <c r="V3762" s="58" t="s">
        <v>238</v>
      </c>
      <c r="W3762" s="73" t="s">
        <v>241</v>
      </c>
      <c r="X3762" s="84">
        <f>X3751*1.01</f>
        <v>1978.5521845663502</v>
      </c>
      <c r="Y3762" s="58" t="s">
        <v>238</v>
      </c>
      <c r="Z3762" s="73" t="s">
        <v>241</v>
      </c>
      <c r="AA3762" s="84">
        <f>AA3751*1.01</f>
        <v>3777.7812363151402</v>
      </c>
      <c r="AB3762" s="58" t="s">
        <v>238</v>
      </c>
      <c r="AC3762" s="73" t="s">
        <v>241</v>
      </c>
      <c r="AD3762" s="84">
        <f>AD3751*1.01</f>
        <v>6213.0592372086021</v>
      </c>
      <c r="AE3762" s="58" t="s">
        <v>238</v>
      </c>
      <c r="AF3762" s="73" t="s">
        <v>241</v>
      </c>
      <c r="AG3762" s="84">
        <f>AG3751*1.01</f>
        <v>9250.39857291519</v>
      </c>
      <c r="AH3762" s="58" t="s">
        <v>238</v>
      </c>
      <c r="AI3762" s="73" t="s">
        <v>241</v>
      </c>
      <c r="AJ3762" s="84">
        <f>AJ3751*1.01</f>
        <v>12344.692755347325</v>
      </c>
      <c r="AK3762" s="58" t="s">
        <v>238</v>
      </c>
      <c r="AL3762" s="73" t="s">
        <v>241</v>
      </c>
      <c r="AM3762" s="84">
        <f>AM3751*1.01</f>
        <v>15062.871146292635</v>
      </c>
      <c r="AN3762" s="58" t="s">
        <v>238</v>
      </c>
      <c r="AO3762" s="73" t="s">
        <v>241</v>
      </c>
      <c r="AP3762" s="84">
        <f>AP3751*1.01</f>
        <v>17487.525779584255</v>
      </c>
      <c r="AQ3762" s="58" t="s">
        <v>238</v>
      </c>
      <c r="AR3762" s="73" t="s">
        <v>241</v>
      </c>
      <c r="AS3762" s="84">
        <f>AS3751*1.01</f>
        <v>19902.435581148769</v>
      </c>
      <c r="AT3762" s="58" t="s">
        <v>238</v>
      </c>
      <c r="AU3762" s="73" t="s">
        <v>241</v>
      </c>
    </row>
    <row r="3763" spans="15:47" ht="13" x14ac:dyDescent="0.25">
      <c r="O3763" s="6"/>
      <c r="P3763" s="6"/>
      <c r="Q3763" s="60"/>
      <c r="R3763" s="70"/>
      <c r="S3763" s="63" t="s">
        <v>250</v>
      </c>
      <c r="T3763" s="71" t="s">
        <v>242</v>
      </c>
      <c r="U3763" s="61"/>
      <c r="V3763" s="63" t="s">
        <v>250</v>
      </c>
      <c r="W3763" s="71" t="s">
        <v>242</v>
      </c>
      <c r="X3763" s="61"/>
      <c r="Y3763" s="63" t="s">
        <v>250</v>
      </c>
      <c r="Z3763" s="71" t="s">
        <v>242</v>
      </c>
      <c r="AA3763" s="61"/>
      <c r="AB3763" s="63" t="s">
        <v>250</v>
      </c>
      <c r="AC3763" s="71" t="s">
        <v>242</v>
      </c>
      <c r="AD3763" s="61"/>
      <c r="AE3763" s="63" t="s">
        <v>250</v>
      </c>
      <c r="AF3763" s="71" t="s">
        <v>242</v>
      </c>
      <c r="AG3763" s="61"/>
      <c r="AH3763" s="63" t="s">
        <v>250</v>
      </c>
      <c r="AI3763" s="71" t="s">
        <v>242</v>
      </c>
      <c r="AJ3763" s="61"/>
      <c r="AK3763" s="63" t="s">
        <v>250</v>
      </c>
      <c r="AL3763" s="71" t="s">
        <v>242</v>
      </c>
      <c r="AM3763" s="61"/>
      <c r="AN3763" s="63" t="s">
        <v>250</v>
      </c>
      <c r="AO3763" s="71" t="s">
        <v>242</v>
      </c>
      <c r="AP3763" s="61"/>
      <c r="AQ3763" s="63" t="s">
        <v>250</v>
      </c>
      <c r="AR3763" s="71" t="s">
        <v>242</v>
      </c>
      <c r="AS3763" s="61"/>
      <c r="AT3763" s="63" t="s">
        <v>250</v>
      </c>
      <c r="AU3763" s="71" t="s">
        <v>242</v>
      </c>
    </row>
    <row r="3764" spans="15:47" ht="13" x14ac:dyDescent="0.3">
      <c r="O3764" s="6" t="s">
        <v>231</v>
      </c>
      <c r="P3764" s="6"/>
      <c r="Q3764" s="60"/>
      <c r="R3764" s="85">
        <f>P_1_minQ-(R3762^2*R_up)+dpup_minQ</f>
        <v>42.272200484604021</v>
      </c>
      <c r="S3764" s="56"/>
      <c r="T3764" s="72"/>
      <c r="U3764" s="53">
        <f>P_1_minQ-(U3762^2*R_up)+dpup_minQ</f>
        <v>33.970785858084859</v>
      </c>
      <c r="V3764" s="44"/>
      <c r="W3764" s="72"/>
      <c r="X3764" s="53">
        <f>P_1_minQ-(X3762^2*R_up)+dpup_minQ</f>
        <v>-75.291514591431167</v>
      </c>
      <c r="Y3764" s="44"/>
      <c r="Z3764" s="72"/>
      <c r="AA3764" s="53">
        <f>P_1_minQ-(AA3762^2*R_up)+dpup_minQ</f>
        <v>-425.07072169722221</v>
      </c>
      <c r="AB3764" s="44"/>
      <c r="AC3764" s="72"/>
      <c r="AD3764" s="53">
        <f>P_1_minQ-(AD3762^2*R_up)+dpup_minQ</f>
        <v>-1246.76859456478</v>
      </c>
      <c r="AE3764" s="44"/>
      <c r="AF3764" s="72"/>
      <c r="AG3764" s="53">
        <f>P_1_minQ-(AG3762^2*R_up)+dpup_minQ</f>
        <v>-2832.9816534208508</v>
      </c>
      <c r="AH3764" s="44"/>
      <c r="AI3764" s="72"/>
      <c r="AJ3764" s="53">
        <f>P_1_minQ-(AJ3762^2*R_up)+dpup_minQ</f>
        <v>-5089.7045668329874</v>
      </c>
      <c r="AK3764" s="44"/>
      <c r="AL3764" s="72"/>
      <c r="AM3764" s="53">
        <f>P_1_minQ-(AM3762^2*R_up)+dpup_minQ</f>
        <v>-7605.7007824996699</v>
      </c>
      <c r="AN3764" s="44"/>
      <c r="AO3764" s="72"/>
      <c r="AP3764" s="53">
        <f>P_1_minQ-(AP3762^2*R_up)+dpup_minQ</f>
        <v>-10271.13376871408</v>
      </c>
      <c r="AQ3764" s="44"/>
      <c r="AR3764" s="72"/>
      <c r="AS3764" s="53">
        <f>P_1_minQ-(AS3762^2*R_up)+dpup_minQ</f>
        <v>-13320.55572650377</v>
      </c>
      <c r="AT3764" s="44"/>
      <c r="AU3764" s="72"/>
    </row>
    <row r="3765" spans="15:47" ht="13" x14ac:dyDescent="0.3">
      <c r="O3765" s="6" t="s">
        <v>233</v>
      </c>
      <c r="P3765" s="6"/>
      <c r="Q3765" s="60"/>
      <c r="R3765" s="85">
        <f>P_2_minQ+(R3762^2*R_dn)-dpdn_minQ</f>
        <v>27.585559903079197</v>
      </c>
      <c r="S3765" s="66"/>
      <c r="T3765" s="74"/>
      <c r="U3765" s="53">
        <f>P_2_minQ+(U3762^2*R_dn)-dpdn_minQ</f>
        <v>29.245842828383029</v>
      </c>
      <c r="V3765" s="45"/>
      <c r="W3765" s="74"/>
      <c r="X3765" s="53">
        <f>P_2_minQ+(X3762^2*R_dn)-dpdn_minQ</f>
        <v>51.098302918286237</v>
      </c>
      <c r="Y3765" s="45"/>
      <c r="Z3765" s="74"/>
      <c r="AA3765" s="53">
        <f>P_2_minQ+(AA3762^2*R_dn)-dpdn_minQ</f>
        <v>121.05414433944443</v>
      </c>
      <c r="AB3765" s="45"/>
      <c r="AC3765" s="74"/>
      <c r="AD3765" s="53">
        <f>P_2_minQ+(AD3762^2*R_dn)-dpdn_minQ</f>
        <v>285.39371891295599</v>
      </c>
      <c r="AE3765" s="45"/>
      <c r="AF3765" s="74"/>
      <c r="AG3765" s="53">
        <f>P_2_minQ+(AG3762^2*R_dn)-dpdn_minQ</f>
        <v>602.63633068417016</v>
      </c>
      <c r="AH3765" s="45"/>
      <c r="AI3765" s="74"/>
      <c r="AJ3765" s="53">
        <f>P_2_minQ+(AJ3762^2*R_dn)-dpdn_minQ</f>
        <v>1053.9809133665974</v>
      </c>
      <c r="AK3765" s="45"/>
      <c r="AL3765" s="74"/>
      <c r="AM3765" s="53">
        <f>P_2_minQ+(AM3762^2*R_dn)-dpdn_minQ</f>
        <v>1557.1801564999337</v>
      </c>
      <c r="AN3765" s="45"/>
      <c r="AO3765" s="74"/>
      <c r="AP3765" s="53">
        <f>P_2_minQ+(AP3762^2*R_dn)-dpdn_minQ</f>
        <v>2090.266753742816</v>
      </c>
      <c r="AQ3765" s="45"/>
      <c r="AR3765" s="74"/>
      <c r="AS3765" s="53">
        <f>P_2_minQ+(AS3762^2*R_dn)-dpdn_minQ</f>
        <v>2700.1511453007533</v>
      </c>
      <c r="AT3765" s="45"/>
      <c r="AU3765" s="74"/>
    </row>
    <row r="3766" spans="15:47" x14ac:dyDescent="0.25">
      <c r="O3766" s="6" t="s">
        <v>243</v>
      </c>
      <c r="Q3766" s="60"/>
      <c r="R3766" s="53">
        <f>R3764-R3765</f>
        <v>14.686640581524824</v>
      </c>
      <c r="S3766" s="56"/>
      <c r="T3766" s="72"/>
      <c r="U3766" s="64">
        <f>U3764-U3765</f>
        <v>4.72494302970183</v>
      </c>
      <c r="V3766" s="44"/>
      <c r="W3766" s="72"/>
      <c r="X3766" s="64">
        <f>X3764-X3765</f>
        <v>-126.3898175097174</v>
      </c>
      <c r="Y3766" s="44"/>
      <c r="Z3766" s="72"/>
      <c r="AA3766" s="64">
        <f>AA3764-AA3765</f>
        <v>-546.12486603666662</v>
      </c>
      <c r="AB3766" s="44"/>
      <c r="AC3766" s="72"/>
      <c r="AD3766" s="64">
        <f>AD3764-AD3765</f>
        <v>-1532.162313477736</v>
      </c>
      <c r="AE3766" s="44"/>
      <c r="AF3766" s="72"/>
      <c r="AG3766" s="64">
        <f>AG3764-AG3765</f>
        <v>-3435.6179841050207</v>
      </c>
      <c r="AH3766" s="44"/>
      <c r="AI3766" s="72"/>
      <c r="AJ3766" s="64">
        <f>AJ3764-AJ3765</f>
        <v>-6143.6854801995851</v>
      </c>
      <c r="AK3766" s="44"/>
      <c r="AL3766" s="72"/>
      <c r="AM3766" s="64">
        <f>AM3764-AM3765</f>
        <v>-9162.880938999604</v>
      </c>
      <c r="AN3766" s="44"/>
      <c r="AO3766" s="72"/>
      <c r="AP3766" s="64">
        <f>AP3764-AP3765</f>
        <v>-12361.400522456897</v>
      </c>
      <c r="AQ3766" s="44"/>
      <c r="AR3766" s="72"/>
      <c r="AS3766" s="64">
        <f>AS3764-AS3765</f>
        <v>-16020.706871804523</v>
      </c>
      <c r="AT3766" s="44"/>
      <c r="AU3766" s="72"/>
    </row>
    <row r="3767" spans="15:47" ht="13" x14ac:dyDescent="0.3">
      <c r="O3767" s="6" t="s">
        <v>75</v>
      </c>
      <c r="P3767" s="6">
        <v>3</v>
      </c>
      <c r="Q3767" s="65"/>
      <c r="R3767" s="85">
        <f>(F_LP_h/F_P_h)^2*(R3764-('Valve Sizing'!$V$4*'Valve Sizing'!$G$7))</f>
        <v>34.639210017964857</v>
      </c>
      <c r="S3767" s="58"/>
      <c r="T3767" s="73"/>
      <c r="U3767" s="53">
        <f>(U$29/U$27)^2*(U3764-('Valve Sizing'!$V$4*'Valve Sizing'!$G$7))</f>
        <v>27.75763531914841</v>
      </c>
      <c r="V3767" s="41"/>
      <c r="W3767" s="73"/>
      <c r="X3767" s="53">
        <f>(X$29/X$27)^2*(X3764-('Valve Sizing'!$V$4*'Valve Sizing'!$G$7))</f>
        <v>-61.278471669115341</v>
      </c>
      <c r="Y3767" s="41"/>
      <c r="Z3767" s="73"/>
      <c r="AA3767" s="53">
        <f>(AA$29/AA$27)^2*(AA3764-('Valve Sizing'!$V$4*'Valve Sizing'!$G$7))</f>
        <v>-328.83354795007978</v>
      </c>
      <c r="AB3767" s="41"/>
      <c r="AC3767" s="73"/>
      <c r="AD3767" s="53">
        <f>(AD$29/AD$27)^2*(AD3764-('Valve Sizing'!$V$4*'Valve Sizing'!$G$7))</f>
        <v>-899.47117411153795</v>
      </c>
      <c r="AE3767" s="41"/>
      <c r="AF3767" s="73"/>
      <c r="AG3767" s="53">
        <f>(AG$29/AG$27)^2*(AG3764-('Valve Sizing'!$V$4*'Valve Sizing'!$G$7))</f>
        <v>-1824.8481141782629</v>
      </c>
      <c r="AH3767" s="41"/>
      <c r="AI3767" s="73"/>
      <c r="AJ3767" s="53">
        <f>(AJ$29/AJ$27)^2*(AJ3764-('Valve Sizing'!$V$4*'Valve Sizing'!$G$7))</f>
        <v>-2943.9581124643964</v>
      </c>
      <c r="AK3767" s="41"/>
      <c r="AL3767" s="73"/>
      <c r="AM3767" s="53">
        <f>(AM$29/AM$27)^2*(AM3764-('Valve Sizing'!$V$4*'Valve Sizing'!$G$7))</f>
        <v>-3639.3265557083637</v>
      </c>
      <c r="AN3767" s="41"/>
      <c r="AO3767" s="73"/>
      <c r="AP3767" s="53">
        <f>(AP$29/AP$27)^2*(AP3764-('Valve Sizing'!$V$4*'Valve Sizing'!$G$7))</f>
        <v>-4053.4385910831156</v>
      </c>
      <c r="AQ3767" s="41"/>
      <c r="AR3767" s="73"/>
      <c r="AS3767" s="53">
        <f>(AS$29/AS$27)^2*(AS3764-('Valve Sizing'!$V$4*'Valve Sizing'!$G$7))</f>
        <v>-5010.5699325123614</v>
      </c>
      <c r="AT3767" s="41"/>
      <c r="AU3767" s="73"/>
    </row>
    <row r="3768" spans="15:47" ht="13" x14ac:dyDescent="0.25">
      <c r="O3768" s="1" t="s">
        <v>69</v>
      </c>
      <c r="P3768" s="17">
        <v>7</v>
      </c>
      <c r="Q3768" s="65"/>
      <c r="R3768" s="53">
        <f>(R3762/(N_1*F_P_h))*SQRT('Valve Sizing'!$G$6/R3766)</f>
        <v>171.85038504685585</v>
      </c>
      <c r="S3768" s="58"/>
      <c r="T3768" s="73"/>
      <c r="U3768" s="64">
        <f>(U3762/(N_1*U$27))*SQRT('Valve Sizing'!$G$6/U3766)</f>
        <v>379.5194156564653</v>
      </c>
      <c r="V3768" s="41"/>
      <c r="W3768" s="73"/>
      <c r="X3768" s="64" t="e">
        <f>(X3762/(N_1*X$27))*SQRT('Valve Sizing'!$G$6/X3766)</f>
        <v>#NUM!</v>
      </c>
      <c r="Y3768" s="41"/>
      <c r="Z3768" s="73"/>
      <c r="AA3768" s="64" t="e">
        <f>(AA3762/(N_1*AA$27))*SQRT('Valve Sizing'!$G$6/AA3766)</f>
        <v>#NUM!</v>
      </c>
      <c r="AB3768" s="41"/>
      <c r="AC3768" s="73"/>
      <c r="AD3768" s="64" t="e">
        <f>(AD3762/(N_1*AD$27))*SQRT('Valve Sizing'!$G$6/AD3766)</f>
        <v>#NUM!</v>
      </c>
      <c r="AE3768" s="41"/>
      <c r="AF3768" s="73"/>
      <c r="AG3768" s="64" t="e">
        <f>(AG3762/(N_1*AG$27))*SQRT('Valve Sizing'!$G$6/AG3766)</f>
        <v>#NUM!</v>
      </c>
      <c r="AH3768" s="41"/>
      <c r="AI3768" s="73"/>
      <c r="AJ3768" s="64" t="e">
        <f>(AJ3762/(N_1*AJ$27))*SQRT('Valve Sizing'!$G$6/AJ3766)</f>
        <v>#NUM!</v>
      </c>
      <c r="AK3768" s="41"/>
      <c r="AL3768" s="73"/>
      <c r="AM3768" s="64" t="e">
        <f>(AM3762/(N_1*AM$27))*SQRT('Valve Sizing'!$G$6/AM3766)</f>
        <v>#NUM!</v>
      </c>
      <c r="AN3768" s="41"/>
      <c r="AO3768" s="73"/>
      <c r="AP3768" s="64" t="e">
        <f>(AP3762/(N_1*AP$27))*SQRT('Valve Sizing'!$G$6/AP3766)</f>
        <v>#NUM!</v>
      </c>
      <c r="AQ3768" s="41"/>
      <c r="AR3768" s="73"/>
      <c r="AS3768" s="64" t="e">
        <f>(AS3762/(N_1*AS$27))*SQRT('Valve Sizing'!$G$6/AS3766)</f>
        <v>#NUM!</v>
      </c>
      <c r="AT3768" s="41"/>
      <c r="AU3768" s="73"/>
    </row>
    <row r="3769" spans="15:47" ht="13" x14ac:dyDescent="0.3">
      <c r="O3769" s="1" t="s">
        <v>72</v>
      </c>
      <c r="P3769" s="17">
        <v>7</v>
      </c>
      <c r="Q3769" s="65"/>
      <c r="R3769" s="53">
        <f>(R3762/(N_1*F_P_h))*SQRT('Valve Sizing'!$G$6/R3767)</f>
        <v>111.8993988632804</v>
      </c>
      <c r="S3769" s="56"/>
      <c r="T3769" s="72"/>
      <c r="U3769" s="85">
        <f>(U3762/(N_1*U$27))*SQRT('Valve Sizing'!$G$6/U3767)</f>
        <v>156.58171808967631</v>
      </c>
      <c r="V3769" s="44"/>
      <c r="W3769" s="72"/>
      <c r="X3769" s="85" t="e">
        <f>(X3762/(N_1*X$27))*SQRT('Valve Sizing'!$G$6/X3767)</f>
        <v>#NUM!</v>
      </c>
      <c r="Y3769" s="44"/>
      <c r="Z3769" s="72"/>
      <c r="AA3769" s="85" t="e">
        <f>(AA3762/(N_1*AA$27))*SQRT('Valve Sizing'!$G$6/AA3767)</f>
        <v>#NUM!</v>
      </c>
      <c r="AB3769" s="44"/>
      <c r="AC3769" s="72"/>
      <c r="AD3769" s="85" t="e">
        <f>(AD3762/(N_1*AD$27))*SQRT('Valve Sizing'!$G$6/AD3767)</f>
        <v>#NUM!</v>
      </c>
      <c r="AE3769" s="44"/>
      <c r="AF3769" s="72"/>
      <c r="AG3769" s="85" t="e">
        <f>(AG3762/(N_1*AG$27))*SQRT('Valve Sizing'!$G$6/AG3767)</f>
        <v>#NUM!</v>
      </c>
      <c r="AH3769" s="44"/>
      <c r="AI3769" s="72"/>
      <c r="AJ3769" s="85" t="e">
        <f>(AJ3762/(N_1*AJ$27))*SQRT('Valve Sizing'!$G$6/AJ3767)</f>
        <v>#NUM!</v>
      </c>
      <c r="AK3769" s="44"/>
      <c r="AL3769" s="72"/>
      <c r="AM3769" s="85" t="e">
        <f>(AM3762/(N_1*AM$27))*SQRT('Valve Sizing'!$G$6/AM3767)</f>
        <v>#NUM!</v>
      </c>
      <c r="AN3769" s="44"/>
      <c r="AO3769" s="72"/>
      <c r="AP3769" s="85" t="e">
        <f>(AP3762/(N_1*AP$27))*SQRT('Valve Sizing'!$G$6/AP3767)</f>
        <v>#NUM!</v>
      </c>
      <c r="AQ3769" s="44"/>
      <c r="AR3769" s="72"/>
      <c r="AS3769" s="85" t="e">
        <f>(AS3762/(N_1*AS$27))*SQRT('Valve Sizing'!$G$6/AS3767)</f>
        <v>#NUM!</v>
      </c>
      <c r="AT3769" s="44"/>
      <c r="AU3769" s="72"/>
    </row>
    <row r="3770" spans="15:47" x14ac:dyDescent="0.25">
      <c r="O3770" s="1" t="s">
        <v>246</v>
      </c>
      <c r="P3770" s="18"/>
      <c r="Q3770" s="65"/>
      <c r="R3770" s="53">
        <f>IF(R3766&lt;R3767,R3768,R3769)</f>
        <v>171.85038504685585</v>
      </c>
      <c r="S3770" s="49"/>
      <c r="T3770" s="72"/>
      <c r="U3770" s="64">
        <f>IF(U3766&lt;U3767,U3768,U3769)</f>
        <v>379.5194156564653</v>
      </c>
      <c r="V3770" s="44"/>
      <c r="W3770" s="72"/>
      <c r="X3770" s="64" t="e">
        <f>IF(X3766&lt;X3767,X3768,X3769)</f>
        <v>#NUM!</v>
      </c>
      <c r="Y3770" s="44"/>
      <c r="Z3770" s="72"/>
      <c r="AA3770" s="64" t="e">
        <f>IF(AA3766&lt;AA3767,AA3768,AA3769)</f>
        <v>#NUM!</v>
      </c>
      <c r="AB3770" s="44"/>
      <c r="AC3770" s="72"/>
      <c r="AD3770" s="64" t="e">
        <f>IF(AD3766&lt;AD3767,AD3768,AD3769)</f>
        <v>#NUM!</v>
      </c>
      <c r="AE3770" s="44"/>
      <c r="AF3770" s="72"/>
      <c r="AG3770" s="64" t="e">
        <f>IF(AG3766&lt;AG3767,AG3768,AG3769)</f>
        <v>#NUM!</v>
      </c>
      <c r="AH3770" s="44"/>
      <c r="AI3770" s="72"/>
      <c r="AJ3770" s="64" t="e">
        <f>IF(AJ3766&lt;AJ3767,AJ3768,AJ3769)</f>
        <v>#NUM!</v>
      </c>
      <c r="AK3770" s="44"/>
      <c r="AL3770" s="72"/>
      <c r="AM3770" s="64" t="e">
        <f>IF(AM3766&lt;AM3767,AM3768,AM3769)</f>
        <v>#NUM!</v>
      </c>
      <c r="AN3770" s="44"/>
      <c r="AO3770" s="72"/>
      <c r="AP3770" s="64" t="e">
        <f>IF(AP3766&lt;AP3767,AP3768,AP3769)</f>
        <v>#NUM!</v>
      </c>
      <c r="AQ3770" s="44"/>
      <c r="AR3770" s="72"/>
      <c r="AS3770" s="64" t="e">
        <f>IF(AS3766&lt;AS3767,AS3768,AS3769)</f>
        <v>#NUM!</v>
      </c>
      <c r="AT3770" s="44"/>
      <c r="AU3770" s="72"/>
    </row>
    <row r="3771" spans="15:47" ht="13" x14ac:dyDescent="0.3">
      <c r="O3771" s="7" t="s">
        <v>264</v>
      </c>
      <c r="Q3771" s="61"/>
      <c r="R3771" s="53"/>
      <c r="S3771" s="69">
        <f>IFERROR(ABS(C_h-R3770),Q_max*10)</f>
        <v>166.85038504685585</v>
      </c>
      <c r="T3771" s="76">
        <f>R3762</f>
        <v>658.48852962741501</v>
      </c>
      <c r="U3771" s="61"/>
      <c r="V3771" s="69">
        <f>IFERROR(ABS(U$23-U3770),Q_max*10)</f>
        <v>367.5194156564653</v>
      </c>
      <c r="W3771" s="75">
        <f>U3762</f>
        <v>824.26453929676438</v>
      </c>
      <c r="X3771" s="61"/>
      <c r="Y3771" s="69">
        <f>IFERROR(ABS(X$23-X3770),Q_max*10)</f>
        <v>5500</v>
      </c>
      <c r="Z3771" s="75">
        <f>X3762</f>
        <v>1978.5521845663502</v>
      </c>
      <c r="AA3771" s="61"/>
      <c r="AB3771" s="69">
        <f>IFERROR(ABS(AA$23-AA3770),Q_max*10)</f>
        <v>5500</v>
      </c>
      <c r="AC3771" s="75">
        <f>AA3762</f>
        <v>3777.7812363151402</v>
      </c>
      <c r="AD3771" s="61"/>
      <c r="AE3771" s="69">
        <f>IFERROR(ABS(AD$23-AD3770),Q_max*10)</f>
        <v>5500</v>
      </c>
      <c r="AF3771" s="75">
        <f>AD3762</f>
        <v>6213.0592372086021</v>
      </c>
      <c r="AG3771" s="61"/>
      <c r="AH3771" s="69">
        <f>IFERROR(ABS(AG$23-AG3770),Q_max*10)</f>
        <v>5500</v>
      </c>
      <c r="AI3771" s="75">
        <f>AG3762</f>
        <v>9250.39857291519</v>
      </c>
      <c r="AJ3771" s="61"/>
      <c r="AK3771" s="69">
        <f>IFERROR(ABS(AJ$23-AJ3770),Q_max*10)</f>
        <v>5500</v>
      </c>
      <c r="AL3771" s="75">
        <f>AJ3762</f>
        <v>12344.692755347325</v>
      </c>
      <c r="AM3771" s="61"/>
      <c r="AN3771" s="69">
        <f>IFERROR(ABS(AM$23-AM3770),Q_max*10)</f>
        <v>5500</v>
      </c>
      <c r="AO3771" s="75">
        <f>AM3762</f>
        <v>15062.871146292635</v>
      </c>
      <c r="AP3771" s="61"/>
      <c r="AQ3771" s="69">
        <f>IFERROR(ABS(AP$23-AP3770),Q_max*10)</f>
        <v>5500</v>
      </c>
      <c r="AR3771" s="75">
        <f>AP3762</f>
        <v>17487.525779584255</v>
      </c>
      <c r="AS3771" s="61"/>
      <c r="AT3771" s="69">
        <f>IFERROR(ABS(AS$23-AS3770),Q_max*10)</f>
        <v>5500</v>
      </c>
      <c r="AU3771" s="75">
        <f>AS3762</f>
        <v>19902.435581148769</v>
      </c>
    </row>
    <row r="3772" spans="15:47" ht="14.5" x14ac:dyDescent="0.35">
      <c r="O3772" s="6"/>
      <c r="P3772" s="6"/>
      <c r="Q3772" s="60"/>
      <c r="R3772" s="67"/>
      <c r="S3772" s="56"/>
      <c r="T3772" s="72"/>
      <c r="V3772" s="11"/>
      <c r="W3772" s="38"/>
      <c r="Y3772" s="11"/>
      <c r="Z3772" s="38"/>
      <c r="AB3772" s="11"/>
      <c r="AC3772" s="38"/>
      <c r="AE3772" s="11"/>
      <c r="AF3772" s="38"/>
      <c r="AH3772" s="11"/>
      <c r="AI3772" s="38"/>
      <c r="AK3772" s="11"/>
      <c r="AL3772" s="38"/>
      <c r="AN3772" s="11"/>
      <c r="AO3772" s="38"/>
      <c r="AQ3772" s="11"/>
      <c r="AR3772" s="38"/>
      <c r="AT3772" s="11"/>
      <c r="AU3772" s="38"/>
    </row>
    <row r="3773" spans="15:47" ht="14" x14ac:dyDescent="0.3">
      <c r="O3773" s="8" t="s">
        <v>235</v>
      </c>
      <c r="P3773" s="6"/>
      <c r="Q3773" s="60"/>
      <c r="R3773" s="53">
        <f>R3762*1.02</f>
        <v>671.65830021996328</v>
      </c>
      <c r="S3773" s="58" t="s">
        <v>238</v>
      </c>
      <c r="T3773" s="73" t="s">
        <v>241</v>
      </c>
      <c r="U3773" s="84">
        <f>U3762*1.01</f>
        <v>832.50718468973207</v>
      </c>
      <c r="V3773" s="58" t="s">
        <v>238</v>
      </c>
      <c r="W3773" s="73" t="s">
        <v>241</v>
      </c>
      <c r="X3773" s="84">
        <f>X3762*1.01</f>
        <v>1998.3377064120136</v>
      </c>
      <c r="Y3773" s="58" t="s">
        <v>238</v>
      </c>
      <c r="Z3773" s="73" t="s">
        <v>241</v>
      </c>
      <c r="AA3773" s="84">
        <f>AA3762*1.01</f>
        <v>3815.5590486782917</v>
      </c>
      <c r="AB3773" s="58" t="s">
        <v>238</v>
      </c>
      <c r="AC3773" s="73" t="s">
        <v>241</v>
      </c>
      <c r="AD3773" s="84">
        <f>AD3762*1.01</f>
        <v>6275.1898295806877</v>
      </c>
      <c r="AE3773" s="58" t="s">
        <v>238</v>
      </c>
      <c r="AF3773" s="73" t="s">
        <v>241</v>
      </c>
      <c r="AG3773" s="84">
        <f>AG3762*1.01</f>
        <v>9342.9025586443422</v>
      </c>
      <c r="AH3773" s="58" t="s">
        <v>238</v>
      </c>
      <c r="AI3773" s="73" t="s">
        <v>241</v>
      </c>
      <c r="AJ3773" s="84">
        <f>AJ3762*1.01</f>
        <v>12468.139682900799</v>
      </c>
      <c r="AK3773" s="58" t="s">
        <v>238</v>
      </c>
      <c r="AL3773" s="73" t="s">
        <v>241</v>
      </c>
      <c r="AM3773" s="84">
        <f>AM3762*1.01</f>
        <v>15213.499857755562</v>
      </c>
      <c r="AN3773" s="58" t="s">
        <v>238</v>
      </c>
      <c r="AO3773" s="73" t="s">
        <v>241</v>
      </c>
      <c r="AP3773" s="84">
        <f>AP3762*1.01</f>
        <v>17662.401037380099</v>
      </c>
      <c r="AQ3773" s="58" t="s">
        <v>238</v>
      </c>
      <c r="AR3773" s="73" t="s">
        <v>241</v>
      </c>
      <c r="AS3773" s="84">
        <f>AS3762*1.01</f>
        <v>20101.459936960258</v>
      </c>
      <c r="AT3773" s="58" t="s">
        <v>238</v>
      </c>
      <c r="AU3773" s="73" t="s">
        <v>241</v>
      </c>
    </row>
    <row r="3774" spans="15:47" ht="13" x14ac:dyDescent="0.25">
      <c r="O3774" s="6"/>
      <c r="P3774" s="6"/>
      <c r="Q3774" s="60"/>
      <c r="R3774" s="70"/>
      <c r="S3774" s="63" t="s">
        <v>250</v>
      </c>
      <c r="T3774" s="71" t="s">
        <v>242</v>
      </c>
      <c r="U3774" s="61"/>
      <c r="V3774" s="63" t="s">
        <v>250</v>
      </c>
      <c r="W3774" s="71" t="s">
        <v>242</v>
      </c>
      <c r="X3774" s="61"/>
      <c r="Y3774" s="63" t="s">
        <v>250</v>
      </c>
      <c r="Z3774" s="71" t="s">
        <v>242</v>
      </c>
      <c r="AA3774" s="61"/>
      <c r="AB3774" s="63" t="s">
        <v>250</v>
      </c>
      <c r="AC3774" s="71" t="s">
        <v>242</v>
      </c>
      <c r="AD3774" s="61"/>
      <c r="AE3774" s="63" t="s">
        <v>250</v>
      </c>
      <c r="AF3774" s="71" t="s">
        <v>242</v>
      </c>
      <c r="AG3774" s="61"/>
      <c r="AH3774" s="63" t="s">
        <v>250</v>
      </c>
      <c r="AI3774" s="71" t="s">
        <v>242</v>
      </c>
      <c r="AJ3774" s="61"/>
      <c r="AK3774" s="63" t="s">
        <v>250</v>
      </c>
      <c r="AL3774" s="71" t="s">
        <v>242</v>
      </c>
      <c r="AM3774" s="61"/>
      <c r="AN3774" s="63" t="s">
        <v>250</v>
      </c>
      <c r="AO3774" s="71" t="s">
        <v>242</v>
      </c>
      <c r="AP3774" s="61"/>
      <c r="AQ3774" s="63" t="s">
        <v>250</v>
      </c>
      <c r="AR3774" s="71" t="s">
        <v>242</v>
      </c>
      <c r="AS3774" s="61"/>
      <c r="AT3774" s="63" t="s">
        <v>250</v>
      </c>
      <c r="AU3774" s="71" t="s">
        <v>242</v>
      </c>
    </row>
    <row r="3775" spans="15:47" ht="13" x14ac:dyDescent="0.3">
      <c r="O3775" s="6" t="s">
        <v>231</v>
      </c>
      <c r="P3775" s="6"/>
      <c r="Q3775" s="60"/>
      <c r="R3775" s="85">
        <f>P_1_minQ-(R3773^2*R_up)+dpup_minQ</f>
        <v>41.680585199109409</v>
      </c>
      <c r="S3775" s="56"/>
      <c r="T3775" s="72"/>
      <c r="U3775" s="53">
        <f>P_1_minQ-(U3773^2*R_up)+dpup_minQ</f>
        <v>33.509584175615551</v>
      </c>
      <c r="V3775" s="44"/>
      <c r="W3775" s="72"/>
      <c r="X3775" s="53">
        <f>P_1_minQ-(X3773^2*R_up)+dpup_minQ</f>
        <v>-77.948888512935724</v>
      </c>
      <c r="Y3775" s="44"/>
      <c r="Z3775" s="72"/>
      <c r="AA3775" s="53">
        <f>P_1_minQ-(AA3773^2*R_up)+dpup_minQ</f>
        <v>-434.75865768155325</v>
      </c>
      <c r="AB3775" s="44"/>
      <c r="AC3775" s="72"/>
      <c r="AD3775" s="53">
        <f>P_1_minQ-(AD3773^2*R_up)+dpup_minQ</f>
        <v>-1272.9726577937488</v>
      </c>
      <c r="AE3775" s="44"/>
      <c r="AF3775" s="72"/>
      <c r="AG3775" s="53">
        <f>P_1_minQ-(AG3773^2*R_up)+dpup_minQ</f>
        <v>-2891.0685991328269</v>
      </c>
      <c r="AH3775" s="44"/>
      <c r="AI3775" s="72"/>
      <c r="AJ3775" s="53">
        <f>P_1_minQ-(AJ3773^2*R_up)+dpup_minQ</f>
        <v>-5193.1516431045475</v>
      </c>
      <c r="AK3775" s="44"/>
      <c r="AL3775" s="72"/>
      <c r="AM3775" s="53">
        <f>P_1_minQ-(AM3773^2*R_up)+dpup_minQ</f>
        <v>-7759.719382706131</v>
      </c>
      <c r="AN3775" s="44"/>
      <c r="AO3775" s="72"/>
      <c r="AP3775" s="53">
        <f>P_1_minQ-(AP3773^2*R_up)+dpup_minQ</f>
        <v>-10478.727571943453</v>
      </c>
      <c r="AQ3775" s="44"/>
      <c r="AR3775" s="72"/>
      <c r="AS3775" s="53">
        <f>P_1_minQ-(AS3773^2*R_up)+dpup_minQ</f>
        <v>-13589.442911084712</v>
      </c>
      <c r="AT3775" s="44"/>
      <c r="AU3775" s="72"/>
    </row>
    <row r="3776" spans="15:47" ht="13" x14ac:dyDescent="0.3">
      <c r="O3776" s="6" t="s">
        <v>233</v>
      </c>
      <c r="P3776" s="6"/>
      <c r="Q3776" s="60"/>
      <c r="R3776" s="85">
        <f>P_2_minQ+(R3773^2*R_dn)-dpdn_minQ</f>
        <v>27.70388296017812</v>
      </c>
      <c r="S3776" s="66"/>
      <c r="T3776" s="74"/>
      <c r="U3776" s="53">
        <f>P_2_minQ+(U3773^2*R_dn)-dpdn_minQ</f>
        <v>29.338083164876892</v>
      </c>
      <c r="V3776" s="45"/>
      <c r="W3776" s="74"/>
      <c r="X3776" s="53">
        <f>P_2_minQ+(X3773^2*R_dn)-dpdn_minQ</f>
        <v>51.629777702587148</v>
      </c>
      <c r="Y3776" s="45"/>
      <c r="Z3776" s="74"/>
      <c r="AA3776" s="53">
        <f>P_2_minQ+(AA3773^2*R_dn)-dpdn_minQ</f>
        <v>122.99173153631065</v>
      </c>
      <c r="AB3776" s="45"/>
      <c r="AC3776" s="74"/>
      <c r="AD3776" s="53">
        <f>P_2_minQ+(AD3773^2*R_dn)-dpdn_minQ</f>
        <v>290.6345315587497</v>
      </c>
      <c r="AE3776" s="45"/>
      <c r="AF3776" s="74"/>
      <c r="AG3776" s="53">
        <f>P_2_minQ+(AG3773^2*R_dn)-dpdn_minQ</f>
        <v>614.25371982656532</v>
      </c>
      <c r="AH3776" s="45"/>
      <c r="AI3776" s="74"/>
      <c r="AJ3776" s="53">
        <f>P_2_minQ+(AJ3773^2*R_dn)-dpdn_minQ</f>
        <v>1074.6703286209095</v>
      </c>
      <c r="AK3776" s="45"/>
      <c r="AL3776" s="74"/>
      <c r="AM3776" s="53">
        <f>P_2_minQ+(AM3773^2*R_dn)-dpdn_minQ</f>
        <v>1587.983876541226</v>
      </c>
      <c r="AN3776" s="45"/>
      <c r="AO3776" s="74"/>
      <c r="AP3776" s="53">
        <f>P_2_minQ+(AP3773^2*R_dn)-dpdn_minQ</f>
        <v>2131.78551438869</v>
      </c>
      <c r="AQ3776" s="45"/>
      <c r="AR3776" s="74"/>
      <c r="AS3776" s="53">
        <f>P_2_minQ+(AS3773^2*R_dn)-dpdn_minQ</f>
        <v>2753.9285822169422</v>
      </c>
      <c r="AT3776" s="45"/>
      <c r="AU3776" s="74"/>
    </row>
    <row r="3777" spans="15:47" x14ac:dyDescent="0.25">
      <c r="O3777" s="6" t="s">
        <v>243</v>
      </c>
      <c r="Q3777" s="60"/>
      <c r="R3777" s="53">
        <f>R3775-R3776</f>
        <v>13.976702238931288</v>
      </c>
      <c r="S3777" s="56"/>
      <c r="T3777" s="72"/>
      <c r="U3777" s="64">
        <f>U3775-U3776</f>
        <v>4.171501010738659</v>
      </c>
      <c r="V3777" s="44"/>
      <c r="W3777" s="72"/>
      <c r="X3777" s="64">
        <f>X3775-X3776</f>
        <v>-129.57866621552287</v>
      </c>
      <c r="Y3777" s="44"/>
      <c r="Z3777" s="72"/>
      <c r="AA3777" s="64">
        <f>AA3775-AA3776</f>
        <v>-557.75038921786393</v>
      </c>
      <c r="AB3777" s="44"/>
      <c r="AC3777" s="72"/>
      <c r="AD3777" s="64">
        <f>AD3775-AD3776</f>
        <v>-1563.6071893524986</v>
      </c>
      <c r="AE3777" s="44"/>
      <c r="AF3777" s="72"/>
      <c r="AG3777" s="64">
        <f>AG3775-AG3776</f>
        <v>-3505.3223189593923</v>
      </c>
      <c r="AH3777" s="44"/>
      <c r="AI3777" s="72"/>
      <c r="AJ3777" s="64">
        <f>AJ3775-AJ3776</f>
        <v>-6267.8219717254569</v>
      </c>
      <c r="AK3777" s="44"/>
      <c r="AL3777" s="72"/>
      <c r="AM3777" s="64">
        <f>AM3775-AM3776</f>
        <v>-9347.703259247357</v>
      </c>
      <c r="AN3777" s="44"/>
      <c r="AO3777" s="72"/>
      <c r="AP3777" s="64">
        <f>AP3775-AP3776</f>
        <v>-12610.513086332143</v>
      </c>
      <c r="AQ3777" s="44"/>
      <c r="AR3777" s="72"/>
      <c r="AS3777" s="64">
        <f>AS3775-AS3776</f>
        <v>-16343.371493301654</v>
      </c>
      <c r="AT3777" s="44"/>
      <c r="AU3777" s="72"/>
    </row>
    <row r="3778" spans="15:47" ht="13" x14ac:dyDescent="0.3">
      <c r="O3778" s="6" t="s">
        <v>75</v>
      </c>
      <c r="P3778" s="6">
        <v>3</v>
      </c>
      <c r="Q3778" s="65"/>
      <c r="R3778" s="85">
        <f>(F_LP_h/F_P_h)^2*(R3775-('Valve Sizing'!$V$4*'Valve Sizing'!$G$7))</f>
        <v>34.149321507725261</v>
      </c>
      <c r="S3778" s="58"/>
      <c r="T3778" s="73"/>
      <c r="U3778" s="53">
        <f>(U$29/U$27)^2*(U3775-('Valve Sizing'!$V$4*'Valve Sizing'!$G$7))</f>
        <v>27.375840207561396</v>
      </c>
      <c r="V3778" s="41"/>
      <c r="W3778" s="73"/>
      <c r="X3778" s="53">
        <f>(X$29/X$27)^2*(X3775-('Valve Sizing'!$V$4*'Valve Sizing'!$G$7))</f>
        <v>-63.428695250942802</v>
      </c>
      <c r="Y3778" s="41"/>
      <c r="Z3778" s="73"/>
      <c r="AA3778" s="53">
        <f>(AA$29/AA$27)^2*(AA3775-('Valve Sizing'!$V$4*'Valve Sizing'!$G$7))</f>
        <v>-336.32035795941982</v>
      </c>
      <c r="AB3778" s="41"/>
      <c r="AC3778" s="73"/>
      <c r="AD3778" s="53">
        <f>(AD$29/AD$27)^2*(AD3775-('Valve Sizing'!$V$4*'Valve Sizing'!$G$7))</f>
        <v>-918.36921452910588</v>
      </c>
      <c r="AE3778" s="41"/>
      <c r="AF3778" s="73"/>
      <c r="AG3778" s="53">
        <f>(AG$29/AG$27)^2*(AG3775-('Valve Sizing'!$V$4*'Valve Sizing'!$G$7))</f>
        <v>-1862.2586602067622</v>
      </c>
      <c r="AH3778" s="41"/>
      <c r="AI3778" s="73"/>
      <c r="AJ3778" s="53">
        <f>(AJ$29/AJ$27)^2*(AJ3775-('Valve Sizing'!$V$4*'Valve Sizing'!$G$7))</f>
        <v>-3003.7882119736378</v>
      </c>
      <c r="AK3778" s="41"/>
      <c r="AL3778" s="73"/>
      <c r="AM3778" s="53">
        <f>(AM$29/AM$27)^2*(AM3775-('Valve Sizing'!$V$4*'Valve Sizing'!$G$7))</f>
        <v>-3713.0201663820221</v>
      </c>
      <c r="AN3778" s="41"/>
      <c r="AO3778" s="73"/>
      <c r="AP3778" s="53">
        <f>(AP$29/AP$27)^2*(AP3775-('Valve Sizing'!$V$4*'Valve Sizing'!$G$7))</f>
        <v>-4135.3606750307872</v>
      </c>
      <c r="AQ3778" s="41"/>
      <c r="AR3778" s="73"/>
      <c r="AS3778" s="53">
        <f>(AS$29/AS$27)^2*(AS3775-('Valve Sizing'!$V$4*'Valve Sizing'!$G$7))</f>
        <v>-5111.7093716449781</v>
      </c>
      <c r="AT3778" s="41"/>
      <c r="AU3778" s="73"/>
    </row>
    <row r="3779" spans="15:47" ht="13" x14ac:dyDescent="0.25">
      <c r="O3779" s="1" t="s">
        <v>69</v>
      </c>
      <c r="P3779" s="17">
        <v>7</v>
      </c>
      <c r="Q3779" s="65"/>
      <c r="R3779" s="53">
        <f>(R3773/(N_1*F_P_h))*SQRT('Valve Sizing'!$G$6/R3777)</f>
        <v>179.68406255328722</v>
      </c>
      <c r="S3779" s="58"/>
      <c r="T3779" s="73"/>
      <c r="U3779" s="64">
        <f>(U3773/(N_1*U$27))*SQRT('Valve Sizing'!$G$6/U3777)</f>
        <v>407.95051347103805</v>
      </c>
      <c r="V3779" s="41"/>
      <c r="W3779" s="73"/>
      <c r="X3779" s="64" t="e">
        <f>(X3773/(N_1*X$27))*SQRT('Valve Sizing'!$G$6/X3777)</f>
        <v>#NUM!</v>
      </c>
      <c r="Y3779" s="41"/>
      <c r="Z3779" s="73"/>
      <c r="AA3779" s="64" t="e">
        <f>(AA3773/(N_1*AA$27))*SQRT('Valve Sizing'!$G$6/AA3777)</f>
        <v>#NUM!</v>
      </c>
      <c r="AB3779" s="41"/>
      <c r="AC3779" s="73"/>
      <c r="AD3779" s="64" t="e">
        <f>(AD3773/(N_1*AD$27))*SQRT('Valve Sizing'!$G$6/AD3777)</f>
        <v>#NUM!</v>
      </c>
      <c r="AE3779" s="41"/>
      <c r="AF3779" s="73"/>
      <c r="AG3779" s="64" t="e">
        <f>(AG3773/(N_1*AG$27))*SQRT('Valve Sizing'!$G$6/AG3777)</f>
        <v>#NUM!</v>
      </c>
      <c r="AH3779" s="41"/>
      <c r="AI3779" s="73"/>
      <c r="AJ3779" s="64" t="e">
        <f>(AJ3773/(N_1*AJ$27))*SQRT('Valve Sizing'!$G$6/AJ3777)</f>
        <v>#NUM!</v>
      </c>
      <c r="AK3779" s="41"/>
      <c r="AL3779" s="73"/>
      <c r="AM3779" s="64" t="e">
        <f>(AM3773/(N_1*AM$27))*SQRT('Valve Sizing'!$G$6/AM3777)</f>
        <v>#NUM!</v>
      </c>
      <c r="AN3779" s="41"/>
      <c r="AO3779" s="73"/>
      <c r="AP3779" s="64" t="e">
        <f>(AP3773/(N_1*AP$27))*SQRT('Valve Sizing'!$G$6/AP3777)</f>
        <v>#NUM!</v>
      </c>
      <c r="AQ3779" s="41"/>
      <c r="AR3779" s="73"/>
      <c r="AS3779" s="64" t="e">
        <f>(AS3773/(N_1*AS$27))*SQRT('Valve Sizing'!$G$6/AS3777)</f>
        <v>#NUM!</v>
      </c>
      <c r="AT3779" s="41"/>
      <c r="AU3779" s="73"/>
    </row>
    <row r="3780" spans="15:47" ht="13" x14ac:dyDescent="0.3">
      <c r="O3780" s="1" t="s">
        <v>72</v>
      </c>
      <c r="P3780" s="17">
        <v>7</v>
      </c>
      <c r="Q3780" s="65"/>
      <c r="R3780" s="53">
        <f>(R3773/(N_1*F_P_h))*SQRT('Valve Sizing'!$G$6/R3778)</f>
        <v>114.95314960041529</v>
      </c>
      <c r="S3780" s="56"/>
      <c r="T3780" s="72"/>
      <c r="U3780" s="85">
        <f>(U3773/(N_1*U$27))*SQRT('Valve Sizing'!$G$6/U3778)</f>
        <v>159.24651323105434</v>
      </c>
      <c r="V3780" s="44"/>
      <c r="W3780" s="72"/>
      <c r="X3780" s="85" t="e">
        <f>(X3773/(N_1*X$27))*SQRT('Valve Sizing'!$G$6/X3778)</f>
        <v>#NUM!</v>
      </c>
      <c r="Y3780" s="44"/>
      <c r="Z3780" s="72"/>
      <c r="AA3780" s="85" t="e">
        <f>(AA3773/(N_1*AA$27))*SQRT('Valve Sizing'!$G$6/AA3778)</f>
        <v>#NUM!</v>
      </c>
      <c r="AB3780" s="44"/>
      <c r="AC3780" s="72"/>
      <c r="AD3780" s="85" t="e">
        <f>(AD3773/(N_1*AD$27))*SQRT('Valve Sizing'!$G$6/AD3778)</f>
        <v>#NUM!</v>
      </c>
      <c r="AE3780" s="44"/>
      <c r="AF3780" s="72"/>
      <c r="AG3780" s="85" t="e">
        <f>(AG3773/(N_1*AG$27))*SQRT('Valve Sizing'!$G$6/AG3778)</f>
        <v>#NUM!</v>
      </c>
      <c r="AH3780" s="44"/>
      <c r="AI3780" s="72"/>
      <c r="AJ3780" s="85" t="e">
        <f>(AJ3773/(N_1*AJ$27))*SQRT('Valve Sizing'!$G$6/AJ3778)</f>
        <v>#NUM!</v>
      </c>
      <c r="AK3780" s="44"/>
      <c r="AL3780" s="72"/>
      <c r="AM3780" s="85" t="e">
        <f>(AM3773/(N_1*AM$27))*SQRT('Valve Sizing'!$G$6/AM3778)</f>
        <v>#NUM!</v>
      </c>
      <c r="AN3780" s="44"/>
      <c r="AO3780" s="72"/>
      <c r="AP3780" s="85" t="e">
        <f>(AP3773/(N_1*AP$27))*SQRT('Valve Sizing'!$G$6/AP3778)</f>
        <v>#NUM!</v>
      </c>
      <c r="AQ3780" s="44"/>
      <c r="AR3780" s="72"/>
      <c r="AS3780" s="85" t="e">
        <f>(AS3773/(N_1*AS$27))*SQRT('Valve Sizing'!$G$6/AS3778)</f>
        <v>#NUM!</v>
      </c>
      <c r="AT3780" s="44"/>
      <c r="AU3780" s="72"/>
    </row>
    <row r="3781" spans="15:47" x14ac:dyDescent="0.25">
      <c r="O3781" s="1" t="s">
        <v>246</v>
      </c>
      <c r="P3781" s="18"/>
      <c r="Q3781" s="65"/>
      <c r="R3781" s="53">
        <f>IF(R3777&lt;R3778,R3779,R3780)</f>
        <v>179.68406255328722</v>
      </c>
      <c r="S3781" s="49"/>
      <c r="T3781" s="72"/>
      <c r="U3781" s="64">
        <f>IF(U3777&lt;U3778,U3779,U3780)</f>
        <v>407.95051347103805</v>
      </c>
      <c r="V3781" s="44"/>
      <c r="W3781" s="72"/>
      <c r="X3781" s="64" t="e">
        <f>IF(X3777&lt;X3778,X3779,X3780)</f>
        <v>#NUM!</v>
      </c>
      <c r="Y3781" s="44"/>
      <c r="Z3781" s="72"/>
      <c r="AA3781" s="64" t="e">
        <f>IF(AA3777&lt;AA3778,AA3779,AA3780)</f>
        <v>#NUM!</v>
      </c>
      <c r="AB3781" s="44"/>
      <c r="AC3781" s="72"/>
      <c r="AD3781" s="64" t="e">
        <f>IF(AD3777&lt;AD3778,AD3779,AD3780)</f>
        <v>#NUM!</v>
      </c>
      <c r="AE3781" s="44"/>
      <c r="AF3781" s="72"/>
      <c r="AG3781" s="64" t="e">
        <f>IF(AG3777&lt;AG3778,AG3779,AG3780)</f>
        <v>#NUM!</v>
      </c>
      <c r="AH3781" s="44"/>
      <c r="AI3781" s="72"/>
      <c r="AJ3781" s="64" t="e">
        <f>IF(AJ3777&lt;AJ3778,AJ3779,AJ3780)</f>
        <v>#NUM!</v>
      </c>
      <c r="AK3781" s="44"/>
      <c r="AL3781" s="72"/>
      <c r="AM3781" s="64" t="e">
        <f>IF(AM3777&lt;AM3778,AM3779,AM3780)</f>
        <v>#NUM!</v>
      </c>
      <c r="AN3781" s="44"/>
      <c r="AO3781" s="72"/>
      <c r="AP3781" s="64" t="e">
        <f>IF(AP3777&lt;AP3778,AP3779,AP3780)</f>
        <v>#NUM!</v>
      </c>
      <c r="AQ3781" s="44"/>
      <c r="AR3781" s="72"/>
      <c r="AS3781" s="64" t="e">
        <f>IF(AS3777&lt;AS3778,AS3779,AS3780)</f>
        <v>#NUM!</v>
      </c>
      <c r="AT3781" s="44"/>
      <c r="AU3781" s="72"/>
    </row>
    <row r="3782" spans="15:47" ht="13" x14ac:dyDescent="0.3">
      <c r="O3782" s="7" t="s">
        <v>264</v>
      </c>
      <c r="Q3782" s="61"/>
      <c r="R3782" s="53"/>
      <c r="S3782" s="69">
        <f>IFERROR(ABS(C_h-R3781),Q_max*10)</f>
        <v>174.68406255328722</v>
      </c>
      <c r="T3782" s="76">
        <f>R3773</f>
        <v>671.65830021996328</v>
      </c>
      <c r="U3782" s="61"/>
      <c r="V3782" s="69">
        <f>IFERROR(ABS(U$23-U3781),Q_max*10)</f>
        <v>395.95051347103805</v>
      </c>
      <c r="W3782" s="75">
        <f>U3773</f>
        <v>832.50718468973207</v>
      </c>
      <c r="X3782" s="61"/>
      <c r="Y3782" s="69">
        <f>IFERROR(ABS(X$23-X3781),Q_max*10)</f>
        <v>5500</v>
      </c>
      <c r="Z3782" s="75">
        <f>X3773</f>
        <v>1998.3377064120136</v>
      </c>
      <c r="AA3782" s="61"/>
      <c r="AB3782" s="69">
        <f>IFERROR(ABS(AA$23-AA3781),Q_max*10)</f>
        <v>5500</v>
      </c>
      <c r="AC3782" s="75">
        <f>AA3773</f>
        <v>3815.5590486782917</v>
      </c>
      <c r="AD3782" s="61"/>
      <c r="AE3782" s="69">
        <f>IFERROR(ABS(AD$23-AD3781),Q_max*10)</f>
        <v>5500</v>
      </c>
      <c r="AF3782" s="75">
        <f>AD3773</f>
        <v>6275.1898295806877</v>
      </c>
      <c r="AG3782" s="61"/>
      <c r="AH3782" s="69">
        <f>IFERROR(ABS(AG$23-AG3781),Q_max*10)</f>
        <v>5500</v>
      </c>
      <c r="AI3782" s="75">
        <f>AG3773</f>
        <v>9342.9025586443422</v>
      </c>
      <c r="AJ3782" s="61"/>
      <c r="AK3782" s="69">
        <f>IFERROR(ABS(AJ$23-AJ3781),Q_max*10)</f>
        <v>5500</v>
      </c>
      <c r="AL3782" s="75">
        <f>AJ3773</f>
        <v>12468.139682900799</v>
      </c>
      <c r="AM3782" s="61"/>
      <c r="AN3782" s="69">
        <f>IFERROR(ABS(AM$23-AM3781),Q_max*10)</f>
        <v>5500</v>
      </c>
      <c r="AO3782" s="75">
        <f>AM3773</f>
        <v>15213.499857755562</v>
      </c>
      <c r="AP3782" s="61"/>
      <c r="AQ3782" s="69">
        <f>IFERROR(ABS(AP$23-AP3781),Q_max*10)</f>
        <v>5500</v>
      </c>
      <c r="AR3782" s="75">
        <f>AP3773</f>
        <v>17662.401037380099</v>
      </c>
      <c r="AS3782" s="61"/>
      <c r="AT3782" s="69">
        <f>IFERROR(ABS(AS$23-AS3781),Q_max*10)</f>
        <v>5500</v>
      </c>
      <c r="AU3782" s="75">
        <f>AS3773</f>
        <v>20101.459936960258</v>
      </c>
    </row>
    <row r="3783" spans="15:47" ht="14.5" x14ac:dyDescent="0.35">
      <c r="O3783" s="6"/>
      <c r="P3783" s="6"/>
      <c r="Q3783" s="60"/>
      <c r="R3783" s="67"/>
      <c r="S3783" s="58"/>
      <c r="T3783" s="73"/>
      <c r="V3783" s="11"/>
      <c r="W3783" s="38"/>
      <c r="Y3783" s="11"/>
      <c r="Z3783" s="38"/>
      <c r="AB3783" s="11"/>
      <c r="AC3783" s="38"/>
      <c r="AE3783" s="11"/>
      <c r="AF3783" s="38"/>
      <c r="AH3783" s="11"/>
      <c r="AI3783" s="38"/>
      <c r="AK3783" s="11"/>
      <c r="AL3783" s="38"/>
      <c r="AN3783" s="11"/>
      <c r="AO3783" s="38"/>
      <c r="AQ3783" s="11"/>
      <c r="AR3783" s="38"/>
      <c r="AT3783" s="11"/>
      <c r="AU3783" s="38"/>
    </row>
    <row r="3784" spans="15:47" ht="14" x14ac:dyDescent="0.3">
      <c r="O3784" s="8" t="s">
        <v>235</v>
      </c>
      <c r="P3784" s="6"/>
      <c r="Q3784" s="60"/>
      <c r="R3784" s="53">
        <f>R3773*1.02</f>
        <v>685.09146622436253</v>
      </c>
      <c r="S3784" s="58" t="s">
        <v>238</v>
      </c>
      <c r="T3784" s="73" t="s">
        <v>241</v>
      </c>
      <c r="U3784" s="84">
        <f>U3773*1.01</f>
        <v>840.83225653662942</v>
      </c>
      <c r="V3784" s="58" t="s">
        <v>238</v>
      </c>
      <c r="W3784" s="73" t="s">
        <v>241</v>
      </c>
      <c r="X3784" s="84">
        <f>X3773*1.01</f>
        <v>2018.3210834761337</v>
      </c>
      <c r="Y3784" s="58" t="s">
        <v>238</v>
      </c>
      <c r="Z3784" s="73" t="s">
        <v>241</v>
      </c>
      <c r="AA3784" s="84">
        <f>AA3773*1.01</f>
        <v>3853.7146391650745</v>
      </c>
      <c r="AB3784" s="58" t="s">
        <v>238</v>
      </c>
      <c r="AC3784" s="73" t="s">
        <v>241</v>
      </c>
      <c r="AD3784" s="84">
        <f>AD3773*1.01</f>
        <v>6337.941727876495</v>
      </c>
      <c r="AE3784" s="58" t="s">
        <v>238</v>
      </c>
      <c r="AF3784" s="73" t="s">
        <v>241</v>
      </c>
      <c r="AG3784" s="84">
        <f>AG3773*1.01</f>
        <v>9436.3315842307857</v>
      </c>
      <c r="AH3784" s="58" t="s">
        <v>238</v>
      </c>
      <c r="AI3784" s="73" t="s">
        <v>241</v>
      </c>
      <c r="AJ3784" s="84">
        <f>AJ3773*1.01</f>
        <v>12592.821079729807</v>
      </c>
      <c r="AK3784" s="58" t="s">
        <v>238</v>
      </c>
      <c r="AL3784" s="73" t="s">
        <v>241</v>
      </c>
      <c r="AM3784" s="84">
        <f>AM3773*1.01</f>
        <v>15365.634856333118</v>
      </c>
      <c r="AN3784" s="58" t="s">
        <v>238</v>
      </c>
      <c r="AO3784" s="73" t="s">
        <v>241</v>
      </c>
      <c r="AP3784" s="84">
        <f>AP3773*1.01</f>
        <v>17839.025047753901</v>
      </c>
      <c r="AQ3784" s="58" t="s">
        <v>238</v>
      </c>
      <c r="AR3784" s="73" t="s">
        <v>241</v>
      </c>
      <c r="AS3784" s="84">
        <f>AS3773*1.01</f>
        <v>20302.474536329861</v>
      </c>
      <c r="AT3784" s="58" t="s">
        <v>238</v>
      </c>
      <c r="AU3784" s="73" t="s">
        <v>241</v>
      </c>
    </row>
    <row r="3785" spans="15:47" ht="13" x14ac:dyDescent="0.25">
      <c r="O3785" s="6"/>
      <c r="P3785" s="6"/>
      <c r="Q3785" s="60"/>
      <c r="R3785" s="70"/>
      <c r="S3785" s="63" t="s">
        <v>250</v>
      </c>
      <c r="T3785" s="71" t="s">
        <v>242</v>
      </c>
      <c r="U3785" s="61"/>
      <c r="V3785" s="63" t="s">
        <v>250</v>
      </c>
      <c r="W3785" s="71" t="s">
        <v>242</v>
      </c>
      <c r="X3785" s="61"/>
      <c r="Y3785" s="63" t="s">
        <v>250</v>
      </c>
      <c r="Z3785" s="71" t="s">
        <v>242</v>
      </c>
      <c r="AA3785" s="61"/>
      <c r="AB3785" s="63" t="s">
        <v>250</v>
      </c>
      <c r="AC3785" s="71" t="s">
        <v>242</v>
      </c>
      <c r="AD3785" s="61"/>
      <c r="AE3785" s="63" t="s">
        <v>250</v>
      </c>
      <c r="AF3785" s="71" t="s">
        <v>242</v>
      </c>
      <c r="AG3785" s="61"/>
      <c r="AH3785" s="63" t="s">
        <v>250</v>
      </c>
      <c r="AI3785" s="71" t="s">
        <v>242</v>
      </c>
      <c r="AJ3785" s="61"/>
      <c r="AK3785" s="63" t="s">
        <v>250</v>
      </c>
      <c r="AL3785" s="71" t="s">
        <v>242</v>
      </c>
      <c r="AM3785" s="61"/>
      <c r="AN3785" s="63" t="s">
        <v>250</v>
      </c>
      <c r="AO3785" s="71" t="s">
        <v>242</v>
      </c>
      <c r="AP3785" s="61"/>
      <c r="AQ3785" s="63" t="s">
        <v>250</v>
      </c>
      <c r="AR3785" s="71" t="s">
        <v>242</v>
      </c>
      <c r="AS3785" s="61"/>
      <c r="AT3785" s="63" t="s">
        <v>250</v>
      </c>
      <c r="AU3785" s="71" t="s">
        <v>242</v>
      </c>
    </row>
    <row r="3786" spans="15:47" ht="13" x14ac:dyDescent="0.3">
      <c r="O3786" s="6" t="s">
        <v>231</v>
      </c>
      <c r="P3786" s="6"/>
      <c r="Q3786" s="60"/>
      <c r="R3786" s="85">
        <f>P_1_minQ-(R3784^2*R_up)+dpup_minQ</f>
        <v>41.065068656080818</v>
      </c>
      <c r="S3786" s="56"/>
      <c r="T3786" s="72"/>
      <c r="U3786" s="53">
        <f>P_1_minQ-(U3784^2*R_up)+dpup_minQ</f>
        <v>33.039112339328597</v>
      </c>
      <c r="V3786" s="44"/>
      <c r="W3786" s="72"/>
      <c r="X3786" s="53">
        <f>P_1_minQ-(X3784^2*R_up)+dpup_minQ</f>
        <v>-80.659675650262557</v>
      </c>
      <c r="Y3786" s="44"/>
      <c r="Z3786" s="72"/>
      <c r="AA3786" s="53">
        <f>P_1_minQ-(AA3784^2*R_up)+dpup_minQ</f>
        <v>-444.64132117916927</v>
      </c>
      <c r="AB3786" s="44"/>
      <c r="AC3786" s="72"/>
      <c r="AD3786" s="53">
        <f>P_1_minQ-(AD3784^2*R_up)+dpup_minQ</f>
        <v>-1299.70342269362</v>
      </c>
      <c r="AE3786" s="44"/>
      <c r="AF3786" s="72"/>
      <c r="AG3786" s="53">
        <f>P_1_minQ-(AG3784^2*R_up)+dpup_minQ</f>
        <v>-2950.3230924536138</v>
      </c>
      <c r="AH3786" s="44"/>
      <c r="AI3786" s="72"/>
      <c r="AJ3786" s="53">
        <f>P_1_minQ-(AJ3784^2*R_up)+dpup_minQ</f>
        <v>-5298.6780056091657</v>
      </c>
      <c r="AK3786" s="44"/>
      <c r="AL3786" s="72"/>
      <c r="AM3786" s="53">
        <f>P_1_minQ-(AM3784^2*R_up)+dpup_minQ</f>
        <v>-7916.8337567767412</v>
      </c>
      <c r="AN3786" s="44"/>
      <c r="AO3786" s="72"/>
      <c r="AP3786" s="53">
        <f>P_1_minQ-(AP3784^2*R_up)+dpup_minQ</f>
        <v>-10690.494010617733</v>
      </c>
      <c r="AQ3786" s="44"/>
      <c r="AR3786" s="72"/>
      <c r="AS3786" s="53">
        <f>P_1_minQ-(AS3784^2*R_up)+dpup_minQ</f>
        <v>-13863.734728075731</v>
      </c>
      <c r="AT3786" s="44"/>
      <c r="AU3786" s="72"/>
    </row>
    <row r="3787" spans="15:47" ht="13" x14ac:dyDescent="0.3">
      <c r="O3787" s="6" t="s">
        <v>233</v>
      </c>
      <c r="P3787" s="6"/>
      <c r="Q3787" s="60"/>
      <c r="R3787" s="85">
        <f>P_2_minQ+(R3784^2*R_dn)-dpdn_minQ</f>
        <v>27.826986268783838</v>
      </c>
      <c r="S3787" s="66"/>
      <c r="T3787" s="74"/>
      <c r="U3787" s="53">
        <f>P_2_minQ+(U3784^2*R_dn)-dpdn_minQ</f>
        <v>29.432177532134279</v>
      </c>
      <c r="V3787" s="45"/>
      <c r="W3787" s="74"/>
      <c r="X3787" s="53">
        <f>P_2_minQ+(X3784^2*R_dn)-dpdn_minQ</f>
        <v>52.171935130052518</v>
      </c>
      <c r="Y3787" s="45"/>
      <c r="Z3787" s="74"/>
      <c r="AA3787" s="53">
        <f>P_2_minQ+(AA3784^2*R_dn)-dpdn_minQ</f>
        <v>124.96826423583384</v>
      </c>
      <c r="AB3787" s="45"/>
      <c r="AC3787" s="74"/>
      <c r="AD3787" s="53">
        <f>P_2_minQ+(AD3784^2*R_dn)-dpdn_minQ</f>
        <v>295.98068453872395</v>
      </c>
      <c r="AE3787" s="45"/>
      <c r="AF3787" s="74"/>
      <c r="AG3787" s="53">
        <f>P_2_minQ+(AG3784^2*R_dn)-dpdn_minQ</f>
        <v>626.10461849072271</v>
      </c>
      <c r="AH3787" s="45"/>
      <c r="AI3787" s="74"/>
      <c r="AJ3787" s="53">
        <f>P_2_minQ+(AJ3784^2*R_dn)-dpdn_minQ</f>
        <v>1095.775601121833</v>
      </c>
      <c r="AK3787" s="45"/>
      <c r="AL3787" s="74"/>
      <c r="AM3787" s="53">
        <f>P_2_minQ+(AM3784^2*R_dn)-dpdn_minQ</f>
        <v>1619.4067513553482</v>
      </c>
      <c r="AN3787" s="45"/>
      <c r="AO3787" s="74"/>
      <c r="AP3787" s="53">
        <f>P_2_minQ+(AP3784^2*R_dn)-dpdn_minQ</f>
        <v>2174.1388021235462</v>
      </c>
      <c r="AQ3787" s="45"/>
      <c r="AR3787" s="74"/>
      <c r="AS3787" s="53">
        <f>P_2_minQ+(AS3784^2*R_dn)-dpdn_minQ</f>
        <v>2808.7869456151461</v>
      </c>
      <c r="AT3787" s="45"/>
      <c r="AU3787" s="74"/>
    </row>
    <row r="3788" spans="15:47" x14ac:dyDescent="0.25">
      <c r="O3788" s="6" t="s">
        <v>243</v>
      </c>
      <c r="Q3788" s="60"/>
      <c r="R3788" s="53">
        <f>R3786-R3787</f>
        <v>13.238082387296981</v>
      </c>
      <c r="S3788" s="56"/>
      <c r="T3788" s="72"/>
      <c r="U3788" s="64">
        <f>U3786-U3787</f>
        <v>3.6069348071943175</v>
      </c>
      <c r="V3788" s="44"/>
      <c r="W3788" s="72"/>
      <c r="X3788" s="64">
        <f>X3786-X3787</f>
        <v>-132.83161078031509</v>
      </c>
      <c r="Y3788" s="44"/>
      <c r="Z3788" s="72"/>
      <c r="AA3788" s="64">
        <f>AA3786-AA3787</f>
        <v>-569.60958541500315</v>
      </c>
      <c r="AB3788" s="44"/>
      <c r="AC3788" s="72"/>
      <c r="AD3788" s="64">
        <f>AD3786-AD3787</f>
        <v>-1595.6841072323441</v>
      </c>
      <c r="AE3788" s="44"/>
      <c r="AF3788" s="72"/>
      <c r="AG3788" s="64">
        <f>AG3786-AG3787</f>
        <v>-3576.4277109443365</v>
      </c>
      <c r="AH3788" s="44"/>
      <c r="AI3788" s="72"/>
      <c r="AJ3788" s="64">
        <f>AJ3786-AJ3787</f>
        <v>-6394.4536067309982</v>
      </c>
      <c r="AK3788" s="44"/>
      <c r="AL3788" s="72"/>
      <c r="AM3788" s="64">
        <f>AM3786-AM3787</f>
        <v>-9536.2405081320903</v>
      </c>
      <c r="AN3788" s="44"/>
      <c r="AO3788" s="72"/>
      <c r="AP3788" s="64">
        <f>AP3786-AP3787</f>
        <v>-12864.632812741278</v>
      </c>
      <c r="AQ3788" s="44"/>
      <c r="AR3788" s="72"/>
      <c r="AS3788" s="64">
        <f>AS3786-AS3787</f>
        <v>-16672.521673690877</v>
      </c>
      <c r="AT3788" s="44"/>
      <c r="AU3788" s="72"/>
    </row>
    <row r="3789" spans="15:47" ht="13" x14ac:dyDescent="0.3">
      <c r="O3789" s="6" t="s">
        <v>75</v>
      </c>
      <c r="P3789" s="6">
        <v>3</v>
      </c>
      <c r="Q3789" s="65"/>
      <c r="R3789" s="85">
        <f>(F_LP_h/F_P_h)^2*(R3786-('Valve Sizing'!$V$4*'Valve Sizing'!$G$7))</f>
        <v>33.639641501671981</v>
      </c>
      <c r="S3789" s="58"/>
      <c r="T3789" s="73"/>
      <c r="U3789" s="53">
        <f>(U$29/U$27)^2*(U3786-('Valve Sizing'!$V$4*'Valve Sizing'!$G$7))</f>
        <v>26.986371014231477</v>
      </c>
      <c r="V3789" s="41"/>
      <c r="W3789" s="73"/>
      <c r="X3789" s="53">
        <f>(X$29/X$27)^2*(X3786-('Valve Sizing'!$V$4*'Valve Sizing'!$G$7))</f>
        <v>-65.622138326765011</v>
      </c>
      <c r="Y3789" s="41"/>
      <c r="Z3789" s="73"/>
      <c r="AA3789" s="53">
        <f>(AA$29/AA$27)^2*(AA3786-('Valve Sizing'!$V$4*'Valve Sizing'!$G$7))</f>
        <v>-343.95765284994758</v>
      </c>
      <c r="AB3789" s="41"/>
      <c r="AC3789" s="73"/>
      <c r="AD3789" s="53">
        <f>(AD$29/AD$27)^2*(AD3786-('Valve Sizing'!$V$4*'Valve Sizing'!$G$7))</f>
        <v>-937.64710555906697</v>
      </c>
      <c r="AE3789" s="41"/>
      <c r="AF3789" s="73"/>
      <c r="AG3789" s="53">
        <f>(AG$29/AG$27)^2*(AG3786-('Valve Sizing'!$V$4*'Valve Sizing'!$G$7))</f>
        <v>-1900.4211582104344</v>
      </c>
      <c r="AH3789" s="41"/>
      <c r="AI3789" s="73"/>
      <c r="AJ3789" s="53">
        <f>(AJ$29/AJ$27)^2*(AJ3786-('Valve Sizing'!$V$4*'Valve Sizing'!$G$7))</f>
        <v>-3064.8208964830151</v>
      </c>
      <c r="AK3789" s="41"/>
      <c r="AL3789" s="73"/>
      <c r="AM3789" s="53">
        <f>(AM$29/AM$27)^2*(AM3786-('Valve Sizing'!$V$4*'Valve Sizing'!$G$7))</f>
        <v>-3788.1950186302215</v>
      </c>
      <c r="AN3789" s="41"/>
      <c r="AO3789" s="73"/>
      <c r="AP3789" s="53">
        <f>(AP$29/AP$27)^2*(AP3786-('Valve Sizing'!$V$4*'Valve Sizing'!$G$7))</f>
        <v>-4218.9293928658053</v>
      </c>
      <c r="AQ3789" s="41"/>
      <c r="AR3789" s="73"/>
      <c r="AS3789" s="53">
        <f>(AS$29/AS$27)^2*(AS3786-('Valve Sizing'!$V$4*'Valve Sizing'!$G$7))</f>
        <v>-5214.8817135041591</v>
      </c>
      <c r="AT3789" s="41"/>
      <c r="AU3789" s="73"/>
    </row>
    <row r="3790" spans="15:47" ht="13" x14ac:dyDescent="0.25">
      <c r="O3790" s="1" t="s">
        <v>69</v>
      </c>
      <c r="P3790" s="17">
        <v>7</v>
      </c>
      <c r="Q3790" s="65"/>
      <c r="R3790" s="53">
        <f>(R3784/(N_1*F_P_h))*SQRT('Valve Sizing'!$G$6/R3788)</f>
        <v>188.32134473347656</v>
      </c>
      <c r="S3790" s="58"/>
      <c r="T3790" s="73"/>
      <c r="U3790" s="64">
        <f>(U3784/(N_1*U$27))*SQRT('Valve Sizing'!$G$6/U3788)</f>
        <v>443.10422192872142</v>
      </c>
      <c r="V3790" s="41"/>
      <c r="W3790" s="73"/>
      <c r="X3790" s="64" t="e">
        <f>(X3784/(N_1*X$27))*SQRT('Valve Sizing'!$G$6/X3788)</f>
        <v>#NUM!</v>
      </c>
      <c r="Y3790" s="41"/>
      <c r="Z3790" s="73"/>
      <c r="AA3790" s="64" t="e">
        <f>(AA3784/(N_1*AA$27))*SQRT('Valve Sizing'!$G$6/AA3788)</f>
        <v>#NUM!</v>
      </c>
      <c r="AB3790" s="41"/>
      <c r="AC3790" s="73"/>
      <c r="AD3790" s="64" t="e">
        <f>(AD3784/(N_1*AD$27))*SQRT('Valve Sizing'!$G$6/AD3788)</f>
        <v>#NUM!</v>
      </c>
      <c r="AE3790" s="41"/>
      <c r="AF3790" s="73"/>
      <c r="AG3790" s="64" t="e">
        <f>(AG3784/(N_1*AG$27))*SQRT('Valve Sizing'!$G$6/AG3788)</f>
        <v>#NUM!</v>
      </c>
      <c r="AH3790" s="41"/>
      <c r="AI3790" s="73"/>
      <c r="AJ3790" s="64" t="e">
        <f>(AJ3784/(N_1*AJ$27))*SQRT('Valve Sizing'!$G$6/AJ3788)</f>
        <v>#NUM!</v>
      </c>
      <c r="AK3790" s="41"/>
      <c r="AL3790" s="73"/>
      <c r="AM3790" s="64" t="e">
        <f>(AM3784/(N_1*AM$27))*SQRT('Valve Sizing'!$G$6/AM3788)</f>
        <v>#NUM!</v>
      </c>
      <c r="AN3790" s="41"/>
      <c r="AO3790" s="73"/>
      <c r="AP3790" s="64" t="e">
        <f>(AP3784/(N_1*AP$27))*SQRT('Valve Sizing'!$G$6/AP3788)</f>
        <v>#NUM!</v>
      </c>
      <c r="AQ3790" s="41"/>
      <c r="AR3790" s="73"/>
      <c r="AS3790" s="64" t="e">
        <f>(AS3784/(N_1*AS$27))*SQRT('Valve Sizing'!$G$6/AS3788)</f>
        <v>#NUM!</v>
      </c>
      <c r="AT3790" s="41"/>
      <c r="AU3790" s="73"/>
    </row>
    <row r="3791" spans="15:47" ht="13" x14ac:dyDescent="0.3">
      <c r="O3791" s="1" t="s">
        <v>72</v>
      </c>
      <c r="P3791" s="17">
        <v>7</v>
      </c>
      <c r="Q3791" s="65"/>
      <c r="R3791" s="53">
        <f>(R3784/(N_1*F_P_h))*SQRT('Valve Sizing'!$G$6/R3789)</f>
        <v>118.13712755903452</v>
      </c>
      <c r="S3791" s="56"/>
      <c r="T3791" s="72"/>
      <c r="U3791" s="85">
        <f>(U3784/(N_1*U$27))*SQRT('Valve Sizing'!$G$6/U3789)</f>
        <v>161.99544046550028</v>
      </c>
      <c r="V3791" s="44"/>
      <c r="W3791" s="72"/>
      <c r="X3791" s="85" t="e">
        <f>(X3784/(N_1*X$27))*SQRT('Valve Sizing'!$G$6/X3789)</f>
        <v>#NUM!</v>
      </c>
      <c r="Y3791" s="44"/>
      <c r="Z3791" s="72"/>
      <c r="AA3791" s="85" t="e">
        <f>(AA3784/(N_1*AA$27))*SQRT('Valve Sizing'!$G$6/AA3789)</f>
        <v>#NUM!</v>
      </c>
      <c r="AB3791" s="44"/>
      <c r="AC3791" s="72"/>
      <c r="AD3791" s="85" t="e">
        <f>(AD3784/(N_1*AD$27))*SQRT('Valve Sizing'!$G$6/AD3789)</f>
        <v>#NUM!</v>
      </c>
      <c r="AE3791" s="44"/>
      <c r="AF3791" s="72"/>
      <c r="AG3791" s="85" t="e">
        <f>(AG3784/(N_1*AG$27))*SQRT('Valve Sizing'!$G$6/AG3789)</f>
        <v>#NUM!</v>
      </c>
      <c r="AH3791" s="44"/>
      <c r="AI3791" s="72"/>
      <c r="AJ3791" s="85" t="e">
        <f>(AJ3784/(N_1*AJ$27))*SQRT('Valve Sizing'!$G$6/AJ3789)</f>
        <v>#NUM!</v>
      </c>
      <c r="AK3791" s="44"/>
      <c r="AL3791" s="72"/>
      <c r="AM3791" s="85" t="e">
        <f>(AM3784/(N_1*AM$27))*SQRT('Valve Sizing'!$G$6/AM3789)</f>
        <v>#NUM!</v>
      </c>
      <c r="AN3791" s="44"/>
      <c r="AO3791" s="72"/>
      <c r="AP3791" s="85" t="e">
        <f>(AP3784/(N_1*AP$27))*SQRT('Valve Sizing'!$G$6/AP3789)</f>
        <v>#NUM!</v>
      </c>
      <c r="AQ3791" s="44"/>
      <c r="AR3791" s="72"/>
      <c r="AS3791" s="85" t="e">
        <f>(AS3784/(N_1*AS$27))*SQRT('Valve Sizing'!$G$6/AS3789)</f>
        <v>#NUM!</v>
      </c>
      <c r="AT3791" s="44"/>
      <c r="AU3791" s="72"/>
    </row>
    <row r="3792" spans="15:47" x14ac:dyDescent="0.25">
      <c r="O3792" s="1" t="s">
        <v>246</v>
      </c>
      <c r="P3792" s="18"/>
      <c r="Q3792" s="65"/>
      <c r="R3792" s="53">
        <f>IF(R3788&lt;R3789,R3790,R3791)</f>
        <v>188.32134473347656</v>
      </c>
      <c r="S3792" s="49"/>
      <c r="T3792" s="72"/>
      <c r="U3792" s="64">
        <f>IF(U3788&lt;U3789,U3790,U3791)</f>
        <v>443.10422192872142</v>
      </c>
      <c r="V3792" s="44"/>
      <c r="W3792" s="72"/>
      <c r="X3792" s="64" t="e">
        <f>IF(X3788&lt;X3789,X3790,X3791)</f>
        <v>#NUM!</v>
      </c>
      <c r="Y3792" s="44"/>
      <c r="Z3792" s="72"/>
      <c r="AA3792" s="64" t="e">
        <f>IF(AA3788&lt;AA3789,AA3790,AA3791)</f>
        <v>#NUM!</v>
      </c>
      <c r="AB3792" s="44"/>
      <c r="AC3792" s="72"/>
      <c r="AD3792" s="64" t="e">
        <f>IF(AD3788&lt;AD3789,AD3790,AD3791)</f>
        <v>#NUM!</v>
      </c>
      <c r="AE3792" s="44"/>
      <c r="AF3792" s="72"/>
      <c r="AG3792" s="64" t="e">
        <f>IF(AG3788&lt;AG3789,AG3790,AG3791)</f>
        <v>#NUM!</v>
      </c>
      <c r="AH3792" s="44"/>
      <c r="AI3792" s="72"/>
      <c r="AJ3792" s="64" t="e">
        <f>IF(AJ3788&lt;AJ3789,AJ3790,AJ3791)</f>
        <v>#NUM!</v>
      </c>
      <c r="AK3792" s="44"/>
      <c r="AL3792" s="72"/>
      <c r="AM3792" s="64" t="e">
        <f>IF(AM3788&lt;AM3789,AM3790,AM3791)</f>
        <v>#NUM!</v>
      </c>
      <c r="AN3792" s="44"/>
      <c r="AO3792" s="72"/>
      <c r="AP3792" s="64" t="e">
        <f>IF(AP3788&lt;AP3789,AP3790,AP3791)</f>
        <v>#NUM!</v>
      </c>
      <c r="AQ3792" s="44"/>
      <c r="AR3792" s="72"/>
      <c r="AS3792" s="64" t="e">
        <f>IF(AS3788&lt;AS3789,AS3790,AS3791)</f>
        <v>#NUM!</v>
      </c>
      <c r="AT3792" s="44"/>
      <c r="AU3792" s="72"/>
    </row>
    <row r="3793" spans="15:47" ht="13" x14ac:dyDescent="0.3">
      <c r="O3793" s="7" t="s">
        <v>264</v>
      </c>
      <c r="Q3793" s="61"/>
      <c r="R3793" s="53"/>
      <c r="S3793" s="69">
        <f>IFERROR(ABS(C_h-R3792),Q_max*10)</f>
        <v>183.32134473347656</v>
      </c>
      <c r="T3793" s="76">
        <f>R3784</f>
        <v>685.09146622436253</v>
      </c>
      <c r="U3793" s="61"/>
      <c r="V3793" s="69">
        <f>IFERROR(ABS(U$23-U3792),Q_max*10)</f>
        <v>431.10422192872142</v>
      </c>
      <c r="W3793" s="75">
        <f>U3784</f>
        <v>840.83225653662942</v>
      </c>
      <c r="X3793" s="61"/>
      <c r="Y3793" s="69">
        <f>IFERROR(ABS(X$23-X3792),Q_max*10)</f>
        <v>5500</v>
      </c>
      <c r="Z3793" s="75">
        <f>X3784</f>
        <v>2018.3210834761337</v>
      </c>
      <c r="AA3793" s="61"/>
      <c r="AB3793" s="69">
        <f>IFERROR(ABS(AA$23-AA3792),Q_max*10)</f>
        <v>5500</v>
      </c>
      <c r="AC3793" s="75">
        <f>AA3784</f>
        <v>3853.7146391650745</v>
      </c>
      <c r="AD3793" s="61"/>
      <c r="AE3793" s="69">
        <f>IFERROR(ABS(AD$23-AD3792),Q_max*10)</f>
        <v>5500</v>
      </c>
      <c r="AF3793" s="75">
        <f>AD3784</f>
        <v>6337.941727876495</v>
      </c>
      <c r="AG3793" s="61"/>
      <c r="AH3793" s="69">
        <f>IFERROR(ABS(AG$23-AG3792),Q_max*10)</f>
        <v>5500</v>
      </c>
      <c r="AI3793" s="75">
        <f>AG3784</f>
        <v>9436.3315842307857</v>
      </c>
      <c r="AJ3793" s="61"/>
      <c r="AK3793" s="69">
        <f>IFERROR(ABS(AJ$23-AJ3792),Q_max*10)</f>
        <v>5500</v>
      </c>
      <c r="AL3793" s="75">
        <f>AJ3784</f>
        <v>12592.821079729807</v>
      </c>
      <c r="AM3793" s="61"/>
      <c r="AN3793" s="69">
        <f>IFERROR(ABS(AM$23-AM3792),Q_max*10)</f>
        <v>5500</v>
      </c>
      <c r="AO3793" s="75">
        <f>AM3784</f>
        <v>15365.634856333118</v>
      </c>
      <c r="AP3793" s="61"/>
      <c r="AQ3793" s="69">
        <f>IFERROR(ABS(AP$23-AP3792),Q_max*10)</f>
        <v>5500</v>
      </c>
      <c r="AR3793" s="75">
        <f>AP3784</f>
        <v>17839.025047753901</v>
      </c>
      <c r="AS3793" s="61"/>
      <c r="AT3793" s="69">
        <f>IFERROR(ABS(AS$23-AS3792),Q_max*10)</f>
        <v>5500</v>
      </c>
      <c r="AU3793" s="75">
        <f>AS3784</f>
        <v>20302.474536329861</v>
      </c>
    </row>
    <row r="3794" spans="15:47" ht="14.5" x14ac:dyDescent="0.35">
      <c r="O3794" s="8"/>
      <c r="P3794" s="6"/>
      <c r="Q3794" s="60"/>
      <c r="R3794" s="67"/>
      <c r="S3794" s="56"/>
      <c r="T3794" s="72"/>
      <c r="V3794" s="11"/>
      <c r="W3794" s="38"/>
      <c r="Y3794" s="11"/>
      <c r="Z3794" s="38"/>
      <c r="AB3794" s="11"/>
      <c r="AC3794" s="38"/>
      <c r="AE3794" s="11"/>
      <c r="AF3794" s="38"/>
      <c r="AH3794" s="11"/>
      <c r="AI3794" s="38"/>
      <c r="AK3794" s="11"/>
      <c r="AL3794" s="38"/>
      <c r="AN3794" s="11"/>
      <c r="AO3794" s="38"/>
      <c r="AQ3794" s="11"/>
      <c r="AR3794" s="38"/>
      <c r="AT3794" s="11"/>
      <c r="AU3794" s="38"/>
    </row>
    <row r="3795" spans="15:47" ht="14" x14ac:dyDescent="0.3">
      <c r="O3795" s="8" t="s">
        <v>235</v>
      </c>
      <c r="P3795" s="6"/>
      <c r="Q3795" s="60"/>
      <c r="R3795" s="53">
        <f>R3784*1.02</f>
        <v>698.79329554884976</v>
      </c>
      <c r="S3795" s="58" t="s">
        <v>238</v>
      </c>
      <c r="T3795" s="73" t="s">
        <v>241</v>
      </c>
      <c r="U3795" s="84">
        <f>U3784*1.01</f>
        <v>849.24057910199576</v>
      </c>
      <c r="V3795" s="58" t="s">
        <v>238</v>
      </c>
      <c r="W3795" s="73" t="s">
        <v>241</v>
      </c>
      <c r="X3795" s="84">
        <f>X3784*1.01</f>
        <v>2038.5042943108951</v>
      </c>
      <c r="Y3795" s="58" t="s">
        <v>238</v>
      </c>
      <c r="Z3795" s="73" t="s">
        <v>241</v>
      </c>
      <c r="AA3795" s="84">
        <f>AA3784*1.01</f>
        <v>3892.2517855567253</v>
      </c>
      <c r="AB3795" s="58" t="s">
        <v>238</v>
      </c>
      <c r="AC3795" s="73" t="s">
        <v>241</v>
      </c>
      <c r="AD3795" s="84">
        <f>AD3784*1.01</f>
        <v>6401.3211451552597</v>
      </c>
      <c r="AE3795" s="58" t="s">
        <v>238</v>
      </c>
      <c r="AF3795" s="73" t="s">
        <v>241</v>
      </c>
      <c r="AG3795" s="84">
        <f>AG3784*1.01</f>
        <v>9530.6949000730929</v>
      </c>
      <c r="AH3795" s="58" t="s">
        <v>238</v>
      </c>
      <c r="AI3795" s="73" t="s">
        <v>241</v>
      </c>
      <c r="AJ3795" s="84">
        <f>AJ3784*1.01</f>
        <v>12718.749290527105</v>
      </c>
      <c r="AK3795" s="58" t="s">
        <v>238</v>
      </c>
      <c r="AL3795" s="73" t="s">
        <v>241</v>
      </c>
      <c r="AM3795" s="84">
        <f>AM3784*1.01</f>
        <v>15519.291204896448</v>
      </c>
      <c r="AN3795" s="58" t="s">
        <v>238</v>
      </c>
      <c r="AO3795" s="73" t="s">
        <v>241</v>
      </c>
      <c r="AP3795" s="84">
        <f>AP3784*1.01</f>
        <v>18017.415298231441</v>
      </c>
      <c r="AQ3795" s="58" t="s">
        <v>238</v>
      </c>
      <c r="AR3795" s="73" t="s">
        <v>241</v>
      </c>
      <c r="AS3795" s="84">
        <f>AS3784*1.01</f>
        <v>20505.499281693159</v>
      </c>
      <c r="AT3795" s="58" t="s">
        <v>238</v>
      </c>
      <c r="AU3795" s="73" t="s">
        <v>241</v>
      </c>
    </row>
    <row r="3796" spans="15:47" ht="13" x14ac:dyDescent="0.25">
      <c r="O3796" s="6"/>
      <c r="P3796" s="6"/>
      <c r="Q3796" s="60"/>
      <c r="R3796" s="70"/>
      <c r="S3796" s="63" t="s">
        <v>250</v>
      </c>
      <c r="T3796" s="71" t="s">
        <v>242</v>
      </c>
      <c r="U3796" s="61"/>
      <c r="V3796" s="63" t="s">
        <v>250</v>
      </c>
      <c r="W3796" s="71" t="s">
        <v>242</v>
      </c>
      <c r="X3796" s="61"/>
      <c r="Y3796" s="63" t="s">
        <v>250</v>
      </c>
      <c r="Z3796" s="71" t="s">
        <v>242</v>
      </c>
      <c r="AA3796" s="61"/>
      <c r="AB3796" s="63" t="s">
        <v>250</v>
      </c>
      <c r="AC3796" s="71" t="s">
        <v>242</v>
      </c>
      <c r="AD3796" s="61"/>
      <c r="AE3796" s="63" t="s">
        <v>250</v>
      </c>
      <c r="AF3796" s="71" t="s">
        <v>242</v>
      </c>
      <c r="AG3796" s="61"/>
      <c r="AH3796" s="63" t="s">
        <v>250</v>
      </c>
      <c r="AI3796" s="71" t="s">
        <v>242</v>
      </c>
      <c r="AJ3796" s="61"/>
      <c r="AK3796" s="63" t="s">
        <v>250</v>
      </c>
      <c r="AL3796" s="71" t="s">
        <v>242</v>
      </c>
      <c r="AM3796" s="61"/>
      <c r="AN3796" s="63" t="s">
        <v>250</v>
      </c>
      <c r="AO3796" s="71" t="s">
        <v>242</v>
      </c>
      <c r="AP3796" s="61"/>
      <c r="AQ3796" s="63" t="s">
        <v>250</v>
      </c>
      <c r="AR3796" s="71" t="s">
        <v>242</v>
      </c>
      <c r="AS3796" s="61"/>
      <c r="AT3796" s="63" t="s">
        <v>250</v>
      </c>
      <c r="AU3796" s="71" t="s">
        <v>242</v>
      </c>
    </row>
    <row r="3797" spans="15:47" ht="13" x14ac:dyDescent="0.3">
      <c r="O3797" s="6" t="s">
        <v>231</v>
      </c>
      <c r="P3797" s="6"/>
      <c r="Q3797" s="60"/>
      <c r="R3797" s="85">
        <f>P_1_minQ-(R3795^2*R_up)+dpup_minQ</f>
        <v>40.424685244713878</v>
      </c>
      <c r="S3797" s="56"/>
      <c r="T3797" s="72"/>
      <c r="U3797" s="53">
        <f>P_1_minQ-(U3795^2*R_up)+dpup_minQ</f>
        <v>32.559184019132282</v>
      </c>
      <c r="V3797" s="44"/>
      <c r="W3797" s="72"/>
      <c r="X3797" s="53">
        <f>P_1_minQ-(X3795^2*R_up)+dpup_minQ</f>
        <v>-83.424949609049662</v>
      </c>
      <c r="Y3797" s="44"/>
      <c r="Z3797" s="72"/>
      <c r="AA3797" s="53">
        <f>P_1_minQ-(AA3795^2*R_up)+dpup_minQ</f>
        <v>-454.72262621308738</v>
      </c>
      <c r="AB3797" s="44"/>
      <c r="AC3797" s="72"/>
      <c r="AD3797" s="53">
        <f>P_1_minQ-(AD3795^2*R_up)+dpup_minQ</f>
        <v>-1326.9714759679784</v>
      </c>
      <c r="AE3797" s="44"/>
      <c r="AF3797" s="72"/>
      <c r="AG3797" s="53">
        <f>P_1_minQ-(AG3795^2*R_up)+dpup_minQ</f>
        <v>-3010.7686010901475</v>
      </c>
      <c r="AH3797" s="44"/>
      <c r="AI3797" s="72"/>
      <c r="AJ3797" s="53">
        <f>P_1_minQ-(AJ3795^2*R_up)+dpup_minQ</f>
        <v>-5406.3254480001269</v>
      </c>
      <c r="AK3797" s="44"/>
      <c r="AL3797" s="72"/>
      <c r="AM3797" s="53">
        <f>P_1_minQ-(AM3795^2*R_up)+dpup_minQ</f>
        <v>-8077.1061297661699</v>
      </c>
      <c r="AN3797" s="44"/>
      <c r="AO3797" s="72"/>
      <c r="AP3797" s="53">
        <f>P_1_minQ-(AP3795^2*R_up)+dpup_minQ</f>
        <v>-10906.516954709368</v>
      </c>
      <c r="AQ3797" s="44"/>
      <c r="AR3797" s="72"/>
      <c r="AS3797" s="53">
        <f>P_1_minQ-(AS3795^2*R_up)+dpup_minQ</f>
        <v>-14143.53981058827</v>
      </c>
      <c r="AT3797" s="44"/>
      <c r="AU3797" s="72"/>
    </row>
    <row r="3798" spans="15:47" ht="13" x14ac:dyDescent="0.3">
      <c r="O3798" s="6" t="s">
        <v>233</v>
      </c>
      <c r="P3798" s="6"/>
      <c r="Q3798" s="60"/>
      <c r="R3798" s="85">
        <f>P_2_minQ+(R3795^2*R_dn)-dpdn_minQ</f>
        <v>27.955062951057226</v>
      </c>
      <c r="S3798" s="66"/>
      <c r="T3798" s="74"/>
      <c r="U3798" s="53">
        <f>P_2_minQ+(U3795^2*R_dn)-dpdn_minQ</f>
        <v>29.528163196173544</v>
      </c>
      <c r="V3798" s="45"/>
      <c r="W3798" s="74"/>
      <c r="X3798" s="53">
        <f>P_2_minQ+(X3795^2*R_dn)-dpdn_minQ</f>
        <v>52.724989921809936</v>
      </c>
      <c r="Y3798" s="45"/>
      <c r="Z3798" s="74"/>
      <c r="AA3798" s="53">
        <f>P_2_minQ+(AA3795^2*R_dn)-dpdn_minQ</f>
        <v>126.98452524261748</v>
      </c>
      <c r="AB3798" s="45"/>
      <c r="AC3798" s="74"/>
      <c r="AD3798" s="53">
        <f>P_2_minQ+(AD3795^2*R_dn)-dpdn_minQ</f>
        <v>301.43429519359563</v>
      </c>
      <c r="AE3798" s="45"/>
      <c r="AF3798" s="74"/>
      <c r="AG3798" s="53">
        <f>P_2_minQ+(AG3795^2*R_dn)-dpdn_minQ</f>
        <v>638.1937202180294</v>
      </c>
      <c r="AH3798" s="45"/>
      <c r="AI3798" s="74"/>
      <c r="AJ3798" s="53">
        <f>P_2_minQ+(AJ3795^2*R_dn)-dpdn_minQ</f>
        <v>1117.3050896000252</v>
      </c>
      <c r="AK3798" s="45"/>
      <c r="AL3798" s="74"/>
      <c r="AM3798" s="53">
        <f>P_2_minQ+(AM3795^2*R_dn)-dpdn_minQ</f>
        <v>1651.4612259532339</v>
      </c>
      <c r="AN3798" s="45"/>
      <c r="AO3798" s="74"/>
      <c r="AP3798" s="53">
        <f>P_2_minQ+(AP3795^2*R_dn)-dpdn_minQ</f>
        <v>2217.3433909418732</v>
      </c>
      <c r="AQ3798" s="45"/>
      <c r="AR3798" s="74"/>
      <c r="AS3798" s="53">
        <f>P_2_minQ+(AS3795^2*R_dn)-dpdn_minQ</f>
        <v>2864.747962117654</v>
      </c>
      <c r="AT3798" s="45"/>
      <c r="AU3798" s="74"/>
    </row>
    <row r="3799" spans="15:47" x14ac:dyDescent="0.25">
      <c r="O3799" s="6" t="s">
        <v>243</v>
      </c>
      <c r="Q3799" s="60"/>
      <c r="R3799" s="53">
        <f>R3797-R3798</f>
        <v>12.469622293656652</v>
      </c>
      <c r="S3799" s="56"/>
      <c r="T3799" s="72"/>
      <c r="U3799" s="64">
        <f>U3797-U3798</f>
        <v>3.0310208229587374</v>
      </c>
      <c r="V3799" s="44"/>
      <c r="W3799" s="72"/>
      <c r="X3799" s="64">
        <f>X3797-X3798</f>
        <v>-136.1499395308596</v>
      </c>
      <c r="Y3799" s="44"/>
      <c r="Z3799" s="72"/>
      <c r="AA3799" s="64">
        <f>AA3797-AA3798</f>
        <v>-581.70715145570489</v>
      </c>
      <c r="AB3799" s="44"/>
      <c r="AC3799" s="72"/>
      <c r="AD3799" s="64">
        <f>AD3797-AD3798</f>
        <v>-1628.4057711615742</v>
      </c>
      <c r="AE3799" s="44"/>
      <c r="AF3799" s="72"/>
      <c r="AG3799" s="64">
        <f>AG3797-AG3798</f>
        <v>-3648.9623213081768</v>
      </c>
      <c r="AH3799" s="44"/>
      <c r="AI3799" s="72"/>
      <c r="AJ3799" s="64">
        <f>AJ3797-AJ3798</f>
        <v>-6523.6305376001519</v>
      </c>
      <c r="AK3799" s="44"/>
      <c r="AL3799" s="72"/>
      <c r="AM3799" s="64">
        <f>AM3797-AM3798</f>
        <v>-9728.5673557194041</v>
      </c>
      <c r="AN3799" s="44"/>
      <c r="AO3799" s="72"/>
      <c r="AP3799" s="64">
        <f>AP3797-AP3798</f>
        <v>-13123.860345651241</v>
      </c>
      <c r="AQ3799" s="44"/>
      <c r="AR3799" s="72"/>
      <c r="AS3799" s="64">
        <f>AS3797-AS3798</f>
        <v>-17008.287772705924</v>
      </c>
      <c r="AT3799" s="44"/>
      <c r="AU3799" s="72"/>
    </row>
    <row r="3800" spans="15:47" ht="13" x14ac:dyDescent="0.3">
      <c r="O3800" s="6" t="s">
        <v>75</v>
      </c>
      <c r="P3800" s="6">
        <v>3</v>
      </c>
      <c r="Q3800" s="65"/>
      <c r="R3800" s="85">
        <f>(F_LP_h/F_P_h)^2*(R3797-('Valve Sizing'!$V$4*'Valve Sizing'!$G$7))</f>
        <v>33.109370423374159</v>
      </c>
      <c r="S3800" s="58"/>
      <c r="T3800" s="73"/>
      <c r="U3800" s="53">
        <f>(U$29/U$27)^2*(U3797-('Valve Sizing'!$V$4*'Valve Sizing'!$G$7))</f>
        <v>26.589073490115631</v>
      </c>
      <c r="V3800" s="41"/>
      <c r="W3800" s="73"/>
      <c r="X3800" s="53">
        <f>(X$29/X$27)^2*(X3797-('Valve Sizing'!$V$4*'Valve Sizing'!$G$7))</f>
        <v>-67.859669608411266</v>
      </c>
      <c r="Y3800" s="41"/>
      <c r="Z3800" s="73"/>
      <c r="AA3800" s="53">
        <f>(AA$29/AA$27)^2*(AA3797-('Valve Sizing'!$V$4*'Valve Sizing'!$G$7))</f>
        <v>-351.7484573677749</v>
      </c>
      <c r="AB3800" s="41"/>
      <c r="AC3800" s="73"/>
      <c r="AD3800" s="53">
        <f>(AD$29/AD$27)^2*(AD3797-('Valve Sizing'!$V$4*'Valve Sizing'!$G$7))</f>
        <v>-957.31248219873009</v>
      </c>
      <c r="AE3800" s="41"/>
      <c r="AF3800" s="73"/>
      <c r="AG3800" s="53">
        <f>(AG$29/AG$27)^2*(AG3797-('Valve Sizing'!$V$4*'Valve Sizing'!$G$7))</f>
        <v>-1939.35072242398</v>
      </c>
      <c r="AH3800" s="41"/>
      <c r="AI3800" s="73"/>
      <c r="AJ3800" s="53">
        <f>(AJ$29/AJ$27)^2*(AJ3797-('Valve Sizing'!$V$4*'Valve Sizing'!$G$7))</f>
        <v>-3127.0803379510307</v>
      </c>
      <c r="AK3800" s="41"/>
      <c r="AL3800" s="73"/>
      <c r="AM3800" s="53">
        <f>(AM$29/AM$27)^2*(AM3797-('Valve Sizing'!$V$4*'Valve Sizing'!$G$7))</f>
        <v>-3864.8808854086087</v>
      </c>
      <c r="AN3800" s="41"/>
      <c r="AO3800" s="73"/>
      <c r="AP3800" s="53">
        <f>(AP$29/AP$27)^2*(AP3797-('Valve Sizing'!$V$4*'Valve Sizing'!$G$7))</f>
        <v>-4304.1778419293078</v>
      </c>
      <c r="AQ3800" s="41"/>
      <c r="AR3800" s="73"/>
      <c r="AS3800" s="53">
        <f>(AS$29/AS$27)^2*(AS3797-('Valve Sizing'!$V$4*'Valve Sizing'!$G$7))</f>
        <v>-5320.1278194347105</v>
      </c>
      <c r="AT3800" s="41"/>
      <c r="AU3800" s="73"/>
    </row>
    <row r="3801" spans="15:47" ht="13" x14ac:dyDescent="0.25">
      <c r="O3801" s="1" t="s">
        <v>69</v>
      </c>
      <c r="P3801" s="17">
        <v>7</v>
      </c>
      <c r="Q3801" s="65"/>
      <c r="R3801" s="53">
        <f>(R3795/(N_1*F_P_h))*SQRT('Valve Sizing'!$G$6/R3799)</f>
        <v>197.91814360172231</v>
      </c>
      <c r="S3801" s="58"/>
      <c r="T3801" s="73"/>
      <c r="U3801" s="64">
        <f>(U3795/(N_1*U$27))*SQRT('Valve Sizing'!$G$6/U3799)</f>
        <v>488.20469117886125</v>
      </c>
      <c r="V3801" s="41"/>
      <c r="W3801" s="73"/>
      <c r="X3801" s="64" t="e">
        <f>(X3795/(N_1*X$27))*SQRT('Valve Sizing'!$G$6/X3799)</f>
        <v>#NUM!</v>
      </c>
      <c r="Y3801" s="41"/>
      <c r="Z3801" s="73"/>
      <c r="AA3801" s="64" t="e">
        <f>(AA3795/(N_1*AA$27))*SQRT('Valve Sizing'!$G$6/AA3799)</f>
        <v>#NUM!</v>
      </c>
      <c r="AB3801" s="41"/>
      <c r="AC3801" s="73"/>
      <c r="AD3801" s="64" t="e">
        <f>(AD3795/(N_1*AD$27))*SQRT('Valve Sizing'!$G$6/AD3799)</f>
        <v>#NUM!</v>
      </c>
      <c r="AE3801" s="41"/>
      <c r="AF3801" s="73"/>
      <c r="AG3801" s="64" t="e">
        <f>(AG3795/(N_1*AG$27))*SQRT('Valve Sizing'!$G$6/AG3799)</f>
        <v>#NUM!</v>
      </c>
      <c r="AH3801" s="41"/>
      <c r="AI3801" s="73"/>
      <c r="AJ3801" s="64" t="e">
        <f>(AJ3795/(N_1*AJ$27))*SQRT('Valve Sizing'!$G$6/AJ3799)</f>
        <v>#NUM!</v>
      </c>
      <c r="AK3801" s="41"/>
      <c r="AL3801" s="73"/>
      <c r="AM3801" s="64" t="e">
        <f>(AM3795/(N_1*AM$27))*SQRT('Valve Sizing'!$G$6/AM3799)</f>
        <v>#NUM!</v>
      </c>
      <c r="AN3801" s="41"/>
      <c r="AO3801" s="73"/>
      <c r="AP3801" s="64" t="e">
        <f>(AP3795/(N_1*AP$27))*SQRT('Valve Sizing'!$G$6/AP3799)</f>
        <v>#NUM!</v>
      </c>
      <c r="AQ3801" s="41"/>
      <c r="AR3801" s="73"/>
      <c r="AS3801" s="64" t="e">
        <f>(AS3795/(N_1*AS$27))*SQRT('Valve Sizing'!$G$6/AS3799)</f>
        <v>#NUM!</v>
      </c>
      <c r="AT3801" s="41"/>
      <c r="AU3801" s="73"/>
    </row>
    <row r="3802" spans="15:47" ht="13" x14ac:dyDescent="0.3">
      <c r="O3802" s="1" t="s">
        <v>72</v>
      </c>
      <c r="P3802" s="17">
        <v>7</v>
      </c>
      <c r="Q3802" s="65"/>
      <c r="R3802" s="53">
        <f>(R3795/(N_1*F_P_h))*SQRT('Valve Sizing'!$G$6/R3800)</f>
        <v>121.46098446977301</v>
      </c>
      <c r="S3802" s="56"/>
      <c r="T3802" s="72"/>
      <c r="U3802" s="85">
        <f>(U3795/(N_1*U$27))*SQRT('Valve Sizing'!$G$6/U3800)</f>
        <v>164.83324407620032</v>
      </c>
      <c r="V3802" s="44"/>
      <c r="W3802" s="72"/>
      <c r="X3802" s="85" t="e">
        <f>(X3795/(N_1*X$27))*SQRT('Valve Sizing'!$G$6/X3800)</f>
        <v>#NUM!</v>
      </c>
      <c r="Y3802" s="44"/>
      <c r="Z3802" s="72"/>
      <c r="AA3802" s="85" t="e">
        <f>(AA3795/(N_1*AA$27))*SQRT('Valve Sizing'!$G$6/AA3800)</f>
        <v>#NUM!</v>
      </c>
      <c r="AB3802" s="44"/>
      <c r="AC3802" s="72"/>
      <c r="AD3802" s="85" t="e">
        <f>(AD3795/(N_1*AD$27))*SQRT('Valve Sizing'!$G$6/AD3800)</f>
        <v>#NUM!</v>
      </c>
      <c r="AE3802" s="44"/>
      <c r="AF3802" s="72"/>
      <c r="AG3802" s="85" t="e">
        <f>(AG3795/(N_1*AG$27))*SQRT('Valve Sizing'!$G$6/AG3800)</f>
        <v>#NUM!</v>
      </c>
      <c r="AH3802" s="44"/>
      <c r="AI3802" s="72"/>
      <c r="AJ3802" s="85" t="e">
        <f>(AJ3795/(N_1*AJ$27))*SQRT('Valve Sizing'!$G$6/AJ3800)</f>
        <v>#NUM!</v>
      </c>
      <c r="AK3802" s="44"/>
      <c r="AL3802" s="72"/>
      <c r="AM3802" s="85" t="e">
        <f>(AM3795/(N_1*AM$27))*SQRT('Valve Sizing'!$G$6/AM3800)</f>
        <v>#NUM!</v>
      </c>
      <c r="AN3802" s="44"/>
      <c r="AO3802" s="72"/>
      <c r="AP3802" s="85" t="e">
        <f>(AP3795/(N_1*AP$27))*SQRT('Valve Sizing'!$G$6/AP3800)</f>
        <v>#NUM!</v>
      </c>
      <c r="AQ3802" s="44"/>
      <c r="AR3802" s="72"/>
      <c r="AS3802" s="85" t="e">
        <f>(AS3795/(N_1*AS$27))*SQRT('Valve Sizing'!$G$6/AS3800)</f>
        <v>#NUM!</v>
      </c>
      <c r="AT3802" s="44"/>
      <c r="AU3802" s="72"/>
    </row>
    <row r="3803" spans="15:47" x14ac:dyDescent="0.25">
      <c r="O3803" s="1" t="s">
        <v>246</v>
      </c>
      <c r="P3803" s="18"/>
      <c r="Q3803" s="65"/>
      <c r="R3803" s="53">
        <f>IF(R3799&lt;R3800,R3801,R3802)</f>
        <v>197.91814360172231</v>
      </c>
      <c r="S3803" s="49"/>
      <c r="T3803" s="72"/>
      <c r="U3803" s="64">
        <f>IF(U3799&lt;U3800,U3801,U3802)</f>
        <v>488.20469117886125</v>
      </c>
      <c r="V3803" s="44"/>
      <c r="W3803" s="72"/>
      <c r="X3803" s="64" t="e">
        <f>IF(X3799&lt;X3800,X3801,X3802)</f>
        <v>#NUM!</v>
      </c>
      <c r="Y3803" s="44"/>
      <c r="Z3803" s="72"/>
      <c r="AA3803" s="64" t="e">
        <f>IF(AA3799&lt;AA3800,AA3801,AA3802)</f>
        <v>#NUM!</v>
      </c>
      <c r="AB3803" s="44"/>
      <c r="AC3803" s="72"/>
      <c r="AD3803" s="64" t="e">
        <f>IF(AD3799&lt;AD3800,AD3801,AD3802)</f>
        <v>#NUM!</v>
      </c>
      <c r="AE3803" s="44"/>
      <c r="AF3803" s="72"/>
      <c r="AG3803" s="64" t="e">
        <f>IF(AG3799&lt;AG3800,AG3801,AG3802)</f>
        <v>#NUM!</v>
      </c>
      <c r="AH3803" s="44"/>
      <c r="AI3803" s="72"/>
      <c r="AJ3803" s="64" t="e">
        <f>IF(AJ3799&lt;AJ3800,AJ3801,AJ3802)</f>
        <v>#NUM!</v>
      </c>
      <c r="AK3803" s="44"/>
      <c r="AL3803" s="72"/>
      <c r="AM3803" s="64" t="e">
        <f>IF(AM3799&lt;AM3800,AM3801,AM3802)</f>
        <v>#NUM!</v>
      </c>
      <c r="AN3803" s="44"/>
      <c r="AO3803" s="72"/>
      <c r="AP3803" s="64" t="e">
        <f>IF(AP3799&lt;AP3800,AP3801,AP3802)</f>
        <v>#NUM!</v>
      </c>
      <c r="AQ3803" s="44"/>
      <c r="AR3803" s="72"/>
      <c r="AS3803" s="64" t="e">
        <f>IF(AS3799&lt;AS3800,AS3801,AS3802)</f>
        <v>#NUM!</v>
      </c>
      <c r="AT3803" s="44"/>
      <c r="AU3803" s="72"/>
    </row>
    <row r="3804" spans="15:47" ht="13" x14ac:dyDescent="0.3">
      <c r="O3804" s="7" t="s">
        <v>264</v>
      </c>
      <c r="Q3804" s="61"/>
      <c r="R3804" s="53"/>
      <c r="S3804" s="69">
        <f>IFERROR(ABS(C_h-R3803),Q_max*10)</f>
        <v>192.91814360172231</v>
      </c>
      <c r="T3804" s="76">
        <f>R3795</f>
        <v>698.79329554884976</v>
      </c>
      <c r="U3804" s="61"/>
      <c r="V3804" s="69">
        <f>IFERROR(ABS(U$23-U3803),Q_max*10)</f>
        <v>476.20469117886125</v>
      </c>
      <c r="W3804" s="75">
        <f>U3795</f>
        <v>849.24057910199576</v>
      </c>
      <c r="X3804" s="61"/>
      <c r="Y3804" s="69">
        <f>IFERROR(ABS(X$23-X3803),Q_max*10)</f>
        <v>5500</v>
      </c>
      <c r="Z3804" s="75">
        <f>X3795</f>
        <v>2038.5042943108951</v>
      </c>
      <c r="AA3804" s="61"/>
      <c r="AB3804" s="69">
        <f>IFERROR(ABS(AA$23-AA3803),Q_max*10)</f>
        <v>5500</v>
      </c>
      <c r="AC3804" s="75">
        <f>AA3795</f>
        <v>3892.2517855567253</v>
      </c>
      <c r="AD3804" s="61"/>
      <c r="AE3804" s="69">
        <f>IFERROR(ABS(AD$23-AD3803),Q_max*10)</f>
        <v>5500</v>
      </c>
      <c r="AF3804" s="75">
        <f>AD3795</f>
        <v>6401.3211451552597</v>
      </c>
      <c r="AG3804" s="61"/>
      <c r="AH3804" s="69">
        <f>IFERROR(ABS(AG$23-AG3803),Q_max*10)</f>
        <v>5500</v>
      </c>
      <c r="AI3804" s="75">
        <f>AG3795</f>
        <v>9530.6949000730929</v>
      </c>
      <c r="AJ3804" s="61"/>
      <c r="AK3804" s="69">
        <f>IFERROR(ABS(AJ$23-AJ3803),Q_max*10)</f>
        <v>5500</v>
      </c>
      <c r="AL3804" s="75">
        <f>AJ3795</f>
        <v>12718.749290527105</v>
      </c>
      <c r="AM3804" s="61"/>
      <c r="AN3804" s="69">
        <f>IFERROR(ABS(AM$23-AM3803),Q_max*10)</f>
        <v>5500</v>
      </c>
      <c r="AO3804" s="75">
        <f>AM3795</f>
        <v>15519.291204896448</v>
      </c>
      <c r="AP3804" s="61"/>
      <c r="AQ3804" s="69">
        <f>IFERROR(ABS(AP$23-AP3803),Q_max*10)</f>
        <v>5500</v>
      </c>
      <c r="AR3804" s="75">
        <f>AP3795</f>
        <v>18017.415298231441</v>
      </c>
      <c r="AS3804" s="61"/>
      <c r="AT3804" s="69">
        <f>IFERROR(ABS(AS$23-AS3803),Q_max*10)</f>
        <v>5500</v>
      </c>
      <c r="AU3804" s="75">
        <f>AS3795</f>
        <v>20505.499281693159</v>
      </c>
    </row>
    <row r="3805" spans="15:47" ht="14.5" x14ac:dyDescent="0.35">
      <c r="O3805" s="6"/>
      <c r="P3805" s="6"/>
      <c r="Q3805" s="60"/>
      <c r="R3805" s="67"/>
      <c r="S3805" s="56"/>
      <c r="T3805" s="72"/>
      <c r="V3805" s="11"/>
      <c r="W3805" s="38"/>
      <c r="Y3805" s="11"/>
      <c r="Z3805" s="38"/>
      <c r="AB3805" s="11"/>
      <c r="AC3805" s="38"/>
      <c r="AE3805" s="11"/>
      <c r="AF3805" s="38"/>
      <c r="AH3805" s="11"/>
      <c r="AI3805" s="38"/>
      <c r="AK3805" s="11"/>
      <c r="AL3805" s="38"/>
      <c r="AN3805" s="11"/>
      <c r="AO3805" s="38"/>
      <c r="AQ3805" s="11"/>
      <c r="AR3805" s="38"/>
      <c r="AT3805" s="11"/>
      <c r="AU3805" s="38"/>
    </row>
    <row r="3806" spans="15:47" ht="14" x14ac:dyDescent="0.3">
      <c r="O3806" s="8" t="s">
        <v>235</v>
      </c>
      <c r="P3806" s="6"/>
      <c r="Q3806" s="60"/>
      <c r="R3806" s="53">
        <f>R3795*1.02</f>
        <v>712.76916145982682</v>
      </c>
      <c r="S3806" s="58" t="s">
        <v>238</v>
      </c>
      <c r="T3806" s="73" t="s">
        <v>241</v>
      </c>
      <c r="U3806" s="84">
        <f>U3795*1.01</f>
        <v>857.73298489301578</v>
      </c>
      <c r="V3806" s="58" t="s">
        <v>238</v>
      </c>
      <c r="W3806" s="73" t="s">
        <v>241</v>
      </c>
      <c r="X3806" s="84">
        <f>X3795*1.01</f>
        <v>2058.8893372540042</v>
      </c>
      <c r="Y3806" s="58" t="s">
        <v>238</v>
      </c>
      <c r="Z3806" s="73" t="s">
        <v>241</v>
      </c>
      <c r="AA3806" s="84">
        <f>AA3795*1.01</f>
        <v>3931.1743034122924</v>
      </c>
      <c r="AB3806" s="58" t="s">
        <v>238</v>
      </c>
      <c r="AC3806" s="73" t="s">
        <v>241</v>
      </c>
      <c r="AD3806" s="84">
        <f>AD3795*1.01</f>
        <v>6465.3343566068124</v>
      </c>
      <c r="AE3806" s="58" t="s">
        <v>238</v>
      </c>
      <c r="AF3806" s="73" t="s">
        <v>241</v>
      </c>
      <c r="AG3806" s="84">
        <f>AG3795*1.01</f>
        <v>9626.0018490738239</v>
      </c>
      <c r="AH3806" s="58" t="s">
        <v>238</v>
      </c>
      <c r="AI3806" s="73" t="s">
        <v>241</v>
      </c>
      <c r="AJ3806" s="84">
        <f>AJ3795*1.01</f>
        <v>12845.936783432377</v>
      </c>
      <c r="AK3806" s="58" t="s">
        <v>238</v>
      </c>
      <c r="AL3806" s="73" t="s">
        <v>241</v>
      </c>
      <c r="AM3806" s="84">
        <f>AM3795*1.01</f>
        <v>15674.484116945412</v>
      </c>
      <c r="AN3806" s="58" t="s">
        <v>238</v>
      </c>
      <c r="AO3806" s="73" t="s">
        <v>241</v>
      </c>
      <c r="AP3806" s="84">
        <f>AP3795*1.01</f>
        <v>18197.589451213757</v>
      </c>
      <c r="AQ3806" s="58" t="s">
        <v>238</v>
      </c>
      <c r="AR3806" s="73" t="s">
        <v>241</v>
      </c>
      <c r="AS3806" s="84">
        <f>AS3795*1.01</f>
        <v>20710.55427451009</v>
      </c>
      <c r="AT3806" s="58" t="s">
        <v>238</v>
      </c>
      <c r="AU3806" s="73" t="s">
        <v>241</v>
      </c>
    </row>
    <row r="3807" spans="15:47" ht="13" x14ac:dyDescent="0.25">
      <c r="O3807" s="6"/>
      <c r="P3807" s="6"/>
      <c r="Q3807" s="60"/>
      <c r="R3807" s="70"/>
      <c r="S3807" s="63" t="s">
        <v>250</v>
      </c>
      <c r="T3807" s="71" t="s">
        <v>242</v>
      </c>
      <c r="U3807" s="61"/>
      <c r="V3807" s="63" t="s">
        <v>250</v>
      </c>
      <c r="W3807" s="71" t="s">
        <v>242</v>
      </c>
      <c r="X3807" s="61"/>
      <c r="Y3807" s="63" t="s">
        <v>250</v>
      </c>
      <c r="Z3807" s="71" t="s">
        <v>242</v>
      </c>
      <c r="AA3807" s="61"/>
      <c r="AB3807" s="63" t="s">
        <v>250</v>
      </c>
      <c r="AC3807" s="71" t="s">
        <v>242</v>
      </c>
      <c r="AD3807" s="61"/>
      <c r="AE3807" s="63" t="s">
        <v>250</v>
      </c>
      <c r="AF3807" s="71" t="s">
        <v>242</v>
      </c>
      <c r="AG3807" s="61"/>
      <c r="AH3807" s="63" t="s">
        <v>250</v>
      </c>
      <c r="AI3807" s="71" t="s">
        <v>242</v>
      </c>
      <c r="AJ3807" s="61"/>
      <c r="AK3807" s="63" t="s">
        <v>250</v>
      </c>
      <c r="AL3807" s="71" t="s">
        <v>242</v>
      </c>
      <c r="AM3807" s="61"/>
      <c r="AN3807" s="63" t="s">
        <v>250</v>
      </c>
      <c r="AO3807" s="71" t="s">
        <v>242</v>
      </c>
      <c r="AP3807" s="61"/>
      <c r="AQ3807" s="63" t="s">
        <v>250</v>
      </c>
      <c r="AR3807" s="71" t="s">
        <v>242</v>
      </c>
      <c r="AS3807" s="61"/>
      <c r="AT3807" s="63" t="s">
        <v>250</v>
      </c>
      <c r="AU3807" s="71" t="s">
        <v>242</v>
      </c>
    </row>
    <row r="3808" spans="15:47" ht="13" x14ac:dyDescent="0.3">
      <c r="O3808" s="6" t="s">
        <v>231</v>
      </c>
      <c r="P3808" s="6"/>
      <c r="Q3808" s="60"/>
      <c r="R3808" s="85">
        <f>P_1_minQ-(R3806^2*R_up)+dpup_minQ</f>
        <v>39.758430343527699</v>
      </c>
      <c r="S3808" s="56"/>
      <c r="T3808" s="72"/>
      <c r="U3808" s="53">
        <f>P_1_minQ-(U3806^2*R_up)+dpup_minQ</f>
        <v>32.06960913970002</v>
      </c>
      <c r="V3808" s="44"/>
      <c r="W3808" s="72"/>
      <c r="X3808" s="53">
        <f>P_1_minQ-(X3806^2*R_up)+dpup_minQ</f>
        <v>-86.245805574408422</v>
      </c>
      <c r="Y3808" s="44"/>
      <c r="Z3808" s="72"/>
      <c r="AA3808" s="53">
        <f>P_1_minQ-(AA3806^2*R_up)+dpup_minQ</f>
        <v>-465.00656547818727</v>
      </c>
      <c r="AB3808" s="44"/>
      <c r="AC3808" s="72"/>
      <c r="AD3808" s="53">
        <f>P_1_minQ-(AD3806^2*R_up)+dpup_minQ</f>
        <v>-1354.7876171131518</v>
      </c>
      <c r="AE3808" s="44"/>
      <c r="AF3808" s="72"/>
      <c r="AG3808" s="53">
        <f>P_1_minQ-(AG3806^2*R_up)+dpup_minQ</f>
        <v>-3072.4290644502767</v>
      </c>
      <c r="AH3808" s="44"/>
      <c r="AI3808" s="72"/>
      <c r="AJ3808" s="53">
        <f>P_1_minQ-(AJ3806^2*R_up)+dpup_minQ</f>
        <v>-5516.1366039831464</v>
      </c>
      <c r="AK3808" s="44"/>
      <c r="AL3808" s="72"/>
      <c r="AM3808" s="53">
        <f>P_1_minQ-(AM3806^2*R_up)+dpup_minQ</f>
        <v>-8240.5999774526863</v>
      </c>
      <c r="AN3808" s="44"/>
      <c r="AO3808" s="72"/>
      <c r="AP3808" s="53">
        <f>P_1_minQ-(AP3806^2*R_up)+dpup_minQ</f>
        <v>-11126.881959977245</v>
      </c>
      <c r="AQ3808" s="44"/>
      <c r="AR3808" s="72"/>
      <c r="AS3808" s="53">
        <f>P_1_minQ-(AS3806^2*R_up)+dpup_minQ</f>
        <v>-14428.968975259311</v>
      </c>
      <c r="AT3808" s="44"/>
      <c r="AU3808" s="72"/>
    </row>
    <row r="3809" spans="15:47" ht="13" x14ac:dyDescent="0.3">
      <c r="O3809" s="6" t="s">
        <v>233</v>
      </c>
      <c r="P3809" s="6"/>
      <c r="Q3809" s="60"/>
      <c r="R3809" s="85">
        <f>P_2_minQ+(R3806^2*R_dn)-dpdn_minQ</f>
        <v>28.088313931294461</v>
      </c>
      <c r="S3809" s="66"/>
      <c r="T3809" s="74"/>
      <c r="U3809" s="53">
        <f>P_2_minQ+(U3806^2*R_dn)-dpdn_minQ</f>
        <v>29.626078172059998</v>
      </c>
      <c r="V3809" s="45"/>
      <c r="W3809" s="74"/>
      <c r="X3809" s="53">
        <f>P_2_minQ+(X3806^2*R_dn)-dpdn_minQ</f>
        <v>53.289161114881686</v>
      </c>
      <c r="Y3809" s="45"/>
      <c r="Z3809" s="74"/>
      <c r="AA3809" s="53">
        <f>P_2_minQ+(AA3806^2*R_dn)-dpdn_minQ</f>
        <v>129.04131309563743</v>
      </c>
      <c r="AB3809" s="45"/>
      <c r="AC3809" s="74"/>
      <c r="AD3809" s="53">
        <f>P_2_minQ+(AD3806^2*R_dn)-dpdn_minQ</f>
        <v>306.99752342263031</v>
      </c>
      <c r="AE3809" s="45"/>
      <c r="AF3809" s="74"/>
      <c r="AG3809" s="53">
        <f>P_2_minQ+(AG3806^2*R_dn)-dpdn_minQ</f>
        <v>650.52581289005525</v>
      </c>
      <c r="AH3809" s="45"/>
      <c r="AI3809" s="74"/>
      <c r="AJ3809" s="53">
        <f>P_2_minQ+(AJ3806^2*R_dn)-dpdn_minQ</f>
        <v>1139.2673207966293</v>
      </c>
      <c r="AK3809" s="45"/>
      <c r="AL3809" s="74"/>
      <c r="AM3809" s="53">
        <f>P_2_minQ+(AM3806^2*R_dn)-dpdn_minQ</f>
        <v>1684.1599954905371</v>
      </c>
      <c r="AN3809" s="45"/>
      <c r="AO3809" s="74"/>
      <c r="AP3809" s="53">
        <f>P_2_minQ+(AP3806^2*R_dn)-dpdn_minQ</f>
        <v>2261.4163919954485</v>
      </c>
      <c r="AQ3809" s="45"/>
      <c r="AR3809" s="74"/>
      <c r="AS3809" s="53">
        <f>P_2_minQ+(AS3806^2*R_dn)-dpdn_minQ</f>
        <v>2921.8337950518621</v>
      </c>
      <c r="AT3809" s="45"/>
      <c r="AU3809" s="74"/>
    </row>
    <row r="3810" spans="15:47" x14ac:dyDescent="0.25">
      <c r="O3810" s="6" t="s">
        <v>243</v>
      </c>
      <c r="Q3810" s="60"/>
      <c r="R3810" s="53">
        <f>R3808-R3809</f>
        <v>11.670116412233238</v>
      </c>
      <c r="S3810" s="56"/>
      <c r="T3810" s="72"/>
      <c r="U3810" s="64">
        <f>U3808-U3809</f>
        <v>2.4435309676400223</v>
      </c>
      <c r="V3810" s="44"/>
      <c r="W3810" s="72"/>
      <c r="X3810" s="64">
        <f>X3808-X3809</f>
        <v>-139.53496668929012</v>
      </c>
      <c r="Y3810" s="44"/>
      <c r="Z3810" s="72"/>
      <c r="AA3810" s="64">
        <f>AA3808-AA3809</f>
        <v>-594.04787857382473</v>
      </c>
      <c r="AB3810" s="44"/>
      <c r="AC3810" s="72"/>
      <c r="AD3810" s="64">
        <f>AD3808-AD3809</f>
        <v>-1661.7851405357821</v>
      </c>
      <c r="AE3810" s="44"/>
      <c r="AF3810" s="72"/>
      <c r="AG3810" s="64">
        <f>AG3808-AG3809</f>
        <v>-3722.9548773403321</v>
      </c>
      <c r="AH3810" s="44"/>
      <c r="AI3810" s="72"/>
      <c r="AJ3810" s="64">
        <f>AJ3808-AJ3809</f>
        <v>-6655.4039247797755</v>
      </c>
      <c r="AK3810" s="44"/>
      <c r="AL3810" s="72"/>
      <c r="AM3810" s="64">
        <f>AM3808-AM3809</f>
        <v>-9924.7599729432241</v>
      </c>
      <c r="AN3810" s="44"/>
      <c r="AO3810" s="72"/>
      <c r="AP3810" s="64">
        <f>AP3808-AP3809</f>
        <v>-13388.298351972693</v>
      </c>
      <c r="AQ3810" s="44"/>
      <c r="AR3810" s="72"/>
      <c r="AS3810" s="64">
        <f>AS3808-AS3809</f>
        <v>-17350.802770311173</v>
      </c>
      <c r="AT3810" s="44"/>
      <c r="AU3810" s="72"/>
    </row>
    <row r="3811" spans="15:47" ht="13" x14ac:dyDescent="0.3">
      <c r="O3811" s="6" t="s">
        <v>75</v>
      </c>
      <c r="P3811" s="6">
        <v>3</v>
      </c>
      <c r="Q3811" s="65"/>
      <c r="R3811" s="85">
        <f>(F_LP_h/F_P_h)^2*(R3808-('Valve Sizing'!$V$4*'Valve Sizing'!$G$7))</f>
        <v>32.557676393513091</v>
      </c>
      <c r="S3811" s="58"/>
      <c r="T3811" s="73"/>
      <c r="U3811" s="53">
        <f>(U$29/U$27)^2*(U3808-('Valve Sizing'!$V$4*'Valve Sizing'!$G$7))</f>
        <v>26.183790285765053</v>
      </c>
      <c r="V3811" s="41"/>
      <c r="W3811" s="73"/>
      <c r="X3811" s="53">
        <f>(X$29/X$27)^2*(X3808-('Valve Sizing'!$V$4*'Valve Sizing'!$G$7))</f>
        <v>-70.142175268818633</v>
      </c>
      <c r="Y3811" s="41"/>
      <c r="Z3811" s="73"/>
      <c r="AA3811" s="53">
        <f>(AA$29/AA$27)^2*(AA3808-('Valve Sizing'!$V$4*'Valve Sizing'!$G$7))</f>
        <v>-359.6958570564106</v>
      </c>
      <c r="AB3811" s="41"/>
      <c r="AC3811" s="73"/>
      <c r="AD3811" s="53">
        <f>(AD$29/AD$27)^2*(AD3808-('Valve Sizing'!$V$4*'Valve Sizing'!$G$7))</f>
        <v>-977.37313290885061</v>
      </c>
      <c r="AE3811" s="41"/>
      <c r="AF3811" s="73"/>
      <c r="AG3811" s="53">
        <f>(AG$29/AG$27)^2*(AG3808-('Valve Sizing'!$V$4*'Valve Sizing'!$G$7))</f>
        <v>-1979.0627708782183</v>
      </c>
      <c r="AH3811" s="41"/>
      <c r="AI3811" s="73"/>
      <c r="AJ3811" s="53">
        <f>(AJ$29/AJ$27)^2*(AJ3808-('Valve Sizing'!$V$4*'Valve Sizing'!$G$7))</f>
        <v>-3190.5911941925538</v>
      </c>
      <c r="AK3811" s="41"/>
      <c r="AL3811" s="73"/>
      <c r="AM3811" s="53">
        <f>(AM$29/AM$27)^2*(AM3808-('Valve Sizing'!$V$4*'Valve Sizing'!$G$7))</f>
        <v>-3943.1081381092426</v>
      </c>
      <c r="AN3811" s="41"/>
      <c r="AO3811" s="73"/>
      <c r="AP3811" s="53">
        <f>(AP$29/AP$27)^2*(AP3808-('Valve Sizing'!$V$4*'Valve Sizing'!$G$7))</f>
        <v>-4391.1397848189872</v>
      </c>
      <c r="AQ3811" s="41"/>
      <c r="AR3811" s="73"/>
      <c r="AS3811" s="53">
        <f>(AS$29/AS$27)^2*(AS3808-('Valve Sizing'!$V$4*'Valve Sizing'!$G$7))</f>
        <v>-5427.4893720944656</v>
      </c>
      <c r="AT3811" s="41"/>
      <c r="AU3811" s="73"/>
    </row>
    <row r="3812" spans="15:47" ht="13" x14ac:dyDescent="0.25">
      <c r="O3812" s="1" t="s">
        <v>69</v>
      </c>
      <c r="P3812" s="17">
        <v>7</v>
      </c>
      <c r="Q3812" s="65"/>
      <c r="R3812" s="53">
        <f>(R3806/(N_1*F_P_h))*SQRT('Valve Sizing'!$G$6/R3810)</f>
        <v>208.67712074178803</v>
      </c>
      <c r="S3812" s="58"/>
      <c r="T3812" s="73"/>
      <c r="U3812" s="64">
        <f>(U3806/(N_1*U$27))*SQRT('Valve Sizing'!$G$6/U3810)</f>
        <v>549.17259695872769</v>
      </c>
      <c r="V3812" s="41"/>
      <c r="W3812" s="73"/>
      <c r="X3812" s="64" t="e">
        <f>(X3806/(N_1*X$27))*SQRT('Valve Sizing'!$G$6/X3810)</f>
        <v>#NUM!</v>
      </c>
      <c r="Y3812" s="41"/>
      <c r="Z3812" s="73"/>
      <c r="AA3812" s="64" t="e">
        <f>(AA3806/(N_1*AA$27))*SQRT('Valve Sizing'!$G$6/AA3810)</f>
        <v>#NUM!</v>
      </c>
      <c r="AB3812" s="41"/>
      <c r="AC3812" s="73"/>
      <c r="AD3812" s="64" t="e">
        <f>(AD3806/(N_1*AD$27))*SQRT('Valve Sizing'!$G$6/AD3810)</f>
        <v>#NUM!</v>
      </c>
      <c r="AE3812" s="41"/>
      <c r="AF3812" s="73"/>
      <c r="AG3812" s="64" t="e">
        <f>(AG3806/(N_1*AG$27))*SQRT('Valve Sizing'!$G$6/AG3810)</f>
        <v>#NUM!</v>
      </c>
      <c r="AH3812" s="41"/>
      <c r="AI3812" s="73"/>
      <c r="AJ3812" s="64" t="e">
        <f>(AJ3806/(N_1*AJ$27))*SQRT('Valve Sizing'!$G$6/AJ3810)</f>
        <v>#NUM!</v>
      </c>
      <c r="AK3812" s="41"/>
      <c r="AL3812" s="73"/>
      <c r="AM3812" s="64" t="e">
        <f>(AM3806/(N_1*AM$27))*SQRT('Valve Sizing'!$G$6/AM3810)</f>
        <v>#NUM!</v>
      </c>
      <c r="AN3812" s="41"/>
      <c r="AO3812" s="73"/>
      <c r="AP3812" s="64" t="e">
        <f>(AP3806/(N_1*AP$27))*SQRT('Valve Sizing'!$G$6/AP3810)</f>
        <v>#NUM!</v>
      </c>
      <c r="AQ3812" s="41"/>
      <c r="AR3812" s="73"/>
      <c r="AS3812" s="64" t="e">
        <f>(AS3806/(N_1*AS$27))*SQRT('Valve Sizing'!$G$6/AS3810)</f>
        <v>#NUM!</v>
      </c>
      <c r="AT3812" s="41"/>
      <c r="AU3812" s="73"/>
    </row>
    <row r="3813" spans="15:47" ht="13" x14ac:dyDescent="0.3">
      <c r="O3813" s="1" t="s">
        <v>72</v>
      </c>
      <c r="P3813" s="17">
        <v>7</v>
      </c>
      <c r="Q3813" s="65"/>
      <c r="R3813" s="53">
        <f>(R3806/(N_1*F_P_h))*SQRT('Valve Sizing'!$G$6/R3811)</f>
        <v>124.93546250299059</v>
      </c>
      <c r="S3813" s="56"/>
      <c r="T3813" s="72"/>
      <c r="U3813" s="85">
        <f>(U3806/(N_1*U$27))*SQRT('Valve Sizing'!$G$6/U3811)</f>
        <v>167.7650633033526</v>
      </c>
      <c r="V3813" s="44"/>
      <c r="W3813" s="72"/>
      <c r="X3813" s="85" t="e">
        <f>(X3806/(N_1*X$27))*SQRT('Valve Sizing'!$G$6/X3811)</f>
        <v>#NUM!</v>
      </c>
      <c r="Y3813" s="44"/>
      <c r="Z3813" s="72"/>
      <c r="AA3813" s="85" t="e">
        <f>(AA3806/(N_1*AA$27))*SQRT('Valve Sizing'!$G$6/AA3811)</f>
        <v>#NUM!</v>
      </c>
      <c r="AB3813" s="44"/>
      <c r="AC3813" s="72"/>
      <c r="AD3813" s="85" t="e">
        <f>(AD3806/(N_1*AD$27))*SQRT('Valve Sizing'!$G$6/AD3811)</f>
        <v>#NUM!</v>
      </c>
      <c r="AE3813" s="44"/>
      <c r="AF3813" s="72"/>
      <c r="AG3813" s="85" t="e">
        <f>(AG3806/(N_1*AG$27))*SQRT('Valve Sizing'!$G$6/AG3811)</f>
        <v>#NUM!</v>
      </c>
      <c r="AH3813" s="44"/>
      <c r="AI3813" s="72"/>
      <c r="AJ3813" s="85" t="e">
        <f>(AJ3806/(N_1*AJ$27))*SQRT('Valve Sizing'!$G$6/AJ3811)</f>
        <v>#NUM!</v>
      </c>
      <c r="AK3813" s="44"/>
      <c r="AL3813" s="72"/>
      <c r="AM3813" s="85" t="e">
        <f>(AM3806/(N_1*AM$27))*SQRT('Valve Sizing'!$G$6/AM3811)</f>
        <v>#NUM!</v>
      </c>
      <c r="AN3813" s="44"/>
      <c r="AO3813" s="72"/>
      <c r="AP3813" s="85" t="e">
        <f>(AP3806/(N_1*AP$27))*SQRT('Valve Sizing'!$G$6/AP3811)</f>
        <v>#NUM!</v>
      </c>
      <c r="AQ3813" s="44"/>
      <c r="AR3813" s="72"/>
      <c r="AS3813" s="85" t="e">
        <f>(AS3806/(N_1*AS$27))*SQRT('Valve Sizing'!$G$6/AS3811)</f>
        <v>#NUM!</v>
      </c>
      <c r="AT3813" s="44"/>
      <c r="AU3813" s="72"/>
    </row>
    <row r="3814" spans="15:47" x14ac:dyDescent="0.25">
      <c r="O3814" s="1" t="s">
        <v>246</v>
      </c>
      <c r="P3814" s="18"/>
      <c r="Q3814" s="65"/>
      <c r="R3814" s="53">
        <f>IF(R3810&lt;R3811,R3812,R3813)</f>
        <v>208.67712074178803</v>
      </c>
      <c r="S3814" s="49"/>
      <c r="T3814" s="72"/>
      <c r="U3814" s="64">
        <f>IF(U3810&lt;U3811,U3812,U3813)</f>
        <v>549.17259695872769</v>
      </c>
      <c r="V3814" s="44"/>
      <c r="W3814" s="72"/>
      <c r="X3814" s="64" t="e">
        <f>IF(X3810&lt;X3811,X3812,X3813)</f>
        <v>#NUM!</v>
      </c>
      <c r="Y3814" s="44"/>
      <c r="Z3814" s="72"/>
      <c r="AA3814" s="64" t="e">
        <f>IF(AA3810&lt;AA3811,AA3812,AA3813)</f>
        <v>#NUM!</v>
      </c>
      <c r="AB3814" s="44"/>
      <c r="AC3814" s="72"/>
      <c r="AD3814" s="64" t="e">
        <f>IF(AD3810&lt;AD3811,AD3812,AD3813)</f>
        <v>#NUM!</v>
      </c>
      <c r="AE3814" s="44"/>
      <c r="AF3814" s="72"/>
      <c r="AG3814" s="64" t="e">
        <f>IF(AG3810&lt;AG3811,AG3812,AG3813)</f>
        <v>#NUM!</v>
      </c>
      <c r="AH3814" s="44"/>
      <c r="AI3814" s="72"/>
      <c r="AJ3814" s="64" t="e">
        <f>IF(AJ3810&lt;AJ3811,AJ3812,AJ3813)</f>
        <v>#NUM!</v>
      </c>
      <c r="AK3814" s="44"/>
      <c r="AL3814" s="72"/>
      <c r="AM3814" s="64" t="e">
        <f>IF(AM3810&lt;AM3811,AM3812,AM3813)</f>
        <v>#NUM!</v>
      </c>
      <c r="AN3814" s="44"/>
      <c r="AO3814" s="72"/>
      <c r="AP3814" s="64" t="e">
        <f>IF(AP3810&lt;AP3811,AP3812,AP3813)</f>
        <v>#NUM!</v>
      </c>
      <c r="AQ3814" s="44"/>
      <c r="AR3814" s="72"/>
      <c r="AS3814" s="64" t="e">
        <f>IF(AS3810&lt;AS3811,AS3812,AS3813)</f>
        <v>#NUM!</v>
      </c>
      <c r="AT3814" s="44"/>
      <c r="AU3814" s="72"/>
    </row>
    <row r="3815" spans="15:47" ht="13" x14ac:dyDescent="0.3">
      <c r="O3815" s="7" t="s">
        <v>264</v>
      </c>
      <c r="Q3815" s="61"/>
      <c r="R3815" s="53"/>
      <c r="S3815" s="69">
        <f>IFERROR(ABS(C_h-R3814),Q_max*10)</f>
        <v>203.67712074178803</v>
      </c>
      <c r="T3815" s="76">
        <f>R3806</f>
        <v>712.76916145982682</v>
      </c>
      <c r="U3815" s="61"/>
      <c r="V3815" s="69">
        <f>IFERROR(ABS(U$23-U3814),Q_max*10)</f>
        <v>537.17259695872769</v>
      </c>
      <c r="W3815" s="75">
        <f>U3806</f>
        <v>857.73298489301578</v>
      </c>
      <c r="X3815" s="61"/>
      <c r="Y3815" s="69">
        <f>IFERROR(ABS(X$23-X3814),Q_max*10)</f>
        <v>5500</v>
      </c>
      <c r="Z3815" s="75">
        <f>X3806</f>
        <v>2058.8893372540042</v>
      </c>
      <c r="AA3815" s="61"/>
      <c r="AB3815" s="69">
        <f>IFERROR(ABS(AA$23-AA3814),Q_max*10)</f>
        <v>5500</v>
      </c>
      <c r="AC3815" s="75">
        <f>AA3806</f>
        <v>3931.1743034122924</v>
      </c>
      <c r="AD3815" s="61"/>
      <c r="AE3815" s="69">
        <f>IFERROR(ABS(AD$23-AD3814),Q_max*10)</f>
        <v>5500</v>
      </c>
      <c r="AF3815" s="75">
        <f>AD3806</f>
        <v>6465.3343566068124</v>
      </c>
      <c r="AG3815" s="61"/>
      <c r="AH3815" s="69">
        <f>IFERROR(ABS(AG$23-AG3814),Q_max*10)</f>
        <v>5500</v>
      </c>
      <c r="AI3815" s="75">
        <f>AG3806</f>
        <v>9626.0018490738239</v>
      </c>
      <c r="AJ3815" s="61"/>
      <c r="AK3815" s="69">
        <f>IFERROR(ABS(AJ$23-AJ3814),Q_max*10)</f>
        <v>5500</v>
      </c>
      <c r="AL3815" s="75">
        <f>AJ3806</f>
        <v>12845.936783432377</v>
      </c>
      <c r="AM3815" s="61"/>
      <c r="AN3815" s="69">
        <f>IFERROR(ABS(AM$23-AM3814),Q_max*10)</f>
        <v>5500</v>
      </c>
      <c r="AO3815" s="75">
        <f>AM3806</f>
        <v>15674.484116945412</v>
      </c>
      <c r="AP3815" s="61"/>
      <c r="AQ3815" s="69">
        <f>IFERROR(ABS(AP$23-AP3814),Q_max*10)</f>
        <v>5500</v>
      </c>
      <c r="AR3815" s="75">
        <f>AP3806</f>
        <v>18197.589451213757</v>
      </c>
      <c r="AS3815" s="61"/>
      <c r="AT3815" s="69">
        <f>IFERROR(ABS(AS$23-AS3814),Q_max*10)</f>
        <v>5500</v>
      </c>
      <c r="AU3815" s="75">
        <f>AS3806</f>
        <v>20710.55427451009</v>
      </c>
    </row>
    <row r="3816" spans="15:47" ht="14.5" x14ac:dyDescent="0.35">
      <c r="O3816" s="8"/>
      <c r="P3816" s="6"/>
      <c r="Q3816" s="60"/>
      <c r="R3816" s="67"/>
      <c r="S3816" s="58"/>
      <c r="T3816" s="73"/>
      <c r="V3816" s="11"/>
      <c r="W3816" s="38"/>
      <c r="Y3816" s="11"/>
      <c r="Z3816" s="38"/>
      <c r="AB3816" s="11"/>
      <c r="AC3816" s="38"/>
      <c r="AE3816" s="11"/>
      <c r="AF3816" s="38"/>
      <c r="AH3816" s="11"/>
      <c r="AI3816" s="38"/>
      <c r="AK3816" s="11"/>
      <c r="AL3816" s="38"/>
      <c r="AN3816" s="11"/>
      <c r="AO3816" s="38"/>
      <c r="AQ3816" s="11"/>
      <c r="AR3816" s="38"/>
      <c r="AT3816" s="11"/>
      <c r="AU3816" s="38"/>
    </row>
    <row r="3817" spans="15:47" ht="14" x14ac:dyDescent="0.3">
      <c r="O3817" s="8" t="s">
        <v>235</v>
      </c>
      <c r="P3817" s="6"/>
      <c r="Q3817" s="60"/>
      <c r="R3817" s="53">
        <f>R3806*1.02</f>
        <v>727.0245446890234</v>
      </c>
      <c r="S3817" s="58" t="s">
        <v>238</v>
      </c>
      <c r="T3817" s="73" t="s">
        <v>241</v>
      </c>
      <c r="U3817" s="84">
        <f>U3806*1.01</f>
        <v>866.31031474194594</v>
      </c>
      <c r="V3817" s="58" t="s">
        <v>238</v>
      </c>
      <c r="W3817" s="73" t="s">
        <v>241</v>
      </c>
      <c r="X3817" s="84">
        <f>X3806*1.01</f>
        <v>2079.4782306265442</v>
      </c>
      <c r="Y3817" s="58" t="s">
        <v>238</v>
      </c>
      <c r="Z3817" s="73" t="s">
        <v>241</v>
      </c>
      <c r="AA3817" s="84">
        <f>AA3806*1.01</f>
        <v>3970.4860464464155</v>
      </c>
      <c r="AB3817" s="58" t="s">
        <v>238</v>
      </c>
      <c r="AC3817" s="73" t="s">
        <v>241</v>
      </c>
      <c r="AD3817" s="84">
        <f>AD3806*1.01</f>
        <v>6529.987700172881</v>
      </c>
      <c r="AE3817" s="58" t="s">
        <v>238</v>
      </c>
      <c r="AF3817" s="73" t="s">
        <v>241</v>
      </c>
      <c r="AG3817" s="84">
        <f>AG3806*1.01</f>
        <v>9722.2618675645626</v>
      </c>
      <c r="AH3817" s="58" t="s">
        <v>238</v>
      </c>
      <c r="AI3817" s="73" t="s">
        <v>241</v>
      </c>
      <c r="AJ3817" s="84">
        <f>AJ3806*1.01</f>
        <v>12974.396151266701</v>
      </c>
      <c r="AK3817" s="58" t="s">
        <v>238</v>
      </c>
      <c r="AL3817" s="73" t="s">
        <v>241</v>
      </c>
      <c r="AM3817" s="84">
        <f>AM3806*1.01</f>
        <v>15831.228958114867</v>
      </c>
      <c r="AN3817" s="58" t="s">
        <v>238</v>
      </c>
      <c r="AO3817" s="73" t="s">
        <v>241</v>
      </c>
      <c r="AP3817" s="84">
        <f>AP3806*1.01</f>
        <v>18379.565345725896</v>
      </c>
      <c r="AQ3817" s="58" t="s">
        <v>238</v>
      </c>
      <c r="AR3817" s="73" t="s">
        <v>241</v>
      </c>
      <c r="AS3817" s="84">
        <f>AS3806*1.01</f>
        <v>20917.659817255193</v>
      </c>
      <c r="AT3817" s="58" t="s">
        <v>238</v>
      </c>
      <c r="AU3817" s="73" t="s">
        <v>241</v>
      </c>
    </row>
    <row r="3818" spans="15:47" ht="13" x14ac:dyDescent="0.25">
      <c r="O3818" s="6"/>
      <c r="P3818" s="6"/>
      <c r="Q3818" s="60"/>
      <c r="R3818" s="70"/>
      <c r="S3818" s="63" t="s">
        <v>250</v>
      </c>
      <c r="T3818" s="71" t="s">
        <v>242</v>
      </c>
      <c r="U3818" s="61"/>
      <c r="V3818" s="63" t="s">
        <v>250</v>
      </c>
      <c r="W3818" s="71" t="s">
        <v>242</v>
      </c>
      <c r="X3818" s="61"/>
      <c r="Y3818" s="63" t="s">
        <v>250</v>
      </c>
      <c r="Z3818" s="71" t="s">
        <v>242</v>
      </c>
      <c r="AA3818" s="61"/>
      <c r="AB3818" s="63" t="s">
        <v>250</v>
      </c>
      <c r="AC3818" s="71" t="s">
        <v>242</v>
      </c>
      <c r="AD3818" s="61"/>
      <c r="AE3818" s="63" t="s">
        <v>250</v>
      </c>
      <c r="AF3818" s="71" t="s">
        <v>242</v>
      </c>
      <c r="AG3818" s="61"/>
      <c r="AH3818" s="63" t="s">
        <v>250</v>
      </c>
      <c r="AI3818" s="71" t="s">
        <v>242</v>
      </c>
      <c r="AJ3818" s="61"/>
      <c r="AK3818" s="63" t="s">
        <v>250</v>
      </c>
      <c r="AL3818" s="71" t="s">
        <v>242</v>
      </c>
      <c r="AM3818" s="61"/>
      <c r="AN3818" s="63" t="s">
        <v>250</v>
      </c>
      <c r="AO3818" s="71" t="s">
        <v>242</v>
      </c>
      <c r="AP3818" s="61"/>
      <c r="AQ3818" s="63" t="s">
        <v>250</v>
      </c>
      <c r="AR3818" s="71" t="s">
        <v>242</v>
      </c>
      <c r="AS3818" s="61"/>
      <c r="AT3818" s="63" t="s">
        <v>250</v>
      </c>
      <c r="AU3818" s="71" t="s">
        <v>242</v>
      </c>
    </row>
    <row r="3819" spans="15:47" ht="13" x14ac:dyDescent="0.3">
      <c r="O3819" s="6" t="s">
        <v>231</v>
      </c>
      <c r="P3819" s="6"/>
      <c r="Q3819" s="60"/>
      <c r="R3819" s="85">
        <f>P_1_minQ-(R3817^2*R_up)+dpup_minQ</f>
        <v>39.065258744333612</v>
      </c>
      <c r="S3819" s="56"/>
      <c r="T3819" s="72"/>
      <c r="U3819" s="53">
        <f>P_1_minQ-(U3817^2*R_up)+dpup_minQ</f>
        <v>31.570193805191174</v>
      </c>
      <c r="V3819" s="44"/>
      <c r="W3819" s="72"/>
      <c r="X3819" s="53">
        <f>P_1_minQ-(X3817^2*R_up)+dpup_minQ</f>
        <v>-89.123360744670805</v>
      </c>
      <c r="Y3819" s="44"/>
      <c r="Z3819" s="72"/>
      <c r="AA3819" s="53">
        <f>P_1_minQ-(AA3817^2*R_up)+dpup_minQ</f>
        <v>-475.49721192251565</v>
      </c>
      <c r="AB3819" s="44"/>
      <c r="AC3819" s="72"/>
      <c r="AD3819" s="53">
        <f>P_1_minQ-(AD3817^2*R_up)+dpup_minQ</f>
        <v>-1383.1628626953432</v>
      </c>
      <c r="AE3819" s="44"/>
      <c r="AF3819" s="72"/>
      <c r="AG3819" s="53">
        <f>P_1_minQ-(AG3817^2*R_up)+dpup_minQ</f>
        <v>-3135.3289031239442</v>
      </c>
      <c r="AH3819" s="44"/>
      <c r="AI3819" s="72"/>
      <c r="AJ3819" s="53">
        <f>P_1_minQ-(AJ3817^2*R_up)+dpup_minQ</f>
        <v>-5628.1549642014252</v>
      </c>
      <c r="AK3819" s="44"/>
      <c r="AL3819" s="72"/>
      <c r="AM3819" s="53">
        <f>P_1_minQ-(AM3817^2*R_up)+dpup_minQ</f>
        <v>-8407.3800514777013</v>
      </c>
      <c r="AN3819" s="44"/>
      <c r="AO3819" s="72"/>
      <c r="AP3819" s="53">
        <f>P_1_minQ-(AP3817^2*R_up)+dpup_minQ</f>
        <v>-11351.676301851006</v>
      </c>
      <c r="AQ3819" s="44"/>
      <c r="AR3819" s="72"/>
      <c r="AS3819" s="53">
        <f>P_1_minQ-(AS3817^2*R_up)+dpup_minQ</f>
        <v>-14720.135266140242</v>
      </c>
      <c r="AT3819" s="44"/>
      <c r="AU3819" s="72"/>
    </row>
    <row r="3820" spans="15:47" ht="13" x14ac:dyDescent="0.3">
      <c r="O3820" s="6" t="s">
        <v>233</v>
      </c>
      <c r="P3820" s="6"/>
      <c r="Q3820" s="60"/>
      <c r="R3820" s="85">
        <f>P_2_minQ+(R3817^2*R_dn)-dpdn_minQ</f>
        <v>28.22694825113328</v>
      </c>
      <c r="S3820" s="66"/>
      <c r="T3820" s="74"/>
      <c r="U3820" s="53">
        <f>P_2_minQ+(U3817^2*R_dn)-dpdn_minQ</f>
        <v>29.725961238961766</v>
      </c>
      <c r="V3820" s="45"/>
      <c r="W3820" s="74"/>
      <c r="X3820" s="53">
        <f>P_2_minQ+(X3817^2*R_dn)-dpdn_minQ</f>
        <v>53.864672148934169</v>
      </c>
      <c r="Y3820" s="45"/>
      <c r="Z3820" s="74"/>
      <c r="AA3820" s="53">
        <f>P_2_minQ+(AA3817^2*R_dn)-dpdn_minQ</f>
        <v>131.1394423845031</v>
      </c>
      <c r="AB3820" s="45"/>
      <c r="AC3820" s="74"/>
      <c r="AD3820" s="53">
        <f>P_2_minQ+(AD3817^2*R_dn)-dpdn_minQ</f>
        <v>312.6725725390686</v>
      </c>
      <c r="AE3820" s="45"/>
      <c r="AF3820" s="74"/>
      <c r="AG3820" s="53">
        <f>P_2_minQ+(AG3817^2*R_dn)-dpdn_minQ</f>
        <v>663.10578062478874</v>
      </c>
      <c r="AH3820" s="45"/>
      <c r="AI3820" s="74"/>
      <c r="AJ3820" s="53">
        <f>P_2_minQ+(AJ3817^2*R_dn)-dpdn_minQ</f>
        <v>1161.670992840285</v>
      </c>
      <c r="AK3820" s="45"/>
      <c r="AL3820" s="74"/>
      <c r="AM3820" s="53">
        <f>P_2_minQ+(AM3817^2*R_dn)-dpdn_minQ</f>
        <v>1717.5160102955404</v>
      </c>
      <c r="AN3820" s="45"/>
      <c r="AO3820" s="74"/>
      <c r="AP3820" s="53">
        <f>P_2_minQ+(AP3817^2*R_dn)-dpdn_minQ</f>
        <v>2306.375260370201</v>
      </c>
      <c r="AQ3820" s="45"/>
      <c r="AR3820" s="74"/>
      <c r="AS3820" s="53">
        <f>P_2_minQ+(AS3817^2*R_dn)-dpdn_minQ</f>
        <v>2980.0670532280483</v>
      </c>
      <c r="AT3820" s="45"/>
      <c r="AU3820" s="74"/>
    </row>
    <row r="3821" spans="15:47" x14ac:dyDescent="0.25">
      <c r="O3821" s="6" t="s">
        <v>243</v>
      </c>
      <c r="Q3821" s="60"/>
      <c r="R3821" s="53">
        <f>R3819-R3820</f>
        <v>10.838310493200332</v>
      </c>
      <c r="S3821" s="56"/>
      <c r="T3821" s="72"/>
      <c r="U3821" s="64">
        <f>U3819-U3820</f>
        <v>1.8442325662294081</v>
      </c>
      <c r="V3821" s="44"/>
      <c r="W3821" s="72"/>
      <c r="X3821" s="64">
        <f>X3819-X3820</f>
        <v>-142.98803289360498</v>
      </c>
      <c r="Y3821" s="44"/>
      <c r="Z3821" s="72"/>
      <c r="AA3821" s="64">
        <f>AA3819-AA3820</f>
        <v>-606.63665430701872</v>
      </c>
      <c r="AB3821" s="44"/>
      <c r="AC3821" s="72"/>
      <c r="AD3821" s="64">
        <f>AD3819-AD3820</f>
        <v>-1695.8354352344118</v>
      </c>
      <c r="AE3821" s="44"/>
      <c r="AF3821" s="72"/>
      <c r="AG3821" s="64">
        <f>AG3819-AG3820</f>
        <v>-3798.4346837487328</v>
      </c>
      <c r="AH3821" s="44"/>
      <c r="AI3821" s="72"/>
      <c r="AJ3821" s="64">
        <f>AJ3819-AJ3820</f>
        <v>-6789.8259570417104</v>
      </c>
      <c r="AK3821" s="44"/>
      <c r="AL3821" s="72"/>
      <c r="AM3821" s="64">
        <f>AM3819-AM3820</f>
        <v>-10124.896061773241</v>
      </c>
      <c r="AN3821" s="44"/>
      <c r="AO3821" s="72"/>
      <c r="AP3821" s="64">
        <f>AP3819-AP3820</f>
        <v>-13658.051562221208</v>
      </c>
      <c r="AQ3821" s="44"/>
      <c r="AR3821" s="72"/>
      <c r="AS3821" s="64">
        <f>AS3819-AS3820</f>
        <v>-17700.202319368291</v>
      </c>
      <c r="AT3821" s="44"/>
      <c r="AU3821" s="72"/>
    </row>
    <row r="3822" spans="15:47" ht="13" x14ac:dyDescent="0.3">
      <c r="O3822" s="6" t="s">
        <v>75</v>
      </c>
      <c r="P3822" s="6">
        <v>3</v>
      </c>
      <c r="Q3822" s="65"/>
      <c r="R3822" s="85">
        <f>(F_LP_h/F_P_h)^2*(R3819-('Valve Sizing'!$V$4*'Valve Sizing'!$G$7))</f>
        <v>31.983693924845642</v>
      </c>
      <c r="S3822" s="58"/>
      <c r="T3822" s="73"/>
      <c r="U3822" s="53">
        <f>(U$29/U$27)^2*(U3819-('Valve Sizing'!$V$4*'Valve Sizing'!$G$7))</f>
        <v>25.770360889007033</v>
      </c>
      <c r="V3822" s="41"/>
      <c r="W3822" s="73"/>
      <c r="X3822" s="53">
        <f>(X$29/X$27)^2*(X3819-('Valve Sizing'!$V$4*'Valve Sizing'!$G$7))</f>
        <v>-72.470559293000107</v>
      </c>
      <c r="Y3822" s="41"/>
      <c r="Z3822" s="73"/>
      <c r="AA3822" s="53">
        <f>(AA$29/AA$27)^2*(AA3819-('Valve Sizing'!$V$4*'Valve Sizing'!$G$7))</f>
        <v>-367.80299947878791</v>
      </c>
      <c r="AB3822" s="41"/>
      <c r="AC3822" s="73"/>
      <c r="AD3822" s="53">
        <f>(AD$29/AD$27)^2*(AD3819-('Valve Sizing'!$V$4*'Valve Sizing'!$G$7))</f>
        <v>-997.83700269824476</v>
      </c>
      <c r="AE3822" s="41"/>
      <c r="AF3822" s="73"/>
      <c r="AG3822" s="53">
        <f>(AG$29/AG$27)^2*(AG3819-('Valve Sizing'!$V$4*'Valve Sizing'!$G$7))</f>
        <v>-2019.5730315063868</v>
      </c>
      <c r="AH3822" s="41"/>
      <c r="AI3822" s="73"/>
      <c r="AJ3822" s="53">
        <f>(AJ$29/AJ$27)^2*(AJ3819-('Valve Sizing'!$V$4*'Valve Sizing'!$G$7))</f>
        <v>-3255.3786186445313</v>
      </c>
      <c r="AK3822" s="41"/>
      <c r="AL3822" s="73"/>
      <c r="AM3822" s="53">
        <f>(AM$29/AM$27)^2*(AM3819-('Valve Sizing'!$V$4*'Valve Sizing'!$G$7))</f>
        <v>-4022.9077585891582</v>
      </c>
      <c r="AN3822" s="41"/>
      <c r="AO3822" s="73"/>
      <c r="AP3822" s="53">
        <f>(AP$29/AP$27)^2*(AP3819-('Valve Sizing'!$V$4*'Valve Sizing'!$G$7))</f>
        <v>-4479.8496627607492</v>
      </c>
      <c r="AQ3822" s="41"/>
      <c r="AR3822" s="73"/>
      <c r="AS3822" s="53">
        <f>(AS$29/AS$27)^2*(AS3819-('Valve Sizing'!$V$4*'Valve Sizing'!$G$7))</f>
        <v>-5537.0088919626824</v>
      </c>
      <c r="AT3822" s="41"/>
      <c r="AU3822" s="73"/>
    </row>
    <row r="3823" spans="15:47" ht="13" x14ac:dyDescent="0.25">
      <c r="O3823" s="1" t="s">
        <v>69</v>
      </c>
      <c r="P3823" s="17">
        <v>7</v>
      </c>
      <c r="Q3823" s="65"/>
      <c r="R3823" s="53">
        <f>(R3817/(N_1*F_P_h))*SQRT('Valve Sizing'!$G$6/R3821)</f>
        <v>220.86749598288671</v>
      </c>
      <c r="S3823" s="58"/>
      <c r="T3823" s="73"/>
      <c r="U3823" s="64">
        <f>(U3817/(N_1*U$27))*SQRT('Valve Sizing'!$G$6/U3821)</f>
        <v>638.45649949073663</v>
      </c>
      <c r="V3823" s="41"/>
      <c r="W3823" s="73"/>
      <c r="X3823" s="64" t="e">
        <f>(X3817/(N_1*X$27))*SQRT('Valve Sizing'!$G$6/X3821)</f>
        <v>#NUM!</v>
      </c>
      <c r="Y3823" s="41"/>
      <c r="Z3823" s="73"/>
      <c r="AA3823" s="64" t="e">
        <f>(AA3817/(N_1*AA$27))*SQRT('Valve Sizing'!$G$6/AA3821)</f>
        <v>#NUM!</v>
      </c>
      <c r="AB3823" s="41"/>
      <c r="AC3823" s="73"/>
      <c r="AD3823" s="64" t="e">
        <f>(AD3817/(N_1*AD$27))*SQRT('Valve Sizing'!$G$6/AD3821)</f>
        <v>#NUM!</v>
      </c>
      <c r="AE3823" s="41"/>
      <c r="AF3823" s="73"/>
      <c r="AG3823" s="64" t="e">
        <f>(AG3817/(N_1*AG$27))*SQRT('Valve Sizing'!$G$6/AG3821)</f>
        <v>#NUM!</v>
      </c>
      <c r="AH3823" s="41"/>
      <c r="AI3823" s="73"/>
      <c r="AJ3823" s="64" t="e">
        <f>(AJ3817/(N_1*AJ$27))*SQRT('Valve Sizing'!$G$6/AJ3821)</f>
        <v>#NUM!</v>
      </c>
      <c r="AK3823" s="41"/>
      <c r="AL3823" s="73"/>
      <c r="AM3823" s="64" t="e">
        <f>(AM3817/(N_1*AM$27))*SQRT('Valve Sizing'!$G$6/AM3821)</f>
        <v>#NUM!</v>
      </c>
      <c r="AN3823" s="41"/>
      <c r="AO3823" s="73"/>
      <c r="AP3823" s="64" t="e">
        <f>(AP3817/(N_1*AP$27))*SQRT('Valve Sizing'!$G$6/AP3821)</f>
        <v>#NUM!</v>
      </c>
      <c r="AQ3823" s="41"/>
      <c r="AR3823" s="73"/>
      <c r="AS3823" s="64" t="e">
        <f>(AS3817/(N_1*AS$27))*SQRT('Valve Sizing'!$G$6/AS3821)</f>
        <v>#NUM!</v>
      </c>
      <c r="AT3823" s="41"/>
      <c r="AU3823" s="73"/>
    </row>
    <row r="3824" spans="15:47" ht="13" x14ac:dyDescent="0.3">
      <c r="O3824" s="1" t="s">
        <v>72</v>
      </c>
      <c r="P3824" s="17">
        <v>7</v>
      </c>
      <c r="Q3824" s="65"/>
      <c r="R3824" s="53">
        <f>(R3817/(N_1*F_P_h))*SQRT('Valve Sizing'!$G$6/R3822)</f>
        <v>128.57256005143967</v>
      </c>
      <c r="S3824" s="56"/>
      <c r="T3824" s="72"/>
      <c r="U3824" s="85">
        <f>(U3817/(N_1*U$27))*SQRT('Valve Sizing'!$G$6/U3822)</f>
        <v>170.79647592403771</v>
      </c>
      <c r="V3824" s="44"/>
      <c r="W3824" s="72"/>
      <c r="X3824" s="85" t="e">
        <f>(X3817/(N_1*X$27))*SQRT('Valve Sizing'!$G$6/X3822)</f>
        <v>#NUM!</v>
      </c>
      <c r="Y3824" s="44"/>
      <c r="Z3824" s="72"/>
      <c r="AA3824" s="85" t="e">
        <f>(AA3817/(N_1*AA$27))*SQRT('Valve Sizing'!$G$6/AA3822)</f>
        <v>#NUM!</v>
      </c>
      <c r="AB3824" s="44"/>
      <c r="AC3824" s="72"/>
      <c r="AD3824" s="85" t="e">
        <f>(AD3817/(N_1*AD$27))*SQRT('Valve Sizing'!$G$6/AD3822)</f>
        <v>#NUM!</v>
      </c>
      <c r="AE3824" s="44"/>
      <c r="AF3824" s="72"/>
      <c r="AG3824" s="85" t="e">
        <f>(AG3817/(N_1*AG$27))*SQRT('Valve Sizing'!$G$6/AG3822)</f>
        <v>#NUM!</v>
      </c>
      <c r="AH3824" s="44"/>
      <c r="AI3824" s="72"/>
      <c r="AJ3824" s="85" t="e">
        <f>(AJ3817/(N_1*AJ$27))*SQRT('Valve Sizing'!$G$6/AJ3822)</f>
        <v>#NUM!</v>
      </c>
      <c r="AK3824" s="44"/>
      <c r="AL3824" s="72"/>
      <c r="AM3824" s="85" t="e">
        <f>(AM3817/(N_1*AM$27))*SQRT('Valve Sizing'!$G$6/AM3822)</f>
        <v>#NUM!</v>
      </c>
      <c r="AN3824" s="44"/>
      <c r="AO3824" s="72"/>
      <c r="AP3824" s="85" t="e">
        <f>(AP3817/(N_1*AP$27))*SQRT('Valve Sizing'!$G$6/AP3822)</f>
        <v>#NUM!</v>
      </c>
      <c r="AQ3824" s="44"/>
      <c r="AR3824" s="72"/>
      <c r="AS3824" s="85" t="e">
        <f>(AS3817/(N_1*AS$27))*SQRT('Valve Sizing'!$G$6/AS3822)</f>
        <v>#NUM!</v>
      </c>
      <c r="AT3824" s="44"/>
      <c r="AU3824" s="72"/>
    </row>
    <row r="3825" spans="15:47" x14ac:dyDescent="0.25">
      <c r="O3825" s="1" t="s">
        <v>246</v>
      </c>
      <c r="P3825" s="18"/>
      <c r="Q3825" s="65"/>
      <c r="R3825" s="53">
        <f>IF(R3821&lt;R3822,R3823,R3824)</f>
        <v>220.86749598288671</v>
      </c>
      <c r="S3825" s="49"/>
      <c r="T3825" s="72"/>
      <c r="U3825" s="64">
        <f>IF(U3821&lt;U3822,U3823,U3824)</f>
        <v>638.45649949073663</v>
      </c>
      <c r="V3825" s="44"/>
      <c r="W3825" s="72"/>
      <c r="X3825" s="64" t="e">
        <f>IF(X3821&lt;X3822,X3823,X3824)</f>
        <v>#NUM!</v>
      </c>
      <c r="Y3825" s="44"/>
      <c r="Z3825" s="72"/>
      <c r="AA3825" s="64" t="e">
        <f>IF(AA3821&lt;AA3822,AA3823,AA3824)</f>
        <v>#NUM!</v>
      </c>
      <c r="AB3825" s="44"/>
      <c r="AC3825" s="72"/>
      <c r="AD3825" s="64" t="e">
        <f>IF(AD3821&lt;AD3822,AD3823,AD3824)</f>
        <v>#NUM!</v>
      </c>
      <c r="AE3825" s="44"/>
      <c r="AF3825" s="72"/>
      <c r="AG3825" s="64" t="e">
        <f>IF(AG3821&lt;AG3822,AG3823,AG3824)</f>
        <v>#NUM!</v>
      </c>
      <c r="AH3825" s="44"/>
      <c r="AI3825" s="72"/>
      <c r="AJ3825" s="64" t="e">
        <f>IF(AJ3821&lt;AJ3822,AJ3823,AJ3824)</f>
        <v>#NUM!</v>
      </c>
      <c r="AK3825" s="44"/>
      <c r="AL3825" s="72"/>
      <c r="AM3825" s="64" t="e">
        <f>IF(AM3821&lt;AM3822,AM3823,AM3824)</f>
        <v>#NUM!</v>
      </c>
      <c r="AN3825" s="44"/>
      <c r="AO3825" s="72"/>
      <c r="AP3825" s="64" t="e">
        <f>IF(AP3821&lt;AP3822,AP3823,AP3824)</f>
        <v>#NUM!</v>
      </c>
      <c r="AQ3825" s="44"/>
      <c r="AR3825" s="72"/>
      <c r="AS3825" s="64" t="e">
        <f>IF(AS3821&lt;AS3822,AS3823,AS3824)</f>
        <v>#NUM!</v>
      </c>
      <c r="AT3825" s="44"/>
      <c r="AU3825" s="72"/>
    </row>
    <row r="3826" spans="15:47" ht="13" x14ac:dyDescent="0.3">
      <c r="O3826" s="7" t="s">
        <v>264</v>
      </c>
      <c r="Q3826" s="61"/>
      <c r="R3826" s="53"/>
      <c r="S3826" s="69">
        <f>IFERROR(ABS(C_h-R3825),Q_max*10)</f>
        <v>215.86749598288671</v>
      </c>
      <c r="T3826" s="76">
        <f>R3817</f>
        <v>727.0245446890234</v>
      </c>
      <c r="U3826" s="61"/>
      <c r="V3826" s="69">
        <f>IFERROR(ABS(U$23-U3825),Q_max*10)</f>
        <v>626.45649949073663</v>
      </c>
      <c r="W3826" s="75">
        <f>U3817</f>
        <v>866.31031474194594</v>
      </c>
      <c r="X3826" s="61"/>
      <c r="Y3826" s="69">
        <f>IFERROR(ABS(X$23-X3825),Q_max*10)</f>
        <v>5500</v>
      </c>
      <c r="Z3826" s="75">
        <f>X3817</f>
        <v>2079.4782306265442</v>
      </c>
      <c r="AA3826" s="61"/>
      <c r="AB3826" s="69">
        <f>IFERROR(ABS(AA$23-AA3825),Q_max*10)</f>
        <v>5500</v>
      </c>
      <c r="AC3826" s="75">
        <f>AA3817</f>
        <v>3970.4860464464155</v>
      </c>
      <c r="AD3826" s="61"/>
      <c r="AE3826" s="69">
        <f>IFERROR(ABS(AD$23-AD3825),Q_max*10)</f>
        <v>5500</v>
      </c>
      <c r="AF3826" s="75">
        <f>AD3817</f>
        <v>6529.987700172881</v>
      </c>
      <c r="AG3826" s="61"/>
      <c r="AH3826" s="69">
        <f>IFERROR(ABS(AG$23-AG3825),Q_max*10)</f>
        <v>5500</v>
      </c>
      <c r="AI3826" s="75">
        <f>AG3817</f>
        <v>9722.2618675645626</v>
      </c>
      <c r="AJ3826" s="61"/>
      <c r="AK3826" s="69">
        <f>IFERROR(ABS(AJ$23-AJ3825),Q_max*10)</f>
        <v>5500</v>
      </c>
      <c r="AL3826" s="75">
        <f>AJ3817</f>
        <v>12974.396151266701</v>
      </c>
      <c r="AM3826" s="61"/>
      <c r="AN3826" s="69">
        <f>IFERROR(ABS(AM$23-AM3825),Q_max*10)</f>
        <v>5500</v>
      </c>
      <c r="AO3826" s="75">
        <f>AM3817</f>
        <v>15831.228958114867</v>
      </c>
      <c r="AP3826" s="61"/>
      <c r="AQ3826" s="69">
        <f>IFERROR(ABS(AP$23-AP3825),Q_max*10)</f>
        <v>5500</v>
      </c>
      <c r="AR3826" s="75">
        <f>AP3817</f>
        <v>18379.565345725896</v>
      </c>
      <c r="AS3826" s="61"/>
      <c r="AT3826" s="69">
        <f>IFERROR(ABS(AS$23-AS3825),Q_max*10)</f>
        <v>5500</v>
      </c>
      <c r="AU3826" s="75">
        <f>AS3817</f>
        <v>20917.659817255193</v>
      </c>
    </row>
    <row r="3827" spans="15:47" ht="14.5" x14ac:dyDescent="0.35">
      <c r="O3827" s="6"/>
      <c r="P3827" s="6"/>
      <c r="Q3827" s="60"/>
      <c r="R3827" s="67"/>
      <c r="S3827" s="56"/>
      <c r="T3827" s="72"/>
      <c r="V3827" s="11"/>
      <c r="W3827" s="38"/>
      <c r="Y3827" s="11"/>
      <c r="Z3827" s="38"/>
      <c r="AB3827" s="11"/>
      <c r="AC3827" s="38"/>
      <c r="AE3827" s="11"/>
      <c r="AF3827" s="38"/>
      <c r="AH3827" s="11"/>
      <c r="AI3827" s="38"/>
      <c r="AK3827" s="11"/>
      <c r="AL3827" s="38"/>
      <c r="AN3827" s="11"/>
      <c r="AO3827" s="38"/>
      <c r="AQ3827" s="11"/>
      <c r="AR3827" s="38"/>
      <c r="AT3827" s="11"/>
      <c r="AU3827" s="38"/>
    </row>
    <row r="3828" spans="15:47" ht="14" x14ac:dyDescent="0.3">
      <c r="O3828" s="8" t="s">
        <v>235</v>
      </c>
      <c r="P3828" s="6"/>
      <c r="Q3828" s="60"/>
      <c r="R3828" s="53">
        <f>R3817*1.02</f>
        <v>741.56503558280383</v>
      </c>
      <c r="S3828" s="58" t="s">
        <v>238</v>
      </c>
      <c r="T3828" s="73" t="s">
        <v>241</v>
      </c>
      <c r="U3828" s="84">
        <f>U3817*1.01</f>
        <v>874.97341788936546</v>
      </c>
      <c r="V3828" s="58" t="s">
        <v>238</v>
      </c>
      <c r="W3828" s="73" t="s">
        <v>241</v>
      </c>
      <c r="X3828" s="84">
        <f>X3817*1.01</f>
        <v>2100.2730129328097</v>
      </c>
      <c r="Y3828" s="58" t="s">
        <v>238</v>
      </c>
      <c r="Z3828" s="73" t="s">
        <v>241</v>
      </c>
      <c r="AA3828" s="84">
        <f>AA3817*1.01</f>
        <v>4010.1909069108797</v>
      </c>
      <c r="AB3828" s="58" t="s">
        <v>238</v>
      </c>
      <c r="AC3828" s="73" t="s">
        <v>241</v>
      </c>
      <c r="AD3828" s="84">
        <f>AD3817*1.01</f>
        <v>6595.2875771746094</v>
      </c>
      <c r="AE3828" s="58" t="s">
        <v>238</v>
      </c>
      <c r="AF3828" s="73" t="s">
        <v>241</v>
      </c>
      <c r="AG3828" s="84">
        <f>AG3817*1.01</f>
        <v>9819.4844862402078</v>
      </c>
      <c r="AH3828" s="58" t="s">
        <v>238</v>
      </c>
      <c r="AI3828" s="73" t="s">
        <v>241</v>
      </c>
      <c r="AJ3828" s="84">
        <f>AJ3817*1.01</f>
        <v>13104.140112779369</v>
      </c>
      <c r="AK3828" s="58" t="s">
        <v>238</v>
      </c>
      <c r="AL3828" s="73" t="s">
        <v>241</v>
      </c>
      <c r="AM3828" s="84">
        <f>AM3817*1.01</f>
        <v>15989.541247696015</v>
      </c>
      <c r="AN3828" s="58" t="s">
        <v>238</v>
      </c>
      <c r="AO3828" s="73" t="s">
        <v>241</v>
      </c>
      <c r="AP3828" s="84">
        <f>AP3817*1.01</f>
        <v>18563.360999183154</v>
      </c>
      <c r="AQ3828" s="58" t="s">
        <v>238</v>
      </c>
      <c r="AR3828" s="73" t="s">
        <v>241</v>
      </c>
      <c r="AS3828" s="84">
        <f>AS3817*1.01</f>
        <v>21126.836415427744</v>
      </c>
      <c r="AT3828" s="58" t="s">
        <v>238</v>
      </c>
      <c r="AU3828" s="73" t="s">
        <v>241</v>
      </c>
    </row>
    <row r="3829" spans="15:47" ht="13" x14ac:dyDescent="0.25">
      <c r="O3829" s="6"/>
      <c r="P3829" s="6"/>
      <c r="Q3829" s="60"/>
      <c r="R3829" s="70"/>
      <c r="S3829" s="63" t="s">
        <v>250</v>
      </c>
      <c r="T3829" s="71" t="s">
        <v>242</v>
      </c>
      <c r="U3829" s="61"/>
      <c r="V3829" s="63" t="s">
        <v>250</v>
      </c>
      <c r="W3829" s="71" t="s">
        <v>242</v>
      </c>
      <c r="X3829" s="61"/>
      <c r="Y3829" s="63" t="s">
        <v>250</v>
      </c>
      <c r="Z3829" s="71" t="s">
        <v>242</v>
      </c>
      <c r="AA3829" s="61"/>
      <c r="AB3829" s="63" t="s">
        <v>250</v>
      </c>
      <c r="AC3829" s="71" t="s">
        <v>242</v>
      </c>
      <c r="AD3829" s="61"/>
      <c r="AE3829" s="63" t="s">
        <v>250</v>
      </c>
      <c r="AF3829" s="71" t="s">
        <v>242</v>
      </c>
      <c r="AG3829" s="61"/>
      <c r="AH3829" s="63" t="s">
        <v>250</v>
      </c>
      <c r="AI3829" s="71" t="s">
        <v>242</v>
      </c>
      <c r="AJ3829" s="61"/>
      <c r="AK3829" s="63" t="s">
        <v>250</v>
      </c>
      <c r="AL3829" s="71" t="s">
        <v>242</v>
      </c>
      <c r="AM3829" s="61"/>
      <c r="AN3829" s="63" t="s">
        <v>250</v>
      </c>
      <c r="AO3829" s="71" t="s">
        <v>242</v>
      </c>
      <c r="AP3829" s="61"/>
      <c r="AQ3829" s="63" t="s">
        <v>250</v>
      </c>
      <c r="AR3829" s="71" t="s">
        <v>242</v>
      </c>
      <c r="AS3829" s="61"/>
      <c r="AT3829" s="63" t="s">
        <v>250</v>
      </c>
      <c r="AU3829" s="71" t="s">
        <v>242</v>
      </c>
    </row>
    <row r="3830" spans="15:47" ht="13" x14ac:dyDescent="0.3">
      <c r="O3830" s="6" t="s">
        <v>231</v>
      </c>
      <c r="P3830" s="6"/>
      <c r="Q3830" s="60"/>
      <c r="R3830" s="85">
        <f>P_1_minQ-(R3828^2*R_up)+dpup_minQ</f>
        <v>38.344083012532082</v>
      </c>
      <c r="S3830" s="56"/>
      <c r="T3830" s="72"/>
      <c r="U3830" s="53">
        <f>P_1_minQ-(U3828^2*R_up)+dpup_minQ</f>
        <v>31.060740222458691</v>
      </c>
      <c r="V3830" s="44"/>
      <c r="W3830" s="72"/>
      <c r="X3830" s="53">
        <f>P_1_minQ-(X3828^2*R_up)+dpup_minQ</f>
        <v>-92.058754773855526</v>
      </c>
      <c r="Y3830" s="44"/>
      <c r="Z3830" s="72"/>
      <c r="AA3830" s="53">
        <f>P_1_minQ-(AA3828^2*R_up)+dpup_minQ</f>
        <v>-486.19872036037503</v>
      </c>
      <c r="AB3830" s="44"/>
      <c r="AC3830" s="72"/>
      <c r="AD3830" s="53">
        <f>P_1_minQ-(AD3828^2*R_up)+dpup_minQ</f>
        <v>-1412.1084507137364</v>
      </c>
      <c r="AE3830" s="44"/>
      <c r="AF3830" s="72"/>
      <c r="AG3830" s="53">
        <f>P_1_minQ-(AG3828^2*R_up)+dpup_minQ</f>
        <v>-3199.4930285549517</v>
      </c>
      <c r="AH3830" s="44"/>
      <c r="AI3830" s="72"/>
      <c r="AJ3830" s="53">
        <f>P_1_minQ-(AJ3828^2*R_up)+dpup_minQ</f>
        <v>-5742.424893460091</v>
      </c>
      <c r="AK3830" s="44"/>
      <c r="AL3830" s="72"/>
      <c r="AM3830" s="53">
        <f>P_1_minQ-(AM3828^2*R_up)+dpup_minQ</f>
        <v>-8577.5124049906208</v>
      </c>
      <c r="AN3830" s="44"/>
      <c r="AO3830" s="72"/>
      <c r="AP3830" s="53">
        <f>P_1_minQ-(AP3828^2*R_up)+dpup_minQ</f>
        <v>-11580.989009996427</v>
      </c>
      <c r="AQ3830" s="44"/>
      <c r="AR3830" s="72"/>
      <c r="AS3830" s="53">
        <f>P_1_minQ-(AS3828^2*R_up)+dpup_minQ</f>
        <v>-15017.153999467877</v>
      </c>
      <c r="AT3830" s="44"/>
      <c r="AU3830" s="72"/>
    </row>
    <row r="3831" spans="15:47" ht="13" x14ac:dyDescent="0.3">
      <c r="O3831" s="6" t="s">
        <v>233</v>
      </c>
      <c r="P3831" s="6"/>
      <c r="Q3831" s="60"/>
      <c r="R3831" s="85">
        <f>P_2_minQ+(R3828^2*R_dn)-dpdn_minQ</f>
        <v>28.371183397493585</v>
      </c>
      <c r="S3831" s="66"/>
      <c r="T3831" s="74"/>
      <c r="U3831" s="53">
        <f>P_2_minQ+(U3828^2*R_dn)-dpdn_minQ</f>
        <v>29.827851955508262</v>
      </c>
      <c r="V3831" s="45"/>
      <c r="W3831" s="74"/>
      <c r="X3831" s="53">
        <f>P_2_minQ+(X3828^2*R_dn)-dpdn_minQ</f>
        <v>54.451750954771107</v>
      </c>
      <c r="Y3831" s="45"/>
      <c r="Z3831" s="74"/>
      <c r="AA3831" s="53">
        <f>P_2_minQ+(AA3828^2*R_dn)-dpdn_minQ</f>
        <v>133.279744072075</v>
      </c>
      <c r="AB3831" s="45"/>
      <c r="AC3831" s="74"/>
      <c r="AD3831" s="53">
        <f>P_2_minQ+(AD3828^2*R_dn)-dpdn_minQ</f>
        <v>318.46169014274722</v>
      </c>
      <c r="AE3831" s="45"/>
      <c r="AF3831" s="74"/>
      <c r="AG3831" s="53">
        <f>P_2_minQ+(AG3828^2*R_dn)-dpdn_minQ</f>
        <v>675.93860571099026</v>
      </c>
      <c r="AH3831" s="45"/>
      <c r="AI3831" s="74"/>
      <c r="AJ3831" s="53">
        <f>P_2_minQ+(AJ3828^2*R_dn)-dpdn_minQ</f>
        <v>1184.5249786920181</v>
      </c>
      <c r="AK3831" s="45"/>
      <c r="AL3831" s="74"/>
      <c r="AM3831" s="53">
        <f>P_2_minQ+(AM3828^2*R_dn)-dpdn_minQ</f>
        <v>1751.5424809981241</v>
      </c>
      <c r="AN3831" s="45"/>
      <c r="AO3831" s="74"/>
      <c r="AP3831" s="53">
        <f>P_2_minQ+(AP3828^2*R_dn)-dpdn_minQ</f>
        <v>2352.2378019992852</v>
      </c>
      <c r="AQ3831" s="45"/>
      <c r="AR3831" s="74"/>
      <c r="AS3831" s="53">
        <f>P_2_minQ+(AS3828^2*R_dn)-dpdn_minQ</f>
        <v>3039.4707998935751</v>
      </c>
      <c r="AT3831" s="45"/>
      <c r="AU3831" s="74"/>
    </row>
    <row r="3832" spans="15:47" x14ac:dyDescent="0.25">
      <c r="O3832" s="6" t="s">
        <v>243</v>
      </c>
      <c r="Q3832" s="60"/>
      <c r="R3832" s="53">
        <f>R3830-R3831</f>
        <v>9.9728996150384965</v>
      </c>
      <c r="S3832" s="56"/>
      <c r="T3832" s="72"/>
      <c r="U3832" s="64">
        <f>U3830-U3831</f>
        <v>1.2328882669504289</v>
      </c>
      <c r="V3832" s="44"/>
      <c r="W3832" s="72"/>
      <c r="X3832" s="64">
        <f>X3830-X3831</f>
        <v>-146.51050572862664</v>
      </c>
      <c r="Y3832" s="44"/>
      <c r="Z3832" s="72"/>
      <c r="AA3832" s="64">
        <f>AA3830-AA3831</f>
        <v>-619.47846443244998</v>
      </c>
      <c r="AB3832" s="44"/>
      <c r="AC3832" s="72"/>
      <c r="AD3832" s="64">
        <f>AD3830-AD3831</f>
        <v>-1730.5701408564837</v>
      </c>
      <c r="AE3832" s="44"/>
      <c r="AF3832" s="72"/>
      <c r="AG3832" s="64">
        <f>AG3830-AG3831</f>
        <v>-3875.4316342659422</v>
      </c>
      <c r="AH3832" s="44"/>
      <c r="AI3832" s="72"/>
      <c r="AJ3832" s="64">
        <f>AJ3830-AJ3831</f>
        <v>-6926.9498721521086</v>
      </c>
      <c r="AK3832" s="44"/>
      <c r="AL3832" s="72"/>
      <c r="AM3832" s="64">
        <f>AM3830-AM3831</f>
        <v>-10329.054885988746</v>
      </c>
      <c r="AN3832" s="44"/>
      <c r="AO3832" s="72"/>
      <c r="AP3832" s="64">
        <f>AP3830-AP3831</f>
        <v>-13933.226811995712</v>
      </c>
      <c r="AQ3832" s="44"/>
      <c r="AR3832" s="72"/>
      <c r="AS3832" s="64">
        <f>AS3830-AS3831</f>
        <v>-18056.624799361452</v>
      </c>
      <c r="AT3832" s="44"/>
      <c r="AU3832" s="72"/>
    </row>
    <row r="3833" spans="15:47" ht="13" x14ac:dyDescent="0.3">
      <c r="O3833" s="6" t="s">
        <v>75</v>
      </c>
      <c r="P3833" s="6">
        <v>3</v>
      </c>
      <c r="Q3833" s="65"/>
      <c r="R3833" s="85">
        <f>(F_LP_h/F_P_h)^2*(R3830-('Valve Sizing'!$V$4*'Valve Sizing'!$G$7))</f>
        <v>31.386522564444032</v>
      </c>
      <c r="S3833" s="58"/>
      <c r="T3833" s="73"/>
      <c r="U3833" s="53">
        <f>(U$29/U$27)^2*(U3830-('Valve Sizing'!$V$4*'Valve Sizing'!$G$7))</f>
        <v>25.34862156137417</v>
      </c>
      <c r="V3833" s="41"/>
      <c r="W3833" s="73"/>
      <c r="X3833" s="53">
        <f>(X$29/X$27)^2*(X3830-('Valve Sizing'!$V$4*'Valve Sizing'!$G$7))</f>
        <v>-74.845743836067683</v>
      </c>
      <c r="Y3833" s="41"/>
      <c r="Z3833" s="73"/>
      <c r="AA3833" s="53">
        <f>(AA$29/AA$27)^2*(AA3830-('Valve Sizing'!$V$4*'Valve Sizing'!$G$7))</f>
        <v>-376.07309546385494</v>
      </c>
      <c r="AB3833" s="41"/>
      <c r="AC3833" s="73"/>
      <c r="AD3833" s="53">
        <f>(AD$29/AD$27)^2*(AD3830-('Valve Sizing'!$V$4*'Valve Sizing'!$G$7))</f>
        <v>-1018.7121962704055</v>
      </c>
      <c r="AE3833" s="41"/>
      <c r="AF3833" s="73"/>
      <c r="AG3833" s="53">
        <f>(AG$29/AG$27)^2*(AG3830-('Valve Sizing'!$V$4*'Valve Sizing'!$G$7))</f>
        <v>-2060.8975483731811</v>
      </c>
      <c r="AH3833" s="41"/>
      <c r="AI3833" s="73"/>
      <c r="AJ3833" s="53">
        <f>(AJ$29/AJ$27)^2*(AJ3830-('Valve Sizing'!$V$4*'Valve Sizing'!$G$7))</f>
        <v>-3321.4682703279937</v>
      </c>
      <c r="AK3833" s="41"/>
      <c r="AL3833" s="73"/>
      <c r="AM3833" s="53">
        <f>(AM$29/AM$27)^2*(AM3830-('Valve Sizing'!$V$4*'Valve Sizing'!$G$7))</f>
        <v>-4104.3113514407205</v>
      </c>
      <c r="AN3833" s="41"/>
      <c r="AO3833" s="73"/>
      <c r="AP3833" s="53">
        <f>(AP$29/AP$27)^2*(AP3830-('Valve Sizing'!$V$4*'Valve Sizing'!$G$7))</f>
        <v>-4570.3426092491391</v>
      </c>
      <c r="AQ3833" s="41"/>
      <c r="AR3833" s="73"/>
      <c r="AS3833" s="53">
        <f>(AS$29/AS$27)^2*(AS3830-('Valve Sizing'!$V$4*'Valve Sizing'!$G$7))</f>
        <v>-5648.72975418025</v>
      </c>
      <c r="AT3833" s="41"/>
      <c r="AU3833" s="73"/>
    </row>
    <row r="3834" spans="15:47" ht="13" x14ac:dyDescent="0.25">
      <c r="O3834" s="1" t="s">
        <v>69</v>
      </c>
      <c r="P3834" s="17">
        <v>7</v>
      </c>
      <c r="Q3834" s="65"/>
      <c r="R3834" s="53">
        <f>(R3828/(N_1*F_P_h))*SQRT('Valve Sizing'!$G$6/R3832)</f>
        <v>234.85621084189191</v>
      </c>
      <c r="S3834" s="58"/>
      <c r="T3834" s="73"/>
      <c r="U3834" s="64">
        <f>(U3828/(N_1*U$27))*SQRT('Valve Sizing'!$G$6/U3832)</f>
        <v>788.67608115471</v>
      </c>
      <c r="V3834" s="41"/>
      <c r="W3834" s="73"/>
      <c r="X3834" s="64" t="e">
        <f>(X3828/(N_1*X$27))*SQRT('Valve Sizing'!$G$6/X3832)</f>
        <v>#NUM!</v>
      </c>
      <c r="Y3834" s="41"/>
      <c r="Z3834" s="73"/>
      <c r="AA3834" s="64" t="e">
        <f>(AA3828/(N_1*AA$27))*SQRT('Valve Sizing'!$G$6/AA3832)</f>
        <v>#NUM!</v>
      </c>
      <c r="AB3834" s="41"/>
      <c r="AC3834" s="73"/>
      <c r="AD3834" s="64" t="e">
        <f>(AD3828/(N_1*AD$27))*SQRT('Valve Sizing'!$G$6/AD3832)</f>
        <v>#NUM!</v>
      </c>
      <c r="AE3834" s="41"/>
      <c r="AF3834" s="73"/>
      <c r="AG3834" s="64" t="e">
        <f>(AG3828/(N_1*AG$27))*SQRT('Valve Sizing'!$G$6/AG3832)</f>
        <v>#NUM!</v>
      </c>
      <c r="AH3834" s="41"/>
      <c r="AI3834" s="73"/>
      <c r="AJ3834" s="64" t="e">
        <f>(AJ3828/(N_1*AJ$27))*SQRT('Valve Sizing'!$G$6/AJ3832)</f>
        <v>#NUM!</v>
      </c>
      <c r="AK3834" s="41"/>
      <c r="AL3834" s="73"/>
      <c r="AM3834" s="64" t="e">
        <f>(AM3828/(N_1*AM$27))*SQRT('Valve Sizing'!$G$6/AM3832)</f>
        <v>#NUM!</v>
      </c>
      <c r="AN3834" s="41"/>
      <c r="AO3834" s="73"/>
      <c r="AP3834" s="64" t="e">
        <f>(AP3828/(N_1*AP$27))*SQRT('Valve Sizing'!$G$6/AP3832)</f>
        <v>#NUM!</v>
      </c>
      <c r="AQ3834" s="41"/>
      <c r="AR3834" s="73"/>
      <c r="AS3834" s="64" t="e">
        <f>(AS3828/(N_1*AS$27))*SQRT('Valve Sizing'!$G$6/AS3832)</f>
        <v>#NUM!</v>
      </c>
      <c r="AT3834" s="41"/>
      <c r="AU3834" s="73"/>
    </row>
    <row r="3835" spans="15:47" ht="13" x14ac:dyDescent="0.3">
      <c r="O3835" s="1" t="s">
        <v>72</v>
      </c>
      <c r="P3835" s="17">
        <v>7</v>
      </c>
      <c r="Q3835" s="65"/>
      <c r="R3835" s="53">
        <f>(R3828/(N_1*F_P_h))*SQRT('Valve Sizing'!$G$6/R3833)</f>
        <v>132.38572949525951</v>
      </c>
      <c r="S3835" s="56"/>
      <c r="T3835" s="72"/>
      <c r="U3835" s="85">
        <f>(U3828/(N_1*U$27))*SQRT('Valve Sizing'!$G$6/U3833)</f>
        <v>173.93354787228773</v>
      </c>
      <c r="V3835" s="44"/>
      <c r="W3835" s="72"/>
      <c r="X3835" s="85" t="e">
        <f>(X3828/(N_1*X$27))*SQRT('Valve Sizing'!$G$6/X3833)</f>
        <v>#NUM!</v>
      </c>
      <c r="Y3835" s="44"/>
      <c r="Z3835" s="72"/>
      <c r="AA3835" s="85" t="e">
        <f>(AA3828/(N_1*AA$27))*SQRT('Valve Sizing'!$G$6/AA3833)</f>
        <v>#NUM!</v>
      </c>
      <c r="AB3835" s="44"/>
      <c r="AC3835" s="72"/>
      <c r="AD3835" s="85" t="e">
        <f>(AD3828/(N_1*AD$27))*SQRT('Valve Sizing'!$G$6/AD3833)</f>
        <v>#NUM!</v>
      </c>
      <c r="AE3835" s="44"/>
      <c r="AF3835" s="72"/>
      <c r="AG3835" s="85" t="e">
        <f>(AG3828/(N_1*AG$27))*SQRT('Valve Sizing'!$G$6/AG3833)</f>
        <v>#NUM!</v>
      </c>
      <c r="AH3835" s="44"/>
      <c r="AI3835" s="72"/>
      <c r="AJ3835" s="85" t="e">
        <f>(AJ3828/(N_1*AJ$27))*SQRT('Valve Sizing'!$G$6/AJ3833)</f>
        <v>#NUM!</v>
      </c>
      <c r="AK3835" s="44"/>
      <c r="AL3835" s="72"/>
      <c r="AM3835" s="85" t="e">
        <f>(AM3828/(N_1*AM$27))*SQRT('Valve Sizing'!$G$6/AM3833)</f>
        <v>#NUM!</v>
      </c>
      <c r="AN3835" s="44"/>
      <c r="AO3835" s="72"/>
      <c r="AP3835" s="85" t="e">
        <f>(AP3828/(N_1*AP$27))*SQRT('Valve Sizing'!$G$6/AP3833)</f>
        <v>#NUM!</v>
      </c>
      <c r="AQ3835" s="44"/>
      <c r="AR3835" s="72"/>
      <c r="AS3835" s="85" t="e">
        <f>(AS3828/(N_1*AS$27))*SQRT('Valve Sizing'!$G$6/AS3833)</f>
        <v>#NUM!</v>
      </c>
      <c r="AT3835" s="44"/>
      <c r="AU3835" s="72"/>
    </row>
    <row r="3836" spans="15:47" x14ac:dyDescent="0.25">
      <c r="O3836" s="1" t="s">
        <v>246</v>
      </c>
      <c r="P3836" s="18"/>
      <c r="Q3836" s="65"/>
      <c r="R3836" s="53">
        <f>IF(R3832&lt;R3833,R3834,R3835)</f>
        <v>234.85621084189191</v>
      </c>
      <c r="S3836" s="49"/>
      <c r="T3836" s="72"/>
      <c r="U3836" s="64">
        <f>IF(U3832&lt;U3833,U3834,U3835)</f>
        <v>788.67608115471</v>
      </c>
      <c r="V3836" s="44"/>
      <c r="W3836" s="72"/>
      <c r="X3836" s="64" t="e">
        <f>IF(X3832&lt;X3833,X3834,X3835)</f>
        <v>#NUM!</v>
      </c>
      <c r="Y3836" s="44"/>
      <c r="Z3836" s="72"/>
      <c r="AA3836" s="64" t="e">
        <f>IF(AA3832&lt;AA3833,AA3834,AA3835)</f>
        <v>#NUM!</v>
      </c>
      <c r="AB3836" s="44"/>
      <c r="AC3836" s="72"/>
      <c r="AD3836" s="64" t="e">
        <f>IF(AD3832&lt;AD3833,AD3834,AD3835)</f>
        <v>#NUM!</v>
      </c>
      <c r="AE3836" s="44"/>
      <c r="AF3836" s="72"/>
      <c r="AG3836" s="64" t="e">
        <f>IF(AG3832&lt;AG3833,AG3834,AG3835)</f>
        <v>#NUM!</v>
      </c>
      <c r="AH3836" s="44"/>
      <c r="AI3836" s="72"/>
      <c r="AJ3836" s="64" t="e">
        <f>IF(AJ3832&lt;AJ3833,AJ3834,AJ3835)</f>
        <v>#NUM!</v>
      </c>
      <c r="AK3836" s="44"/>
      <c r="AL3836" s="72"/>
      <c r="AM3836" s="64" t="e">
        <f>IF(AM3832&lt;AM3833,AM3834,AM3835)</f>
        <v>#NUM!</v>
      </c>
      <c r="AN3836" s="44"/>
      <c r="AO3836" s="72"/>
      <c r="AP3836" s="64" t="e">
        <f>IF(AP3832&lt;AP3833,AP3834,AP3835)</f>
        <v>#NUM!</v>
      </c>
      <c r="AQ3836" s="44"/>
      <c r="AR3836" s="72"/>
      <c r="AS3836" s="64" t="e">
        <f>IF(AS3832&lt;AS3833,AS3834,AS3835)</f>
        <v>#NUM!</v>
      </c>
      <c r="AT3836" s="44"/>
      <c r="AU3836" s="72"/>
    </row>
    <row r="3837" spans="15:47" ht="13" x14ac:dyDescent="0.3">
      <c r="O3837" s="7" t="s">
        <v>264</v>
      </c>
      <c r="Q3837" s="61"/>
      <c r="R3837" s="53"/>
      <c r="S3837" s="69">
        <f>IFERROR(ABS(C_h-R3836),Q_max*10)</f>
        <v>229.85621084189191</v>
      </c>
      <c r="T3837" s="76">
        <f>R3828</f>
        <v>741.56503558280383</v>
      </c>
      <c r="U3837" s="61"/>
      <c r="V3837" s="69">
        <f>IFERROR(ABS(U$23-U3836),Q_max*10)</f>
        <v>776.67608115471</v>
      </c>
      <c r="W3837" s="75">
        <f>U3828</f>
        <v>874.97341788936546</v>
      </c>
      <c r="X3837" s="61"/>
      <c r="Y3837" s="69">
        <f>IFERROR(ABS(X$23-X3836),Q_max*10)</f>
        <v>5500</v>
      </c>
      <c r="Z3837" s="75">
        <f>X3828</f>
        <v>2100.2730129328097</v>
      </c>
      <c r="AA3837" s="61"/>
      <c r="AB3837" s="69">
        <f>IFERROR(ABS(AA$23-AA3836),Q_max*10)</f>
        <v>5500</v>
      </c>
      <c r="AC3837" s="75">
        <f>AA3828</f>
        <v>4010.1909069108797</v>
      </c>
      <c r="AD3837" s="61"/>
      <c r="AE3837" s="69">
        <f>IFERROR(ABS(AD$23-AD3836),Q_max*10)</f>
        <v>5500</v>
      </c>
      <c r="AF3837" s="75">
        <f>AD3828</f>
        <v>6595.2875771746094</v>
      </c>
      <c r="AG3837" s="61"/>
      <c r="AH3837" s="69">
        <f>IFERROR(ABS(AG$23-AG3836),Q_max*10)</f>
        <v>5500</v>
      </c>
      <c r="AI3837" s="75">
        <f>AG3828</f>
        <v>9819.4844862402078</v>
      </c>
      <c r="AJ3837" s="61"/>
      <c r="AK3837" s="69">
        <f>IFERROR(ABS(AJ$23-AJ3836),Q_max*10)</f>
        <v>5500</v>
      </c>
      <c r="AL3837" s="75">
        <f>AJ3828</f>
        <v>13104.140112779369</v>
      </c>
      <c r="AM3837" s="61"/>
      <c r="AN3837" s="69">
        <f>IFERROR(ABS(AM$23-AM3836),Q_max*10)</f>
        <v>5500</v>
      </c>
      <c r="AO3837" s="75">
        <f>AM3828</f>
        <v>15989.541247696015</v>
      </c>
      <c r="AP3837" s="61"/>
      <c r="AQ3837" s="69">
        <f>IFERROR(ABS(AP$23-AP3836),Q_max*10)</f>
        <v>5500</v>
      </c>
      <c r="AR3837" s="75">
        <f>AP3828</f>
        <v>18563.360999183154</v>
      </c>
      <c r="AS3837" s="61"/>
      <c r="AT3837" s="69">
        <f>IFERROR(ABS(AS$23-AS3836),Q_max*10)</f>
        <v>5500</v>
      </c>
      <c r="AU3837" s="75">
        <f>AS3828</f>
        <v>21126.836415427744</v>
      </c>
    </row>
    <row r="3838" spans="15:47" ht="14.5" x14ac:dyDescent="0.35">
      <c r="O3838" s="8"/>
      <c r="P3838" s="6"/>
      <c r="Q3838" s="60"/>
      <c r="R3838" s="67"/>
      <c r="S3838" s="66"/>
      <c r="T3838" s="74"/>
      <c r="V3838" s="11"/>
      <c r="W3838" s="38"/>
      <c r="Y3838" s="11"/>
      <c r="Z3838" s="38"/>
      <c r="AB3838" s="11"/>
      <c r="AC3838" s="38"/>
      <c r="AE3838" s="11"/>
      <c r="AF3838" s="38"/>
      <c r="AH3838" s="11"/>
      <c r="AI3838" s="38"/>
      <c r="AK3838" s="11"/>
      <c r="AL3838" s="38"/>
      <c r="AN3838" s="11"/>
      <c r="AO3838" s="38"/>
      <c r="AQ3838" s="11"/>
      <c r="AR3838" s="38"/>
      <c r="AT3838" s="11"/>
      <c r="AU3838" s="38"/>
    </row>
    <row r="3839" spans="15:47" ht="14" x14ac:dyDescent="0.3">
      <c r="O3839" s="8" t="s">
        <v>235</v>
      </c>
      <c r="P3839" s="6"/>
      <c r="Q3839" s="60"/>
      <c r="R3839" s="53">
        <f>R3828*1.02</f>
        <v>756.39633629445996</v>
      </c>
      <c r="S3839" s="58" t="s">
        <v>238</v>
      </c>
      <c r="T3839" s="73" t="s">
        <v>241</v>
      </c>
      <c r="U3839" s="84">
        <f>U3828*1.01</f>
        <v>883.72315206825908</v>
      </c>
      <c r="V3839" s="58" t="s">
        <v>238</v>
      </c>
      <c r="W3839" s="73" t="s">
        <v>241</v>
      </c>
      <c r="X3839" s="84">
        <f>X3828*1.01</f>
        <v>2121.2757430621377</v>
      </c>
      <c r="Y3839" s="58" t="s">
        <v>238</v>
      </c>
      <c r="Z3839" s="73" t="s">
        <v>241</v>
      </c>
      <c r="AA3839" s="84">
        <f>AA3828*1.01</f>
        <v>4050.2928159799885</v>
      </c>
      <c r="AB3839" s="58" t="s">
        <v>238</v>
      </c>
      <c r="AC3839" s="73" t="s">
        <v>241</v>
      </c>
      <c r="AD3839" s="84">
        <f>AD3828*1.01</f>
        <v>6661.2404529463556</v>
      </c>
      <c r="AE3839" s="58" t="s">
        <v>238</v>
      </c>
      <c r="AF3839" s="73" t="s">
        <v>241</v>
      </c>
      <c r="AG3839" s="84">
        <f>AG3828*1.01</f>
        <v>9917.6793311026104</v>
      </c>
      <c r="AH3839" s="58" t="s">
        <v>238</v>
      </c>
      <c r="AI3839" s="73" t="s">
        <v>241</v>
      </c>
      <c r="AJ3839" s="84">
        <f>AJ3828*1.01</f>
        <v>13235.181513907162</v>
      </c>
      <c r="AK3839" s="58" t="s">
        <v>238</v>
      </c>
      <c r="AL3839" s="73" t="s">
        <v>241</v>
      </c>
      <c r="AM3839" s="84">
        <f>AM3828*1.01</f>
        <v>16149.436660172976</v>
      </c>
      <c r="AN3839" s="58" t="s">
        <v>238</v>
      </c>
      <c r="AO3839" s="73" t="s">
        <v>241</v>
      </c>
      <c r="AP3839" s="84">
        <f>AP3828*1.01</f>
        <v>18748.994609174988</v>
      </c>
      <c r="AQ3839" s="58" t="s">
        <v>238</v>
      </c>
      <c r="AR3839" s="73" t="s">
        <v>241</v>
      </c>
      <c r="AS3839" s="84">
        <f>AS3828*1.01</f>
        <v>21338.104779582023</v>
      </c>
      <c r="AT3839" s="58" t="s">
        <v>238</v>
      </c>
      <c r="AU3839" s="73" t="s">
        <v>241</v>
      </c>
    </row>
    <row r="3840" spans="15:47" ht="13" x14ac:dyDescent="0.25">
      <c r="O3840" s="6"/>
      <c r="P3840" s="6"/>
      <c r="Q3840" s="60"/>
      <c r="R3840" s="70"/>
      <c r="S3840" s="63" t="s">
        <v>250</v>
      </c>
      <c r="T3840" s="71" t="s">
        <v>242</v>
      </c>
      <c r="U3840" s="61"/>
      <c r="V3840" s="63" t="s">
        <v>250</v>
      </c>
      <c r="W3840" s="71" t="s">
        <v>242</v>
      </c>
      <c r="X3840" s="61"/>
      <c r="Y3840" s="63" t="s">
        <v>250</v>
      </c>
      <c r="Z3840" s="71" t="s">
        <v>242</v>
      </c>
      <c r="AA3840" s="61"/>
      <c r="AB3840" s="63" t="s">
        <v>250</v>
      </c>
      <c r="AC3840" s="71" t="s">
        <v>242</v>
      </c>
      <c r="AD3840" s="61"/>
      <c r="AE3840" s="63" t="s">
        <v>250</v>
      </c>
      <c r="AF3840" s="71" t="s">
        <v>242</v>
      </c>
      <c r="AG3840" s="61"/>
      <c r="AH3840" s="63" t="s">
        <v>250</v>
      </c>
      <c r="AI3840" s="71" t="s">
        <v>242</v>
      </c>
      <c r="AJ3840" s="61"/>
      <c r="AK3840" s="63" t="s">
        <v>250</v>
      </c>
      <c r="AL3840" s="71" t="s">
        <v>242</v>
      </c>
      <c r="AM3840" s="61"/>
      <c r="AN3840" s="63" t="s">
        <v>250</v>
      </c>
      <c r="AO3840" s="71" t="s">
        <v>242</v>
      </c>
      <c r="AP3840" s="61"/>
      <c r="AQ3840" s="63" t="s">
        <v>250</v>
      </c>
      <c r="AR3840" s="71" t="s">
        <v>242</v>
      </c>
      <c r="AS3840" s="61"/>
      <c r="AT3840" s="63" t="s">
        <v>250</v>
      </c>
      <c r="AU3840" s="71" t="s">
        <v>242</v>
      </c>
    </row>
    <row r="3841" spans="15:47" ht="13" x14ac:dyDescent="0.3">
      <c r="O3841" s="6" t="s">
        <v>231</v>
      </c>
      <c r="P3841" s="6"/>
      <c r="Q3841" s="60"/>
      <c r="R3841" s="85">
        <f>P_1_minQ-(R3839^2*R_up)+dpup_minQ</f>
        <v>37.593771781165763</v>
      </c>
      <c r="S3841" s="56"/>
      <c r="T3841" s="72"/>
      <c r="U3841" s="53">
        <f>P_1_minQ-(U3839^2*R_up)+dpup_minQ</f>
        <v>30.541046622713296</v>
      </c>
      <c r="V3841" s="44"/>
      <c r="W3841" s="72"/>
      <c r="X3841" s="53">
        <f>P_1_minQ-(X3839^2*R_up)+dpup_minQ</f>
        <v>-95.053150223026847</v>
      </c>
      <c r="Y3841" s="44"/>
      <c r="Z3841" s="72"/>
      <c r="AA3841" s="53">
        <f>P_1_minQ-(AA3839^2*R_up)+dpup_minQ</f>
        <v>-497.11532911783542</v>
      </c>
      <c r="AB3841" s="44"/>
      <c r="AC3841" s="72"/>
      <c r="AD3841" s="53">
        <f>P_1_minQ-(AD3839^2*R_up)+dpup_minQ</f>
        <v>-1441.6358450512992</v>
      </c>
      <c r="AE3841" s="44"/>
      <c r="AF3841" s="72"/>
      <c r="AG3841" s="53">
        <f>P_1_minQ-(AG3839^2*R_up)+dpup_minQ</f>
        <v>-3264.9468529071237</v>
      </c>
      <c r="AH3841" s="44"/>
      <c r="AI3841" s="72"/>
      <c r="AJ3841" s="53">
        <f>P_1_minQ-(AJ3839^2*R_up)+dpup_minQ</f>
        <v>-5858.9916482968565</v>
      </c>
      <c r="AK3841" s="44"/>
      <c r="AL3841" s="72"/>
      <c r="AM3841" s="53">
        <f>P_1_minQ-(AM3839^2*R_up)+dpup_minQ</f>
        <v>-8751.0644188091483</v>
      </c>
      <c r="AN3841" s="44"/>
      <c r="AO3841" s="72"/>
      <c r="AP3841" s="53">
        <f>P_1_minQ-(AP3839^2*R_up)+dpup_minQ</f>
        <v>-11814.910903575576</v>
      </c>
      <c r="AQ3841" s="44"/>
      <c r="AR3841" s="72"/>
      <c r="AS3841" s="53">
        <f>P_1_minQ-(AS3839^2*R_up)+dpup_minQ</f>
        <v>-15320.142809335399</v>
      </c>
      <c r="AT3841" s="44"/>
      <c r="AU3841" s="72"/>
    </row>
    <row r="3842" spans="15:47" ht="13" x14ac:dyDescent="0.3">
      <c r="O3842" s="6" t="s">
        <v>233</v>
      </c>
      <c r="P3842" s="6"/>
      <c r="Q3842" s="60"/>
      <c r="R3842" s="85">
        <f>P_2_minQ+(R3839^2*R_dn)-dpdn_minQ</f>
        <v>28.52124564376685</v>
      </c>
      <c r="S3842" s="66"/>
      <c r="T3842" s="74"/>
      <c r="U3842" s="53">
        <f>P_2_minQ+(U3839^2*R_dn)-dpdn_minQ</f>
        <v>29.931790675457343</v>
      </c>
      <c r="V3842" s="45"/>
      <c r="W3842" s="74"/>
      <c r="X3842" s="53">
        <f>P_2_minQ+(X3839^2*R_dn)-dpdn_minQ</f>
        <v>55.05063004460537</v>
      </c>
      <c r="Y3842" s="45"/>
      <c r="Z3842" s="74"/>
      <c r="AA3842" s="53">
        <f>P_2_minQ+(AA3839^2*R_dn)-dpdn_minQ</f>
        <v>135.46306582356706</v>
      </c>
      <c r="AB3842" s="45"/>
      <c r="AC3842" s="74"/>
      <c r="AD3842" s="53">
        <f>P_2_minQ+(AD3839^2*R_dn)-dpdn_minQ</f>
        <v>324.36716901025977</v>
      </c>
      <c r="AE3842" s="45"/>
      <c r="AF3842" s="74"/>
      <c r="AG3842" s="53">
        <f>P_2_minQ+(AG3839^2*R_dn)-dpdn_minQ</f>
        <v>689.0293705814247</v>
      </c>
      <c r="AH3842" s="45"/>
      <c r="AI3842" s="74"/>
      <c r="AJ3842" s="53">
        <f>P_2_minQ+(AJ3839^2*R_dn)-dpdn_minQ</f>
        <v>1207.8383296593711</v>
      </c>
      <c r="AK3842" s="45"/>
      <c r="AL3842" s="74"/>
      <c r="AM3842" s="53">
        <f>P_2_minQ+(AM3839^2*R_dn)-dpdn_minQ</f>
        <v>1786.2528837618297</v>
      </c>
      <c r="AN3842" s="45"/>
      <c r="AO3842" s="74"/>
      <c r="AP3842" s="53">
        <f>P_2_minQ+(AP3839^2*R_dn)-dpdn_minQ</f>
        <v>2399.0221807151147</v>
      </c>
      <c r="AQ3842" s="45"/>
      <c r="AR3842" s="74"/>
      <c r="AS3842" s="53">
        <f>P_2_minQ+(AS3839^2*R_dn)-dpdn_minQ</f>
        <v>3100.0685618670796</v>
      </c>
      <c r="AT3842" s="45"/>
      <c r="AU3842" s="74"/>
    </row>
    <row r="3843" spans="15:47" x14ac:dyDescent="0.25">
      <c r="O3843" s="6" t="s">
        <v>243</v>
      </c>
      <c r="Q3843" s="60"/>
      <c r="R3843" s="53">
        <f>R3841-R3842</f>
        <v>9.0725261373989134</v>
      </c>
      <c r="S3843" s="56"/>
      <c r="T3843" s="72"/>
      <c r="U3843" s="64">
        <f>U3841-U3842</f>
        <v>0.60925594725595289</v>
      </c>
      <c r="V3843" s="44"/>
      <c r="W3843" s="72"/>
      <c r="X3843" s="64">
        <f>X3841-X3842</f>
        <v>-150.1037802676322</v>
      </c>
      <c r="Y3843" s="44"/>
      <c r="Z3843" s="72"/>
      <c r="AA3843" s="64">
        <f>AA3841-AA3842</f>
        <v>-632.57839494140251</v>
      </c>
      <c r="AB3843" s="44"/>
      <c r="AC3843" s="72"/>
      <c r="AD3843" s="64">
        <f>AD3841-AD3842</f>
        <v>-1766.003014061559</v>
      </c>
      <c r="AE3843" s="44"/>
      <c r="AF3843" s="72"/>
      <c r="AG3843" s="64">
        <f>AG3841-AG3842</f>
        <v>-3953.9762234885484</v>
      </c>
      <c r="AH3843" s="44"/>
      <c r="AI3843" s="72"/>
      <c r="AJ3843" s="64">
        <f>AJ3841-AJ3842</f>
        <v>-7066.8299779562276</v>
      </c>
      <c r="AK3843" s="44"/>
      <c r="AL3843" s="72"/>
      <c r="AM3843" s="64">
        <f>AM3841-AM3842</f>
        <v>-10537.317302570978</v>
      </c>
      <c r="AN3843" s="44"/>
      <c r="AO3843" s="72"/>
      <c r="AP3843" s="64">
        <f>AP3841-AP3842</f>
        <v>-14213.933084290689</v>
      </c>
      <c r="AQ3843" s="44"/>
      <c r="AR3843" s="72"/>
      <c r="AS3843" s="64">
        <f>AS3841-AS3842</f>
        <v>-18420.21137120248</v>
      </c>
      <c r="AT3843" s="44"/>
      <c r="AU3843" s="72"/>
    </row>
    <row r="3844" spans="15:47" ht="13" x14ac:dyDescent="0.3">
      <c r="O3844" s="6" t="s">
        <v>75</v>
      </c>
      <c r="P3844" s="6">
        <v>3</v>
      </c>
      <c r="Q3844" s="65"/>
      <c r="R3844" s="85">
        <f>(F_LP_h/F_P_h)^2*(R3841-('Valve Sizing'!$V$4*'Valve Sizing'!$G$7))</f>
        <v>30.76522548108219</v>
      </c>
      <c r="S3844" s="58"/>
      <c r="T3844" s="73"/>
      <c r="U3844" s="53">
        <f>(U$29/U$27)^2*(U3841-('Valve Sizing'!$V$4*'Valve Sizing'!$G$7))</f>
        <v>24.918405273255896</v>
      </c>
      <c r="V3844" s="41"/>
      <c r="W3844" s="73"/>
      <c r="X3844" s="53">
        <f>(X$29/X$27)^2*(X3841-('Valve Sizing'!$V$4*'Valve Sizing'!$G$7))</f>
        <v>-77.268669588450919</v>
      </c>
      <c r="Y3844" s="41"/>
      <c r="Z3844" s="73"/>
      <c r="AA3844" s="53">
        <f>(AA$29/AA$27)^2*(AA3841-('Valve Sizing'!$V$4*'Valve Sizing'!$G$7))</f>
        <v>-384.50942037822188</v>
      </c>
      <c r="AB3844" s="41"/>
      <c r="AC3844" s="73"/>
      <c r="AD3844" s="53">
        <f>(AD$29/AD$27)^2*(AD3841-('Valve Sizing'!$V$4*'Valve Sizing'!$G$7))</f>
        <v>-1040.0069812333666</v>
      </c>
      <c r="AE3844" s="41"/>
      <c r="AF3844" s="73"/>
      <c r="AG3844" s="53">
        <f>(AG$29/AG$27)^2*(AG3841-('Valve Sizing'!$V$4*'Valve Sizing'!$G$7))</f>
        <v>-2103.0526880289985</v>
      </c>
      <c r="AH3844" s="41"/>
      <c r="AI3844" s="73"/>
      <c r="AJ3844" s="53">
        <f>(AJ$29/AJ$27)^2*(AJ3841-('Valve Sizing'!$V$4*'Valve Sizing'!$G$7))</f>
        <v>-3388.8863240102942</v>
      </c>
      <c r="AK3844" s="41"/>
      <c r="AL3844" s="73"/>
      <c r="AM3844" s="53">
        <f>(AM$29/AM$27)^2*(AM3841-('Valve Sizing'!$V$4*'Valve Sizing'!$G$7))</f>
        <v>-4187.3511565085992</v>
      </c>
      <c r="AN3844" s="41"/>
      <c r="AO3844" s="73"/>
      <c r="AP3844" s="53">
        <f>(AP$29/AP$27)^2*(AP3841-('Valve Sizing'!$V$4*'Valve Sizing'!$G$7))</f>
        <v>-4662.6544639619478</v>
      </c>
      <c r="AQ3844" s="41"/>
      <c r="AR3844" s="73"/>
      <c r="AS3844" s="53">
        <f>(AS$29/AS$27)^2*(AS3841-('Valve Sizing'!$V$4*'Valve Sizing'!$G$7))</f>
        <v>-5762.6962057283909</v>
      </c>
      <c r="AT3844" s="41"/>
      <c r="AU3844" s="73"/>
    </row>
    <row r="3845" spans="15:47" ht="13" x14ac:dyDescent="0.25">
      <c r="O3845" s="1" t="s">
        <v>69</v>
      </c>
      <c r="P3845" s="17">
        <v>7</v>
      </c>
      <c r="Q3845" s="65"/>
      <c r="R3845" s="53">
        <f>(R3839/(N_1*F_P_h))*SQRT('Valve Sizing'!$G$6/R3843)</f>
        <v>251.15904973589684</v>
      </c>
      <c r="S3845" s="58"/>
      <c r="T3845" s="73"/>
      <c r="U3845" s="64">
        <f>(U3839/(N_1*U$27))*SQRT('Valve Sizing'!$G$6/U3843)</f>
        <v>1133.1359408675803</v>
      </c>
      <c r="V3845" s="41"/>
      <c r="W3845" s="73"/>
      <c r="X3845" s="64" t="e">
        <f>(X3839/(N_1*X$27))*SQRT('Valve Sizing'!$G$6/X3843)</f>
        <v>#NUM!</v>
      </c>
      <c r="Y3845" s="41"/>
      <c r="Z3845" s="73"/>
      <c r="AA3845" s="64" t="e">
        <f>(AA3839/(N_1*AA$27))*SQRT('Valve Sizing'!$G$6/AA3843)</f>
        <v>#NUM!</v>
      </c>
      <c r="AB3845" s="41"/>
      <c r="AC3845" s="73"/>
      <c r="AD3845" s="64" t="e">
        <f>(AD3839/(N_1*AD$27))*SQRT('Valve Sizing'!$G$6/AD3843)</f>
        <v>#NUM!</v>
      </c>
      <c r="AE3845" s="41"/>
      <c r="AF3845" s="73"/>
      <c r="AG3845" s="64" t="e">
        <f>(AG3839/(N_1*AG$27))*SQRT('Valve Sizing'!$G$6/AG3843)</f>
        <v>#NUM!</v>
      </c>
      <c r="AH3845" s="41"/>
      <c r="AI3845" s="73"/>
      <c r="AJ3845" s="64" t="e">
        <f>(AJ3839/(N_1*AJ$27))*SQRT('Valve Sizing'!$G$6/AJ3843)</f>
        <v>#NUM!</v>
      </c>
      <c r="AK3845" s="41"/>
      <c r="AL3845" s="73"/>
      <c r="AM3845" s="64" t="e">
        <f>(AM3839/(N_1*AM$27))*SQRT('Valve Sizing'!$G$6/AM3843)</f>
        <v>#NUM!</v>
      </c>
      <c r="AN3845" s="41"/>
      <c r="AO3845" s="73"/>
      <c r="AP3845" s="64" t="e">
        <f>(AP3839/(N_1*AP$27))*SQRT('Valve Sizing'!$G$6/AP3843)</f>
        <v>#NUM!</v>
      </c>
      <c r="AQ3845" s="41"/>
      <c r="AR3845" s="73"/>
      <c r="AS3845" s="64" t="e">
        <f>(AS3839/(N_1*AS$27))*SQRT('Valve Sizing'!$G$6/AS3843)</f>
        <v>#NUM!</v>
      </c>
      <c r="AT3845" s="41"/>
      <c r="AU3845" s="73"/>
    </row>
    <row r="3846" spans="15:47" ht="13" x14ac:dyDescent="0.3">
      <c r="O3846" s="1" t="s">
        <v>72</v>
      </c>
      <c r="P3846" s="17">
        <v>7</v>
      </c>
      <c r="Q3846" s="65"/>
      <c r="R3846" s="53">
        <f>(R3839/(N_1*F_P_h))*SQRT('Valve Sizing'!$G$6/R3844)</f>
        <v>136.39011452251751</v>
      </c>
      <c r="S3846" s="56"/>
      <c r="T3846" s="72"/>
      <c r="U3846" s="85">
        <f>(U3839/(N_1*U$27))*SQRT('Valve Sizing'!$G$6/U3844)</f>
        <v>177.18288991586451</v>
      </c>
      <c r="V3846" s="44"/>
      <c r="W3846" s="72"/>
      <c r="X3846" s="85" t="e">
        <f>(X3839/(N_1*X$27))*SQRT('Valve Sizing'!$G$6/X3844)</f>
        <v>#NUM!</v>
      </c>
      <c r="Y3846" s="44"/>
      <c r="Z3846" s="72"/>
      <c r="AA3846" s="85" t="e">
        <f>(AA3839/(N_1*AA$27))*SQRT('Valve Sizing'!$G$6/AA3844)</f>
        <v>#NUM!</v>
      </c>
      <c r="AB3846" s="44"/>
      <c r="AC3846" s="72"/>
      <c r="AD3846" s="85" t="e">
        <f>(AD3839/(N_1*AD$27))*SQRT('Valve Sizing'!$G$6/AD3844)</f>
        <v>#NUM!</v>
      </c>
      <c r="AE3846" s="44"/>
      <c r="AF3846" s="72"/>
      <c r="AG3846" s="85" t="e">
        <f>(AG3839/(N_1*AG$27))*SQRT('Valve Sizing'!$G$6/AG3844)</f>
        <v>#NUM!</v>
      </c>
      <c r="AH3846" s="44"/>
      <c r="AI3846" s="72"/>
      <c r="AJ3846" s="85" t="e">
        <f>(AJ3839/(N_1*AJ$27))*SQRT('Valve Sizing'!$G$6/AJ3844)</f>
        <v>#NUM!</v>
      </c>
      <c r="AK3846" s="44"/>
      <c r="AL3846" s="72"/>
      <c r="AM3846" s="85" t="e">
        <f>(AM3839/(N_1*AM$27))*SQRT('Valve Sizing'!$G$6/AM3844)</f>
        <v>#NUM!</v>
      </c>
      <c r="AN3846" s="44"/>
      <c r="AO3846" s="72"/>
      <c r="AP3846" s="85" t="e">
        <f>(AP3839/(N_1*AP$27))*SQRT('Valve Sizing'!$G$6/AP3844)</f>
        <v>#NUM!</v>
      </c>
      <c r="AQ3846" s="44"/>
      <c r="AR3846" s="72"/>
      <c r="AS3846" s="85" t="e">
        <f>(AS3839/(N_1*AS$27))*SQRT('Valve Sizing'!$G$6/AS3844)</f>
        <v>#NUM!</v>
      </c>
      <c r="AT3846" s="44"/>
      <c r="AU3846" s="72"/>
    </row>
    <row r="3847" spans="15:47" x14ac:dyDescent="0.25">
      <c r="O3847" s="1" t="s">
        <v>246</v>
      </c>
      <c r="P3847" s="18"/>
      <c r="Q3847" s="65"/>
      <c r="R3847" s="53">
        <f>IF(R3843&lt;R3844,R3845,R3846)</f>
        <v>251.15904973589684</v>
      </c>
      <c r="S3847" s="49"/>
      <c r="T3847" s="72"/>
      <c r="U3847" s="64">
        <f>IF(U3843&lt;U3844,U3845,U3846)</f>
        <v>1133.1359408675803</v>
      </c>
      <c r="V3847" s="44"/>
      <c r="W3847" s="72"/>
      <c r="X3847" s="64" t="e">
        <f>IF(X3843&lt;X3844,X3845,X3846)</f>
        <v>#NUM!</v>
      </c>
      <c r="Y3847" s="44"/>
      <c r="Z3847" s="72"/>
      <c r="AA3847" s="64" t="e">
        <f>IF(AA3843&lt;AA3844,AA3845,AA3846)</f>
        <v>#NUM!</v>
      </c>
      <c r="AB3847" s="44"/>
      <c r="AC3847" s="72"/>
      <c r="AD3847" s="64" t="e">
        <f>IF(AD3843&lt;AD3844,AD3845,AD3846)</f>
        <v>#NUM!</v>
      </c>
      <c r="AE3847" s="44"/>
      <c r="AF3847" s="72"/>
      <c r="AG3847" s="64" t="e">
        <f>IF(AG3843&lt;AG3844,AG3845,AG3846)</f>
        <v>#NUM!</v>
      </c>
      <c r="AH3847" s="44"/>
      <c r="AI3847" s="72"/>
      <c r="AJ3847" s="64" t="e">
        <f>IF(AJ3843&lt;AJ3844,AJ3845,AJ3846)</f>
        <v>#NUM!</v>
      </c>
      <c r="AK3847" s="44"/>
      <c r="AL3847" s="72"/>
      <c r="AM3847" s="64" t="e">
        <f>IF(AM3843&lt;AM3844,AM3845,AM3846)</f>
        <v>#NUM!</v>
      </c>
      <c r="AN3847" s="44"/>
      <c r="AO3847" s="72"/>
      <c r="AP3847" s="64" t="e">
        <f>IF(AP3843&lt;AP3844,AP3845,AP3846)</f>
        <v>#NUM!</v>
      </c>
      <c r="AQ3847" s="44"/>
      <c r="AR3847" s="72"/>
      <c r="AS3847" s="64" t="e">
        <f>IF(AS3843&lt;AS3844,AS3845,AS3846)</f>
        <v>#NUM!</v>
      </c>
      <c r="AT3847" s="44"/>
      <c r="AU3847" s="72"/>
    </row>
    <row r="3848" spans="15:47" ht="13" x14ac:dyDescent="0.3">
      <c r="O3848" s="7" t="s">
        <v>264</v>
      </c>
      <c r="Q3848" s="61"/>
      <c r="R3848" s="53"/>
      <c r="S3848" s="69">
        <f>IFERROR(ABS(C_h-R3847),Q_max*10)</f>
        <v>246.15904973589684</v>
      </c>
      <c r="T3848" s="76">
        <f>R3839</f>
        <v>756.39633629445996</v>
      </c>
      <c r="U3848" s="61"/>
      <c r="V3848" s="69">
        <f>IFERROR(ABS(U$23-U3847),Q_max*10)</f>
        <v>1121.1359408675803</v>
      </c>
      <c r="W3848" s="75">
        <f>U3839</f>
        <v>883.72315206825908</v>
      </c>
      <c r="X3848" s="61"/>
      <c r="Y3848" s="69">
        <f>IFERROR(ABS(X$23-X3847),Q_max*10)</f>
        <v>5500</v>
      </c>
      <c r="Z3848" s="75">
        <f>X3839</f>
        <v>2121.2757430621377</v>
      </c>
      <c r="AA3848" s="61"/>
      <c r="AB3848" s="69">
        <f>IFERROR(ABS(AA$23-AA3847),Q_max*10)</f>
        <v>5500</v>
      </c>
      <c r="AC3848" s="75">
        <f>AA3839</f>
        <v>4050.2928159799885</v>
      </c>
      <c r="AD3848" s="61"/>
      <c r="AE3848" s="69">
        <f>IFERROR(ABS(AD$23-AD3847),Q_max*10)</f>
        <v>5500</v>
      </c>
      <c r="AF3848" s="75">
        <f>AD3839</f>
        <v>6661.2404529463556</v>
      </c>
      <c r="AG3848" s="61"/>
      <c r="AH3848" s="69">
        <f>IFERROR(ABS(AG$23-AG3847),Q_max*10)</f>
        <v>5500</v>
      </c>
      <c r="AI3848" s="75">
        <f>AG3839</f>
        <v>9917.6793311026104</v>
      </c>
      <c r="AJ3848" s="61"/>
      <c r="AK3848" s="69">
        <f>IFERROR(ABS(AJ$23-AJ3847),Q_max*10)</f>
        <v>5500</v>
      </c>
      <c r="AL3848" s="75">
        <f>AJ3839</f>
        <v>13235.181513907162</v>
      </c>
      <c r="AM3848" s="61"/>
      <c r="AN3848" s="69">
        <f>IFERROR(ABS(AM$23-AM3847),Q_max*10)</f>
        <v>5500</v>
      </c>
      <c r="AO3848" s="75">
        <f>AM3839</f>
        <v>16149.436660172976</v>
      </c>
      <c r="AP3848" s="61"/>
      <c r="AQ3848" s="69">
        <f>IFERROR(ABS(AP$23-AP3847),Q_max*10)</f>
        <v>5500</v>
      </c>
      <c r="AR3848" s="75">
        <f>AP3839</f>
        <v>18748.994609174988</v>
      </c>
      <c r="AS3848" s="61"/>
      <c r="AT3848" s="69">
        <f>IFERROR(ABS(AS$23-AS3847),Q_max*10)</f>
        <v>5500</v>
      </c>
      <c r="AU3848" s="75">
        <f>AS3839</f>
        <v>21338.104779582023</v>
      </c>
    </row>
    <row r="3849" spans="15:47" ht="14.5" x14ac:dyDescent="0.35">
      <c r="O3849" s="6"/>
      <c r="P3849" s="6"/>
      <c r="Q3849" s="60"/>
      <c r="R3849" s="67"/>
      <c r="S3849" s="56"/>
      <c r="T3849" s="72"/>
      <c r="V3849" s="11"/>
      <c r="W3849" s="38"/>
      <c r="Y3849" s="11"/>
      <c r="Z3849" s="38"/>
      <c r="AB3849" s="11"/>
      <c r="AC3849" s="38"/>
      <c r="AE3849" s="11"/>
      <c r="AF3849" s="38"/>
      <c r="AH3849" s="11"/>
      <c r="AI3849" s="38"/>
      <c r="AK3849" s="11"/>
      <c r="AL3849" s="38"/>
      <c r="AN3849" s="11"/>
      <c r="AO3849" s="38"/>
      <c r="AQ3849" s="11"/>
      <c r="AR3849" s="38"/>
      <c r="AT3849" s="11"/>
      <c r="AU3849" s="38"/>
    </row>
    <row r="3850" spans="15:47" ht="14" x14ac:dyDescent="0.3">
      <c r="O3850" s="8" t="s">
        <v>235</v>
      </c>
      <c r="P3850" s="6"/>
      <c r="Q3850" s="60"/>
      <c r="R3850" s="53">
        <f>R3839*1.02</f>
        <v>771.52426302034917</v>
      </c>
      <c r="S3850" s="58" t="s">
        <v>238</v>
      </c>
      <c r="T3850" s="73" t="s">
        <v>241</v>
      </c>
      <c r="U3850" s="84">
        <f>U3839*1.01</f>
        <v>892.5603835889417</v>
      </c>
      <c r="V3850" s="58" t="s">
        <v>238</v>
      </c>
      <c r="W3850" s="73" t="s">
        <v>241</v>
      </c>
      <c r="X3850" s="84">
        <f>X3839*1.01</f>
        <v>2142.4885004927592</v>
      </c>
      <c r="Y3850" s="58" t="s">
        <v>238</v>
      </c>
      <c r="Z3850" s="73" t="s">
        <v>241</v>
      </c>
      <c r="AA3850" s="84">
        <f>AA3839*1.01</f>
        <v>4090.7957441397884</v>
      </c>
      <c r="AB3850" s="58" t="s">
        <v>238</v>
      </c>
      <c r="AC3850" s="73" t="s">
        <v>241</v>
      </c>
      <c r="AD3850" s="84">
        <f>AD3839*1.01</f>
        <v>6727.8528574758193</v>
      </c>
      <c r="AE3850" s="58" t="s">
        <v>238</v>
      </c>
      <c r="AF3850" s="73" t="s">
        <v>241</v>
      </c>
      <c r="AG3850" s="84">
        <f>AG3839*1.01</f>
        <v>10016.856124413636</v>
      </c>
      <c r="AH3850" s="58" t="s">
        <v>238</v>
      </c>
      <c r="AI3850" s="73" t="s">
        <v>241</v>
      </c>
      <c r="AJ3850" s="84">
        <f>AJ3839*1.01</f>
        <v>13367.533329046235</v>
      </c>
      <c r="AK3850" s="58" t="s">
        <v>238</v>
      </c>
      <c r="AL3850" s="73" t="s">
        <v>241</v>
      </c>
      <c r="AM3850" s="84">
        <f>AM3839*1.01</f>
        <v>16310.931026774706</v>
      </c>
      <c r="AN3850" s="58" t="s">
        <v>238</v>
      </c>
      <c r="AO3850" s="73" t="s">
        <v>241</v>
      </c>
      <c r="AP3850" s="84">
        <f>AP3839*1.01</f>
        <v>18936.484555266739</v>
      </c>
      <c r="AQ3850" s="58" t="s">
        <v>238</v>
      </c>
      <c r="AR3850" s="73" t="s">
        <v>241</v>
      </c>
      <c r="AS3850" s="84">
        <f>AS3839*1.01</f>
        <v>21551.485827377845</v>
      </c>
      <c r="AT3850" s="58" t="s">
        <v>238</v>
      </c>
      <c r="AU3850" s="73" t="s">
        <v>241</v>
      </c>
    </row>
    <row r="3851" spans="15:47" ht="13" x14ac:dyDescent="0.25">
      <c r="O3851" s="6"/>
      <c r="P3851" s="6"/>
      <c r="Q3851" s="60"/>
      <c r="R3851" s="70"/>
      <c r="S3851" s="63" t="s">
        <v>250</v>
      </c>
      <c r="T3851" s="71" t="s">
        <v>242</v>
      </c>
      <c r="U3851" s="61"/>
      <c r="V3851" s="63" t="s">
        <v>250</v>
      </c>
      <c r="W3851" s="71" t="s">
        <v>242</v>
      </c>
      <c r="X3851" s="61"/>
      <c r="Y3851" s="63" t="s">
        <v>250</v>
      </c>
      <c r="Z3851" s="71" t="s">
        <v>242</v>
      </c>
      <c r="AA3851" s="61"/>
      <c r="AB3851" s="63" t="s">
        <v>250</v>
      </c>
      <c r="AC3851" s="71" t="s">
        <v>242</v>
      </c>
      <c r="AD3851" s="61"/>
      <c r="AE3851" s="63" t="s">
        <v>250</v>
      </c>
      <c r="AF3851" s="71" t="s">
        <v>242</v>
      </c>
      <c r="AG3851" s="61"/>
      <c r="AH3851" s="63" t="s">
        <v>250</v>
      </c>
      <c r="AI3851" s="71" t="s">
        <v>242</v>
      </c>
      <c r="AJ3851" s="61"/>
      <c r="AK3851" s="63" t="s">
        <v>250</v>
      </c>
      <c r="AL3851" s="71" t="s">
        <v>242</v>
      </c>
      <c r="AM3851" s="61"/>
      <c r="AN3851" s="63" t="s">
        <v>250</v>
      </c>
      <c r="AO3851" s="71" t="s">
        <v>242</v>
      </c>
      <c r="AP3851" s="61"/>
      <c r="AQ3851" s="63" t="s">
        <v>250</v>
      </c>
      <c r="AR3851" s="71" t="s">
        <v>242</v>
      </c>
      <c r="AS3851" s="61"/>
      <c r="AT3851" s="63" t="s">
        <v>250</v>
      </c>
      <c r="AU3851" s="71" t="s">
        <v>242</v>
      </c>
    </row>
    <row r="3852" spans="15:47" ht="13" x14ac:dyDescent="0.3">
      <c r="O3852" s="6" t="s">
        <v>231</v>
      </c>
      <c r="P3852" s="6"/>
      <c r="Q3852" s="60"/>
      <c r="R3852" s="85">
        <f>P_1_minQ-(R3850^2*R_up)+dpup_minQ</f>
        <v>36.81314797605225</v>
      </c>
      <c r="S3852" s="56"/>
      <c r="T3852" s="72"/>
      <c r="U3852" s="53">
        <f>P_1_minQ-(U3850^2*R_up)+dpup_minQ</f>
        <v>30.010907181613014</v>
      </c>
      <c r="V3852" s="44"/>
      <c r="W3852" s="72"/>
      <c r="X3852" s="53">
        <f>P_1_minQ-(X3850^2*R_up)+dpup_minQ</f>
        <v>-98.107733020726499</v>
      </c>
      <c r="Y3852" s="44"/>
      <c r="Z3852" s="72"/>
      <c r="AA3852" s="53">
        <f>P_1_minQ-(AA3850^2*R_up)+dpup_minQ</f>
        <v>-508.25136171132073</v>
      </c>
      <c r="AB3852" s="44"/>
      <c r="AC3852" s="72"/>
      <c r="AD3852" s="53">
        <f>P_1_minQ-(AD3850^2*R_up)+dpup_minQ</f>
        <v>-1471.7567400150472</v>
      </c>
      <c r="AE3852" s="44"/>
      <c r="AF3852" s="72"/>
      <c r="AG3852" s="53">
        <f>P_1_minQ-(AG3850^2*R_up)+dpup_minQ</f>
        <v>-3331.7162991287732</v>
      </c>
      <c r="AH3852" s="44"/>
      <c r="AI3852" s="72"/>
      <c r="AJ3852" s="53">
        <f>P_1_minQ-(AJ3850^2*R_up)+dpup_minQ</f>
        <v>-5977.9013949058408</v>
      </c>
      <c r="AK3852" s="44"/>
      <c r="AL3852" s="72"/>
      <c r="AM3852" s="53">
        <f>P_1_minQ-(AM3850^2*R_up)+dpup_minQ</f>
        <v>-8928.10482810543</v>
      </c>
      <c r="AN3852" s="44"/>
      <c r="AO3852" s="72"/>
      <c r="AP3852" s="53">
        <f>P_1_minQ-(AP3850^2*R_up)+dpup_minQ</f>
        <v>-12053.534627215662</v>
      </c>
      <c r="AQ3852" s="44"/>
      <c r="AR3852" s="72"/>
      <c r="AS3852" s="53">
        <f>P_1_minQ-(AS3850^2*R_up)+dpup_minQ</f>
        <v>-15629.221694281261</v>
      </c>
      <c r="AT3852" s="44"/>
      <c r="AU3852" s="72"/>
    </row>
    <row r="3853" spans="15:47" ht="13" x14ac:dyDescent="0.3">
      <c r="O3853" s="6" t="s">
        <v>233</v>
      </c>
      <c r="P3853" s="6"/>
      <c r="Q3853" s="60"/>
      <c r="R3853" s="85">
        <f>P_2_minQ+(R3850^2*R_dn)-dpdn_minQ</f>
        <v>28.677370404789553</v>
      </c>
      <c r="S3853" s="66"/>
      <c r="T3853" s="74"/>
      <c r="U3853" s="53">
        <f>P_2_minQ+(U3850^2*R_dn)-dpdn_minQ</f>
        <v>30.037818563677398</v>
      </c>
      <c r="V3853" s="45"/>
      <c r="W3853" s="74"/>
      <c r="X3853" s="53">
        <f>P_2_minQ+(X3850^2*R_dn)-dpdn_minQ</f>
        <v>55.6615466041453</v>
      </c>
      <c r="Y3853" s="45"/>
      <c r="Z3853" s="74"/>
      <c r="AA3853" s="53">
        <f>P_2_minQ+(AA3850^2*R_dn)-dpdn_minQ</f>
        <v>137.69027234226414</v>
      </c>
      <c r="AB3853" s="45"/>
      <c r="AC3853" s="74"/>
      <c r="AD3853" s="53">
        <f>P_2_minQ+(AD3850^2*R_dn)-dpdn_minQ</f>
        <v>330.3913480030094</v>
      </c>
      <c r="AE3853" s="45"/>
      <c r="AF3853" s="74"/>
      <c r="AG3853" s="53">
        <f>P_2_minQ+(AG3850^2*R_dn)-dpdn_minQ</f>
        <v>702.38325982575464</v>
      </c>
      <c r="AH3853" s="45"/>
      <c r="AI3853" s="74"/>
      <c r="AJ3853" s="53">
        <f>P_2_minQ+(AJ3850^2*R_dn)-dpdn_minQ</f>
        <v>1231.620278981168</v>
      </c>
      <c r="AK3853" s="45"/>
      <c r="AL3853" s="74"/>
      <c r="AM3853" s="53">
        <f>P_2_minQ+(AM3850^2*R_dn)-dpdn_minQ</f>
        <v>1821.660965621086</v>
      </c>
      <c r="AN3853" s="45"/>
      <c r="AO3853" s="74"/>
      <c r="AP3853" s="53">
        <f>P_2_minQ+(AP3850^2*R_dn)-dpdn_minQ</f>
        <v>2446.7469254431321</v>
      </c>
      <c r="AQ3853" s="45"/>
      <c r="AR3853" s="74"/>
      <c r="AS3853" s="53">
        <f>P_2_minQ+(AS3850^2*R_dn)-dpdn_minQ</f>
        <v>3161.8843388562518</v>
      </c>
      <c r="AT3853" s="45"/>
      <c r="AU3853" s="74"/>
    </row>
    <row r="3854" spans="15:47" x14ac:dyDescent="0.25">
      <c r="O3854" s="6" t="s">
        <v>243</v>
      </c>
      <c r="Q3854" s="60"/>
      <c r="R3854" s="53">
        <f>R3852-R3853</f>
        <v>8.1357775712626967</v>
      </c>
      <c r="S3854" s="56"/>
      <c r="T3854" s="72"/>
      <c r="U3854" s="64">
        <f>U3852-U3853</f>
        <v>-2.6911382064383815E-2</v>
      </c>
      <c r="V3854" s="44"/>
      <c r="W3854" s="72"/>
      <c r="X3854" s="64">
        <f>X3852-X3853</f>
        <v>-153.76927962487179</v>
      </c>
      <c r="Y3854" s="44"/>
      <c r="Z3854" s="72"/>
      <c r="AA3854" s="64">
        <f>AA3852-AA3853</f>
        <v>-645.94163405358483</v>
      </c>
      <c r="AB3854" s="44"/>
      <c r="AC3854" s="72"/>
      <c r="AD3854" s="64">
        <f>AD3852-AD3853</f>
        <v>-1802.1480880180566</v>
      </c>
      <c r="AE3854" s="44"/>
      <c r="AF3854" s="72"/>
      <c r="AG3854" s="64">
        <f>AG3852-AG3853</f>
        <v>-4034.0995589545278</v>
      </c>
      <c r="AH3854" s="44"/>
      <c r="AI3854" s="72"/>
      <c r="AJ3854" s="64">
        <f>AJ3852-AJ3853</f>
        <v>-7209.5216738870085</v>
      </c>
      <c r="AK3854" s="44"/>
      <c r="AL3854" s="72"/>
      <c r="AM3854" s="64">
        <f>AM3852-AM3853</f>
        <v>-10749.765793726516</v>
      </c>
      <c r="AN3854" s="44"/>
      <c r="AO3854" s="72"/>
      <c r="AP3854" s="64">
        <f>AP3852-AP3853</f>
        <v>-14500.281552658795</v>
      </c>
      <c r="AQ3854" s="44"/>
      <c r="AR3854" s="72"/>
      <c r="AS3854" s="64">
        <f>AS3852-AS3853</f>
        <v>-18791.106033137512</v>
      </c>
      <c r="AT3854" s="44"/>
      <c r="AU3854" s="72"/>
    </row>
    <row r="3855" spans="15:47" ht="13" x14ac:dyDescent="0.3">
      <c r="O3855" s="6" t="s">
        <v>75</v>
      </c>
      <c r="P3855" s="6">
        <v>3</v>
      </c>
      <c r="Q3855" s="65"/>
      <c r="R3855" s="85">
        <f>(F_LP_h/F_P_h)^2*(R3852-('Valve Sizing'!$V$4*'Valve Sizing'!$G$7))</f>
        <v>30.118827995552536</v>
      </c>
      <c r="S3855" s="58"/>
      <c r="T3855" s="73"/>
      <c r="U3855" s="53">
        <f>(U$29/U$27)^2*(U3852-('Valve Sizing'!$V$4*'Valve Sizing'!$G$7))</f>
        <v>24.47954163774644</v>
      </c>
      <c r="V3855" s="41"/>
      <c r="W3855" s="73"/>
      <c r="X3855" s="53">
        <f>(X$29/X$27)^2*(X3852-('Valve Sizing'!$V$4*'Valve Sizing'!$G$7))</f>
        <v>-79.740296148457034</v>
      </c>
      <c r="Y3855" s="41"/>
      <c r="Z3855" s="73"/>
      <c r="AA3855" s="53">
        <f>(AA$29/AA$27)^2*(AA3852-('Valve Sizing'!$V$4*'Valve Sizing'!$G$7))</f>
        <v>-393.11531542336758</v>
      </c>
      <c r="AB3855" s="41"/>
      <c r="AC3855" s="73"/>
      <c r="AD3855" s="53">
        <f>(AD$29/AD$27)^2*(AD3852-('Valve Sizing'!$V$4*'Valve Sizing'!$G$7))</f>
        <v>-1061.7297913740833</v>
      </c>
      <c r="AE3855" s="41"/>
      <c r="AF3855" s="73"/>
      <c r="AG3855" s="53">
        <f>(AG$29/AG$27)^2*(AG3852-('Valve Sizing'!$V$4*'Valve Sizing'!$G$7))</f>
        <v>-2146.055145991897</v>
      </c>
      <c r="AH3855" s="41"/>
      <c r="AI3855" s="73"/>
      <c r="AJ3855" s="53">
        <f>(AJ$29/AJ$27)^2*(AJ3852-('Valve Sizing'!$V$4*'Valve Sizing'!$G$7))</f>
        <v>-3457.6594805716081</v>
      </c>
      <c r="AK3855" s="41"/>
      <c r="AL3855" s="73"/>
      <c r="AM3855" s="53">
        <f>(AM$29/AM$27)^2*(AM3852-('Valve Sizing'!$V$4*'Valve Sizing'!$G$7))</f>
        <v>-4272.0600616583433</v>
      </c>
      <c r="AN3855" s="41"/>
      <c r="AO3855" s="73"/>
      <c r="AP3855" s="53">
        <f>(AP$29/AP$27)^2*(AP3852-('Valve Sizing'!$V$4*'Valve Sizing'!$G$7))</f>
        <v>-4756.8217869544824</v>
      </c>
      <c r="AQ3855" s="41"/>
      <c r="AR3855" s="73"/>
      <c r="AS3855" s="53">
        <f>(AS$29/AS$27)^2*(AS3852-('Valve Sizing'!$V$4*'Valve Sizing'!$G$7))</f>
        <v>-5878.9533829526499</v>
      </c>
      <c r="AT3855" s="41"/>
      <c r="AU3855" s="73"/>
    </row>
    <row r="3856" spans="15:47" ht="13" x14ac:dyDescent="0.25">
      <c r="O3856" s="1" t="s">
        <v>69</v>
      </c>
      <c r="P3856" s="17">
        <v>7</v>
      </c>
      <c r="Q3856" s="65"/>
      <c r="R3856" s="53">
        <f>(R3850/(N_1*F_P_h))*SQRT('Valve Sizing'!$G$6/R3854)</f>
        <v>270.52884833486632</v>
      </c>
      <c r="S3856" s="58"/>
      <c r="T3856" s="73"/>
      <c r="U3856" s="64" t="e">
        <f>(U3850/(N_1*U$27))*SQRT('Valve Sizing'!$G$6/U3854)</f>
        <v>#NUM!</v>
      </c>
      <c r="V3856" s="41"/>
      <c r="W3856" s="73"/>
      <c r="X3856" s="64" t="e">
        <f>(X3850/(N_1*X$27))*SQRT('Valve Sizing'!$G$6/X3854)</f>
        <v>#NUM!</v>
      </c>
      <c r="Y3856" s="41"/>
      <c r="Z3856" s="73"/>
      <c r="AA3856" s="64" t="e">
        <f>(AA3850/(N_1*AA$27))*SQRT('Valve Sizing'!$G$6/AA3854)</f>
        <v>#NUM!</v>
      </c>
      <c r="AB3856" s="41"/>
      <c r="AC3856" s="73"/>
      <c r="AD3856" s="64" t="e">
        <f>(AD3850/(N_1*AD$27))*SQRT('Valve Sizing'!$G$6/AD3854)</f>
        <v>#NUM!</v>
      </c>
      <c r="AE3856" s="41"/>
      <c r="AF3856" s="73"/>
      <c r="AG3856" s="64" t="e">
        <f>(AG3850/(N_1*AG$27))*SQRT('Valve Sizing'!$G$6/AG3854)</f>
        <v>#NUM!</v>
      </c>
      <c r="AH3856" s="41"/>
      <c r="AI3856" s="73"/>
      <c r="AJ3856" s="64" t="e">
        <f>(AJ3850/(N_1*AJ$27))*SQRT('Valve Sizing'!$G$6/AJ3854)</f>
        <v>#NUM!</v>
      </c>
      <c r="AK3856" s="41"/>
      <c r="AL3856" s="73"/>
      <c r="AM3856" s="64" t="e">
        <f>(AM3850/(N_1*AM$27))*SQRT('Valve Sizing'!$G$6/AM3854)</f>
        <v>#NUM!</v>
      </c>
      <c r="AN3856" s="41"/>
      <c r="AO3856" s="73"/>
      <c r="AP3856" s="64" t="e">
        <f>(AP3850/(N_1*AP$27))*SQRT('Valve Sizing'!$G$6/AP3854)</f>
        <v>#NUM!</v>
      </c>
      <c r="AQ3856" s="41"/>
      <c r="AR3856" s="73"/>
      <c r="AS3856" s="64" t="e">
        <f>(AS3850/(N_1*AS$27))*SQRT('Valve Sizing'!$G$6/AS3854)</f>
        <v>#NUM!</v>
      </c>
      <c r="AT3856" s="41"/>
      <c r="AU3856" s="73"/>
    </row>
    <row r="3857" spans="15:47" ht="13" x14ac:dyDescent="0.3">
      <c r="O3857" s="1" t="s">
        <v>72</v>
      </c>
      <c r="P3857" s="17">
        <v>7</v>
      </c>
      <c r="Q3857" s="65"/>
      <c r="R3857" s="53">
        <f>(R3850/(N_1*F_P_h))*SQRT('Valve Sizing'!$G$6/R3855)</f>
        <v>140.60283672916358</v>
      </c>
      <c r="S3857" s="56"/>
      <c r="T3857" s="72"/>
      <c r="U3857" s="85">
        <f>(U3850/(N_1*U$27))*SQRT('Valve Sizing'!$G$6/U3855)</f>
        <v>180.55172260908731</v>
      </c>
      <c r="V3857" s="44"/>
      <c r="W3857" s="72"/>
      <c r="X3857" s="85" t="e">
        <f>(X3850/(N_1*X$27))*SQRT('Valve Sizing'!$G$6/X3855)</f>
        <v>#NUM!</v>
      </c>
      <c r="Y3857" s="44"/>
      <c r="Z3857" s="72"/>
      <c r="AA3857" s="85" t="e">
        <f>(AA3850/(N_1*AA$27))*SQRT('Valve Sizing'!$G$6/AA3855)</f>
        <v>#NUM!</v>
      </c>
      <c r="AB3857" s="44"/>
      <c r="AC3857" s="72"/>
      <c r="AD3857" s="85" t="e">
        <f>(AD3850/(N_1*AD$27))*SQRT('Valve Sizing'!$G$6/AD3855)</f>
        <v>#NUM!</v>
      </c>
      <c r="AE3857" s="44"/>
      <c r="AF3857" s="72"/>
      <c r="AG3857" s="85" t="e">
        <f>(AG3850/(N_1*AG$27))*SQRT('Valve Sizing'!$G$6/AG3855)</f>
        <v>#NUM!</v>
      </c>
      <c r="AH3857" s="44"/>
      <c r="AI3857" s="72"/>
      <c r="AJ3857" s="85" t="e">
        <f>(AJ3850/(N_1*AJ$27))*SQRT('Valve Sizing'!$G$6/AJ3855)</f>
        <v>#NUM!</v>
      </c>
      <c r="AK3857" s="44"/>
      <c r="AL3857" s="72"/>
      <c r="AM3857" s="85" t="e">
        <f>(AM3850/(N_1*AM$27))*SQRT('Valve Sizing'!$G$6/AM3855)</f>
        <v>#NUM!</v>
      </c>
      <c r="AN3857" s="44"/>
      <c r="AO3857" s="72"/>
      <c r="AP3857" s="85" t="e">
        <f>(AP3850/(N_1*AP$27))*SQRT('Valve Sizing'!$G$6/AP3855)</f>
        <v>#NUM!</v>
      </c>
      <c r="AQ3857" s="44"/>
      <c r="AR3857" s="72"/>
      <c r="AS3857" s="85" t="e">
        <f>(AS3850/(N_1*AS$27))*SQRT('Valve Sizing'!$G$6/AS3855)</f>
        <v>#NUM!</v>
      </c>
      <c r="AT3857" s="44"/>
      <c r="AU3857" s="72"/>
    </row>
    <row r="3858" spans="15:47" x14ac:dyDescent="0.25">
      <c r="O3858" s="1" t="s">
        <v>246</v>
      </c>
      <c r="P3858" s="18"/>
      <c r="Q3858" s="65"/>
      <c r="R3858" s="53">
        <f>IF(R3854&lt;R3855,R3856,R3857)</f>
        <v>270.52884833486632</v>
      </c>
      <c r="S3858" s="49"/>
      <c r="T3858" s="72"/>
      <c r="U3858" s="64" t="e">
        <f>IF(U3854&lt;U3855,U3856,U3857)</f>
        <v>#NUM!</v>
      </c>
      <c r="V3858" s="44"/>
      <c r="W3858" s="72"/>
      <c r="X3858" s="64" t="e">
        <f>IF(X3854&lt;X3855,X3856,X3857)</f>
        <v>#NUM!</v>
      </c>
      <c r="Y3858" s="44"/>
      <c r="Z3858" s="72"/>
      <c r="AA3858" s="64" t="e">
        <f>IF(AA3854&lt;AA3855,AA3856,AA3857)</f>
        <v>#NUM!</v>
      </c>
      <c r="AB3858" s="44"/>
      <c r="AC3858" s="72"/>
      <c r="AD3858" s="64" t="e">
        <f>IF(AD3854&lt;AD3855,AD3856,AD3857)</f>
        <v>#NUM!</v>
      </c>
      <c r="AE3858" s="44"/>
      <c r="AF3858" s="72"/>
      <c r="AG3858" s="64" t="e">
        <f>IF(AG3854&lt;AG3855,AG3856,AG3857)</f>
        <v>#NUM!</v>
      </c>
      <c r="AH3858" s="44"/>
      <c r="AI3858" s="72"/>
      <c r="AJ3858" s="64" t="e">
        <f>IF(AJ3854&lt;AJ3855,AJ3856,AJ3857)</f>
        <v>#NUM!</v>
      </c>
      <c r="AK3858" s="44"/>
      <c r="AL3858" s="72"/>
      <c r="AM3858" s="64" t="e">
        <f>IF(AM3854&lt;AM3855,AM3856,AM3857)</f>
        <v>#NUM!</v>
      </c>
      <c r="AN3858" s="44"/>
      <c r="AO3858" s="72"/>
      <c r="AP3858" s="64" t="e">
        <f>IF(AP3854&lt;AP3855,AP3856,AP3857)</f>
        <v>#NUM!</v>
      </c>
      <c r="AQ3858" s="44"/>
      <c r="AR3858" s="72"/>
      <c r="AS3858" s="64" t="e">
        <f>IF(AS3854&lt;AS3855,AS3856,AS3857)</f>
        <v>#NUM!</v>
      </c>
      <c r="AT3858" s="44"/>
      <c r="AU3858" s="72"/>
    </row>
    <row r="3859" spans="15:47" ht="13" x14ac:dyDescent="0.3">
      <c r="O3859" s="7" t="s">
        <v>264</v>
      </c>
      <c r="Q3859" s="61"/>
      <c r="R3859" s="53"/>
      <c r="S3859" s="69">
        <f>IFERROR(ABS(C_h-R3858),Q_max*10)</f>
        <v>265.52884833486632</v>
      </c>
      <c r="T3859" s="76">
        <f>R3850</f>
        <v>771.52426302034917</v>
      </c>
      <c r="U3859" s="61"/>
      <c r="V3859" s="69">
        <f>IFERROR(ABS(U$23-U3858),Q_max*10)</f>
        <v>5500</v>
      </c>
      <c r="W3859" s="75">
        <f>U3850</f>
        <v>892.5603835889417</v>
      </c>
      <c r="X3859" s="61"/>
      <c r="Y3859" s="69">
        <f>IFERROR(ABS(X$23-X3858),Q_max*10)</f>
        <v>5500</v>
      </c>
      <c r="Z3859" s="75">
        <f>X3850</f>
        <v>2142.4885004927592</v>
      </c>
      <c r="AA3859" s="61"/>
      <c r="AB3859" s="69">
        <f>IFERROR(ABS(AA$23-AA3858),Q_max*10)</f>
        <v>5500</v>
      </c>
      <c r="AC3859" s="75">
        <f>AA3850</f>
        <v>4090.7957441397884</v>
      </c>
      <c r="AD3859" s="61"/>
      <c r="AE3859" s="69">
        <f>IFERROR(ABS(AD$23-AD3858),Q_max*10)</f>
        <v>5500</v>
      </c>
      <c r="AF3859" s="75">
        <f>AD3850</f>
        <v>6727.8528574758193</v>
      </c>
      <c r="AG3859" s="61"/>
      <c r="AH3859" s="69">
        <f>IFERROR(ABS(AG$23-AG3858),Q_max*10)</f>
        <v>5500</v>
      </c>
      <c r="AI3859" s="75">
        <f>AG3850</f>
        <v>10016.856124413636</v>
      </c>
      <c r="AJ3859" s="61"/>
      <c r="AK3859" s="69">
        <f>IFERROR(ABS(AJ$23-AJ3858),Q_max*10)</f>
        <v>5500</v>
      </c>
      <c r="AL3859" s="75">
        <f>AJ3850</f>
        <v>13367.533329046235</v>
      </c>
      <c r="AM3859" s="61"/>
      <c r="AN3859" s="69">
        <f>IFERROR(ABS(AM$23-AM3858),Q_max*10)</f>
        <v>5500</v>
      </c>
      <c r="AO3859" s="75">
        <f>AM3850</f>
        <v>16310.931026774706</v>
      </c>
      <c r="AP3859" s="61"/>
      <c r="AQ3859" s="69">
        <f>IFERROR(ABS(AP$23-AP3858),Q_max*10)</f>
        <v>5500</v>
      </c>
      <c r="AR3859" s="75">
        <f>AP3850</f>
        <v>18936.484555266739</v>
      </c>
      <c r="AS3859" s="61"/>
      <c r="AT3859" s="69">
        <f>IFERROR(ABS(AS$23-AS3858),Q_max*10)</f>
        <v>5500</v>
      </c>
      <c r="AU3859" s="75">
        <f>AS3850</f>
        <v>21551.485827377845</v>
      </c>
    </row>
    <row r="3860" spans="15:47" ht="14.5" x14ac:dyDescent="0.35">
      <c r="O3860" s="6"/>
      <c r="P3860" s="6"/>
      <c r="Q3860" s="60"/>
      <c r="R3860" s="67"/>
      <c r="S3860" s="58"/>
      <c r="T3860" s="73"/>
      <c r="V3860" s="11"/>
      <c r="W3860" s="38"/>
      <c r="Y3860" s="11"/>
      <c r="Z3860" s="38"/>
      <c r="AB3860" s="11"/>
      <c r="AC3860" s="38"/>
      <c r="AE3860" s="11"/>
      <c r="AF3860" s="38"/>
      <c r="AH3860" s="11"/>
      <c r="AI3860" s="38"/>
      <c r="AK3860" s="11"/>
      <c r="AL3860" s="38"/>
      <c r="AN3860" s="11"/>
      <c r="AO3860" s="38"/>
      <c r="AQ3860" s="11"/>
      <c r="AR3860" s="38"/>
      <c r="AT3860" s="11"/>
      <c r="AU3860" s="38"/>
    </row>
    <row r="3861" spans="15:47" ht="14" x14ac:dyDescent="0.3">
      <c r="O3861" s="8" t="s">
        <v>235</v>
      </c>
      <c r="P3861" s="6"/>
      <c r="Q3861" s="60"/>
      <c r="R3861" s="53">
        <f>R3850*1.02</f>
        <v>786.95474828075612</v>
      </c>
      <c r="S3861" s="58" t="s">
        <v>238</v>
      </c>
      <c r="T3861" s="73" t="s">
        <v>241</v>
      </c>
      <c r="U3861" s="84">
        <f>U3850*1.01</f>
        <v>901.48598742483114</v>
      </c>
      <c r="V3861" s="58" t="s">
        <v>238</v>
      </c>
      <c r="W3861" s="73" t="s">
        <v>241</v>
      </c>
      <c r="X3861" s="84">
        <f>X3850*1.01</f>
        <v>2163.9133854976867</v>
      </c>
      <c r="Y3861" s="58" t="s">
        <v>238</v>
      </c>
      <c r="Z3861" s="73" t="s">
        <v>241</v>
      </c>
      <c r="AA3861" s="84">
        <f>AA3850*1.01</f>
        <v>4131.7037015811866</v>
      </c>
      <c r="AB3861" s="58" t="s">
        <v>238</v>
      </c>
      <c r="AC3861" s="73" t="s">
        <v>241</v>
      </c>
      <c r="AD3861" s="84">
        <f>AD3850*1.01</f>
        <v>6795.1313860505779</v>
      </c>
      <c r="AE3861" s="58" t="s">
        <v>238</v>
      </c>
      <c r="AF3861" s="73" t="s">
        <v>241</v>
      </c>
      <c r="AG3861" s="84">
        <f>AG3850*1.01</f>
        <v>10117.024685657772</v>
      </c>
      <c r="AH3861" s="58" t="s">
        <v>238</v>
      </c>
      <c r="AI3861" s="73" t="s">
        <v>241</v>
      </c>
      <c r="AJ3861" s="84">
        <f>AJ3850*1.01</f>
        <v>13501.208662336698</v>
      </c>
      <c r="AK3861" s="58" t="s">
        <v>238</v>
      </c>
      <c r="AL3861" s="73" t="s">
        <v>241</v>
      </c>
      <c r="AM3861" s="84">
        <f>AM3850*1.01</f>
        <v>16474.040337042454</v>
      </c>
      <c r="AN3861" s="58" t="s">
        <v>238</v>
      </c>
      <c r="AO3861" s="73" t="s">
        <v>241</v>
      </c>
      <c r="AP3861" s="84">
        <f>AP3850*1.01</f>
        <v>19125.849400819407</v>
      </c>
      <c r="AQ3861" s="58" t="s">
        <v>238</v>
      </c>
      <c r="AR3861" s="73" t="s">
        <v>241</v>
      </c>
      <c r="AS3861" s="84">
        <f>AS3850*1.01</f>
        <v>21767.000685651623</v>
      </c>
      <c r="AT3861" s="58" t="s">
        <v>238</v>
      </c>
      <c r="AU3861" s="73" t="s">
        <v>241</v>
      </c>
    </row>
    <row r="3862" spans="15:47" ht="13" x14ac:dyDescent="0.25">
      <c r="O3862" s="6"/>
      <c r="P3862" s="6"/>
      <c r="Q3862" s="60"/>
      <c r="R3862" s="70"/>
      <c r="S3862" s="63" t="s">
        <v>250</v>
      </c>
      <c r="T3862" s="71" t="s">
        <v>242</v>
      </c>
      <c r="U3862" s="61"/>
      <c r="V3862" s="63" t="s">
        <v>250</v>
      </c>
      <c r="W3862" s="71" t="s">
        <v>242</v>
      </c>
      <c r="X3862" s="61"/>
      <c r="Y3862" s="63" t="s">
        <v>250</v>
      </c>
      <c r="Z3862" s="71" t="s">
        <v>242</v>
      </c>
      <c r="AA3862" s="61"/>
      <c r="AB3862" s="63" t="s">
        <v>250</v>
      </c>
      <c r="AC3862" s="71" t="s">
        <v>242</v>
      </c>
      <c r="AD3862" s="61"/>
      <c r="AE3862" s="63" t="s">
        <v>250</v>
      </c>
      <c r="AF3862" s="71" t="s">
        <v>242</v>
      </c>
      <c r="AG3862" s="61"/>
      <c r="AH3862" s="63" t="s">
        <v>250</v>
      </c>
      <c r="AI3862" s="71" t="s">
        <v>242</v>
      </c>
      <c r="AJ3862" s="61"/>
      <c r="AK3862" s="63" t="s">
        <v>250</v>
      </c>
      <c r="AL3862" s="71" t="s">
        <v>242</v>
      </c>
      <c r="AM3862" s="61"/>
      <c r="AN3862" s="63" t="s">
        <v>250</v>
      </c>
      <c r="AO3862" s="71" t="s">
        <v>242</v>
      </c>
      <c r="AP3862" s="61"/>
      <c r="AQ3862" s="63" t="s">
        <v>250</v>
      </c>
      <c r="AR3862" s="71" t="s">
        <v>242</v>
      </c>
      <c r="AS3862" s="61"/>
      <c r="AT3862" s="63" t="s">
        <v>250</v>
      </c>
      <c r="AU3862" s="71" t="s">
        <v>242</v>
      </c>
    </row>
    <row r="3863" spans="15:47" ht="13" x14ac:dyDescent="0.3">
      <c r="O3863" s="6" t="s">
        <v>231</v>
      </c>
      <c r="P3863" s="6"/>
      <c r="Q3863" s="60"/>
      <c r="R3863" s="85">
        <f>P_1_minQ-(R3861^2*R_up)+dpup_minQ</f>
        <v>36.00098696921215</v>
      </c>
      <c r="S3863" s="56"/>
      <c r="T3863" s="72"/>
      <c r="U3863" s="53">
        <f>P_1_minQ-(U3861^2*R_up)+dpup_minQ</f>
        <v>29.470111937746612</v>
      </c>
      <c r="V3863" s="44"/>
      <c r="W3863" s="72"/>
      <c r="X3863" s="53">
        <f>P_1_minQ-(X3861^2*R_up)+dpup_minQ</f>
        <v>-101.22371293265991</v>
      </c>
      <c r="Y3863" s="44"/>
      <c r="Z3863" s="72"/>
      <c r="AA3863" s="53">
        <f>P_1_minQ-(AA3861^2*R_up)+dpup_minQ</f>
        <v>-519.61122855993517</v>
      </c>
      <c r="AB3863" s="44"/>
      <c r="AC3863" s="72"/>
      <c r="AD3863" s="53">
        <f>P_1_minQ-(AD3861^2*R_up)+dpup_minQ</f>
        <v>-1502.4830649675669</v>
      </c>
      <c r="AE3863" s="44"/>
      <c r="AF3863" s="72"/>
      <c r="AG3863" s="53">
        <f>P_1_minQ-(AG3861^2*R_up)+dpup_minQ</f>
        <v>-3399.8278112194785</v>
      </c>
      <c r="AH3863" s="44"/>
      <c r="AI3863" s="72"/>
      <c r="AJ3863" s="53">
        <f>P_1_minQ-(AJ3861^2*R_up)+dpup_minQ</f>
        <v>-6099.2012274216659</v>
      </c>
      <c r="AK3863" s="44"/>
      <c r="AL3863" s="72"/>
      <c r="AM3863" s="53">
        <f>P_1_minQ-(AM3861^2*R_up)+dpup_minQ</f>
        <v>-9108.7037496285666</v>
      </c>
      <c r="AN3863" s="44"/>
      <c r="AO3863" s="72"/>
      <c r="AP3863" s="53">
        <f>P_1_minQ-(AP3861^2*R_up)+dpup_minQ</f>
        <v>-12296.954687700914</v>
      </c>
      <c r="AQ3863" s="44"/>
      <c r="AR3863" s="72"/>
      <c r="AS3863" s="53">
        <f>P_1_minQ-(AS3861^2*R_up)+dpup_minQ</f>
        <v>-15944.513064814531</v>
      </c>
      <c r="AT3863" s="44"/>
      <c r="AU3863" s="72"/>
    </row>
    <row r="3864" spans="15:47" ht="13" x14ac:dyDescent="0.3">
      <c r="O3864" s="6" t="s">
        <v>233</v>
      </c>
      <c r="P3864" s="6"/>
      <c r="Q3864" s="60"/>
      <c r="R3864" s="85">
        <f>P_2_minQ+(R3861^2*R_dn)-dpdn_minQ</f>
        <v>28.839802606157573</v>
      </c>
      <c r="S3864" s="66"/>
      <c r="T3864" s="74"/>
      <c r="U3864" s="53">
        <f>P_2_minQ+(U3861^2*R_dn)-dpdn_minQ</f>
        <v>30.145977612450679</v>
      </c>
      <c r="V3864" s="45"/>
      <c r="W3864" s="74"/>
      <c r="X3864" s="53">
        <f>P_2_minQ+(X3861^2*R_dn)-dpdn_minQ</f>
        <v>56.284742586531983</v>
      </c>
      <c r="Y3864" s="45"/>
      <c r="Z3864" s="74"/>
      <c r="AA3864" s="53">
        <f>P_2_minQ+(AA3861^2*R_dn)-dpdn_minQ</f>
        <v>139.96224571198704</v>
      </c>
      <c r="AB3864" s="45"/>
      <c r="AC3864" s="74"/>
      <c r="AD3864" s="53">
        <f>P_2_minQ+(AD3861^2*R_dn)-dpdn_minQ</f>
        <v>336.5366129935133</v>
      </c>
      <c r="AE3864" s="45"/>
      <c r="AF3864" s="74"/>
      <c r="AG3864" s="53">
        <f>P_2_minQ+(AG3861^2*R_dn)-dpdn_minQ</f>
        <v>716.00556224389561</v>
      </c>
      <c r="AH3864" s="45"/>
      <c r="AI3864" s="74"/>
      <c r="AJ3864" s="53">
        <f>P_2_minQ+(AJ3861^2*R_dn)-dpdn_minQ</f>
        <v>1255.880245484333</v>
      </c>
      <c r="AK3864" s="45"/>
      <c r="AL3864" s="74"/>
      <c r="AM3864" s="53">
        <f>P_2_minQ+(AM3861^2*R_dn)-dpdn_minQ</f>
        <v>1857.7807499257133</v>
      </c>
      <c r="AN3864" s="45"/>
      <c r="AO3864" s="74"/>
      <c r="AP3864" s="53">
        <f>P_2_minQ+(AP3861^2*R_dn)-dpdn_minQ</f>
        <v>2495.4309375401826</v>
      </c>
      <c r="AQ3864" s="45"/>
      <c r="AR3864" s="74"/>
      <c r="AS3864" s="53">
        <f>P_2_minQ+(AS3861^2*R_dn)-dpdn_minQ</f>
        <v>3224.942612962906</v>
      </c>
      <c r="AT3864" s="45"/>
      <c r="AU3864" s="74"/>
    </row>
    <row r="3865" spans="15:47" x14ac:dyDescent="0.25">
      <c r="O3865" s="6" t="s">
        <v>243</v>
      </c>
      <c r="Q3865" s="60"/>
      <c r="R3865" s="53">
        <f>R3863-R3864</f>
        <v>7.1611843630545771</v>
      </c>
      <c r="S3865" s="56"/>
      <c r="T3865" s="72"/>
      <c r="U3865" s="64">
        <f>U3863-U3864</f>
        <v>-0.67586567470406678</v>
      </c>
      <c r="V3865" s="44"/>
      <c r="W3865" s="72"/>
      <c r="X3865" s="64">
        <f>X3863-X3864</f>
        <v>-157.5084555191919</v>
      </c>
      <c r="Y3865" s="44"/>
      <c r="Z3865" s="72"/>
      <c r="AA3865" s="64">
        <f>AA3863-AA3864</f>
        <v>-659.57347427192224</v>
      </c>
      <c r="AB3865" s="44"/>
      <c r="AC3865" s="72"/>
      <c r="AD3865" s="64">
        <f>AD3863-AD3864</f>
        <v>-1839.0196779610801</v>
      </c>
      <c r="AE3865" s="44"/>
      <c r="AF3865" s="72"/>
      <c r="AG3865" s="64">
        <f>AG3863-AG3864</f>
        <v>-4115.8333734633743</v>
      </c>
      <c r="AH3865" s="44"/>
      <c r="AI3865" s="72"/>
      <c r="AJ3865" s="64">
        <f>AJ3863-AJ3864</f>
        <v>-7355.0814729059985</v>
      </c>
      <c r="AK3865" s="44"/>
      <c r="AL3865" s="72"/>
      <c r="AM3865" s="64">
        <f>AM3863-AM3864</f>
        <v>-10966.484499554281</v>
      </c>
      <c r="AN3865" s="44"/>
      <c r="AO3865" s="72"/>
      <c r="AP3865" s="64">
        <f>AP3863-AP3864</f>
        <v>-14792.385625241097</v>
      </c>
      <c r="AQ3865" s="44"/>
      <c r="AR3865" s="72"/>
      <c r="AS3865" s="64">
        <f>AS3863-AS3864</f>
        <v>-19169.455677777438</v>
      </c>
      <c r="AT3865" s="44"/>
      <c r="AU3865" s="72"/>
    </row>
    <row r="3866" spans="15:47" ht="13" x14ac:dyDescent="0.3">
      <c r="O3866" s="6" t="s">
        <v>75</v>
      </c>
      <c r="P3866" s="6">
        <v>3</v>
      </c>
      <c r="Q3866" s="65"/>
      <c r="R3866" s="85">
        <f>(F_LP_h/F_P_h)^2*(R3863-('Valve Sizing'!$V$4*'Valve Sizing'!$G$7))</f>
        <v>29.446316051607482</v>
      </c>
      <c r="S3866" s="58"/>
      <c r="T3866" s="73"/>
      <c r="U3866" s="53">
        <f>(U$29/U$27)^2*(U3863-('Valve Sizing'!$V$4*'Valve Sizing'!$G$7))</f>
        <v>24.03185684316324</v>
      </c>
      <c r="V3866" s="41"/>
      <c r="W3866" s="73"/>
      <c r="X3866" s="53">
        <f>(X$29/X$27)^2*(X3863-('Valve Sizing'!$V$4*'Valve Sizing'!$G$7))</f>
        <v>-82.261602402319269</v>
      </c>
      <c r="Y3866" s="41"/>
      <c r="Z3866" s="73"/>
      <c r="AA3866" s="53">
        <f>(AA$29/AA$27)^2*(AA3863-('Valve Sizing'!$V$4*'Valve Sizing'!$G$7))</f>
        <v>-401.89418895892072</v>
      </c>
      <c r="AB3866" s="41"/>
      <c r="AC3866" s="73"/>
      <c r="AD3866" s="53">
        <f>(AD$29/AD$27)^2*(AD3863-('Valve Sizing'!$V$4*'Valve Sizing'!$G$7))</f>
        <v>-1083.8892299986287</v>
      </c>
      <c r="AE3866" s="41"/>
      <c r="AF3866" s="73"/>
      <c r="AG3866" s="53">
        <f>(AG$29/AG$27)^2*(AG3863-('Valve Sizing'!$V$4*'Valve Sizing'!$G$7))</f>
        <v>-2189.9219533598502</v>
      </c>
      <c r="AH3866" s="41"/>
      <c r="AI3866" s="73"/>
      <c r="AJ3866" s="53">
        <f>(AJ$29/AJ$27)^2*(AJ3863-('Valve Sizing'!$V$4*'Valve Sizing'!$G$7))</f>
        <v>-3527.8149775798051</v>
      </c>
      <c r="AK3866" s="41"/>
      <c r="AL3866" s="73"/>
      <c r="AM3866" s="53">
        <f>(AM$29/AM$27)^2*(AM3863-('Valve Sizing'!$V$4*'Valve Sizing'!$G$7))</f>
        <v>-4358.4716158015963</v>
      </c>
      <c r="AN3866" s="41"/>
      <c r="AO3866" s="73"/>
      <c r="AP3866" s="53">
        <f>(AP$29/AP$27)^2*(AP3863-('Valve Sizing'!$V$4*'Valve Sizing'!$G$7))</f>
        <v>-4852.8818731391675</v>
      </c>
      <c r="AQ3866" s="41"/>
      <c r="AR3866" s="73"/>
      <c r="AS3866" s="53">
        <f>(AS$29/AS$27)^2*(AS3863-('Valve Sizing'!$V$4*'Valve Sizing'!$G$7))</f>
        <v>-5997.5473294391159</v>
      </c>
      <c r="AT3866" s="41"/>
      <c r="AU3866" s="73"/>
    </row>
    <row r="3867" spans="15:47" ht="13" x14ac:dyDescent="0.25">
      <c r="O3867" s="1" t="s">
        <v>69</v>
      </c>
      <c r="P3867" s="17">
        <v>7</v>
      </c>
      <c r="Q3867" s="65"/>
      <c r="R3867" s="53">
        <f>(R3861/(N_1*F_P_h))*SQRT('Valve Sizing'!$G$6/R3865)</f>
        <v>294.11749703847175</v>
      </c>
      <c r="S3867" s="58"/>
      <c r="T3867" s="73"/>
      <c r="U3867" s="64" t="e">
        <f>(U3861/(N_1*U$27))*SQRT('Valve Sizing'!$G$6/U3865)</f>
        <v>#NUM!</v>
      </c>
      <c r="V3867" s="41"/>
      <c r="W3867" s="73"/>
      <c r="X3867" s="64" t="e">
        <f>(X3861/(N_1*X$27))*SQRT('Valve Sizing'!$G$6/X3865)</f>
        <v>#NUM!</v>
      </c>
      <c r="Y3867" s="41"/>
      <c r="Z3867" s="73"/>
      <c r="AA3867" s="64" t="e">
        <f>(AA3861/(N_1*AA$27))*SQRT('Valve Sizing'!$G$6/AA3865)</f>
        <v>#NUM!</v>
      </c>
      <c r="AB3867" s="41"/>
      <c r="AC3867" s="73"/>
      <c r="AD3867" s="64" t="e">
        <f>(AD3861/(N_1*AD$27))*SQRT('Valve Sizing'!$G$6/AD3865)</f>
        <v>#NUM!</v>
      </c>
      <c r="AE3867" s="41"/>
      <c r="AF3867" s="73"/>
      <c r="AG3867" s="64" t="e">
        <f>(AG3861/(N_1*AG$27))*SQRT('Valve Sizing'!$G$6/AG3865)</f>
        <v>#NUM!</v>
      </c>
      <c r="AH3867" s="41"/>
      <c r="AI3867" s="73"/>
      <c r="AJ3867" s="64" t="e">
        <f>(AJ3861/(N_1*AJ$27))*SQRT('Valve Sizing'!$G$6/AJ3865)</f>
        <v>#NUM!</v>
      </c>
      <c r="AK3867" s="41"/>
      <c r="AL3867" s="73"/>
      <c r="AM3867" s="64" t="e">
        <f>(AM3861/(N_1*AM$27))*SQRT('Valve Sizing'!$G$6/AM3865)</f>
        <v>#NUM!</v>
      </c>
      <c r="AN3867" s="41"/>
      <c r="AO3867" s="73"/>
      <c r="AP3867" s="64" t="e">
        <f>(AP3861/(N_1*AP$27))*SQRT('Valve Sizing'!$G$6/AP3865)</f>
        <v>#NUM!</v>
      </c>
      <c r="AQ3867" s="41"/>
      <c r="AR3867" s="73"/>
      <c r="AS3867" s="64" t="e">
        <f>(AS3861/(N_1*AS$27))*SQRT('Valve Sizing'!$G$6/AS3865)</f>
        <v>#NUM!</v>
      </c>
      <c r="AT3867" s="41"/>
      <c r="AU3867" s="73"/>
    </row>
    <row r="3868" spans="15:47" ht="13" x14ac:dyDescent="0.3">
      <c r="O3868" s="1" t="s">
        <v>72</v>
      </c>
      <c r="P3868" s="17">
        <v>7</v>
      </c>
      <c r="Q3868" s="65"/>
      <c r="R3868" s="53">
        <f>(R3861/(N_1*F_P_h))*SQRT('Valve Sizing'!$G$6/R3866)</f>
        <v>145.04334409305218</v>
      </c>
      <c r="S3868" s="56"/>
      <c r="T3868" s="72"/>
      <c r="U3868" s="85">
        <f>(U3861/(N_1*U$27))*SQRT('Valve Sizing'!$G$6/U3866)</f>
        <v>184.0479509910268</v>
      </c>
      <c r="V3868" s="44"/>
      <c r="W3868" s="72"/>
      <c r="X3868" s="85" t="e">
        <f>(X3861/(N_1*X$27))*SQRT('Valve Sizing'!$G$6/X3866)</f>
        <v>#NUM!</v>
      </c>
      <c r="Y3868" s="44"/>
      <c r="Z3868" s="72"/>
      <c r="AA3868" s="85" t="e">
        <f>(AA3861/(N_1*AA$27))*SQRT('Valve Sizing'!$G$6/AA3866)</f>
        <v>#NUM!</v>
      </c>
      <c r="AB3868" s="44"/>
      <c r="AC3868" s="72"/>
      <c r="AD3868" s="85" t="e">
        <f>(AD3861/(N_1*AD$27))*SQRT('Valve Sizing'!$G$6/AD3866)</f>
        <v>#NUM!</v>
      </c>
      <c r="AE3868" s="44"/>
      <c r="AF3868" s="72"/>
      <c r="AG3868" s="85" t="e">
        <f>(AG3861/(N_1*AG$27))*SQRT('Valve Sizing'!$G$6/AG3866)</f>
        <v>#NUM!</v>
      </c>
      <c r="AH3868" s="44"/>
      <c r="AI3868" s="72"/>
      <c r="AJ3868" s="85" t="e">
        <f>(AJ3861/(N_1*AJ$27))*SQRT('Valve Sizing'!$G$6/AJ3866)</f>
        <v>#NUM!</v>
      </c>
      <c r="AK3868" s="44"/>
      <c r="AL3868" s="72"/>
      <c r="AM3868" s="85" t="e">
        <f>(AM3861/(N_1*AM$27))*SQRT('Valve Sizing'!$G$6/AM3866)</f>
        <v>#NUM!</v>
      </c>
      <c r="AN3868" s="44"/>
      <c r="AO3868" s="72"/>
      <c r="AP3868" s="85" t="e">
        <f>(AP3861/(N_1*AP$27))*SQRT('Valve Sizing'!$G$6/AP3866)</f>
        <v>#NUM!</v>
      </c>
      <c r="AQ3868" s="44"/>
      <c r="AR3868" s="72"/>
      <c r="AS3868" s="85" t="e">
        <f>(AS3861/(N_1*AS$27))*SQRT('Valve Sizing'!$G$6/AS3866)</f>
        <v>#NUM!</v>
      </c>
      <c r="AT3868" s="44"/>
      <c r="AU3868" s="72"/>
    </row>
    <row r="3869" spans="15:47" x14ac:dyDescent="0.25">
      <c r="O3869" s="1" t="s">
        <v>246</v>
      </c>
      <c r="P3869" s="18"/>
      <c r="Q3869" s="65"/>
      <c r="R3869" s="53">
        <f>IF(R3865&lt;R3866,R3867,R3868)</f>
        <v>294.11749703847175</v>
      </c>
      <c r="S3869" s="49"/>
      <c r="T3869" s="72"/>
      <c r="U3869" s="64" t="e">
        <f>IF(U3865&lt;U3866,U3867,U3868)</f>
        <v>#NUM!</v>
      </c>
      <c r="V3869" s="44"/>
      <c r="W3869" s="72"/>
      <c r="X3869" s="64" t="e">
        <f>IF(X3865&lt;X3866,X3867,X3868)</f>
        <v>#NUM!</v>
      </c>
      <c r="Y3869" s="44"/>
      <c r="Z3869" s="72"/>
      <c r="AA3869" s="64" t="e">
        <f>IF(AA3865&lt;AA3866,AA3867,AA3868)</f>
        <v>#NUM!</v>
      </c>
      <c r="AB3869" s="44"/>
      <c r="AC3869" s="72"/>
      <c r="AD3869" s="64" t="e">
        <f>IF(AD3865&lt;AD3866,AD3867,AD3868)</f>
        <v>#NUM!</v>
      </c>
      <c r="AE3869" s="44"/>
      <c r="AF3869" s="72"/>
      <c r="AG3869" s="64" t="e">
        <f>IF(AG3865&lt;AG3866,AG3867,AG3868)</f>
        <v>#NUM!</v>
      </c>
      <c r="AH3869" s="44"/>
      <c r="AI3869" s="72"/>
      <c r="AJ3869" s="64" t="e">
        <f>IF(AJ3865&lt;AJ3866,AJ3867,AJ3868)</f>
        <v>#NUM!</v>
      </c>
      <c r="AK3869" s="44"/>
      <c r="AL3869" s="72"/>
      <c r="AM3869" s="64" t="e">
        <f>IF(AM3865&lt;AM3866,AM3867,AM3868)</f>
        <v>#NUM!</v>
      </c>
      <c r="AN3869" s="44"/>
      <c r="AO3869" s="72"/>
      <c r="AP3869" s="64" t="e">
        <f>IF(AP3865&lt;AP3866,AP3867,AP3868)</f>
        <v>#NUM!</v>
      </c>
      <c r="AQ3869" s="44"/>
      <c r="AR3869" s="72"/>
      <c r="AS3869" s="64" t="e">
        <f>IF(AS3865&lt;AS3866,AS3867,AS3868)</f>
        <v>#NUM!</v>
      </c>
      <c r="AT3869" s="44"/>
      <c r="AU3869" s="72"/>
    </row>
    <row r="3870" spans="15:47" ht="13" x14ac:dyDescent="0.3">
      <c r="O3870" s="7" t="s">
        <v>264</v>
      </c>
      <c r="Q3870" s="61"/>
      <c r="R3870" s="53"/>
      <c r="S3870" s="69">
        <f>IFERROR(ABS(C_h-R3869),Q_max*10)</f>
        <v>289.11749703847175</v>
      </c>
      <c r="T3870" s="76">
        <f>R3861</f>
        <v>786.95474828075612</v>
      </c>
      <c r="U3870" s="61"/>
      <c r="V3870" s="69">
        <f>IFERROR(ABS(U$23-U3869),Q_max*10)</f>
        <v>5500</v>
      </c>
      <c r="W3870" s="75">
        <f>U3861</f>
        <v>901.48598742483114</v>
      </c>
      <c r="X3870" s="61"/>
      <c r="Y3870" s="69">
        <f>IFERROR(ABS(X$23-X3869),Q_max*10)</f>
        <v>5500</v>
      </c>
      <c r="Z3870" s="75">
        <f>X3861</f>
        <v>2163.9133854976867</v>
      </c>
      <c r="AA3870" s="61"/>
      <c r="AB3870" s="69">
        <f>IFERROR(ABS(AA$23-AA3869),Q_max*10)</f>
        <v>5500</v>
      </c>
      <c r="AC3870" s="75">
        <f>AA3861</f>
        <v>4131.7037015811866</v>
      </c>
      <c r="AD3870" s="61"/>
      <c r="AE3870" s="69">
        <f>IFERROR(ABS(AD$23-AD3869),Q_max*10)</f>
        <v>5500</v>
      </c>
      <c r="AF3870" s="75">
        <f>AD3861</f>
        <v>6795.1313860505779</v>
      </c>
      <c r="AG3870" s="61"/>
      <c r="AH3870" s="69">
        <f>IFERROR(ABS(AG$23-AG3869),Q_max*10)</f>
        <v>5500</v>
      </c>
      <c r="AI3870" s="75">
        <f>AG3861</f>
        <v>10117.024685657772</v>
      </c>
      <c r="AJ3870" s="61"/>
      <c r="AK3870" s="69">
        <f>IFERROR(ABS(AJ$23-AJ3869),Q_max*10)</f>
        <v>5500</v>
      </c>
      <c r="AL3870" s="75">
        <f>AJ3861</f>
        <v>13501.208662336698</v>
      </c>
      <c r="AM3870" s="61"/>
      <c r="AN3870" s="69">
        <f>IFERROR(ABS(AM$23-AM3869),Q_max*10)</f>
        <v>5500</v>
      </c>
      <c r="AO3870" s="75">
        <f>AM3861</f>
        <v>16474.040337042454</v>
      </c>
      <c r="AP3870" s="61"/>
      <c r="AQ3870" s="69">
        <f>IFERROR(ABS(AP$23-AP3869),Q_max*10)</f>
        <v>5500</v>
      </c>
      <c r="AR3870" s="75">
        <f>AP3861</f>
        <v>19125.849400819407</v>
      </c>
      <c r="AS3870" s="61"/>
      <c r="AT3870" s="69">
        <f>IFERROR(ABS(AS$23-AS3869),Q_max*10)</f>
        <v>5500</v>
      </c>
      <c r="AU3870" s="75">
        <f>AS3861</f>
        <v>21767.000685651623</v>
      </c>
    </row>
    <row r="3871" spans="15:47" ht="14.5" x14ac:dyDescent="0.35">
      <c r="O3871" s="6"/>
      <c r="P3871" s="6"/>
      <c r="Q3871" s="60"/>
      <c r="R3871" s="67"/>
      <c r="S3871" s="56"/>
      <c r="T3871" s="72"/>
      <c r="V3871" s="11"/>
      <c r="W3871" s="38"/>
      <c r="Y3871" s="11"/>
      <c r="Z3871" s="38"/>
      <c r="AB3871" s="11"/>
      <c r="AC3871" s="38"/>
      <c r="AE3871" s="11"/>
      <c r="AF3871" s="38"/>
      <c r="AH3871" s="11"/>
      <c r="AI3871" s="38"/>
      <c r="AK3871" s="11"/>
      <c r="AL3871" s="38"/>
      <c r="AN3871" s="11"/>
      <c r="AO3871" s="38"/>
      <c r="AQ3871" s="11"/>
      <c r="AR3871" s="38"/>
      <c r="AT3871" s="11"/>
      <c r="AU3871" s="38"/>
    </row>
    <row r="3872" spans="15:47" ht="14" x14ac:dyDescent="0.3">
      <c r="O3872" s="8" t="s">
        <v>235</v>
      </c>
      <c r="P3872" s="6"/>
      <c r="Q3872" s="60"/>
      <c r="R3872" s="53">
        <f>R3861*1.02</f>
        <v>802.69384324637122</v>
      </c>
      <c r="S3872" s="58" t="s">
        <v>238</v>
      </c>
      <c r="T3872" s="73" t="s">
        <v>241</v>
      </c>
      <c r="U3872" s="84">
        <f>U3861*1.01</f>
        <v>910.50084729907951</v>
      </c>
      <c r="V3872" s="58" t="s">
        <v>238</v>
      </c>
      <c r="W3872" s="73" t="s">
        <v>241</v>
      </c>
      <c r="X3872" s="84">
        <f>X3861*1.01</f>
        <v>2185.5525193526637</v>
      </c>
      <c r="Y3872" s="58" t="s">
        <v>238</v>
      </c>
      <c r="Z3872" s="73" t="s">
        <v>241</v>
      </c>
      <c r="AA3872" s="84">
        <f>AA3861*1.01</f>
        <v>4173.0207385969989</v>
      </c>
      <c r="AB3872" s="58" t="s">
        <v>238</v>
      </c>
      <c r="AC3872" s="73" t="s">
        <v>241</v>
      </c>
      <c r="AD3872" s="84">
        <f>AD3861*1.01</f>
        <v>6863.0826999110841</v>
      </c>
      <c r="AE3872" s="58" t="s">
        <v>238</v>
      </c>
      <c r="AF3872" s="73" t="s">
        <v>241</v>
      </c>
      <c r="AG3872" s="84">
        <f>AG3861*1.01</f>
        <v>10218.194932514351</v>
      </c>
      <c r="AH3872" s="58" t="s">
        <v>238</v>
      </c>
      <c r="AI3872" s="73" t="s">
        <v>241</v>
      </c>
      <c r="AJ3872" s="84">
        <f>AJ3861*1.01</f>
        <v>13636.220748960064</v>
      </c>
      <c r="AK3872" s="58" t="s">
        <v>238</v>
      </c>
      <c r="AL3872" s="73" t="s">
        <v>241</v>
      </c>
      <c r="AM3872" s="84">
        <f>AM3861*1.01</f>
        <v>16638.78074041288</v>
      </c>
      <c r="AN3872" s="58" t="s">
        <v>238</v>
      </c>
      <c r="AO3872" s="73" t="s">
        <v>241</v>
      </c>
      <c r="AP3872" s="84">
        <f>AP3861*1.01</f>
        <v>19317.107894827601</v>
      </c>
      <c r="AQ3872" s="58" t="s">
        <v>238</v>
      </c>
      <c r="AR3872" s="73" t="s">
        <v>241</v>
      </c>
      <c r="AS3872" s="84">
        <f>AS3861*1.01</f>
        <v>21984.670692508138</v>
      </c>
      <c r="AT3872" s="58" t="s">
        <v>238</v>
      </c>
      <c r="AU3872" s="73" t="s">
        <v>241</v>
      </c>
    </row>
    <row r="3873" spans="15:47" ht="13" x14ac:dyDescent="0.25">
      <c r="O3873" s="6"/>
      <c r="P3873" s="6"/>
      <c r="Q3873" s="60"/>
      <c r="R3873" s="70"/>
      <c r="S3873" s="63" t="s">
        <v>250</v>
      </c>
      <c r="T3873" s="71" t="s">
        <v>242</v>
      </c>
      <c r="U3873" s="61"/>
      <c r="V3873" s="63" t="s">
        <v>250</v>
      </c>
      <c r="W3873" s="71" t="s">
        <v>242</v>
      </c>
      <c r="X3873" s="61"/>
      <c r="Y3873" s="63" t="s">
        <v>250</v>
      </c>
      <c r="Z3873" s="71" t="s">
        <v>242</v>
      </c>
      <c r="AA3873" s="61"/>
      <c r="AB3873" s="63" t="s">
        <v>250</v>
      </c>
      <c r="AC3873" s="71" t="s">
        <v>242</v>
      </c>
      <c r="AD3873" s="61"/>
      <c r="AE3873" s="63" t="s">
        <v>250</v>
      </c>
      <c r="AF3873" s="71" t="s">
        <v>242</v>
      </c>
      <c r="AG3873" s="61"/>
      <c r="AH3873" s="63" t="s">
        <v>250</v>
      </c>
      <c r="AI3873" s="71" t="s">
        <v>242</v>
      </c>
      <c r="AJ3873" s="61"/>
      <c r="AK3873" s="63" t="s">
        <v>250</v>
      </c>
      <c r="AL3873" s="71" t="s">
        <v>242</v>
      </c>
      <c r="AM3873" s="61"/>
      <c r="AN3873" s="63" t="s">
        <v>250</v>
      </c>
      <c r="AO3873" s="71" t="s">
        <v>242</v>
      </c>
      <c r="AP3873" s="61"/>
      <c r="AQ3873" s="63" t="s">
        <v>250</v>
      </c>
      <c r="AR3873" s="71" t="s">
        <v>242</v>
      </c>
      <c r="AS3873" s="61"/>
      <c r="AT3873" s="63" t="s">
        <v>250</v>
      </c>
      <c r="AU3873" s="71" t="s">
        <v>242</v>
      </c>
    </row>
    <row r="3874" spans="15:47" ht="13" x14ac:dyDescent="0.3">
      <c r="O3874" s="6" t="s">
        <v>231</v>
      </c>
      <c r="P3874" s="6"/>
      <c r="Q3874" s="60"/>
      <c r="R3874" s="85">
        <f>P_1_minQ-(R3872^2*R_up)+dpup_minQ</f>
        <v>35.156014657695714</v>
      </c>
      <c r="S3874" s="56"/>
      <c r="T3874" s="72"/>
      <c r="U3874" s="53">
        <f>P_1_minQ-(U3872^2*R_up)+dpup_minQ</f>
        <v>28.918446709478498</v>
      </c>
      <c r="V3874" s="44"/>
      <c r="W3874" s="72"/>
      <c r="X3874" s="53">
        <f>P_1_minQ-(X3872^2*R_up)+dpup_minQ</f>
        <v>-104.4023240408232</v>
      </c>
      <c r="Y3874" s="44"/>
      <c r="Z3874" s="72"/>
      <c r="AA3874" s="53">
        <f>P_1_minQ-(AA3872^2*R_up)+dpup_minQ</f>
        <v>-531.1994287322068</v>
      </c>
      <c r="AB3874" s="44"/>
      <c r="AC3874" s="72"/>
      <c r="AD3874" s="53">
        <f>P_1_minQ-(AD3872^2*R_up)+dpup_minQ</f>
        <v>-1533.8269890516317</v>
      </c>
      <c r="AE3874" s="44"/>
      <c r="AF3874" s="72"/>
      <c r="AG3874" s="53">
        <f>P_1_minQ-(AG3872^2*R_up)+dpup_minQ</f>
        <v>-3469.3083647032067</v>
      </c>
      <c r="AH3874" s="44"/>
      <c r="AI3874" s="72"/>
      <c r="AJ3874" s="53">
        <f>P_1_minQ-(AJ3872^2*R_up)+dpup_minQ</f>
        <v>-6222.9391865710568</v>
      </c>
      <c r="AK3874" s="44"/>
      <c r="AL3874" s="72"/>
      <c r="AM3874" s="53">
        <f>P_1_minQ-(AM3872^2*R_up)+dpup_minQ</f>
        <v>-9292.9327094743203</v>
      </c>
      <c r="AN3874" s="44"/>
      <c r="AO3874" s="72"/>
      <c r="AP3874" s="53">
        <f>P_1_minQ-(AP3872^2*R_up)+dpup_minQ</f>
        <v>-12545.267491401919</v>
      </c>
      <c r="AQ3874" s="44"/>
      <c r="AR3874" s="72"/>
      <c r="AS3874" s="53">
        <f>P_1_minQ-(AS3872^2*R_up)+dpup_minQ</f>
        <v>-16266.141791895518</v>
      </c>
      <c r="AT3874" s="44"/>
      <c r="AU3874" s="72"/>
    </row>
    <row r="3875" spans="15:47" ht="13" x14ac:dyDescent="0.3">
      <c r="O3875" s="6" t="s">
        <v>233</v>
      </c>
      <c r="P3875" s="6"/>
      <c r="Q3875" s="60"/>
      <c r="R3875" s="85">
        <f>P_2_minQ+(R3872^2*R_dn)-dpdn_minQ</f>
        <v>29.008797068460858</v>
      </c>
      <c r="S3875" s="66"/>
      <c r="T3875" s="74"/>
      <c r="U3875" s="53">
        <f>P_2_minQ+(U3872^2*R_dn)-dpdn_minQ</f>
        <v>30.256310658104301</v>
      </c>
      <c r="V3875" s="45"/>
      <c r="W3875" s="74"/>
      <c r="X3875" s="53">
        <f>P_2_minQ+(X3872^2*R_dn)-dpdn_minQ</f>
        <v>56.920464808164645</v>
      </c>
      <c r="Y3875" s="45"/>
      <c r="Z3875" s="74"/>
      <c r="AA3875" s="53">
        <f>P_2_minQ+(AA3872^2*R_dn)-dpdn_minQ</f>
        <v>142.27988574644135</v>
      </c>
      <c r="AB3875" s="45"/>
      <c r="AC3875" s="74"/>
      <c r="AD3875" s="53">
        <f>P_2_minQ+(AD3872^2*R_dn)-dpdn_minQ</f>
        <v>342.80539781032627</v>
      </c>
      <c r="AE3875" s="45"/>
      <c r="AF3875" s="74"/>
      <c r="AG3875" s="53">
        <f>P_2_minQ+(AG3872^2*R_dn)-dpdn_minQ</f>
        <v>729.90167294064133</v>
      </c>
      <c r="AH3875" s="45"/>
      <c r="AI3875" s="74"/>
      <c r="AJ3875" s="53">
        <f>P_2_minQ+(AJ3872^2*R_dn)-dpdn_minQ</f>
        <v>1280.6278373142113</v>
      </c>
      <c r="AK3875" s="45"/>
      <c r="AL3875" s="74"/>
      <c r="AM3875" s="53">
        <f>P_2_minQ+(AM3872^2*R_dn)-dpdn_minQ</f>
        <v>1894.626541894864</v>
      </c>
      <c r="AN3875" s="45"/>
      <c r="AO3875" s="74"/>
      <c r="AP3875" s="53">
        <f>P_2_minQ+(AP3872^2*R_dn)-dpdn_minQ</f>
        <v>2545.0934982803838</v>
      </c>
      <c r="AQ3875" s="45"/>
      <c r="AR3875" s="74"/>
      <c r="AS3875" s="53">
        <f>P_2_minQ+(AS3872^2*R_dn)-dpdn_minQ</f>
        <v>3289.2683583791031</v>
      </c>
      <c r="AT3875" s="45"/>
      <c r="AU3875" s="74"/>
    </row>
    <row r="3876" spans="15:47" x14ac:dyDescent="0.25">
      <c r="O3876" s="6" t="s">
        <v>243</v>
      </c>
      <c r="Q3876" s="60"/>
      <c r="R3876" s="53">
        <f>R3874-R3875</f>
        <v>6.147217589234856</v>
      </c>
      <c r="S3876" s="56"/>
      <c r="T3876" s="72"/>
      <c r="U3876" s="64">
        <f>U3874-U3875</f>
        <v>-1.3378639486258024</v>
      </c>
      <c r="V3876" s="44"/>
      <c r="W3876" s="72"/>
      <c r="X3876" s="64">
        <f>X3874-X3875</f>
        <v>-161.32278884898784</v>
      </c>
      <c r="Y3876" s="44"/>
      <c r="Z3876" s="72"/>
      <c r="AA3876" s="64">
        <f>AA3874-AA3875</f>
        <v>-673.47931447864812</v>
      </c>
      <c r="AB3876" s="44"/>
      <c r="AC3876" s="72"/>
      <c r="AD3876" s="64">
        <f>AD3874-AD3875</f>
        <v>-1876.6323868619579</v>
      </c>
      <c r="AE3876" s="44"/>
      <c r="AF3876" s="72"/>
      <c r="AG3876" s="64">
        <f>AG3874-AG3875</f>
        <v>-4199.2100376438484</v>
      </c>
      <c r="AH3876" s="44"/>
      <c r="AI3876" s="72"/>
      <c r="AJ3876" s="64">
        <f>AJ3874-AJ3875</f>
        <v>-7503.5670238852681</v>
      </c>
      <c r="AK3876" s="44"/>
      <c r="AL3876" s="72"/>
      <c r="AM3876" s="64">
        <f>AM3874-AM3875</f>
        <v>-11187.559251369184</v>
      </c>
      <c r="AN3876" s="44"/>
      <c r="AO3876" s="72"/>
      <c r="AP3876" s="64">
        <f>AP3874-AP3875</f>
        <v>-15090.360989682304</v>
      </c>
      <c r="AQ3876" s="44"/>
      <c r="AR3876" s="72"/>
      <c r="AS3876" s="64">
        <f>AS3874-AS3875</f>
        <v>-19555.41015027462</v>
      </c>
      <c r="AT3876" s="44"/>
      <c r="AU3876" s="72"/>
    </row>
    <row r="3877" spans="15:47" ht="13" x14ac:dyDescent="0.3">
      <c r="O3877" s="6" t="s">
        <v>75</v>
      </c>
      <c r="P3877" s="6">
        <v>3</v>
      </c>
      <c r="Q3877" s="65"/>
      <c r="R3877" s="85">
        <f>(F_LP_h/F_P_h)^2*(R3874-('Valve Sizing'!$V$4*'Valve Sizing'!$G$7))</f>
        <v>28.746634625127047</v>
      </c>
      <c r="S3877" s="58"/>
      <c r="T3877" s="73"/>
      <c r="U3877" s="53">
        <f>(U$29/U$27)^2*(U3874-('Valve Sizing'!$V$4*'Valve Sizing'!$G$7))</f>
        <v>23.575173584208923</v>
      </c>
      <c r="V3877" s="41"/>
      <c r="W3877" s="73"/>
      <c r="X3877" s="53">
        <f>(X$29/X$27)^2*(X3874-('Valve Sizing'!$V$4*'Valve Sizing'!$G$7))</f>
        <v>-84.833586911884169</v>
      </c>
      <c r="Y3877" s="41"/>
      <c r="Z3877" s="73"/>
      <c r="AA3877" s="53">
        <f>(AA$29/AA$27)^2*(AA3874-('Valve Sizing'!$V$4*'Valve Sizing'!$G$7))</f>
        <v>-410.84951785253855</v>
      </c>
      <c r="AB3877" s="41"/>
      <c r="AC3877" s="73"/>
      <c r="AD3877" s="53">
        <f>(AD$29/AD$27)^2*(AD3874-('Valve Sizing'!$V$4*'Valve Sizing'!$G$7))</f>
        <v>-1106.4940733395269</v>
      </c>
      <c r="AE3877" s="41"/>
      <c r="AF3877" s="73"/>
      <c r="AG3877" s="53">
        <f>(AG$29/AG$27)^2*(AG3874-('Valve Sizing'!$V$4*'Valve Sizing'!$G$7))</f>
        <v>-2234.6704835558994</v>
      </c>
      <c r="AH3877" s="41"/>
      <c r="AI3877" s="73"/>
      <c r="AJ3877" s="53">
        <f>(AJ$29/AJ$27)^2*(AJ3874-('Valve Sizing'!$V$4*'Valve Sizing'!$G$7))</f>
        <v>-3599.3806000778654</v>
      </c>
      <c r="AK3877" s="41"/>
      <c r="AL3877" s="73"/>
      <c r="AM3877" s="53">
        <f>(AM$29/AM$27)^2*(AM3874-('Valve Sizing'!$V$4*'Valve Sizing'!$G$7))</f>
        <v>-4446.62004218313</v>
      </c>
      <c r="AN3877" s="41"/>
      <c r="AO3877" s="73"/>
      <c r="AP3877" s="53">
        <f>(AP$29/AP$27)^2*(AP3874-('Valve Sizing'!$V$4*'Valve Sizing'!$G$7))</f>
        <v>-4950.8727670561639</v>
      </c>
      <c r="AQ3877" s="41"/>
      <c r="AR3877" s="73"/>
      <c r="AS3877" s="53">
        <f>(AS$29/AS$27)^2*(AS3874-('Valve Sizing'!$V$4*'Valve Sizing'!$G$7))</f>
        <v>-6118.525014249959</v>
      </c>
      <c r="AT3877" s="41"/>
      <c r="AU3877" s="73"/>
    </row>
    <row r="3878" spans="15:47" ht="13" x14ac:dyDescent="0.25">
      <c r="O3878" s="1" t="s">
        <v>69</v>
      </c>
      <c r="P3878" s="17">
        <v>7</v>
      </c>
      <c r="Q3878" s="65"/>
      <c r="R3878" s="53">
        <f>(R3872/(N_1*F_P_h))*SQRT('Valve Sizing'!$G$6/R3876)</f>
        <v>323.7980042462957</v>
      </c>
      <c r="S3878" s="58"/>
      <c r="T3878" s="73"/>
      <c r="U3878" s="64" t="e">
        <f>(U3872/(N_1*U$27))*SQRT('Valve Sizing'!$G$6/U3876)</f>
        <v>#NUM!</v>
      </c>
      <c r="V3878" s="41"/>
      <c r="W3878" s="73"/>
      <c r="X3878" s="64" t="e">
        <f>(X3872/(N_1*X$27))*SQRT('Valve Sizing'!$G$6/X3876)</f>
        <v>#NUM!</v>
      </c>
      <c r="Y3878" s="41"/>
      <c r="Z3878" s="73"/>
      <c r="AA3878" s="64" t="e">
        <f>(AA3872/(N_1*AA$27))*SQRT('Valve Sizing'!$G$6/AA3876)</f>
        <v>#NUM!</v>
      </c>
      <c r="AB3878" s="41"/>
      <c r="AC3878" s="73"/>
      <c r="AD3878" s="64" t="e">
        <f>(AD3872/(N_1*AD$27))*SQRT('Valve Sizing'!$G$6/AD3876)</f>
        <v>#NUM!</v>
      </c>
      <c r="AE3878" s="41"/>
      <c r="AF3878" s="73"/>
      <c r="AG3878" s="64" t="e">
        <f>(AG3872/(N_1*AG$27))*SQRT('Valve Sizing'!$G$6/AG3876)</f>
        <v>#NUM!</v>
      </c>
      <c r="AH3878" s="41"/>
      <c r="AI3878" s="73"/>
      <c r="AJ3878" s="64" t="e">
        <f>(AJ3872/(N_1*AJ$27))*SQRT('Valve Sizing'!$G$6/AJ3876)</f>
        <v>#NUM!</v>
      </c>
      <c r="AK3878" s="41"/>
      <c r="AL3878" s="73"/>
      <c r="AM3878" s="64" t="e">
        <f>(AM3872/(N_1*AM$27))*SQRT('Valve Sizing'!$G$6/AM3876)</f>
        <v>#NUM!</v>
      </c>
      <c r="AN3878" s="41"/>
      <c r="AO3878" s="73"/>
      <c r="AP3878" s="64" t="e">
        <f>(AP3872/(N_1*AP$27))*SQRT('Valve Sizing'!$G$6/AP3876)</f>
        <v>#NUM!</v>
      </c>
      <c r="AQ3878" s="41"/>
      <c r="AR3878" s="73"/>
      <c r="AS3878" s="64" t="e">
        <f>(AS3872/(N_1*AS$27))*SQRT('Valve Sizing'!$G$6/AS3876)</f>
        <v>#NUM!</v>
      </c>
      <c r="AT3878" s="41"/>
      <c r="AU3878" s="73"/>
    </row>
    <row r="3879" spans="15:47" ht="13" x14ac:dyDescent="0.3">
      <c r="O3879" s="1" t="s">
        <v>72</v>
      </c>
      <c r="P3879" s="17">
        <v>7</v>
      </c>
      <c r="Q3879" s="65"/>
      <c r="R3879" s="53">
        <f>(R3872/(N_1*F_P_h))*SQRT('Valve Sizing'!$G$6/R3877)</f>
        <v>149.73383778837609</v>
      </c>
      <c r="S3879" s="56"/>
      <c r="T3879" s="72"/>
      <c r="U3879" s="85">
        <f>(U3872/(N_1*U$27))*SQRT('Valve Sizing'!$G$6/U3877)</f>
        <v>187.6802508081125</v>
      </c>
      <c r="V3879" s="44"/>
      <c r="W3879" s="72"/>
      <c r="X3879" s="85" t="e">
        <f>(X3872/(N_1*X$27))*SQRT('Valve Sizing'!$G$6/X3877)</f>
        <v>#NUM!</v>
      </c>
      <c r="Y3879" s="44"/>
      <c r="Z3879" s="72"/>
      <c r="AA3879" s="85" t="e">
        <f>(AA3872/(N_1*AA$27))*SQRT('Valve Sizing'!$G$6/AA3877)</f>
        <v>#NUM!</v>
      </c>
      <c r="AB3879" s="44"/>
      <c r="AC3879" s="72"/>
      <c r="AD3879" s="85" t="e">
        <f>(AD3872/(N_1*AD$27))*SQRT('Valve Sizing'!$G$6/AD3877)</f>
        <v>#NUM!</v>
      </c>
      <c r="AE3879" s="44"/>
      <c r="AF3879" s="72"/>
      <c r="AG3879" s="85" t="e">
        <f>(AG3872/(N_1*AG$27))*SQRT('Valve Sizing'!$G$6/AG3877)</f>
        <v>#NUM!</v>
      </c>
      <c r="AH3879" s="44"/>
      <c r="AI3879" s="72"/>
      <c r="AJ3879" s="85" t="e">
        <f>(AJ3872/(N_1*AJ$27))*SQRT('Valve Sizing'!$G$6/AJ3877)</f>
        <v>#NUM!</v>
      </c>
      <c r="AK3879" s="44"/>
      <c r="AL3879" s="72"/>
      <c r="AM3879" s="85" t="e">
        <f>(AM3872/(N_1*AM$27))*SQRT('Valve Sizing'!$G$6/AM3877)</f>
        <v>#NUM!</v>
      </c>
      <c r="AN3879" s="44"/>
      <c r="AO3879" s="72"/>
      <c r="AP3879" s="85" t="e">
        <f>(AP3872/(N_1*AP$27))*SQRT('Valve Sizing'!$G$6/AP3877)</f>
        <v>#NUM!</v>
      </c>
      <c r="AQ3879" s="44"/>
      <c r="AR3879" s="72"/>
      <c r="AS3879" s="85" t="e">
        <f>(AS3872/(N_1*AS$27))*SQRT('Valve Sizing'!$G$6/AS3877)</f>
        <v>#NUM!</v>
      </c>
      <c r="AT3879" s="44"/>
      <c r="AU3879" s="72"/>
    </row>
    <row r="3880" spans="15:47" x14ac:dyDescent="0.25">
      <c r="O3880" s="1" t="s">
        <v>246</v>
      </c>
      <c r="P3880" s="18"/>
      <c r="Q3880" s="65"/>
      <c r="R3880" s="53">
        <f>IF(R3876&lt;R3877,R3878,R3879)</f>
        <v>323.7980042462957</v>
      </c>
      <c r="S3880" s="49"/>
      <c r="T3880" s="72"/>
      <c r="U3880" s="64" t="e">
        <f>IF(U3876&lt;U3877,U3878,U3879)</f>
        <v>#NUM!</v>
      </c>
      <c r="V3880" s="44"/>
      <c r="W3880" s="72"/>
      <c r="X3880" s="64" t="e">
        <f>IF(X3876&lt;X3877,X3878,X3879)</f>
        <v>#NUM!</v>
      </c>
      <c r="Y3880" s="44"/>
      <c r="Z3880" s="72"/>
      <c r="AA3880" s="64" t="e">
        <f>IF(AA3876&lt;AA3877,AA3878,AA3879)</f>
        <v>#NUM!</v>
      </c>
      <c r="AB3880" s="44"/>
      <c r="AC3880" s="72"/>
      <c r="AD3880" s="64" t="e">
        <f>IF(AD3876&lt;AD3877,AD3878,AD3879)</f>
        <v>#NUM!</v>
      </c>
      <c r="AE3880" s="44"/>
      <c r="AF3880" s="72"/>
      <c r="AG3880" s="64" t="e">
        <f>IF(AG3876&lt;AG3877,AG3878,AG3879)</f>
        <v>#NUM!</v>
      </c>
      <c r="AH3880" s="44"/>
      <c r="AI3880" s="72"/>
      <c r="AJ3880" s="64" t="e">
        <f>IF(AJ3876&lt;AJ3877,AJ3878,AJ3879)</f>
        <v>#NUM!</v>
      </c>
      <c r="AK3880" s="44"/>
      <c r="AL3880" s="72"/>
      <c r="AM3880" s="64" t="e">
        <f>IF(AM3876&lt;AM3877,AM3878,AM3879)</f>
        <v>#NUM!</v>
      </c>
      <c r="AN3880" s="44"/>
      <c r="AO3880" s="72"/>
      <c r="AP3880" s="64" t="e">
        <f>IF(AP3876&lt;AP3877,AP3878,AP3879)</f>
        <v>#NUM!</v>
      </c>
      <c r="AQ3880" s="44"/>
      <c r="AR3880" s="72"/>
      <c r="AS3880" s="64" t="e">
        <f>IF(AS3876&lt;AS3877,AS3878,AS3879)</f>
        <v>#NUM!</v>
      </c>
      <c r="AT3880" s="44"/>
      <c r="AU3880" s="72"/>
    </row>
    <row r="3881" spans="15:47" ht="13" x14ac:dyDescent="0.3">
      <c r="O3881" s="7" t="s">
        <v>264</v>
      </c>
      <c r="Q3881" s="61"/>
      <c r="R3881" s="53"/>
      <c r="S3881" s="69">
        <f>IFERROR(ABS(C_h-R3880),Q_max*10)</f>
        <v>318.7980042462957</v>
      </c>
      <c r="T3881" s="76">
        <f>R3872</f>
        <v>802.69384324637122</v>
      </c>
      <c r="U3881" s="61"/>
      <c r="V3881" s="69">
        <f>IFERROR(ABS(U$23-U3880),Q_max*10)</f>
        <v>5500</v>
      </c>
      <c r="W3881" s="75">
        <f>U3872</f>
        <v>910.50084729907951</v>
      </c>
      <c r="X3881" s="61"/>
      <c r="Y3881" s="69">
        <f>IFERROR(ABS(X$23-X3880),Q_max*10)</f>
        <v>5500</v>
      </c>
      <c r="Z3881" s="75">
        <f>X3872</f>
        <v>2185.5525193526637</v>
      </c>
      <c r="AA3881" s="61"/>
      <c r="AB3881" s="69">
        <f>IFERROR(ABS(AA$23-AA3880),Q_max*10)</f>
        <v>5500</v>
      </c>
      <c r="AC3881" s="75">
        <f>AA3872</f>
        <v>4173.0207385969989</v>
      </c>
      <c r="AD3881" s="61"/>
      <c r="AE3881" s="69">
        <f>IFERROR(ABS(AD$23-AD3880),Q_max*10)</f>
        <v>5500</v>
      </c>
      <c r="AF3881" s="75">
        <f>AD3872</f>
        <v>6863.0826999110841</v>
      </c>
      <c r="AG3881" s="61"/>
      <c r="AH3881" s="69">
        <f>IFERROR(ABS(AG$23-AG3880),Q_max*10)</f>
        <v>5500</v>
      </c>
      <c r="AI3881" s="75">
        <f>AG3872</f>
        <v>10218.194932514351</v>
      </c>
      <c r="AJ3881" s="61"/>
      <c r="AK3881" s="69">
        <f>IFERROR(ABS(AJ$23-AJ3880),Q_max*10)</f>
        <v>5500</v>
      </c>
      <c r="AL3881" s="75">
        <f>AJ3872</f>
        <v>13636.220748960064</v>
      </c>
      <c r="AM3881" s="61"/>
      <c r="AN3881" s="69">
        <f>IFERROR(ABS(AM$23-AM3880),Q_max*10)</f>
        <v>5500</v>
      </c>
      <c r="AO3881" s="75">
        <f>AM3872</f>
        <v>16638.78074041288</v>
      </c>
      <c r="AP3881" s="61"/>
      <c r="AQ3881" s="69">
        <f>IFERROR(ABS(AP$23-AP3880),Q_max*10)</f>
        <v>5500</v>
      </c>
      <c r="AR3881" s="75">
        <f>AP3872</f>
        <v>19317.107894827601</v>
      </c>
      <c r="AS3881" s="61"/>
      <c r="AT3881" s="69">
        <f>IFERROR(ABS(AS$23-AS3880),Q_max*10)</f>
        <v>5500</v>
      </c>
      <c r="AU3881" s="75">
        <f>AS3872</f>
        <v>21984.670692508138</v>
      </c>
    </row>
    <row r="3882" spans="15:47" ht="14.5" x14ac:dyDescent="0.35">
      <c r="O3882" s="8"/>
      <c r="P3882" s="6"/>
      <c r="Q3882" s="60"/>
      <c r="R3882" s="67"/>
      <c r="S3882" s="56"/>
      <c r="T3882" s="72"/>
      <c r="V3882" s="11"/>
      <c r="W3882" s="38"/>
      <c r="Y3882" s="11"/>
      <c r="Z3882" s="38"/>
      <c r="AB3882" s="11"/>
      <c r="AC3882" s="38"/>
      <c r="AE3882" s="11"/>
      <c r="AF3882" s="38"/>
      <c r="AH3882" s="11"/>
      <c r="AI3882" s="38"/>
      <c r="AK3882" s="11"/>
      <c r="AL3882" s="38"/>
      <c r="AN3882" s="11"/>
      <c r="AO3882" s="38"/>
      <c r="AQ3882" s="11"/>
      <c r="AR3882" s="38"/>
      <c r="AT3882" s="11"/>
      <c r="AU3882" s="38"/>
    </row>
    <row r="3883" spans="15:47" ht="14" x14ac:dyDescent="0.3">
      <c r="O3883" s="8" t="s">
        <v>235</v>
      </c>
      <c r="P3883" s="6"/>
      <c r="Q3883" s="60"/>
      <c r="R3883" s="53">
        <f>R3872*1.02</f>
        <v>818.74772011129869</v>
      </c>
      <c r="S3883" s="58" t="s">
        <v>238</v>
      </c>
      <c r="T3883" s="73" t="s">
        <v>241</v>
      </c>
      <c r="U3883" s="84">
        <f>U3872*1.01</f>
        <v>919.6058557720703</v>
      </c>
      <c r="V3883" s="58" t="s">
        <v>238</v>
      </c>
      <c r="W3883" s="73" t="s">
        <v>241</v>
      </c>
      <c r="X3883" s="84">
        <f>X3872*1.01</f>
        <v>2207.4080445461905</v>
      </c>
      <c r="Y3883" s="58" t="s">
        <v>238</v>
      </c>
      <c r="Z3883" s="73" t="s">
        <v>241</v>
      </c>
      <c r="AA3883" s="84">
        <f>AA3872*1.01</f>
        <v>4214.7509459829689</v>
      </c>
      <c r="AB3883" s="58" t="s">
        <v>238</v>
      </c>
      <c r="AC3883" s="73" t="s">
        <v>241</v>
      </c>
      <c r="AD3883" s="84">
        <f>AD3872*1.01</f>
        <v>6931.7135269101946</v>
      </c>
      <c r="AE3883" s="58" t="s">
        <v>238</v>
      </c>
      <c r="AF3883" s="73" t="s">
        <v>241</v>
      </c>
      <c r="AG3883" s="84">
        <f>AG3872*1.01</f>
        <v>10320.376881839495</v>
      </c>
      <c r="AH3883" s="58" t="s">
        <v>238</v>
      </c>
      <c r="AI3883" s="73" t="s">
        <v>241</v>
      </c>
      <c r="AJ3883" s="84">
        <f>AJ3872*1.01</f>
        <v>13772.582956449665</v>
      </c>
      <c r="AK3883" s="58" t="s">
        <v>238</v>
      </c>
      <c r="AL3883" s="73" t="s">
        <v>241</v>
      </c>
      <c r="AM3883" s="84">
        <f>AM3872*1.01</f>
        <v>16805.168547817007</v>
      </c>
      <c r="AN3883" s="58" t="s">
        <v>238</v>
      </c>
      <c r="AO3883" s="73" t="s">
        <v>241</v>
      </c>
      <c r="AP3883" s="84">
        <f>AP3872*1.01</f>
        <v>19510.278973775876</v>
      </c>
      <c r="AQ3883" s="58" t="s">
        <v>238</v>
      </c>
      <c r="AR3883" s="73" t="s">
        <v>241</v>
      </c>
      <c r="AS3883" s="84">
        <f>AS3872*1.01</f>
        <v>22204.517399433218</v>
      </c>
      <c r="AT3883" s="58" t="s">
        <v>238</v>
      </c>
      <c r="AU3883" s="73" t="s">
        <v>241</v>
      </c>
    </row>
    <row r="3884" spans="15:47" ht="13" x14ac:dyDescent="0.25">
      <c r="O3884" s="6"/>
      <c r="P3884" s="6"/>
      <c r="Q3884" s="60"/>
      <c r="R3884" s="70"/>
      <c r="S3884" s="63" t="s">
        <v>250</v>
      </c>
      <c r="T3884" s="71" t="s">
        <v>242</v>
      </c>
      <c r="U3884" s="61"/>
      <c r="V3884" s="63" t="s">
        <v>250</v>
      </c>
      <c r="W3884" s="71" t="s">
        <v>242</v>
      </c>
      <c r="X3884" s="61"/>
      <c r="Y3884" s="63" t="s">
        <v>250</v>
      </c>
      <c r="Z3884" s="71" t="s">
        <v>242</v>
      </c>
      <c r="AA3884" s="61"/>
      <c r="AB3884" s="63" t="s">
        <v>250</v>
      </c>
      <c r="AC3884" s="71" t="s">
        <v>242</v>
      </c>
      <c r="AD3884" s="61"/>
      <c r="AE3884" s="63" t="s">
        <v>250</v>
      </c>
      <c r="AF3884" s="71" t="s">
        <v>242</v>
      </c>
      <c r="AG3884" s="61"/>
      <c r="AH3884" s="63" t="s">
        <v>250</v>
      </c>
      <c r="AI3884" s="71" t="s">
        <v>242</v>
      </c>
      <c r="AJ3884" s="61"/>
      <c r="AK3884" s="63" t="s">
        <v>250</v>
      </c>
      <c r="AL3884" s="71" t="s">
        <v>242</v>
      </c>
      <c r="AM3884" s="61"/>
      <c r="AN3884" s="63" t="s">
        <v>250</v>
      </c>
      <c r="AO3884" s="71" t="s">
        <v>242</v>
      </c>
      <c r="AP3884" s="61"/>
      <c r="AQ3884" s="63" t="s">
        <v>250</v>
      </c>
      <c r="AR3884" s="71" t="s">
        <v>242</v>
      </c>
      <c r="AS3884" s="61"/>
      <c r="AT3884" s="63" t="s">
        <v>250</v>
      </c>
      <c r="AU3884" s="71" t="s">
        <v>242</v>
      </c>
    </row>
    <row r="3885" spans="15:47" ht="13" x14ac:dyDescent="0.3">
      <c r="O3885" s="6" t="s">
        <v>231</v>
      </c>
      <c r="P3885" s="6"/>
      <c r="Q3885" s="60"/>
      <c r="R3885" s="85">
        <f>P_1_minQ-(R3883^2*R_up)+dpup_minQ</f>
        <v>34.276905464794005</v>
      </c>
      <c r="S3885" s="56"/>
      <c r="T3885" s="72"/>
      <c r="U3885" s="53">
        <f>P_1_minQ-(U3883^2*R_up)+dpup_minQ</f>
        <v>28.355693010122199</v>
      </c>
      <c r="V3885" s="44"/>
      <c r="W3885" s="72"/>
      <c r="X3885" s="53">
        <f>P_1_minQ-(X3883^2*R_up)+dpup_minQ</f>
        <v>-107.64482523226062</v>
      </c>
      <c r="Y3885" s="44"/>
      <c r="Z3885" s="72"/>
      <c r="AA3885" s="53">
        <f>P_1_minQ-(AA3883^2*R_up)+dpup_minQ</f>
        <v>-543.02055172794098</v>
      </c>
      <c r="AB3885" s="44"/>
      <c r="AC3885" s="72"/>
      <c r="AD3885" s="53">
        <f>P_1_minQ-(AD3883^2*R_up)+dpup_minQ</f>
        <v>-1565.8009260097863</v>
      </c>
      <c r="AE3885" s="44"/>
      <c r="AF3885" s="72"/>
      <c r="AG3885" s="53">
        <f>P_1_minQ-(AG3883^2*R_up)+dpup_minQ</f>
        <v>-3540.1854773119589</v>
      </c>
      <c r="AH3885" s="44"/>
      <c r="AI3885" s="72"/>
      <c r="AJ3885" s="53">
        <f>P_1_minQ-(AJ3883^2*R_up)+dpup_minQ</f>
        <v>-6349.1642786993525</v>
      </c>
      <c r="AK3885" s="44"/>
      <c r="AL3885" s="72"/>
      <c r="AM3885" s="53">
        <f>P_1_minQ-(AM3883^2*R_up)+dpup_minQ</f>
        <v>-9480.86467141297</v>
      </c>
      <c r="AN3885" s="44"/>
      <c r="AO3885" s="72"/>
      <c r="AP3885" s="53">
        <f>P_1_minQ-(AP3883^2*R_up)+dpup_minQ</f>
        <v>-12798.571382457314</v>
      </c>
      <c r="AQ3885" s="44"/>
      <c r="AR3885" s="72"/>
      <c r="AS3885" s="53">
        <f>P_1_minQ-(AS3883^2*R_up)+dpup_minQ</f>
        <v>-16594.235256390832</v>
      </c>
      <c r="AT3885" s="44"/>
      <c r="AU3885" s="72"/>
    </row>
    <row r="3886" spans="15:47" ht="13" x14ac:dyDescent="0.3">
      <c r="O3886" s="6" t="s">
        <v>233</v>
      </c>
      <c r="P3886" s="6"/>
      <c r="Q3886" s="60"/>
      <c r="R3886" s="85">
        <f>P_2_minQ+(R3883^2*R_dn)-dpdn_minQ</f>
        <v>29.184618907041202</v>
      </c>
      <c r="S3886" s="66"/>
      <c r="T3886" s="74"/>
      <c r="U3886" s="53">
        <f>P_2_minQ+(U3883^2*R_dn)-dpdn_minQ</f>
        <v>30.368861397975561</v>
      </c>
      <c r="V3886" s="45"/>
      <c r="W3886" s="74"/>
      <c r="X3886" s="53">
        <f>P_2_minQ+(X3883^2*R_dn)-dpdn_minQ</f>
        <v>57.568965046452128</v>
      </c>
      <c r="Y3886" s="45"/>
      <c r="Z3886" s="74"/>
      <c r="AA3886" s="53">
        <f>P_2_minQ+(AA3883^2*R_dn)-dpdn_minQ</f>
        <v>144.64411034558819</v>
      </c>
      <c r="AB3886" s="45"/>
      <c r="AC3886" s="74"/>
      <c r="AD3886" s="53">
        <f>P_2_minQ+(AD3883^2*R_dn)-dpdn_minQ</f>
        <v>349.2001852019572</v>
      </c>
      <c r="AE3886" s="45"/>
      <c r="AF3886" s="74"/>
      <c r="AG3886" s="53">
        <f>P_2_minQ+(AG3883^2*R_dn)-dpdn_minQ</f>
        <v>744.07709546239175</v>
      </c>
      <c r="AH3886" s="45"/>
      <c r="AI3886" s="74"/>
      <c r="AJ3886" s="53">
        <f>P_2_minQ+(AJ3883^2*R_dn)-dpdn_minQ</f>
        <v>1305.8728557398704</v>
      </c>
      <c r="AK3886" s="45"/>
      <c r="AL3886" s="74"/>
      <c r="AM3886" s="53">
        <f>P_2_minQ+(AM3883^2*R_dn)-dpdn_minQ</f>
        <v>1932.2129342825938</v>
      </c>
      <c r="AN3886" s="45"/>
      <c r="AO3886" s="74"/>
      <c r="AP3886" s="53">
        <f>P_2_minQ+(AP3883^2*R_dn)-dpdn_minQ</f>
        <v>2595.7542764914624</v>
      </c>
      <c r="AQ3886" s="45"/>
      <c r="AR3886" s="74"/>
      <c r="AS3886" s="53">
        <f>P_2_minQ+(AS3883^2*R_dn)-dpdn_minQ</f>
        <v>3354.8870512781659</v>
      </c>
      <c r="AT3886" s="45"/>
      <c r="AU3886" s="74"/>
    </row>
    <row r="3887" spans="15:47" x14ac:dyDescent="0.25">
      <c r="O3887" s="6" t="s">
        <v>243</v>
      </c>
      <c r="Q3887" s="60"/>
      <c r="R3887" s="53">
        <f>R3885-R3886</f>
        <v>5.0922865577528036</v>
      </c>
      <c r="S3887" s="56"/>
      <c r="T3887" s="72"/>
      <c r="U3887" s="64">
        <f>U3885-U3886</f>
        <v>-2.0131683878533622</v>
      </c>
      <c r="V3887" s="44"/>
      <c r="W3887" s="72"/>
      <c r="X3887" s="64">
        <f>X3885-X3886</f>
        <v>-165.21379027871274</v>
      </c>
      <c r="Y3887" s="44"/>
      <c r="Z3887" s="72"/>
      <c r="AA3887" s="64">
        <f>AA3885-AA3886</f>
        <v>-687.66466207352914</v>
      </c>
      <c r="AB3887" s="44"/>
      <c r="AC3887" s="72"/>
      <c r="AD3887" s="64">
        <f>AD3885-AD3886</f>
        <v>-1915.0011112117436</v>
      </c>
      <c r="AE3887" s="44"/>
      <c r="AF3887" s="72"/>
      <c r="AG3887" s="64">
        <f>AG3885-AG3886</f>
        <v>-4284.2625727743507</v>
      </c>
      <c r="AH3887" s="44"/>
      <c r="AI3887" s="72"/>
      <c r="AJ3887" s="64">
        <f>AJ3885-AJ3886</f>
        <v>-7655.0371344392224</v>
      </c>
      <c r="AK3887" s="44"/>
      <c r="AL3887" s="72"/>
      <c r="AM3887" s="64">
        <f>AM3885-AM3886</f>
        <v>-11413.077605695564</v>
      </c>
      <c r="AN3887" s="44"/>
      <c r="AO3887" s="72"/>
      <c r="AP3887" s="64">
        <f>AP3885-AP3886</f>
        <v>-15394.325658948776</v>
      </c>
      <c r="AQ3887" s="44"/>
      <c r="AR3887" s="72"/>
      <c r="AS3887" s="64">
        <f>AS3885-AS3886</f>
        <v>-19949.122307668997</v>
      </c>
      <c r="AT3887" s="44"/>
      <c r="AU3887" s="72"/>
    </row>
    <row r="3888" spans="15:47" ht="13" x14ac:dyDescent="0.3">
      <c r="O3888" s="6" t="s">
        <v>75</v>
      </c>
      <c r="P3888" s="6">
        <v>3</v>
      </c>
      <c r="Q3888" s="65"/>
      <c r="R3888" s="85">
        <f>(F_LP_h/F_P_h)^2*(R3885-('Valve Sizing'!$V$4*'Valve Sizing'!$G$7))</f>
        <v>28.018686069016802</v>
      </c>
      <c r="S3888" s="58"/>
      <c r="T3888" s="73"/>
      <c r="U3888" s="53">
        <f>(U$29/U$27)^2*(U3885-('Valve Sizing'!$V$4*'Valve Sizing'!$G$7))</f>
        <v>23.109310991749624</v>
      </c>
      <c r="V3888" s="41"/>
      <c r="W3888" s="73"/>
      <c r="X3888" s="53">
        <f>(X$29/X$27)^2*(X3885-('Valve Sizing'!$V$4*'Valve Sizing'!$G$7))</f>
        <v>-87.457268310091337</v>
      </c>
      <c r="Y3888" s="41"/>
      <c r="Z3888" s="73"/>
      <c r="AA3888" s="53">
        <f>(AA$29/AA$27)^2*(AA3885-('Valve Sizing'!$V$4*'Valve Sizing'!$G$7))</f>
        <v>-419.98484885691801</v>
      </c>
      <c r="AB3888" s="41"/>
      <c r="AC3888" s="73"/>
      <c r="AD3888" s="53">
        <f>(AD$29/AD$27)^2*(AD3885-('Valve Sizing'!$V$4*'Valve Sizing'!$G$7))</f>
        <v>-1129.5532740315775</v>
      </c>
      <c r="AE3888" s="41"/>
      <c r="AF3888" s="73"/>
      <c r="AG3888" s="53">
        <f>(AG$29/AG$27)^2*(AG3885-('Valve Sizing'!$V$4*'Valve Sizing'!$G$7))</f>
        <v>-2280.3184592088896</v>
      </c>
      <c r="AH3888" s="41"/>
      <c r="AI3888" s="73"/>
      <c r="AJ3888" s="53">
        <f>(AJ$29/AJ$27)^2*(AJ3885-('Valve Sizing'!$V$4*'Valve Sizing'!$G$7))</f>
        <v>-3672.3846915881381</v>
      </c>
      <c r="AK3888" s="41"/>
      <c r="AL3888" s="73"/>
      <c r="AM3888" s="53">
        <f>(AM$29/AM$27)^2*(AM3885-('Valve Sizing'!$V$4*'Valve Sizing'!$G$7))</f>
        <v>-4536.5402519349309</v>
      </c>
      <c r="AN3888" s="41"/>
      <c r="AO3888" s="73"/>
      <c r="AP3888" s="53">
        <f>(AP$29/AP$27)^2*(AP3885-('Valve Sizing'!$V$4*'Valve Sizing'!$G$7))</f>
        <v>-5050.833277940892</v>
      </c>
      <c r="AQ3888" s="41"/>
      <c r="AR3888" s="73"/>
      <c r="AS3888" s="53">
        <f>(AS$29/AS$27)^2*(AS3885-('Valve Sizing'!$V$4*'Valve Sizing'!$G$7))</f>
        <v>-6241.9343505254992</v>
      </c>
      <c r="AT3888" s="41"/>
      <c r="AU3888" s="73"/>
    </row>
    <row r="3889" spans="15:47" ht="13" x14ac:dyDescent="0.25">
      <c r="O3889" s="1" t="s">
        <v>69</v>
      </c>
      <c r="P3889" s="17">
        <v>7</v>
      </c>
      <c r="Q3889" s="65"/>
      <c r="R3889" s="53">
        <f>(R3883/(N_1*F_P_h))*SQRT('Valve Sizing'!$G$6/R3887)</f>
        <v>362.87513880362872</v>
      </c>
      <c r="S3889" s="58"/>
      <c r="T3889" s="73"/>
      <c r="U3889" s="64" t="e">
        <f>(U3883/(N_1*U$27))*SQRT('Valve Sizing'!$G$6/U3887)</f>
        <v>#NUM!</v>
      </c>
      <c r="V3889" s="41"/>
      <c r="W3889" s="73"/>
      <c r="X3889" s="64" t="e">
        <f>(X3883/(N_1*X$27))*SQRT('Valve Sizing'!$G$6/X3887)</f>
        <v>#NUM!</v>
      </c>
      <c r="Y3889" s="41"/>
      <c r="Z3889" s="73"/>
      <c r="AA3889" s="64" t="e">
        <f>(AA3883/(N_1*AA$27))*SQRT('Valve Sizing'!$G$6/AA3887)</f>
        <v>#NUM!</v>
      </c>
      <c r="AB3889" s="41"/>
      <c r="AC3889" s="73"/>
      <c r="AD3889" s="64" t="e">
        <f>(AD3883/(N_1*AD$27))*SQRT('Valve Sizing'!$G$6/AD3887)</f>
        <v>#NUM!</v>
      </c>
      <c r="AE3889" s="41"/>
      <c r="AF3889" s="73"/>
      <c r="AG3889" s="64" t="e">
        <f>(AG3883/(N_1*AG$27))*SQRT('Valve Sizing'!$G$6/AG3887)</f>
        <v>#NUM!</v>
      </c>
      <c r="AH3889" s="41"/>
      <c r="AI3889" s="73"/>
      <c r="AJ3889" s="64" t="e">
        <f>(AJ3883/(N_1*AJ$27))*SQRT('Valve Sizing'!$G$6/AJ3887)</f>
        <v>#NUM!</v>
      </c>
      <c r="AK3889" s="41"/>
      <c r="AL3889" s="73"/>
      <c r="AM3889" s="64" t="e">
        <f>(AM3883/(N_1*AM$27))*SQRT('Valve Sizing'!$G$6/AM3887)</f>
        <v>#NUM!</v>
      </c>
      <c r="AN3889" s="41"/>
      <c r="AO3889" s="73"/>
      <c r="AP3889" s="64" t="e">
        <f>(AP3883/(N_1*AP$27))*SQRT('Valve Sizing'!$G$6/AP3887)</f>
        <v>#NUM!</v>
      </c>
      <c r="AQ3889" s="41"/>
      <c r="AR3889" s="73"/>
      <c r="AS3889" s="64" t="e">
        <f>(AS3883/(N_1*AS$27))*SQRT('Valve Sizing'!$G$6/AS3887)</f>
        <v>#NUM!</v>
      </c>
      <c r="AT3889" s="41"/>
      <c r="AU3889" s="73"/>
    </row>
    <row r="3890" spans="15:47" ht="13" x14ac:dyDescent="0.3">
      <c r="O3890" s="1" t="s">
        <v>72</v>
      </c>
      <c r="P3890" s="17">
        <v>7</v>
      </c>
      <c r="Q3890" s="65"/>
      <c r="R3890" s="53">
        <f>(R3883/(N_1*F_P_h))*SQRT('Valve Sizing'!$G$6/R3888)</f>
        <v>154.69979908645661</v>
      </c>
      <c r="S3890" s="56"/>
      <c r="T3890" s="72"/>
      <c r="U3890" s="85">
        <f>(U3883/(N_1*U$27))*SQRT('Valve Sizing'!$G$6/U3888)</f>
        <v>191.45816842611157</v>
      </c>
      <c r="V3890" s="44"/>
      <c r="W3890" s="72"/>
      <c r="X3890" s="85" t="e">
        <f>(X3883/(N_1*X$27))*SQRT('Valve Sizing'!$G$6/X3888)</f>
        <v>#NUM!</v>
      </c>
      <c r="Y3890" s="44"/>
      <c r="Z3890" s="72"/>
      <c r="AA3890" s="85" t="e">
        <f>(AA3883/(N_1*AA$27))*SQRT('Valve Sizing'!$G$6/AA3888)</f>
        <v>#NUM!</v>
      </c>
      <c r="AB3890" s="44"/>
      <c r="AC3890" s="72"/>
      <c r="AD3890" s="85" t="e">
        <f>(AD3883/(N_1*AD$27))*SQRT('Valve Sizing'!$G$6/AD3888)</f>
        <v>#NUM!</v>
      </c>
      <c r="AE3890" s="44"/>
      <c r="AF3890" s="72"/>
      <c r="AG3890" s="85" t="e">
        <f>(AG3883/(N_1*AG$27))*SQRT('Valve Sizing'!$G$6/AG3888)</f>
        <v>#NUM!</v>
      </c>
      <c r="AH3890" s="44"/>
      <c r="AI3890" s="72"/>
      <c r="AJ3890" s="85" t="e">
        <f>(AJ3883/(N_1*AJ$27))*SQRT('Valve Sizing'!$G$6/AJ3888)</f>
        <v>#NUM!</v>
      </c>
      <c r="AK3890" s="44"/>
      <c r="AL3890" s="72"/>
      <c r="AM3890" s="85" t="e">
        <f>(AM3883/(N_1*AM$27))*SQRT('Valve Sizing'!$G$6/AM3888)</f>
        <v>#NUM!</v>
      </c>
      <c r="AN3890" s="44"/>
      <c r="AO3890" s="72"/>
      <c r="AP3890" s="85" t="e">
        <f>(AP3883/(N_1*AP$27))*SQRT('Valve Sizing'!$G$6/AP3888)</f>
        <v>#NUM!</v>
      </c>
      <c r="AQ3890" s="44"/>
      <c r="AR3890" s="72"/>
      <c r="AS3890" s="85" t="e">
        <f>(AS3883/(N_1*AS$27))*SQRT('Valve Sizing'!$G$6/AS3888)</f>
        <v>#NUM!</v>
      </c>
      <c r="AT3890" s="44"/>
      <c r="AU3890" s="72"/>
    </row>
    <row r="3891" spans="15:47" x14ac:dyDescent="0.25">
      <c r="O3891" s="1" t="s">
        <v>246</v>
      </c>
      <c r="P3891" s="18"/>
      <c r="Q3891" s="65"/>
      <c r="R3891" s="53">
        <f>IF(R3887&lt;R3888,R3889,R3890)</f>
        <v>362.87513880362872</v>
      </c>
      <c r="S3891" s="49"/>
      <c r="T3891" s="72"/>
      <c r="U3891" s="64" t="e">
        <f>IF(U3887&lt;U3888,U3889,U3890)</f>
        <v>#NUM!</v>
      </c>
      <c r="V3891" s="44"/>
      <c r="W3891" s="72"/>
      <c r="X3891" s="64" t="e">
        <f>IF(X3887&lt;X3888,X3889,X3890)</f>
        <v>#NUM!</v>
      </c>
      <c r="Y3891" s="44"/>
      <c r="Z3891" s="72"/>
      <c r="AA3891" s="64" t="e">
        <f>IF(AA3887&lt;AA3888,AA3889,AA3890)</f>
        <v>#NUM!</v>
      </c>
      <c r="AB3891" s="44"/>
      <c r="AC3891" s="72"/>
      <c r="AD3891" s="64" t="e">
        <f>IF(AD3887&lt;AD3888,AD3889,AD3890)</f>
        <v>#NUM!</v>
      </c>
      <c r="AE3891" s="44"/>
      <c r="AF3891" s="72"/>
      <c r="AG3891" s="64" t="e">
        <f>IF(AG3887&lt;AG3888,AG3889,AG3890)</f>
        <v>#NUM!</v>
      </c>
      <c r="AH3891" s="44"/>
      <c r="AI3891" s="72"/>
      <c r="AJ3891" s="64" t="e">
        <f>IF(AJ3887&lt;AJ3888,AJ3889,AJ3890)</f>
        <v>#NUM!</v>
      </c>
      <c r="AK3891" s="44"/>
      <c r="AL3891" s="72"/>
      <c r="AM3891" s="64" t="e">
        <f>IF(AM3887&lt;AM3888,AM3889,AM3890)</f>
        <v>#NUM!</v>
      </c>
      <c r="AN3891" s="44"/>
      <c r="AO3891" s="72"/>
      <c r="AP3891" s="64" t="e">
        <f>IF(AP3887&lt;AP3888,AP3889,AP3890)</f>
        <v>#NUM!</v>
      </c>
      <c r="AQ3891" s="44"/>
      <c r="AR3891" s="72"/>
      <c r="AS3891" s="64" t="e">
        <f>IF(AS3887&lt;AS3888,AS3889,AS3890)</f>
        <v>#NUM!</v>
      </c>
      <c r="AT3891" s="44"/>
      <c r="AU3891" s="72"/>
    </row>
    <row r="3892" spans="15:47" ht="13" x14ac:dyDescent="0.3">
      <c r="O3892" s="7" t="s">
        <v>264</v>
      </c>
      <c r="Q3892" s="61"/>
      <c r="R3892" s="53"/>
      <c r="S3892" s="69">
        <f>IFERROR(ABS(C_h-R3891),Q_max*10)</f>
        <v>357.87513880362872</v>
      </c>
      <c r="T3892" s="76">
        <f>R3883</f>
        <v>818.74772011129869</v>
      </c>
      <c r="U3892" s="61"/>
      <c r="V3892" s="69">
        <f>IFERROR(ABS(U$23-U3891),Q_max*10)</f>
        <v>5500</v>
      </c>
      <c r="W3892" s="75">
        <f>U3883</f>
        <v>919.6058557720703</v>
      </c>
      <c r="X3892" s="61"/>
      <c r="Y3892" s="69">
        <f>IFERROR(ABS(X$23-X3891),Q_max*10)</f>
        <v>5500</v>
      </c>
      <c r="Z3892" s="75">
        <f>X3883</f>
        <v>2207.4080445461905</v>
      </c>
      <c r="AA3892" s="61"/>
      <c r="AB3892" s="69">
        <f>IFERROR(ABS(AA$23-AA3891),Q_max*10)</f>
        <v>5500</v>
      </c>
      <c r="AC3892" s="75">
        <f>AA3883</f>
        <v>4214.7509459829689</v>
      </c>
      <c r="AD3892" s="61"/>
      <c r="AE3892" s="69">
        <f>IFERROR(ABS(AD$23-AD3891),Q_max*10)</f>
        <v>5500</v>
      </c>
      <c r="AF3892" s="75">
        <f>AD3883</f>
        <v>6931.7135269101946</v>
      </c>
      <c r="AG3892" s="61"/>
      <c r="AH3892" s="69">
        <f>IFERROR(ABS(AG$23-AG3891),Q_max*10)</f>
        <v>5500</v>
      </c>
      <c r="AI3892" s="75">
        <f>AG3883</f>
        <v>10320.376881839495</v>
      </c>
      <c r="AJ3892" s="61"/>
      <c r="AK3892" s="69">
        <f>IFERROR(ABS(AJ$23-AJ3891),Q_max*10)</f>
        <v>5500</v>
      </c>
      <c r="AL3892" s="75">
        <f>AJ3883</f>
        <v>13772.582956449665</v>
      </c>
      <c r="AM3892" s="61"/>
      <c r="AN3892" s="69">
        <f>IFERROR(ABS(AM$23-AM3891),Q_max*10)</f>
        <v>5500</v>
      </c>
      <c r="AO3892" s="75">
        <f>AM3883</f>
        <v>16805.168547817007</v>
      </c>
      <c r="AP3892" s="61"/>
      <c r="AQ3892" s="69">
        <f>IFERROR(ABS(AP$23-AP3891),Q_max*10)</f>
        <v>5500</v>
      </c>
      <c r="AR3892" s="75">
        <f>AP3883</f>
        <v>19510.278973775876</v>
      </c>
      <c r="AS3892" s="61"/>
      <c r="AT3892" s="69">
        <f>IFERROR(ABS(AS$23-AS3891),Q_max*10)</f>
        <v>5500</v>
      </c>
      <c r="AU3892" s="75">
        <f>AS3883</f>
        <v>22204.517399433218</v>
      </c>
    </row>
    <row r="3893" spans="15:47" ht="14.5" x14ac:dyDescent="0.35">
      <c r="O3893" s="8"/>
      <c r="P3893" s="6"/>
      <c r="Q3893" s="60"/>
      <c r="R3893" s="67"/>
      <c r="S3893" s="56"/>
      <c r="T3893" s="72"/>
      <c r="V3893" s="11"/>
      <c r="W3893" s="38"/>
      <c r="Y3893" s="11"/>
      <c r="Z3893" s="38"/>
      <c r="AB3893" s="11"/>
      <c r="AC3893" s="38"/>
      <c r="AE3893" s="11"/>
      <c r="AF3893" s="38"/>
      <c r="AH3893" s="11"/>
      <c r="AI3893" s="38"/>
      <c r="AK3893" s="11"/>
      <c r="AL3893" s="38"/>
      <c r="AN3893" s="11"/>
      <c r="AO3893" s="38"/>
      <c r="AQ3893" s="11"/>
      <c r="AR3893" s="38"/>
      <c r="AT3893" s="11"/>
      <c r="AU3893" s="38"/>
    </row>
    <row r="3894" spans="15:47" ht="14" x14ac:dyDescent="0.3">
      <c r="O3894" s="8" t="s">
        <v>235</v>
      </c>
      <c r="P3894" s="6"/>
      <c r="Q3894" s="60"/>
      <c r="R3894" s="53">
        <f>R3883*1.02</f>
        <v>835.12267451352466</v>
      </c>
      <c r="S3894" s="58" t="s">
        <v>238</v>
      </c>
      <c r="T3894" s="73" t="s">
        <v>241</v>
      </c>
      <c r="U3894" s="84">
        <f>U3883*1.01</f>
        <v>928.80191432979097</v>
      </c>
      <c r="V3894" s="58" t="s">
        <v>238</v>
      </c>
      <c r="W3894" s="73" t="s">
        <v>241</v>
      </c>
      <c r="X3894" s="84">
        <f>X3883*1.01</f>
        <v>2229.4821249916522</v>
      </c>
      <c r="Y3894" s="58" t="s">
        <v>238</v>
      </c>
      <c r="Z3894" s="73" t="s">
        <v>241</v>
      </c>
      <c r="AA3894" s="84">
        <f>AA3883*1.01</f>
        <v>4256.8984554427989</v>
      </c>
      <c r="AB3894" s="58" t="s">
        <v>238</v>
      </c>
      <c r="AC3894" s="73" t="s">
        <v>241</v>
      </c>
      <c r="AD3894" s="84">
        <f>AD3883*1.01</f>
        <v>7001.030662179297</v>
      </c>
      <c r="AE3894" s="58" t="s">
        <v>238</v>
      </c>
      <c r="AF3894" s="73" t="s">
        <v>241</v>
      </c>
      <c r="AG3894" s="84">
        <f>AG3883*1.01</f>
        <v>10423.58065065789</v>
      </c>
      <c r="AH3894" s="58" t="s">
        <v>238</v>
      </c>
      <c r="AI3894" s="73" t="s">
        <v>241</v>
      </c>
      <c r="AJ3894" s="84">
        <f>AJ3883*1.01</f>
        <v>13910.308786014162</v>
      </c>
      <c r="AK3894" s="58" t="s">
        <v>238</v>
      </c>
      <c r="AL3894" s="73" t="s">
        <v>241</v>
      </c>
      <c r="AM3894" s="84">
        <f>AM3883*1.01</f>
        <v>16973.220233295178</v>
      </c>
      <c r="AN3894" s="58" t="s">
        <v>238</v>
      </c>
      <c r="AO3894" s="73" t="s">
        <v>241</v>
      </c>
      <c r="AP3894" s="84">
        <f>AP3883*1.01</f>
        <v>19705.381763513633</v>
      </c>
      <c r="AQ3894" s="58" t="s">
        <v>238</v>
      </c>
      <c r="AR3894" s="73" t="s">
        <v>241</v>
      </c>
      <c r="AS3894" s="84">
        <f>AS3883*1.01</f>
        <v>22426.562573427549</v>
      </c>
      <c r="AT3894" s="58" t="s">
        <v>238</v>
      </c>
      <c r="AU3894" s="73" t="s">
        <v>241</v>
      </c>
    </row>
    <row r="3895" spans="15:47" ht="13" x14ac:dyDescent="0.25">
      <c r="O3895" s="6"/>
      <c r="P3895" s="6"/>
      <c r="Q3895" s="60"/>
      <c r="R3895" s="70"/>
      <c r="S3895" s="63" t="s">
        <v>250</v>
      </c>
      <c r="T3895" s="71" t="s">
        <v>242</v>
      </c>
      <c r="U3895" s="61"/>
      <c r="V3895" s="63" t="s">
        <v>250</v>
      </c>
      <c r="W3895" s="71" t="s">
        <v>242</v>
      </c>
      <c r="X3895" s="61"/>
      <c r="Y3895" s="63" t="s">
        <v>250</v>
      </c>
      <c r="Z3895" s="71" t="s">
        <v>242</v>
      </c>
      <c r="AA3895" s="61"/>
      <c r="AB3895" s="63" t="s">
        <v>250</v>
      </c>
      <c r="AC3895" s="71" t="s">
        <v>242</v>
      </c>
      <c r="AD3895" s="61"/>
      <c r="AE3895" s="63" t="s">
        <v>250</v>
      </c>
      <c r="AF3895" s="71" t="s">
        <v>242</v>
      </c>
      <c r="AG3895" s="61"/>
      <c r="AH3895" s="63" t="s">
        <v>250</v>
      </c>
      <c r="AI3895" s="71" t="s">
        <v>242</v>
      </c>
      <c r="AJ3895" s="61"/>
      <c r="AK3895" s="63" t="s">
        <v>250</v>
      </c>
      <c r="AL3895" s="71" t="s">
        <v>242</v>
      </c>
      <c r="AM3895" s="61"/>
      <c r="AN3895" s="63" t="s">
        <v>250</v>
      </c>
      <c r="AO3895" s="71" t="s">
        <v>242</v>
      </c>
      <c r="AP3895" s="61"/>
      <c r="AQ3895" s="63" t="s">
        <v>250</v>
      </c>
      <c r="AR3895" s="71" t="s">
        <v>242</v>
      </c>
      <c r="AS3895" s="61"/>
      <c r="AT3895" s="63" t="s">
        <v>250</v>
      </c>
      <c r="AU3895" s="71" t="s">
        <v>242</v>
      </c>
    </row>
    <row r="3896" spans="15:47" ht="13" x14ac:dyDescent="0.3">
      <c r="O3896" s="6" t="s">
        <v>231</v>
      </c>
      <c r="P3896" s="6"/>
      <c r="Q3896" s="60"/>
      <c r="R3896" s="85">
        <f>P_1_minQ-(R3894^2*R_up)+dpup_minQ</f>
        <v>33.36228026049907</v>
      </c>
      <c r="S3896" s="56"/>
      <c r="T3896" s="72"/>
      <c r="U3896" s="53">
        <f>P_1_minQ-(U3894^2*R_up)+dpup_minQ</f>
        <v>27.781627961408837</v>
      </c>
      <c r="V3896" s="44"/>
      <c r="W3896" s="72"/>
      <c r="X3896" s="53">
        <f>P_1_minQ-(X3894^2*R_up)+dpup_minQ</f>
        <v>-110.95250069764583</v>
      </c>
      <c r="Y3896" s="44"/>
      <c r="Z3896" s="72"/>
      <c r="AA3896" s="53">
        <f>P_1_minQ-(AA3894^2*R_up)+dpup_minQ</f>
        <v>-555.07927929588936</v>
      </c>
      <c r="AB3896" s="44"/>
      <c r="AC3896" s="72"/>
      <c r="AD3896" s="53">
        <f>P_1_minQ-(AD3894^2*R_up)+dpup_minQ</f>
        <v>-1598.4175391008</v>
      </c>
      <c r="AE3896" s="44"/>
      <c r="AF3896" s="72"/>
      <c r="AG3896" s="53">
        <f>P_1_minQ-(AG3894^2*R_up)+dpup_minQ</f>
        <v>-3612.4872198841467</v>
      </c>
      <c r="AH3896" s="44"/>
      <c r="AI3896" s="72"/>
      <c r="AJ3896" s="53">
        <f>P_1_minQ-(AJ3894^2*R_up)+dpup_minQ</f>
        <v>-6477.9264951794266</v>
      </c>
      <c r="AK3896" s="44"/>
      <c r="AL3896" s="72"/>
      <c r="AM3896" s="53">
        <f>P_1_minQ-(AM3894^2*R_up)+dpup_minQ</f>
        <v>-9672.5740657865863</v>
      </c>
      <c r="AN3896" s="44"/>
      <c r="AO3896" s="72"/>
      <c r="AP3896" s="53">
        <f>P_1_minQ-(AP3894^2*R_up)+dpup_minQ</f>
        <v>-13056.966681722921</v>
      </c>
      <c r="AQ3896" s="44"/>
      <c r="AR3896" s="72"/>
      <c r="AS3896" s="53">
        <f>P_1_minQ-(AS3894^2*R_up)+dpup_minQ</f>
        <v>-16928.923399522504</v>
      </c>
      <c r="AT3896" s="44"/>
      <c r="AU3896" s="72"/>
    </row>
    <row r="3897" spans="15:47" ht="13" x14ac:dyDescent="0.3">
      <c r="O3897" s="6" t="s">
        <v>233</v>
      </c>
      <c r="P3897" s="6"/>
      <c r="Q3897" s="60"/>
      <c r="R3897" s="85">
        <f>P_2_minQ+(R3894^2*R_dn)-dpdn_minQ</f>
        <v>29.367543947900188</v>
      </c>
      <c r="S3897" s="66"/>
      <c r="T3897" s="74"/>
      <c r="U3897" s="53">
        <f>P_2_minQ+(U3894^2*R_dn)-dpdn_minQ</f>
        <v>30.483674407718233</v>
      </c>
      <c r="V3897" s="45"/>
      <c r="W3897" s="74"/>
      <c r="X3897" s="53">
        <f>P_2_minQ+(X3894^2*R_dn)-dpdn_minQ</f>
        <v>58.23050013952917</v>
      </c>
      <c r="Y3897" s="45"/>
      <c r="Z3897" s="74"/>
      <c r="AA3897" s="53">
        <f>P_2_minQ+(AA3894^2*R_dn)-dpdn_minQ</f>
        <v>147.05585585917788</v>
      </c>
      <c r="AB3897" s="45"/>
      <c r="AC3897" s="74"/>
      <c r="AD3897" s="53">
        <f>P_2_minQ+(AD3894^2*R_dn)-dpdn_minQ</f>
        <v>355.72350782015991</v>
      </c>
      <c r="AE3897" s="45"/>
      <c r="AF3897" s="74"/>
      <c r="AG3897" s="53">
        <f>P_2_minQ+(AG3894^2*R_dn)-dpdn_minQ</f>
        <v>758.53744397682919</v>
      </c>
      <c r="AH3897" s="45"/>
      <c r="AI3897" s="74"/>
      <c r="AJ3897" s="53">
        <f>P_2_minQ+(AJ3894^2*R_dn)-dpdn_minQ</f>
        <v>1331.6252990358851</v>
      </c>
      <c r="AK3897" s="45"/>
      <c r="AL3897" s="74"/>
      <c r="AM3897" s="53">
        <f>P_2_minQ+(AM3894^2*R_dn)-dpdn_minQ</f>
        <v>1970.5548131573173</v>
      </c>
      <c r="AN3897" s="45"/>
      <c r="AO3897" s="74"/>
      <c r="AP3897" s="53">
        <f>P_2_minQ+(AP3894^2*R_dn)-dpdn_minQ</f>
        <v>2647.4333363445839</v>
      </c>
      <c r="AQ3897" s="45"/>
      <c r="AR3897" s="74"/>
      <c r="AS3897" s="53">
        <f>P_2_minQ+(AS3894^2*R_dn)-dpdn_minQ</f>
        <v>3421.8246799045005</v>
      </c>
      <c r="AT3897" s="45"/>
      <c r="AU3897" s="74"/>
    </row>
    <row r="3898" spans="15:47" x14ac:dyDescent="0.25">
      <c r="O3898" s="6" t="s">
        <v>243</v>
      </c>
      <c r="Q3898" s="60"/>
      <c r="R3898" s="53">
        <f>R3896-R3897</f>
        <v>3.9947363125988815</v>
      </c>
      <c r="S3898" s="56"/>
      <c r="T3898" s="72"/>
      <c r="U3898" s="64">
        <f>U3896-U3897</f>
        <v>-2.7020464463093958</v>
      </c>
      <c r="V3898" s="44"/>
      <c r="W3898" s="72"/>
      <c r="X3898" s="64">
        <f>X3896-X3897</f>
        <v>-169.183000837175</v>
      </c>
      <c r="Y3898" s="44"/>
      <c r="Z3898" s="72"/>
      <c r="AA3898" s="64">
        <f>AA3896-AA3897</f>
        <v>-702.13513515506725</v>
      </c>
      <c r="AB3898" s="44"/>
      <c r="AC3898" s="72"/>
      <c r="AD3898" s="64">
        <f>AD3896-AD3897</f>
        <v>-1954.14104692096</v>
      </c>
      <c r="AE3898" s="44"/>
      <c r="AF3898" s="72"/>
      <c r="AG3898" s="64">
        <f>AG3896-AG3897</f>
        <v>-4371.024663860976</v>
      </c>
      <c r="AH3898" s="44"/>
      <c r="AI3898" s="72"/>
      <c r="AJ3898" s="64">
        <f>AJ3896-AJ3897</f>
        <v>-7809.5517942153119</v>
      </c>
      <c r="AK3898" s="44"/>
      <c r="AL3898" s="72"/>
      <c r="AM3898" s="64">
        <f>AM3896-AM3897</f>
        <v>-11643.128878943904</v>
      </c>
      <c r="AN3898" s="44"/>
      <c r="AO3898" s="72"/>
      <c r="AP3898" s="64">
        <f>AP3896-AP3897</f>
        <v>-15704.400018067505</v>
      </c>
      <c r="AQ3898" s="44"/>
      <c r="AR3898" s="72"/>
      <c r="AS3898" s="64">
        <f>AS3896-AS3897</f>
        <v>-20350.748079427005</v>
      </c>
      <c r="AT3898" s="44"/>
      <c r="AU3898" s="72"/>
    </row>
    <row r="3899" spans="15:47" ht="13" x14ac:dyDescent="0.3">
      <c r="O3899" s="6" t="s">
        <v>75</v>
      </c>
      <c r="P3899" s="6">
        <v>3</v>
      </c>
      <c r="Q3899" s="65"/>
      <c r="R3899" s="85">
        <f>(F_LP_h/F_P_h)^2*(R3896-('Valve Sizing'!$V$4*'Valve Sizing'!$G$7))</f>
        <v>27.261328391239701</v>
      </c>
      <c r="S3899" s="58"/>
      <c r="T3899" s="73"/>
      <c r="U3899" s="53">
        <f>(U$29/U$27)^2*(U3896-('Valve Sizing'!$V$4*'Valve Sizing'!$G$7))</f>
        <v>22.634084561181893</v>
      </c>
      <c r="V3899" s="41"/>
      <c r="W3899" s="73"/>
      <c r="X3899" s="53">
        <f>(X$29/X$27)^2*(X3896-('Valve Sizing'!$V$4*'Valve Sizing'!$G$7))</f>
        <v>-90.13368570440241</v>
      </c>
      <c r="Y3899" s="41"/>
      <c r="Z3899" s="73"/>
      <c r="AA3899" s="53">
        <f>(AA$29/AA$27)^2*(AA3896-('Valve Sizing'!$V$4*'Valve Sizing'!$G$7))</f>
        <v>-429.30380001448543</v>
      </c>
      <c r="AB3899" s="41"/>
      <c r="AC3899" s="73"/>
      <c r="AD3899" s="53">
        <f>(AD$29/AD$27)^2*(AD3896-('Valve Sizing'!$V$4*'Valve Sizing'!$G$7))</f>
        <v>-1153.0759646575384</v>
      </c>
      <c r="AE3899" s="41"/>
      <c r="AF3899" s="73"/>
      <c r="AG3899" s="53">
        <f>(AG$29/AG$27)^2*(AG3896-('Valve Sizing'!$V$4*'Valve Sizing'!$G$7))</f>
        <v>-2326.883959172505</v>
      </c>
      <c r="AH3899" s="41"/>
      <c r="AI3899" s="73"/>
      <c r="AJ3899" s="53">
        <f>(AJ$29/AJ$27)^2*(AJ3896-('Valve Sizing'!$V$4*'Valve Sizing'!$G$7))</f>
        <v>-3746.8561653377669</v>
      </c>
      <c r="AK3899" s="41"/>
      <c r="AL3899" s="73"/>
      <c r="AM3899" s="53">
        <f>(AM$29/AM$27)^2*(AM3896-('Valve Sizing'!$V$4*'Valve Sizing'!$G$7))</f>
        <v>-4628.2678579027424</v>
      </c>
      <c r="AN3899" s="41"/>
      <c r="AO3899" s="73"/>
      <c r="AP3899" s="53">
        <f>(AP$29/AP$27)^2*(AP3896-('Valve Sizing'!$V$4*'Valve Sizing'!$G$7))</f>
        <v>-5152.8029950944028</v>
      </c>
      <c r="AQ3899" s="41"/>
      <c r="AR3899" s="73"/>
      <c r="AS3899" s="53">
        <f>(AS$29/AS$27)^2*(AS3896-('Valve Sizing'!$V$4*'Valve Sizing'!$G$7))</f>
        <v>-6367.8242144601791</v>
      </c>
      <c r="AT3899" s="41"/>
      <c r="AU3899" s="73"/>
    </row>
    <row r="3900" spans="15:47" ht="13" x14ac:dyDescent="0.25">
      <c r="O3900" s="1" t="s">
        <v>69</v>
      </c>
      <c r="P3900" s="17">
        <v>7</v>
      </c>
      <c r="Q3900" s="65"/>
      <c r="R3900" s="53">
        <f>(R3894/(N_1*F_P_h))*SQRT('Valve Sizing'!$G$6/R3898)</f>
        <v>417.89747336213782</v>
      </c>
      <c r="S3900" s="58"/>
      <c r="T3900" s="73"/>
      <c r="U3900" s="64" t="e">
        <f>(U3894/(N_1*U$27))*SQRT('Valve Sizing'!$G$6/U3898)</f>
        <v>#NUM!</v>
      </c>
      <c r="V3900" s="41"/>
      <c r="W3900" s="73"/>
      <c r="X3900" s="64" t="e">
        <f>(X3894/(N_1*X$27))*SQRT('Valve Sizing'!$G$6/X3898)</f>
        <v>#NUM!</v>
      </c>
      <c r="Y3900" s="41"/>
      <c r="Z3900" s="73"/>
      <c r="AA3900" s="64" t="e">
        <f>(AA3894/(N_1*AA$27))*SQRT('Valve Sizing'!$G$6/AA3898)</f>
        <v>#NUM!</v>
      </c>
      <c r="AB3900" s="41"/>
      <c r="AC3900" s="73"/>
      <c r="AD3900" s="64" t="e">
        <f>(AD3894/(N_1*AD$27))*SQRT('Valve Sizing'!$G$6/AD3898)</f>
        <v>#NUM!</v>
      </c>
      <c r="AE3900" s="41"/>
      <c r="AF3900" s="73"/>
      <c r="AG3900" s="64" t="e">
        <f>(AG3894/(N_1*AG$27))*SQRT('Valve Sizing'!$G$6/AG3898)</f>
        <v>#NUM!</v>
      </c>
      <c r="AH3900" s="41"/>
      <c r="AI3900" s="73"/>
      <c r="AJ3900" s="64" t="e">
        <f>(AJ3894/(N_1*AJ$27))*SQRT('Valve Sizing'!$G$6/AJ3898)</f>
        <v>#NUM!</v>
      </c>
      <c r="AK3900" s="41"/>
      <c r="AL3900" s="73"/>
      <c r="AM3900" s="64" t="e">
        <f>(AM3894/(N_1*AM$27))*SQRT('Valve Sizing'!$G$6/AM3898)</f>
        <v>#NUM!</v>
      </c>
      <c r="AN3900" s="41"/>
      <c r="AO3900" s="73"/>
      <c r="AP3900" s="64" t="e">
        <f>(AP3894/(N_1*AP$27))*SQRT('Valve Sizing'!$G$6/AP3898)</f>
        <v>#NUM!</v>
      </c>
      <c r="AQ3900" s="41"/>
      <c r="AR3900" s="73"/>
      <c r="AS3900" s="64" t="e">
        <f>(AS3894/(N_1*AS$27))*SQRT('Valve Sizing'!$G$6/AS3898)</f>
        <v>#NUM!</v>
      </c>
      <c r="AT3900" s="41"/>
      <c r="AU3900" s="73"/>
    </row>
    <row r="3901" spans="15:47" ht="13" x14ac:dyDescent="0.3">
      <c r="O3901" s="1" t="s">
        <v>72</v>
      </c>
      <c r="P3901" s="17">
        <v>7</v>
      </c>
      <c r="Q3901" s="65"/>
      <c r="R3901" s="53">
        <f>(R3894/(N_1*F_P_h))*SQRT('Valve Sizing'!$G$6/R3899)</f>
        <v>159.97064537453909</v>
      </c>
      <c r="S3901" s="56"/>
      <c r="T3901" s="72"/>
      <c r="U3901" s="85">
        <f>(U3894/(N_1*U$27))*SQRT('Valve Sizing'!$G$6/U3899)</f>
        <v>195.39223708010687</v>
      </c>
      <c r="V3901" s="44"/>
      <c r="W3901" s="72"/>
      <c r="X3901" s="85" t="e">
        <f>(X3894/(N_1*X$27))*SQRT('Valve Sizing'!$G$6/X3899)</f>
        <v>#NUM!</v>
      </c>
      <c r="Y3901" s="44"/>
      <c r="Z3901" s="72"/>
      <c r="AA3901" s="85" t="e">
        <f>(AA3894/(N_1*AA$27))*SQRT('Valve Sizing'!$G$6/AA3899)</f>
        <v>#NUM!</v>
      </c>
      <c r="AB3901" s="44"/>
      <c r="AC3901" s="72"/>
      <c r="AD3901" s="85" t="e">
        <f>(AD3894/(N_1*AD$27))*SQRT('Valve Sizing'!$G$6/AD3899)</f>
        <v>#NUM!</v>
      </c>
      <c r="AE3901" s="44"/>
      <c r="AF3901" s="72"/>
      <c r="AG3901" s="85" t="e">
        <f>(AG3894/(N_1*AG$27))*SQRT('Valve Sizing'!$G$6/AG3899)</f>
        <v>#NUM!</v>
      </c>
      <c r="AH3901" s="44"/>
      <c r="AI3901" s="72"/>
      <c r="AJ3901" s="85" t="e">
        <f>(AJ3894/(N_1*AJ$27))*SQRT('Valve Sizing'!$G$6/AJ3899)</f>
        <v>#NUM!</v>
      </c>
      <c r="AK3901" s="44"/>
      <c r="AL3901" s="72"/>
      <c r="AM3901" s="85" t="e">
        <f>(AM3894/(N_1*AM$27))*SQRT('Valve Sizing'!$G$6/AM3899)</f>
        <v>#NUM!</v>
      </c>
      <c r="AN3901" s="44"/>
      <c r="AO3901" s="72"/>
      <c r="AP3901" s="85" t="e">
        <f>(AP3894/(N_1*AP$27))*SQRT('Valve Sizing'!$G$6/AP3899)</f>
        <v>#NUM!</v>
      </c>
      <c r="AQ3901" s="44"/>
      <c r="AR3901" s="72"/>
      <c r="AS3901" s="85" t="e">
        <f>(AS3894/(N_1*AS$27))*SQRT('Valve Sizing'!$G$6/AS3899)</f>
        <v>#NUM!</v>
      </c>
      <c r="AT3901" s="44"/>
      <c r="AU3901" s="72"/>
    </row>
    <row r="3902" spans="15:47" x14ac:dyDescent="0.25">
      <c r="O3902" s="1" t="s">
        <v>246</v>
      </c>
      <c r="P3902" s="18"/>
      <c r="Q3902" s="65"/>
      <c r="R3902" s="53">
        <f>IF(R3898&lt;R3899,R3900,R3901)</f>
        <v>417.89747336213782</v>
      </c>
      <c r="S3902" s="49"/>
      <c r="T3902" s="72"/>
      <c r="U3902" s="64" t="e">
        <f>IF(U3898&lt;U3899,U3900,U3901)</f>
        <v>#NUM!</v>
      </c>
      <c r="V3902" s="44"/>
      <c r="W3902" s="72"/>
      <c r="X3902" s="64" t="e">
        <f>IF(X3898&lt;X3899,X3900,X3901)</f>
        <v>#NUM!</v>
      </c>
      <c r="Y3902" s="44"/>
      <c r="Z3902" s="72"/>
      <c r="AA3902" s="64" t="e">
        <f>IF(AA3898&lt;AA3899,AA3900,AA3901)</f>
        <v>#NUM!</v>
      </c>
      <c r="AB3902" s="44"/>
      <c r="AC3902" s="72"/>
      <c r="AD3902" s="64" t="e">
        <f>IF(AD3898&lt;AD3899,AD3900,AD3901)</f>
        <v>#NUM!</v>
      </c>
      <c r="AE3902" s="44"/>
      <c r="AF3902" s="72"/>
      <c r="AG3902" s="64" t="e">
        <f>IF(AG3898&lt;AG3899,AG3900,AG3901)</f>
        <v>#NUM!</v>
      </c>
      <c r="AH3902" s="44"/>
      <c r="AI3902" s="72"/>
      <c r="AJ3902" s="64" t="e">
        <f>IF(AJ3898&lt;AJ3899,AJ3900,AJ3901)</f>
        <v>#NUM!</v>
      </c>
      <c r="AK3902" s="44"/>
      <c r="AL3902" s="72"/>
      <c r="AM3902" s="64" t="e">
        <f>IF(AM3898&lt;AM3899,AM3900,AM3901)</f>
        <v>#NUM!</v>
      </c>
      <c r="AN3902" s="44"/>
      <c r="AO3902" s="72"/>
      <c r="AP3902" s="64" t="e">
        <f>IF(AP3898&lt;AP3899,AP3900,AP3901)</f>
        <v>#NUM!</v>
      </c>
      <c r="AQ3902" s="44"/>
      <c r="AR3902" s="72"/>
      <c r="AS3902" s="64" t="e">
        <f>IF(AS3898&lt;AS3899,AS3900,AS3901)</f>
        <v>#NUM!</v>
      </c>
      <c r="AT3902" s="44"/>
      <c r="AU3902" s="72"/>
    </row>
    <row r="3903" spans="15:47" ht="13" x14ac:dyDescent="0.3">
      <c r="O3903" s="7" t="s">
        <v>264</v>
      </c>
      <c r="Q3903" s="61"/>
      <c r="R3903" s="53"/>
      <c r="S3903" s="69">
        <f>IFERROR(ABS(C_h-R3902),Q_max*10)</f>
        <v>412.89747336213782</v>
      </c>
      <c r="T3903" s="76">
        <f>R3894</f>
        <v>835.12267451352466</v>
      </c>
      <c r="U3903" s="61"/>
      <c r="V3903" s="69">
        <f>IFERROR(ABS(U$23-U3902),Q_max*10)</f>
        <v>5500</v>
      </c>
      <c r="W3903" s="75">
        <f>U3894</f>
        <v>928.80191432979097</v>
      </c>
      <c r="X3903" s="61"/>
      <c r="Y3903" s="69">
        <f>IFERROR(ABS(X$23-X3902),Q_max*10)</f>
        <v>5500</v>
      </c>
      <c r="Z3903" s="75">
        <f>X3894</f>
        <v>2229.4821249916522</v>
      </c>
      <c r="AA3903" s="61"/>
      <c r="AB3903" s="69">
        <f>IFERROR(ABS(AA$23-AA3902),Q_max*10)</f>
        <v>5500</v>
      </c>
      <c r="AC3903" s="75">
        <f>AA3894</f>
        <v>4256.8984554427989</v>
      </c>
      <c r="AD3903" s="61"/>
      <c r="AE3903" s="69">
        <f>IFERROR(ABS(AD$23-AD3902),Q_max*10)</f>
        <v>5500</v>
      </c>
      <c r="AF3903" s="75">
        <f>AD3894</f>
        <v>7001.030662179297</v>
      </c>
      <c r="AG3903" s="61"/>
      <c r="AH3903" s="69">
        <f>IFERROR(ABS(AG$23-AG3902),Q_max*10)</f>
        <v>5500</v>
      </c>
      <c r="AI3903" s="75">
        <f>AG3894</f>
        <v>10423.58065065789</v>
      </c>
      <c r="AJ3903" s="61"/>
      <c r="AK3903" s="69">
        <f>IFERROR(ABS(AJ$23-AJ3902),Q_max*10)</f>
        <v>5500</v>
      </c>
      <c r="AL3903" s="75">
        <f>AJ3894</f>
        <v>13910.308786014162</v>
      </c>
      <c r="AM3903" s="61"/>
      <c r="AN3903" s="69">
        <f>IFERROR(ABS(AM$23-AM3902),Q_max*10)</f>
        <v>5500</v>
      </c>
      <c r="AO3903" s="75">
        <f>AM3894</f>
        <v>16973.220233295178</v>
      </c>
      <c r="AP3903" s="61"/>
      <c r="AQ3903" s="69">
        <f>IFERROR(ABS(AP$23-AP3902),Q_max*10)</f>
        <v>5500</v>
      </c>
      <c r="AR3903" s="75">
        <f>AP3894</f>
        <v>19705.381763513633</v>
      </c>
      <c r="AS3903" s="61"/>
      <c r="AT3903" s="69">
        <f>IFERROR(ABS(AS$23-AS3902),Q_max*10)</f>
        <v>5500</v>
      </c>
      <c r="AU3903" s="75">
        <f>AS3894</f>
        <v>22426.562573427549</v>
      </c>
    </row>
    <row r="3904" spans="15:47" ht="14.5" x14ac:dyDescent="0.35">
      <c r="O3904" s="6"/>
      <c r="P3904" s="6"/>
      <c r="Q3904" s="60"/>
      <c r="R3904" s="67"/>
      <c r="S3904" s="58"/>
      <c r="T3904" s="73"/>
      <c r="V3904" s="11"/>
      <c r="W3904" s="38"/>
      <c r="Y3904" s="11"/>
      <c r="Z3904" s="38"/>
      <c r="AB3904" s="11"/>
      <c r="AC3904" s="38"/>
      <c r="AE3904" s="11"/>
      <c r="AF3904" s="38"/>
      <c r="AH3904" s="11"/>
      <c r="AI3904" s="38"/>
      <c r="AK3904" s="11"/>
      <c r="AL3904" s="38"/>
      <c r="AN3904" s="11"/>
      <c r="AO3904" s="38"/>
      <c r="AQ3904" s="11"/>
      <c r="AR3904" s="38"/>
      <c r="AT3904" s="11"/>
      <c r="AU3904" s="38"/>
    </row>
    <row r="3905" spans="15:47" ht="14" x14ac:dyDescent="0.3">
      <c r="O3905" s="8" t="s">
        <v>235</v>
      </c>
      <c r="P3905" s="6"/>
      <c r="Q3905" s="60"/>
      <c r="R3905" s="53">
        <f>R3894*1.02</f>
        <v>851.82512800379516</v>
      </c>
      <c r="S3905" s="58" t="s">
        <v>238</v>
      </c>
      <c r="T3905" s="73" t="s">
        <v>241</v>
      </c>
      <c r="U3905" s="84">
        <f>U3894*1.01</f>
        <v>938.08993347308888</v>
      </c>
      <c r="V3905" s="58" t="s">
        <v>238</v>
      </c>
      <c r="W3905" s="73" t="s">
        <v>241</v>
      </c>
      <c r="X3905" s="84">
        <f>X3894*1.01</f>
        <v>2251.7769462415686</v>
      </c>
      <c r="Y3905" s="58" t="s">
        <v>238</v>
      </c>
      <c r="Z3905" s="73" t="s">
        <v>241</v>
      </c>
      <c r="AA3905" s="84">
        <f>AA3894*1.01</f>
        <v>4299.4674399972273</v>
      </c>
      <c r="AB3905" s="58" t="s">
        <v>238</v>
      </c>
      <c r="AC3905" s="73" t="s">
        <v>241</v>
      </c>
      <c r="AD3905" s="84">
        <f>AD3894*1.01</f>
        <v>7071.0409688010905</v>
      </c>
      <c r="AE3905" s="58" t="s">
        <v>238</v>
      </c>
      <c r="AF3905" s="73" t="s">
        <v>241</v>
      </c>
      <c r="AG3905" s="84">
        <f>AG3894*1.01</f>
        <v>10527.816457164468</v>
      </c>
      <c r="AH3905" s="58" t="s">
        <v>238</v>
      </c>
      <c r="AI3905" s="73" t="s">
        <v>241</v>
      </c>
      <c r="AJ3905" s="84">
        <f>AJ3894*1.01</f>
        <v>14049.411873874304</v>
      </c>
      <c r="AK3905" s="58" t="s">
        <v>238</v>
      </c>
      <c r="AL3905" s="73" t="s">
        <v>241</v>
      </c>
      <c r="AM3905" s="84">
        <f>AM3894*1.01</f>
        <v>17142.952435628129</v>
      </c>
      <c r="AN3905" s="58" t="s">
        <v>238</v>
      </c>
      <c r="AO3905" s="73" t="s">
        <v>241</v>
      </c>
      <c r="AP3905" s="84">
        <f>AP3894*1.01</f>
        <v>19902.435581148769</v>
      </c>
      <c r="AQ3905" s="58" t="s">
        <v>238</v>
      </c>
      <c r="AR3905" s="73" t="s">
        <v>241</v>
      </c>
      <c r="AS3905" s="84">
        <f>AS3894*1.01</f>
        <v>22650.828199161824</v>
      </c>
      <c r="AT3905" s="58" t="s">
        <v>238</v>
      </c>
      <c r="AU3905" s="73" t="s">
        <v>241</v>
      </c>
    </row>
    <row r="3906" spans="15:47" ht="13" x14ac:dyDescent="0.25">
      <c r="O3906" s="6"/>
      <c r="P3906" s="6"/>
      <c r="Q3906" s="60"/>
      <c r="R3906" s="70"/>
      <c r="S3906" s="63" t="s">
        <v>250</v>
      </c>
      <c r="T3906" s="71" t="s">
        <v>242</v>
      </c>
      <c r="U3906" s="61"/>
      <c r="V3906" s="63" t="s">
        <v>250</v>
      </c>
      <c r="W3906" s="71" t="s">
        <v>242</v>
      </c>
      <c r="X3906" s="61"/>
      <c r="Y3906" s="63" t="s">
        <v>250</v>
      </c>
      <c r="Z3906" s="71" t="s">
        <v>242</v>
      </c>
      <c r="AA3906" s="61"/>
      <c r="AB3906" s="63" t="s">
        <v>250</v>
      </c>
      <c r="AC3906" s="71" t="s">
        <v>242</v>
      </c>
      <c r="AD3906" s="61"/>
      <c r="AE3906" s="63" t="s">
        <v>250</v>
      </c>
      <c r="AF3906" s="71" t="s">
        <v>242</v>
      </c>
      <c r="AG3906" s="61"/>
      <c r="AH3906" s="63" t="s">
        <v>250</v>
      </c>
      <c r="AI3906" s="71" t="s">
        <v>242</v>
      </c>
      <c r="AJ3906" s="61"/>
      <c r="AK3906" s="63" t="s">
        <v>250</v>
      </c>
      <c r="AL3906" s="71" t="s">
        <v>242</v>
      </c>
      <c r="AM3906" s="61"/>
      <c r="AN3906" s="63" t="s">
        <v>250</v>
      </c>
      <c r="AO3906" s="71" t="s">
        <v>242</v>
      </c>
      <c r="AP3906" s="61"/>
      <c r="AQ3906" s="63" t="s">
        <v>250</v>
      </c>
      <c r="AR3906" s="71" t="s">
        <v>242</v>
      </c>
      <c r="AS3906" s="61"/>
      <c r="AT3906" s="63" t="s">
        <v>250</v>
      </c>
      <c r="AU3906" s="71" t="s">
        <v>242</v>
      </c>
    </row>
    <row r="3907" spans="15:47" ht="13" x14ac:dyDescent="0.3">
      <c r="O3907" s="6" t="s">
        <v>231</v>
      </c>
      <c r="P3907" s="6"/>
      <c r="Q3907" s="60"/>
      <c r="R3907" s="85">
        <f>P_1_minQ-(R3905^2*R_up)+dpup_minQ</f>
        <v>32.410704197950622</v>
      </c>
      <c r="S3907" s="56"/>
      <c r="T3907" s="72"/>
      <c r="U3907" s="53">
        <f>P_1_minQ-(U3905^2*R_up)+dpup_minQ</f>
        <v>27.196024205216336</v>
      </c>
      <c r="V3907" s="44"/>
      <c r="W3907" s="72"/>
      <c r="X3907" s="53">
        <f>P_1_minQ-(X3905^2*R_up)+dpup_minQ</f>
        <v>-114.32666043988533</v>
      </c>
      <c r="Y3907" s="44"/>
      <c r="Z3907" s="72"/>
      <c r="AA3907" s="53">
        <f>P_1_minQ-(AA3905^2*R_up)+dpup_minQ</f>
        <v>-567.38038728795379</v>
      </c>
      <c r="AB3907" s="44"/>
      <c r="AC3907" s="72"/>
      <c r="AD3907" s="53">
        <f>P_1_minQ-(AD3905^2*R_up)+dpup_minQ</f>
        <v>-1631.6897461149431</v>
      </c>
      <c r="AE3907" s="44"/>
      <c r="AF3907" s="72"/>
      <c r="AG3907" s="53">
        <f>P_1_minQ-(AG3905^2*R_up)+dpup_minQ</f>
        <v>-3686.2422274820342</v>
      </c>
      <c r="AH3907" s="44"/>
      <c r="AI3907" s="72"/>
      <c r="AJ3907" s="53">
        <f>P_1_minQ-(AJ3905^2*R_up)+dpup_minQ</f>
        <v>-6609.2768322107495</v>
      </c>
      <c r="AK3907" s="44"/>
      <c r="AL3907" s="72"/>
      <c r="AM3907" s="53">
        <f>P_1_minQ-(AM3905^2*R_up)+dpup_minQ</f>
        <v>-9868.1368189871137</v>
      </c>
      <c r="AN3907" s="44"/>
      <c r="AO3907" s="72"/>
      <c r="AP3907" s="53">
        <f>P_1_minQ-(AP3905^2*R_up)+dpup_minQ</f>
        <v>-13320.55572650377</v>
      </c>
      <c r="AQ3907" s="44"/>
      <c r="AR3907" s="72"/>
      <c r="AS3907" s="53">
        <f>P_1_minQ-(AS3905^2*R_up)+dpup_minQ</f>
        <v>-17270.338774331121</v>
      </c>
      <c r="AT3907" s="44"/>
      <c r="AU3907" s="72"/>
    </row>
    <row r="3908" spans="15:47" ht="13" x14ac:dyDescent="0.3">
      <c r="O3908" s="6" t="s">
        <v>233</v>
      </c>
      <c r="P3908" s="6"/>
      <c r="Q3908" s="60"/>
      <c r="R3908" s="85">
        <f>P_2_minQ+(R3905^2*R_dn)-dpdn_minQ</f>
        <v>29.557859160409876</v>
      </c>
      <c r="S3908" s="66"/>
      <c r="T3908" s="74"/>
      <c r="U3908" s="53">
        <f>P_2_minQ+(U3905^2*R_dn)-dpdn_minQ</f>
        <v>30.600795158956732</v>
      </c>
      <c r="V3908" s="45"/>
      <c r="W3908" s="74"/>
      <c r="X3908" s="53">
        <f>P_2_minQ+(X3905^2*R_dn)-dpdn_minQ</f>
        <v>58.905332087977065</v>
      </c>
      <c r="Y3908" s="45"/>
      <c r="Z3908" s="74"/>
      <c r="AA3908" s="53">
        <f>P_2_minQ+(AA3905^2*R_dn)-dpdn_minQ</f>
        <v>149.51607745759074</v>
      </c>
      <c r="AB3908" s="45"/>
      <c r="AC3908" s="74"/>
      <c r="AD3908" s="53">
        <f>P_2_minQ+(AD3905^2*R_dn)-dpdn_minQ</f>
        <v>362.37794922298855</v>
      </c>
      <c r="AE3908" s="45"/>
      <c r="AF3908" s="74"/>
      <c r="AG3908" s="53">
        <f>P_2_minQ+(AG3905^2*R_dn)-dpdn_minQ</f>
        <v>773.28844549640678</v>
      </c>
      <c r="AH3908" s="45"/>
      <c r="AI3908" s="74"/>
      <c r="AJ3908" s="53">
        <f>P_2_minQ+(AJ3905^2*R_dn)-dpdn_minQ</f>
        <v>1357.8953664421499</v>
      </c>
      <c r="AK3908" s="45"/>
      <c r="AL3908" s="74"/>
      <c r="AM3908" s="53">
        <f>P_2_minQ+(AM3905^2*R_dn)-dpdn_minQ</f>
        <v>2009.6673637974227</v>
      </c>
      <c r="AN3908" s="45"/>
      <c r="AO3908" s="74"/>
      <c r="AP3908" s="53">
        <f>P_2_minQ+(AP3905^2*R_dn)-dpdn_minQ</f>
        <v>2700.1511453007533</v>
      </c>
      <c r="AQ3908" s="45"/>
      <c r="AR3908" s="74"/>
      <c r="AS3908" s="53">
        <f>P_2_minQ+(AS3905^2*R_dn)-dpdn_minQ</f>
        <v>3490.1077548662238</v>
      </c>
      <c r="AT3908" s="45"/>
      <c r="AU3908" s="74"/>
    </row>
    <row r="3909" spans="15:47" x14ac:dyDescent="0.25">
      <c r="O3909" s="6" t="s">
        <v>243</v>
      </c>
      <c r="Q3909" s="60"/>
      <c r="R3909" s="53">
        <f>R3907-R3908</f>
        <v>2.8528450375407459</v>
      </c>
      <c r="S3909" s="56"/>
      <c r="T3909" s="72"/>
      <c r="U3909" s="64">
        <f>U3907-U3908</f>
        <v>-3.4047709537403961</v>
      </c>
      <c r="V3909" s="44"/>
      <c r="W3909" s="72"/>
      <c r="X3909" s="64">
        <f>X3907-X3908</f>
        <v>-173.23199252786239</v>
      </c>
      <c r="Y3909" s="44"/>
      <c r="Z3909" s="72"/>
      <c r="AA3909" s="64">
        <f>AA3907-AA3908</f>
        <v>-716.89646474554456</v>
      </c>
      <c r="AB3909" s="44"/>
      <c r="AC3909" s="72"/>
      <c r="AD3909" s="64">
        <f>AD3907-AD3908</f>
        <v>-1994.0676953379316</v>
      </c>
      <c r="AE3909" s="44"/>
      <c r="AF3909" s="72"/>
      <c r="AG3909" s="64">
        <f>AG3907-AG3908</f>
        <v>-4459.5306729784406</v>
      </c>
      <c r="AH3909" s="44"/>
      <c r="AI3909" s="72"/>
      <c r="AJ3909" s="64">
        <f>AJ3907-AJ3908</f>
        <v>-7967.1721986528992</v>
      </c>
      <c r="AK3909" s="44"/>
      <c r="AL3909" s="72"/>
      <c r="AM3909" s="64">
        <f>AM3907-AM3908</f>
        <v>-11877.804182784537</v>
      </c>
      <c r="AN3909" s="44"/>
      <c r="AO3909" s="72"/>
      <c r="AP3909" s="64">
        <f>AP3907-AP3908</f>
        <v>-16020.706871804523</v>
      </c>
      <c r="AQ3909" s="44"/>
      <c r="AR3909" s="72"/>
      <c r="AS3909" s="64">
        <f>AS3907-AS3908</f>
        <v>-20760.446529197347</v>
      </c>
      <c r="AT3909" s="44"/>
      <c r="AU3909" s="72"/>
    </row>
    <row r="3910" spans="15:47" ht="13" x14ac:dyDescent="0.3">
      <c r="O3910" s="6" t="s">
        <v>75</v>
      </c>
      <c r="P3910" s="6">
        <v>3</v>
      </c>
      <c r="Q3910" s="65"/>
      <c r="R3910" s="85">
        <f>(F_LP_h/F_P_h)^2*(R3907-('Valve Sizing'!$V$4*'Valve Sizing'!$G$7))</f>
        <v>26.473373463280407</v>
      </c>
      <c r="S3910" s="58"/>
      <c r="T3910" s="73"/>
      <c r="U3910" s="53">
        <f>(U$29/U$27)^2*(U3907-('Valve Sizing'!$V$4*'Valve Sizing'!$G$7))</f>
        <v>22.14930607935975</v>
      </c>
      <c r="V3910" s="41"/>
      <c r="W3910" s="73"/>
      <c r="X3910" s="53">
        <f>(X$29/X$27)^2*(X3907-('Valve Sizing'!$V$4*'Valve Sizing'!$G$7))</f>
        <v>-92.863899088339153</v>
      </c>
      <c r="Y3910" s="41"/>
      <c r="Z3910" s="73"/>
      <c r="AA3910" s="53">
        <f>(AA$29/AA$27)^2*(AA3907-('Valve Sizing'!$V$4*'Valve Sizing'!$G$7))</f>
        <v>-438.81006209032017</v>
      </c>
      <c r="AB3910" s="41"/>
      <c r="AC3910" s="73"/>
      <c r="AD3910" s="53">
        <f>(AD$29/AD$27)^2*(AD3907-('Valve Sizing'!$V$4*'Valve Sizing'!$G$7))</f>
        <v>-1177.0714613650809</v>
      </c>
      <c r="AE3910" s="41"/>
      <c r="AF3910" s="73"/>
      <c r="AG3910" s="53">
        <f>(AG$29/AG$27)^2*(AG3907-('Valve Sizing'!$V$4*'Valve Sizing'!$G$7))</f>
        <v>-2374.3854256853879</v>
      </c>
      <c r="AH3910" s="41"/>
      <c r="AI3910" s="73"/>
      <c r="AJ3910" s="53">
        <f>(AJ$29/AJ$27)^2*(AJ3907-('Valve Sizing'!$V$4*'Valve Sizing'!$G$7))</f>
        <v>-3822.8245157097626</v>
      </c>
      <c r="AK3910" s="41"/>
      <c r="AL3910" s="73"/>
      <c r="AM3910" s="53">
        <f>(AM$29/AM$27)^2*(AM3907-('Valve Sizing'!$V$4*'Valve Sizing'!$G$7))</f>
        <v>-4721.8391887505077</v>
      </c>
      <c r="AN3910" s="41"/>
      <c r="AO3910" s="73"/>
      <c r="AP3910" s="53">
        <f>(AP$29/AP$27)^2*(AP3907-('Valve Sizing'!$V$4*'Valve Sizing'!$G$7))</f>
        <v>-5256.8223035626997</v>
      </c>
      <c r="AQ3910" s="41"/>
      <c r="AR3910" s="73"/>
      <c r="AS3910" s="53">
        <f>(AS$29/AS$27)^2*(AS3907-('Valve Sizing'!$V$4*'Valve Sizing'!$G$7))</f>
        <v>-6496.2444646599452</v>
      </c>
      <c r="AT3910" s="41"/>
      <c r="AU3910" s="73"/>
    </row>
    <row r="3911" spans="15:47" ht="13" x14ac:dyDescent="0.25">
      <c r="O3911" s="1" t="s">
        <v>69</v>
      </c>
      <c r="P3911" s="17">
        <v>7</v>
      </c>
      <c r="Q3911" s="65"/>
      <c r="R3911" s="53">
        <f>(R3905/(N_1*F_P_h))*SQRT('Valve Sizing'!$G$6/R3909)</f>
        <v>504.39977573349518</v>
      </c>
      <c r="S3911" s="58"/>
      <c r="T3911" s="73"/>
      <c r="U3911" s="64" t="e">
        <f>(U3905/(N_1*U$27))*SQRT('Valve Sizing'!$G$6/U3909)</f>
        <v>#NUM!</v>
      </c>
      <c r="V3911" s="41"/>
      <c r="W3911" s="73"/>
      <c r="X3911" s="64" t="e">
        <f>(X3905/(N_1*X$27))*SQRT('Valve Sizing'!$G$6/X3909)</f>
        <v>#NUM!</v>
      </c>
      <c r="Y3911" s="41"/>
      <c r="Z3911" s="73"/>
      <c r="AA3911" s="64" t="e">
        <f>(AA3905/(N_1*AA$27))*SQRT('Valve Sizing'!$G$6/AA3909)</f>
        <v>#NUM!</v>
      </c>
      <c r="AB3911" s="41"/>
      <c r="AC3911" s="73"/>
      <c r="AD3911" s="64" t="e">
        <f>(AD3905/(N_1*AD$27))*SQRT('Valve Sizing'!$G$6/AD3909)</f>
        <v>#NUM!</v>
      </c>
      <c r="AE3911" s="41"/>
      <c r="AF3911" s="73"/>
      <c r="AG3911" s="64" t="e">
        <f>(AG3905/(N_1*AG$27))*SQRT('Valve Sizing'!$G$6/AG3909)</f>
        <v>#NUM!</v>
      </c>
      <c r="AH3911" s="41"/>
      <c r="AI3911" s="73"/>
      <c r="AJ3911" s="64" t="e">
        <f>(AJ3905/(N_1*AJ$27))*SQRT('Valve Sizing'!$G$6/AJ3909)</f>
        <v>#NUM!</v>
      </c>
      <c r="AK3911" s="41"/>
      <c r="AL3911" s="73"/>
      <c r="AM3911" s="64" t="e">
        <f>(AM3905/(N_1*AM$27))*SQRT('Valve Sizing'!$G$6/AM3909)</f>
        <v>#NUM!</v>
      </c>
      <c r="AN3911" s="41"/>
      <c r="AO3911" s="73"/>
      <c r="AP3911" s="64" t="e">
        <f>(AP3905/(N_1*AP$27))*SQRT('Valve Sizing'!$G$6/AP3909)</f>
        <v>#NUM!</v>
      </c>
      <c r="AQ3911" s="41"/>
      <c r="AR3911" s="73"/>
      <c r="AS3911" s="64" t="e">
        <f>(AS3905/(N_1*AS$27))*SQRT('Valve Sizing'!$G$6/AS3909)</f>
        <v>#NUM!</v>
      </c>
      <c r="AT3911" s="41"/>
      <c r="AU3911" s="73"/>
    </row>
    <row r="3912" spans="15:47" ht="13" x14ac:dyDescent="0.3">
      <c r="O3912" s="1" t="s">
        <v>72</v>
      </c>
      <c r="P3912" s="17">
        <v>7</v>
      </c>
      <c r="Q3912" s="65"/>
      <c r="R3912" s="53">
        <f>(R3905/(N_1*F_P_h))*SQRT('Valve Sizing'!$G$6/R3910)</f>
        <v>165.58055450850142</v>
      </c>
      <c r="S3912" s="56"/>
      <c r="T3912" s="72"/>
      <c r="U3912" s="85">
        <f>(U3905/(N_1*U$27))*SQRT('Valve Sizing'!$G$6/U3910)</f>
        <v>199.49411272107196</v>
      </c>
      <c r="V3912" s="44"/>
      <c r="W3912" s="72"/>
      <c r="X3912" s="85" t="e">
        <f>(X3905/(N_1*X$27))*SQRT('Valve Sizing'!$G$6/X3910)</f>
        <v>#NUM!</v>
      </c>
      <c r="Y3912" s="44"/>
      <c r="Z3912" s="72"/>
      <c r="AA3912" s="85" t="e">
        <f>(AA3905/(N_1*AA$27))*SQRT('Valve Sizing'!$G$6/AA3910)</f>
        <v>#NUM!</v>
      </c>
      <c r="AB3912" s="44"/>
      <c r="AC3912" s="72"/>
      <c r="AD3912" s="85" t="e">
        <f>(AD3905/(N_1*AD$27))*SQRT('Valve Sizing'!$G$6/AD3910)</f>
        <v>#NUM!</v>
      </c>
      <c r="AE3912" s="44"/>
      <c r="AF3912" s="72"/>
      <c r="AG3912" s="85" t="e">
        <f>(AG3905/(N_1*AG$27))*SQRT('Valve Sizing'!$G$6/AG3910)</f>
        <v>#NUM!</v>
      </c>
      <c r="AH3912" s="44"/>
      <c r="AI3912" s="72"/>
      <c r="AJ3912" s="85" t="e">
        <f>(AJ3905/(N_1*AJ$27))*SQRT('Valve Sizing'!$G$6/AJ3910)</f>
        <v>#NUM!</v>
      </c>
      <c r="AK3912" s="44"/>
      <c r="AL3912" s="72"/>
      <c r="AM3912" s="85" t="e">
        <f>(AM3905/(N_1*AM$27))*SQRT('Valve Sizing'!$G$6/AM3910)</f>
        <v>#NUM!</v>
      </c>
      <c r="AN3912" s="44"/>
      <c r="AO3912" s="72"/>
      <c r="AP3912" s="85" t="e">
        <f>(AP3905/(N_1*AP$27))*SQRT('Valve Sizing'!$G$6/AP3910)</f>
        <v>#NUM!</v>
      </c>
      <c r="AQ3912" s="44"/>
      <c r="AR3912" s="72"/>
      <c r="AS3912" s="85" t="e">
        <f>(AS3905/(N_1*AS$27))*SQRT('Valve Sizing'!$G$6/AS3910)</f>
        <v>#NUM!</v>
      </c>
      <c r="AT3912" s="44"/>
      <c r="AU3912" s="72"/>
    </row>
    <row r="3913" spans="15:47" x14ac:dyDescent="0.25">
      <c r="O3913" s="1" t="s">
        <v>246</v>
      </c>
      <c r="P3913" s="18"/>
      <c r="Q3913" s="65"/>
      <c r="R3913" s="53">
        <f>IF(R3909&lt;R3910,R3911,R3912)</f>
        <v>504.39977573349518</v>
      </c>
      <c r="S3913" s="49"/>
      <c r="T3913" s="72"/>
      <c r="U3913" s="64" t="e">
        <f>IF(U3909&lt;U3910,U3911,U3912)</f>
        <v>#NUM!</v>
      </c>
      <c r="V3913" s="44"/>
      <c r="W3913" s="72"/>
      <c r="X3913" s="64" t="e">
        <f>IF(X3909&lt;X3910,X3911,X3912)</f>
        <v>#NUM!</v>
      </c>
      <c r="Y3913" s="44"/>
      <c r="Z3913" s="72"/>
      <c r="AA3913" s="64" t="e">
        <f>IF(AA3909&lt;AA3910,AA3911,AA3912)</f>
        <v>#NUM!</v>
      </c>
      <c r="AB3913" s="44"/>
      <c r="AC3913" s="72"/>
      <c r="AD3913" s="64" t="e">
        <f>IF(AD3909&lt;AD3910,AD3911,AD3912)</f>
        <v>#NUM!</v>
      </c>
      <c r="AE3913" s="44"/>
      <c r="AF3913" s="72"/>
      <c r="AG3913" s="64" t="e">
        <f>IF(AG3909&lt;AG3910,AG3911,AG3912)</f>
        <v>#NUM!</v>
      </c>
      <c r="AH3913" s="44"/>
      <c r="AI3913" s="72"/>
      <c r="AJ3913" s="64" t="e">
        <f>IF(AJ3909&lt;AJ3910,AJ3911,AJ3912)</f>
        <v>#NUM!</v>
      </c>
      <c r="AK3913" s="44"/>
      <c r="AL3913" s="72"/>
      <c r="AM3913" s="64" t="e">
        <f>IF(AM3909&lt;AM3910,AM3911,AM3912)</f>
        <v>#NUM!</v>
      </c>
      <c r="AN3913" s="44"/>
      <c r="AO3913" s="72"/>
      <c r="AP3913" s="64" t="e">
        <f>IF(AP3909&lt;AP3910,AP3911,AP3912)</f>
        <v>#NUM!</v>
      </c>
      <c r="AQ3913" s="44"/>
      <c r="AR3913" s="72"/>
      <c r="AS3913" s="64" t="e">
        <f>IF(AS3909&lt;AS3910,AS3911,AS3912)</f>
        <v>#NUM!</v>
      </c>
      <c r="AT3913" s="44"/>
      <c r="AU3913" s="72"/>
    </row>
    <row r="3914" spans="15:47" ht="13" x14ac:dyDescent="0.3">
      <c r="O3914" s="7" t="s">
        <v>264</v>
      </c>
      <c r="Q3914" s="61"/>
      <c r="R3914" s="53"/>
      <c r="S3914" s="69">
        <f>IFERROR(ABS(C_h-R3913),Q_max*10)</f>
        <v>499.39977573349518</v>
      </c>
      <c r="T3914" s="76">
        <f>R3905</f>
        <v>851.82512800379516</v>
      </c>
      <c r="U3914" s="61"/>
      <c r="V3914" s="69">
        <f>IFERROR(ABS(U$23-U3913),Q_max*10)</f>
        <v>5500</v>
      </c>
      <c r="W3914" s="75">
        <f>U3905</f>
        <v>938.08993347308888</v>
      </c>
      <c r="X3914" s="61"/>
      <c r="Y3914" s="69">
        <f>IFERROR(ABS(X$23-X3913),Q_max*10)</f>
        <v>5500</v>
      </c>
      <c r="Z3914" s="75">
        <f>X3905</f>
        <v>2251.7769462415686</v>
      </c>
      <c r="AA3914" s="61"/>
      <c r="AB3914" s="69">
        <f>IFERROR(ABS(AA$23-AA3913),Q_max*10)</f>
        <v>5500</v>
      </c>
      <c r="AC3914" s="75">
        <f>AA3905</f>
        <v>4299.4674399972273</v>
      </c>
      <c r="AD3914" s="61"/>
      <c r="AE3914" s="69">
        <f>IFERROR(ABS(AD$23-AD3913),Q_max*10)</f>
        <v>5500</v>
      </c>
      <c r="AF3914" s="75">
        <f>AD3905</f>
        <v>7071.0409688010905</v>
      </c>
      <c r="AG3914" s="61"/>
      <c r="AH3914" s="69">
        <f>IFERROR(ABS(AG$23-AG3913),Q_max*10)</f>
        <v>5500</v>
      </c>
      <c r="AI3914" s="75">
        <f>AG3905</f>
        <v>10527.816457164468</v>
      </c>
      <c r="AJ3914" s="61"/>
      <c r="AK3914" s="69">
        <f>IFERROR(ABS(AJ$23-AJ3913),Q_max*10)</f>
        <v>5500</v>
      </c>
      <c r="AL3914" s="75">
        <f>AJ3905</f>
        <v>14049.411873874304</v>
      </c>
      <c r="AM3914" s="61"/>
      <c r="AN3914" s="69">
        <f>IFERROR(ABS(AM$23-AM3913),Q_max*10)</f>
        <v>5500</v>
      </c>
      <c r="AO3914" s="75">
        <f>AM3905</f>
        <v>17142.952435628129</v>
      </c>
      <c r="AP3914" s="61"/>
      <c r="AQ3914" s="69">
        <f>IFERROR(ABS(AP$23-AP3913),Q_max*10)</f>
        <v>5500</v>
      </c>
      <c r="AR3914" s="75">
        <f>AP3905</f>
        <v>19902.435581148769</v>
      </c>
      <c r="AS3914" s="61"/>
      <c r="AT3914" s="69">
        <f>IFERROR(ABS(AS$23-AS3913),Q_max*10)</f>
        <v>5500</v>
      </c>
      <c r="AU3914" s="75">
        <f>AS3905</f>
        <v>22650.828199161824</v>
      </c>
    </row>
    <row r="3915" spans="15:47" ht="14.5" x14ac:dyDescent="0.35">
      <c r="O3915" s="8"/>
      <c r="P3915" s="6"/>
      <c r="Q3915" s="60"/>
      <c r="R3915" s="67"/>
      <c r="S3915" s="56"/>
      <c r="T3915" s="72"/>
      <c r="V3915" s="11"/>
      <c r="W3915" s="38"/>
      <c r="Y3915" s="11"/>
      <c r="Z3915" s="38"/>
      <c r="AB3915" s="11"/>
      <c r="AC3915" s="38"/>
      <c r="AE3915" s="11"/>
      <c r="AF3915" s="38"/>
      <c r="AH3915" s="11"/>
      <c r="AI3915" s="38"/>
      <c r="AK3915" s="11"/>
      <c r="AL3915" s="38"/>
      <c r="AN3915" s="11"/>
      <c r="AO3915" s="38"/>
      <c r="AQ3915" s="11"/>
      <c r="AR3915" s="38"/>
      <c r="AT3915" s="11"/>
      <c r="AU3915" s="38"/>
    </row>
    <row r="3916" spans="15:47" ht="14" x14ac:dyDescent="0.3">
      <c r="O3916" s="8" t="s">
        <v>235</v>
      </c>
      <c r="P3916" s="6"/>
      <c r="Q3916" s="60"/>
      <c r="R3916" s="53">
        <f>R3905*1.02</f>
        <v>868.86163056387113</v>
      </c>
      <c r="S3916" s="58" t="s">
        <v>238</v>
      </c>
      <c r="T3916" s="73" t="s">
        <v>241</v>
      </c>
      <c r="U3916" s="84">
        <f>U3905*1.01</f>
        <v>947.47083280781976</v>
      </c>
      <c r="V3916" s="58" t="s">
        <v>238</v>
      </c>
      <c r="W3916" s="73" t="s">
        <v>241</v>
      </c>
      <c r="X3916" s="84">
        <f>X3905*1.01</f>
        <v>2274.2947157039844</v>
      </c>
      <c r="Y3916" s="58" t="s">
        <v>238</v>
      </c>
      <c r="Z3916" s="73" t="s">
        <v>241</v>
      </c>
      <c r="AA3916" s="84">
        <f>AA3905*1.01</f>
        <v>4342.4621143971999</v>
      </c>
      <c r="AB3916" s="58" t="s">
        <v>238</v>
      </c>
      <c r="AC3916" s="73" t="s">
        <v>241</v>
      </c>
      <c r="AD3916" s="84">
        <f>AD3905*1.01</f>
        <v>7141.7513784891016</v>
      </c>
      <c r="AE3916" s="58" t="s">
        <v>238</v>
      </c>
      <c r="AF3916" s="73" t="s">
        <v>241</v>
      </c>
      <c r="AG3916" s="84">
        <f>AG3905*1.01</f>
        <v>10633.094621736112</v>
      </c>
      <c r="AH3916" s="58" t="s">
        <v>238</v>
      </c>
      <c r="AI3916" s="73" t="s">
        <v>241</v>
      </c>
      <c r="AJ3916" s="84">
        <f>AJ3905*1.01</f>
        <v>14189.905992613047</v>
      </c>
      <c r="AK3916" s="58" t="s">
        <v>238</v>
      </c>
      <c r="AL3916" s="73" t="s">
        <v>241</v>
      </c>
      <c r="AM3916" s="84">
        <f>AM3905*1.01</f>
        <v>17314.38195998441</v>
      </c>
      <c r="AN3916" s="58" t="s">
        <v>238</v>
      </c>
      <c r="AO3916" s="73" t="s">
        <v>241</v>
      </c>
      <c r="AP3916" s="84">
        <f>AP3905*1.01</f>
        <v>20101.459936960258</v>
      </c>
      <c r="AQ3916" s="58" t="s">
        <v>238</v>
      </c>
      <c r="AR3916" s="73" t="s">
        <v>241</v>
      </c>
      <c r="AS3916" s="84">
        <f>AS3905*1.01</f>
        <v>22877.336481153441</v>
      </c>
      <c r="AT3916" s="58" t="s">
        <v>238</v>
      </c>
      <c r="AU3916" s="73" t="s">
        <v>241</v>
      </c>
    </row>
    <row r="3917" spans="15:47" ht="13" x14ac:dyDescent="0.25">
      <c r="O3917" s="6"/>
      <c r="P3917" s="6"/>
      <c r="Q3917" s="60"/>
      <c r="R3917" s="70"/>
      <c r="S3917" s="63" t="s">
        <v>250</v>
      </c>
      <c r="T3917" s="71" t="s">
        <v>242</v>
      </c>
      <c r="U3917" s="61"/>
      <c r="V3917" s="63" t="s">
        <v>250</v>
      </c>
      <c r="W3917" s="71" t="s">
        <v>242</v>
      </c>
      <c r="X3917" s="61"/>
      <c r="Y3917" s="63" t="s">
        <v>250</v>
      </c>
      <c r="Z3917" s="71" t="s">
        <v>242</v>
      </c>
      <c r="AA3917" s="61"/>
      <c r="AB3917" s="63" t="s">
        <v>250</v>
      </c>
      <c r="AC3917" s="71" t="s">
        <v>242</v>
      </c>
      <c r="AD3917" s="61"/>
      <c r="AE3917" s="63" t="s">
        <v>250</v>
      </c>
      <c r="AF3917" s="71" t="s">
        <v>242</v>
      </c>
      <c r="AG3917" s="61"/>
      <c r="AH3917" s="63" t="s">
        <v>250</v>
      </c>
      <c r="AI3917" s="71" t="s">
        <v>242</v>
      </c>
      <c r="AJ3917" s="61"/>
      <c r="AK3917" s="63" t="s">
        <v>250</v>
      </c>
      <c r="AL3917" s="71" t="s">
        <v>242</v>
      </c>
      <c r="AM3917" s="61"/>
      <c r="AN3917" s="63" t="s">
        <v>250</v>
      </c>
      <c r="AO3917" s="71" t="s">
        <v>242</v>
      </c>
      <c r="AP3917" s="61"/>
      <c r="AQ3917" s="63" t="s">
        <v>250</v>
      </c>
      <c r="AR3917" s="71" t="s">
        <v>242</v>
      </c>
      <c r="AS3917" s="61"/>
      <c r="AT3917" s="63" t="s">
        <v>250</v>
      </c>
      <c r="AU3917" s="71" t="s">
        <v>242</v>
      </c>
    </row>
    <row r="3918" spans="15:47" ht="13" x14ac:dyDescent="0.3">
      <c r="O3918" s="6" t="s">
        <v>231</v>
      </c>
      <c r="P3918" s="6"/>
      <c r="Q3918" s="60"/>
      <c r="R3918" s="85">
        <f>P_1_minQ-(R3916^2*R_up)+dpup_minQ</f>
        <v>31.420684462475219</v>
      </c>
      <c r="S3918" s="56"/>
      <c r="T3918" s="72"/>
      <c r="U3918" s="53">
        <f>P_1_minQ-(U3916^2*R_up)+dpup_minQ</f>
        <v>26.598649813524368</v>
      </c>
      <c r="V3918" s="44"/>
      <c r="W3918" s="72"/>
      <c r="X3918" s="53">
        <f>P_1_minQ-(X3916^2*R_up)+dpup_minQ</f>
        <v>-117.76864079294384</v>
      </c>
      <c r="Y3918" s="44"/>
      <c r="Z3918" s="72"/>
      <c r="AA3918" s="53">
        <f>P_1_minQ-(AA3916^2*R_up)+dpup_minQ</f>
        <v>-579.9287475506585</v>
      </c>
      <c r="AB3918" s="44"/>
      <c r="AC3918" s="72"/>
      <c r="AD3918" s="53">
        <f>P_1_minQ-(AD3916^2*R_up)+dpup_minQ</f>
        <v>-1665.6307244900704</v>
      </c>
      <c r="AE3918" s="44"/>
      <c r="AF3918" s="72"/>
      <c r="AG3918" s="53">
        <f>P_1_minQ-(AG3916^2*R_up)+dpup_minQ</f>
        <v>-3761.4797107326394</v>
      </c>
      <c r="AH3918" s="44"/>
      <c r="AI3918" s="72"/>
      <c r="AJ3918" s="53">
        <f>P_1_minQ-(AJ3916^2*R_up)+dpup_minQ</f>
        <v>-6743.2673110164023</v>
      </c>
      <c r="AK3918" s="44"/>
      <c r="AL3918" s="72"/>
      <c r="AM3918" s="53">
        <f>P_1_minQ-(AM3916^2*R_up)+dpup_minQ</f>
        <v>-10067.630383526972</v>
      </c>
      <c r="AN3918" s="44"/>
      <c r="AO3918" s="72"/>
      <c r="AP3918" s="53">
        <f>P_1_minQ-(AP3916^2*R_up)+dpup_minQ</f>
        <v>-13589.442911084712</v>
      </c>
      <c r="AQ3918" s="44"/>
      <c r="AR3918" s="72"/>
      <c r="AS3918" s="53">
        <f>P_1_minQ-(AS3916^2*R_up)+dpup_minQ</f>
        <v>-17618.616598173394</v>
      </c>
      <c r="AT3918" s="44"/>
      <c r="AU3918" s="72"/>
    </row>
    <row r="3919" spans="15:47" ht="13" x14ac:dyDescent="0.3">
      <c r="O3919" s="6" t="s">
        <v>233</v>
      </c>
      <c r="P3919" s="6"/>
      <c r="Q3919" s="60"/>
      <c r="R3919" s="85">
        <f>P_2_minQ+(R3916^2*R_dn)-dpdn_minQ</f>
        <v>29.755863107504958</v>
      </c>
      <c r="S3919" s="66"/>
      <c r="T3919" s="74"/>
      <c r="U3919" s="53">
        <f>P_2_minQ+(U3916^2*R_dn)-dpdn_minQ</f>
        <v>30.720270037295126</v>
      </c>
      <c r="V3919" s="45"/>
      <c r="W3919" s="74"/>
      <c r="X3919" s="53">
        <f>P_2_minQ+(X3916^2*R_dn)-dpdn_minQ</f>
        <v>59.593728158588767</v>
      </c>
      <c r="Y3919" s="45"/>
      <c r="Z3919" s="74"/>
      <c r="AA3919" s="53">
        <f>P_2_minQ+(AA3916^2*R_dn)-dpdn_minQ</f>
        <v>152.0257495101317</v>
      </c>
      <c r="AB3919" s="45"/>
      <c r="AC3919" s="74"/>
      <c r="AD3919" s="53">
        <f>P_2_minQ+(AD3916^2*R_dn)-dpdn_minQ</f>
        <v>369.16614489801401</v>
      </c>
      <c r="AE3919" s="45"/>
      <c r="AF3919" s="74"/>
      <c r="AG3919" s="53">
        <f>P_2_minQ+(AG3916^2*R_dn)-dpdn_minQ</f>
        <v>788.33594214652783</v>
      </c>
      <c r="AH3919" s="45"/>
      <c r="AI3919" s="74"/>
      <c r="AJ3919" s="53">
        <f>P_2_minQ+(AJ3916^2*R_dn)-dpdn_minQ</f>
        <v>1384.6934622032804</v>
      </c>
      <c r="AK3919" s="45"/>
      <c r="AL3919" s="74"/>
      <c r="AM3919" s="53">
        <f>P_2_minQ+(AM3916^2*R_dn)-dpdn_minQ</f>
        <v>2049.5660767053942</v>
      </c>
      <c r="AN3919" s="45"/>
      <c r="AO3919" s="74"/>
      <c r="AP3919" s="53">
        <f>P_2_minQ+(AP3916^2*R_dn)-dpdn_minQ</f>
        <v>2753.9285822169422</v>
      </c>
      <c r="AQ3919" s="45"/>
      <c r="AR3919" s="74"/>
      <c r="AS3919" s="53">
        <f>P_2_minQ+(AS3916^2*R_dn)-dpdn_minQ</f>
        <v>3559.7633196346778</v>
      </c>
      <c r="AT3919" s="45"/>
      <c r="AU3919" s="74"/>
    </row>
    <row r="3920" spans="15:47" x14ac:dyDescent="0.25">
      <c r="O3920" s="6" t="s">
        <v>243</v>
      </c>
      <c r="Q3920" s="60"/>
      <c r="R3920" s="53">
        <f>R3918-R3919</f>
        <v>1.6648213549702611</v>
      </c>
      <c r="S3920" s="56"/>
      <c r="T3920" s="72"/>
      <c r="U3920" s="64">
        <f>U3918-U3919</f>
        <v>-4.1216202237707584</v>
      </c>
      <c r="V3920" s="44"/>
      <c r="W3920" s="72"/>
      <c r="X3920" s="64">
        <f>X3918-X3919</f>
        <v>-177.3623689515326</v>
      </c>
      <c r="Y3920" s="44"/>
      <c r="Z3920" s="72"/>
      <c r="AA3920" s="64">
        <f>AA3918-AA3919</f>
        <v>-731.95449706079023</v>
      </c>
      <c r="AB3920" s="44"/>
      <c r="AC3920" s="72"/>
      <c r="AD3920" s="64">
        <f>AD3918-AD3919</f>
        <v>-2034.7968693880844</v>
      </c>
      <c r="AE3920" s="44"/>
      <c r="AF3920" s="72"/>
      <c r="AG3920" s="64">
        <f>AG3918-AG3919</f>
        <v>-4549.8156528791669</v>
      </c>
      <c r="AH3920" s="44"/>
      <c r="AI3920" s="72"/>
      <c r="AJ3920" s="64">
        <f>AJ3918-AJ3919</f>
        <v>-8127.9607732196828</v>
      </c>
      <c r="AK3920" s="44"/>
      <c r="AL3920" s="72"/>
      <c r="AM3920" s="64">
        <f>AM3918-AM3919</f>
        <v>-12117.196460232366</v>
      </c>
      <c r="AN3920" s="44"/>
      <c r="AO3920" s="72"/>
      <c r="AP3920" s="64">
        <f>AP3918-AP3919</f>
        <v>-16343.371493301654</v>
      </c>
      <c r="AQ3920" s="44"/>
      <c r="AR3920" s="72"/>
      <c r="AS3920" s="64">
        <f>AS3918-AS3919</f>
        <v>-21178.379917808074</v>
      </c>
      <c r="AT3920" s="44"/>
      <c r="AU3920" s="72"/>
    </row>
    <row r="3921" spans="15:47" ht="13" x14ac:dyDescent="0.3">
      <c r="O3921" s="6" t="s">
        <v>75</v>
      </c>
      <c r="P3921" s="6">
        <v>3</v>
      </c>
      <c r="Q3921" s="65"/>
      <c r="R3921" s="85">
        <f>(F_LP_h/F_P_h)^2*(R3918-('Valve Sizing'!$V$4*'Valve Sizing'!$G$7))</f>
        <v>25.653585156231561</v>
      </c>
      <c r="S3921" s="58"/>
      <c r="T3921" s="73"/>
      <c r="U3921" s="53">
        <f>(U$29/U$27)^2*(U3918-('Valve Sizing'!$V$4*'Valve Sizing'!$G$7))</f>
        <v>21.654783550052986</v>
      </c>
      <c r="V3921" s="41"/>
      <c r="W3921" s="73"/>
      <c r="X3921" s="53">
        <f>(X$29/X$27)^2*(X3918-('Valve Sizing'!$V$4*'Valve Sizing'!$G$7))</f>
        <v>-95.648989761293024</v>
      </c>
      <c r="Y3921" s="41"/>
      <c r="Z3921" s="73"/>
      <c r="AA3921" s="53">
        <f>(AA$29/AA$27)^2*(AA3918-('Valve Sizing'!$V$4*'Valve Sizing'!$G$7))</f>
        <v>-448.50740003387904</v>
      </c>
      <c r="AB3921" s="41"/>
      <c r="AC3921" s="73"/>
      <c r="AD3921" s="53">
        <f>(AD$29/AD$27)^2*(AD3918-('Valve Sizing'!$V$4*'Valve Sizing'!$G$7))</f>
        <v>-1201.5492675564453</v>
      </c>
      <c r="AE3921" s="41"/>
      <c r="AF3921" s="73"/>
      <c r="AG3921" s="53">
        <f>(AG$29/AG$27)^2*(AG3918-('Valve Sizing'!$V$4*'Valve Sizing'!$G$7))</f>
        <v>-2422.8416716751804</v>
      </c>
      <c r="AH3921" s="41"/>
      <c r="AI3921" s="73"/>
      <c r="AJ3921" s="53">
        <f>(AJ$29/AJ$27)^2*(AJ3918-('Valve Sizing'!$V$4*'Valve Sizing'!$G$7))</f>
        <v>-3900.3198299242363</v>
      </c>
      <c r="AK3921" s="41"/>
      <c r="AL3921" s="73"/>
      <c r="AM3921" s="53">
        <f>(AM$29/AM$27)^2*(AM3918-('Valve Sizing'!$V$4*'Valve Sizing'!$G$7))</f>
        <v>-4817.2913033483137</v>
      </c>
      <c r="AN3921" s="41"/>
      <c r="AO3921" s="73"/>
      <c r="AP3921" s="53">
        <f>(AP$29/AP$27)^2*(AP3918-('Valve Sizing'!$V$4*'Valve Sizing'!$G$7))</f>
        <v>-5362.9324001312098</v>
      </c>
      <c r="AQ3921" s="41"/>
      <c r="AR3921" s="73"/>
      <c r="AS3921" s="53">
        <f>(AS$29/AS$27)^2*(AS3918-('Valve Sizing'!$V$4*'Valve Sizing'!$G$7))</f>
        <v>-6627.2459618887278</v>
      </c>
      <c r="AT3921" s="41"/>
      <c r="AU3921" s="73"/>
    </row>
    <row r="3922" spans="15:47" ht="13" x14ac:dyDescent="0.25">
      <c r="O3922" s="1" t="s">
        <v>69</v>
      </c>
      <c r="P3922" s="17">
        <v>7</v>
      </c>
      <c r="Q3922" s="65"/>
      <c r="R3922" s="53">
        <f>(R3916/(N_1*F_P_h))*SQRT('Valve Sizing'!$G$6/R3920)</f>
        <v>673.48872355128253</v>
      </c>
      <c r="S3922" s="58"/>
      <c r="T3922" s="73"/>
      <c r="U3922" s="64" t="e">
        <f>(U3916/(N_1*U$27))*SQRT('Valve Sizing'!$G$6/U3920)</f>
        <v>#NUM!</v>
      </c>
      <c r="V3922" s="41"/>
      <c r="W3922" s="73"/>
      <c r="X3922" s="64" t="e">
        <f>(X3916/(N_1*X$27))*SQRT('Valve Sizing'!$G$6/X3920)</f>
        <v>#NUM!</v>
      </c>
      <c r="Y3922" s="41"/>
      <c r="Z3922" s="73"/>
      <c r="AA3922" s="64" t="e">
        <f>(AA3916/(N_1*AA$27))*SQRT('Valve Sizing'!$G$6/AA3920)</f>
        <v>#NUM!</v>
      </c>
      <c r="AB3922" s="41"/>
      <c r="AC3922" s="73"/>
      <c r="AD3922" s="64" t="e">
        <f>(AD3916/(N_1*AD$27))*SQRT('Valve Sizing'!$G$6/AD3920)</f>
        <v>#NUM!</v>
      </c>
      <c r="AE3922" s="41"/>
      <c r="AF3922" s="73"/>
      <c r="AG3922" s="64" t="e">
        <f>(AG3916/(N_1*AG$27))*SQRT('Valve Sizing'!$G$6/AG3920)</f>
        <v>#NUM!</v>
      </c>
      <c r="AH3922" s="41"/>
      <c r="AI3922" s="73"/>
      <c r="AJ3922" s="64" t="e">
        <f>(AJ3916/(N_1*AJ$27))*SQRT('Valve Sizing'!$G$6/AJ3920)</f>
        <v>#NUM!</v>
      </c>
      <c r="AK3922" s="41"/>
      <c r="AL3922" s="73"/>
      <c r="AM3922" s="64" t="e">
        <f>(AM3916/(N_1*AM$27))*SQRT('Valve Sizing'!$G$6/AM3920)</f>
        <v>#NUM!</v>
      </c>
      <c r="AN3922" s="41"/>
      <c r="AO3922" s="73"/>
      <c r="AP3922" s="64" t="e">
        <f>(AP3916/(N_1*AP$27))*SQRT('Valve Sizing'!$G$6/AP3920)</f>
        <v>#NUM!</v>
      </c>
      <c r="AQ3922" s="41"/>
      <c r="AR3922" s="73"/>
      <c r="AS3922" s="64" t="e">
        <f>(AS3916/(N_1*AS$27))*SQRT('Valve Sizing'!$G$6/AS3920)</f>
        <v>#NUM!</v>
      </c>
      <c r="AT3922" s="41"/>
      <c r="AU3922" s="73"/>
    </row>
    <row r="3923" spans="15:47" ht="13" x14ac:dyDescent="0.3">
      <c r="O3923" s="1" t="s">
        <v>72</v>
      </c>
      <c r="P3923" s="17">
        <v>7</v>
      </c>
      <c r="Q3923" s="65"/>
      <c r="R3923" s="53">
        <f>(R3916/(N_1*F_P_h))*SQRT('Valve Sizing'!$G$6/R3921)</f>
        <v>171.56951115125571</v>
      </c>
      <c r="S3923" s="56"/>
      <c r="T3923" s="72"/>
      <c r="U3923" s="85">
        <f>(U3916/(N_1*U$27))*SQRT('Valve Sizing'!$G$6/U3921)</f>
        <v>203.776733491952</v>
      </c>
      <c r="V3923" s="44"/>
      <c r="W3923" s="72"/>
      <c r="X3923" s="85" t="e">
        <f>(X3916/(N_1*X$27))*SQRT('Valve Sizing'!$G$6/X3921)</f>
        <v>#NUM!</v>
      </c>
      <c r="Y3923" s="44"/>
      <c r="Z3923" s="72"/>
      <c r="AA3923" s="85" t="e">
        <f>(AA3916/(N_1*AA$27))*SQRT('Valve Sizing'!$G$6/AA3921)</f>
        <v>#NUM!</v>
      </c>
      <c r="AB3923" s="44"/>
      <c r="AC3923" s="72"/>
      <c r="AD3923" s="85" t="e">
        <f>(AD3916/(N_1*AD$27))*SQRT('Valve Sizing'!$G$6/AD3921)</f>
        <v>#NUM!</v>
      </c>
      <c r="AE3923" s="44"/>
      <c r="AF3923" s="72"/>
      <c r="AG3923" s="85" t="e">
        <f>(AG3916/(N_1*AG$27))*SQRT('Valve Sizing'!$G$6/AG3921)</f>
        <v>#NUM!</v>
      </c>
      <c r="AH3923" s="44"/>
      <c r="AI3923" s="72"/>
      <c r="AJ3923" s="85" t="e">
        <f>(AJ3916/(N_1*AJ$27))*SQRT('Valve Sizing'!$G$6/AJ3921)</f>
        <v>#NUM!</v>
      </c>
      <c r="AK3923" s="44"/>
      <c r="AL3923" s="72"/>
      <c r="AM3923" s="85" t="e">
        <f>(AM3916/(N_1*AM$27))*SQRT('Valve Sizing'!$G$6/AM3921)</f>
        <v>#NUM!</v>
      </c>
      <c r="AN3923" s="44"/>
      <c r="AO3923" s="72"/>
      <c r="AP3923" s="85" t="e">
        <f>(AP3916/(N_1*AP$27))*SQRT('Valve Sizing'!$G$6/AP3921)</f>
        <v>#NUM!</v>
      </c>
      <c r="AQ3923" s="44"/>
      <c r="AR3923" s="72"/>
      <c r="AS3923" s="85" t="e">
        <f>(AS3916/(N_1*AS$27))*SQRT('Valve Sizing'!$G$6/AS3921)</f>
        <v>#NUM!</v>
      </c>
      <c r="AT3923" s="44"/>
      <c r="AU3923" s="72"/>
    </row>
    <row r="3924" spans="15:47" x14ac:dyDescent="0.25">
      <c r="O3924" s="1" t="s">
        <v>246</v>
      </c>
      <c r="P3924" s="18"/>
      <c r="Q3924" s="65"/>
      <c r="R3924" s="53">
        <f>IF(R3920&lt;R3921,R3922,R3923)</f>
        <v>673.48872355128253</v>
      </c>
      <c r="S3924" s="49"/>
      <c r="T3924" s="72"/>
      <c r="U3924" s="64" t="e">
        <f>IF(U3920&lt;U3921,U3922,U3923)</f>
        <v>#NUM!</v>
      </c>
      <c r="V3924" s="44"/>
      <c r="W3924" s="72"/>
      <c r="X3924" s="64" t="e">
        <f>IF(X3920&lt;X3921,X3922,X3923)</f>
        <v>#NUM!</v>
      </c>
      <c r="Y3924" s="44"/>
      <c r="Z3924" s="72"/>
      <c r="AA3924" s="64" t="e">
        <f>IF(AA3920&lt;AA3921,AA3922,AA3923)</f>
        <v>#NUM!</v>
      </c>
      <c r="AB3924" s="44"/>
      <c r="AC3924" s="72"/>
      <c r="AD3924" s="64" t="e">
        <f>IF(AD3920&lt;AD3921,AD3922,AD3923)</f>
        <v>#NUM!</v>
      </c>
      <c r="AE3924" s="44"/>
      <c r="AF3924" s="72"/>
      <c r="AG3924" s="64" t="e">
        <f>IF(AG3920&lt;AG3921,AG3922,AG3923)</f>
        <v>#NUM!</v>
      </c>
      <c r="AH3924" s="44"/>
      <c r="AI3924" s="72"/>
      <c r="AJ3924" s="64" t="e">
        <f>IF(AJ3920&lt;AJ3921,AJ3922,AJ3923)</f>
        <v>#NUM!</v>
      </c>
      <c r="AK3924" s="44"/>
      <c r="AL3924" s="72"/>
      <c r="AM3924" s="64" t="e">
        <f>IF(AM3920&lt;AM3921,AM3922,AM3923)</f>
        <v>#NUM!</v>
      </c>
      <c r="AN3924" s="44"/>
      <c r="AO3924" s="72"/>
      <c r="AP3924" s="64" t="e">
        <f>IF(AP3920&lt;AP3921,AP3922,AP3923)</f>
        <v>#NUM!</v>
      </c>
      <c r="AQ3924" s="44"/>
      <c r="AR3924" s="72"/>
      <c r="AS3924" s="64" t="e">
        <f>IF(AS3920&lt;AS3921,AS3922,AS3923)</f>
        <v>#NUM!</v>
      </c>
      <c r="AT3924" s="44"/>
      <c r="AU3924" s="72"/>
    </row>
    <row r="3925" spans="15:47" ht="13" x14ac:dyDescent="0.3">
      <c r="O3925" s="7" t="s">
        <v>264</v>
      </c>
      <c r="Q3925" s="61"/>
      <c r="R3925" s="53"/>
      <c r="S3925" s="69">
        <f>IFERROR(ABS(C_h-R3924),Q_max*10)</f>
        <v>668.48872355128253</v>
      </c>
      <c r="T3925" s="76">
        <f>R3916</f>
        <v>868.86163056387113</v>
      </c>
      <c r="U3925" s="61"/>
      <c r="V3925" s="69">
        <f>IFERROR(ABS(U$23-U3924),Q_max*10)</f>
        <v>5500</v>
      </c>
      <c r="W3925" s="75">
        <f>U3916</f>
        <v>947.47083280781976</v>
      </c>
      <c r="X3925" s="61"/>
      <c r="Y3925" s="69">
        <f>IFERROR(ABS(X$23-X3924),Q_max*10)</f>
        <v>5500</v>
      </c>
      <c r="Z3925" s="75">
        <f>X3916</f>
        <v>2274.2947157039844</v>
      </c>
      <c r="AA3925" s="61"/>
      <c r="AB3925" s="69">
        <f>IFERROR(ABS(AA$23-AA3924),Q_max*10)</f>
        <v>5500</v>
      </c>
      <c r="AC3925" s="75">
        <f>AA3916</f>
        <v>4342.4621143971999</v>
      </c>
      <c r="AD3925" s="61"/>
      <c r="AE3925" s="69">
        <f>IFERROR(ABS(AD$23-AD3924),Q_max*10)</f>
        <v>5500</v>
      </c>
      <c r="AF3925" s="75">
        <f>AD3916</f>
        <v>7141.7513784891016</v>
      </c>
      <c r="AG3925" s="61"/>
      <c r="AH3925" s="69">
        <f>IFERROR(ABS(AG$23-AG3924),Q_max*10)</f>
        <v>5500</v>
      </c>
      <c r="AI3925" s="75">
        <f>AG3916</f>
        <v>10633.094621736112</v>
      </c>
      <c r="AJ3925" s="61"/>
      <c r="AK3925" s="69">
        <f>IFERROR(ABS(AJ$23-AJ3924),Q_max*10)</f>
        <v>5500</v>
      </c>
      <c r="AL3925" s="75">
        <f>AJ3916</f>
        <v>14189.905992613047</v>
      </c>
      <c r="AM3925" s="61"/>
      <c r="AN3925" s="69">
        <f>IFERROR(ABS(AM$23-AM3924),Q_max*10)</f>
        <v>5500</v>
      </c>
      <c r="AO3925" s="75">
        <f>AM3916</f>
        <v>17314.38195998441</v>
      </c>
      <c r="AP3925" s="61"/>
      <c r="AQ3925" s="69">
        <f>IFERROR(ABS(AP$23-AP3924),Q_max*10)</f>
        <v>5500</v>
      </c>
      <c r="AR3925" s="75">
        <f>AP3916</f>
        <v>20101.459936960258</v>
      </c>
      <c r="AS3925" s="61"/>
      <c r="AT3925" s="69">
        <f>IFERROR(ABS(AS$23-AS3924),Q_max*10)</f>
        <v>5500</v>
      </c>
      <c r="AU3925" s="75">
        <f>AS3916</f>
        <v>22877.336481153441</v>
      </c>
    </row>
    <row r="3926" spans="15:47" ht="14.5" x14ac:dyDescent="0.35">
      <c r="O3926" s="6"/>
      <c r="P3926" s="6"/>
      <c r="Q3926" s="60"/>
      <c r="R3926" s="67"/>
      <c r="S3926" s="66"/>
      <c r="T3926" s="74"/>
      <c r="V3926" s="11"/>
      <c r="W3926" s="38"/>
      <c r="Y3926" s="11"/>
      <c r="Z3926" s="38"/>
      <c r="AB3926" s="11"/>
      <c r="AC3926" s="38"/>
      <c r="AE3926" s="11"/>
      <c r="AF3926" s="38"/>
      <c r="AH3926" s="11"/>
      <c r="AI3926" s="38"/>
      <c r="AK3926" s="11"/>
      <c r="AL3926" s="38"/>
      <c r="AN3926" s="11"/>
      <c r="AO3926" s="38"/>
      <c r="AQ3926" s="11"/>
      <c r="AR3926" s="38"/>
      <c r="AT3926" s="11"/>
      <c r="AU3926" s="38"/>
    </row>
    <row r="3927" spans="15:47" ht="14" x14ac:dyDescent="0.3">
      <c r="O3927" s="8" t="s">
        <v>235</v>
      </c>
      <c r="P3927" s="6"/>
      <c r="Q3927" s="60"/>
      <c r="R3927" s="53">
        <f>R3916*1.02</f>
        <v>886.23886317514859</v>
      </c>
      <c r="S3927" s="58" t="s">
        <v>238</v>
      </c>
      <c r="T3927" s="73" t="s">
        <v>241</v>
      </c>
      <c r="U3927" s="84">
        <f>U3916*1.01</f>
        <v>956.945541135898</v>
      </c>
      <c r="V3927" s="58" t="s">
        <v>238</v>
      </c>
      <c r="W3927" s="73" t="s">
        <v>241</v>
      </c>
      <c r="X3927" s="84">
        <f>X3916*1.01</f>
        <v>2297.0376628610243</v>
      </c>
      <c r="Y3927" s="58" t="s">
        <v>238</v>
      </c>
      <c r="Z3927" s="73" t="s">
        <v>241</v>
      </c>
      <c r="AA3927" s="84">
        <f>AA3916*1.01</f>
        <v>4385.8867355411721</v>
      </c>
      <c r="AB3927" s="58" t="s">
        <v>238</v>
      </c>
      <c r="AC3927" s="73" t="s">
        <v>241</v>
      </c>
      <c r="AD3927" s="84">
        <f>AD3916*1.01</f>
        <v>7213.1688922739932</v>
      </c>
      <c r="AE3927" s="58" t="s">
        <v>238</v>
      </c>
      <c r="AF3927" s="73" t="s">
        <v>241</v>
      </c>
      <c r="AG3927" s="84">
        <f>AG3916*1.01</f>
        <v>10739.425567953474</v>
      </c>
      <c r="AH3927" s="58" t="s">
        <v>238</v>
      </c>
      <c r="AI3927" s="73" t="s">
        <v>241</v>
      </c>
      <c r="AJ3927" s="84">
        <f>AJ3916*1.01</f>
        <v>14331.805052539177</v>
      </c>
      <c r="AK3927" s="58" t="s">
        <v>238</v>
      </c>
      <c r="AL3927" s="73" t="s">
        <v>241</v>
      </c>
      <c r="AM3927" s="84">
        <f>AM3916*1.01</f>
        <v>17487.525779584255</v>
      </c>
      <c r="AN3927" s="58" t="s">
        <v>238</v>
      </c>
      <c r="AO3927" s="73" t="s">
        <v>241</v>
      </c>
      <c r="AP3927" s="84">
        <f>AP3916*1.01</f>
        <v>20302.474536329861</v>
      </c>
      <c r="AQ3927" s="58" t="s">
        <v>238</v>
      </c>
      <c r="AR3927" s="73" t="s">
        <v>241</v>
      </c>
      <c r="AS3927" s="84">
        <f>AS3916*1.01</f>
        <v>23106.109845964977</v>
      </c>
      <c r="AT3927" s="58" t="s">
        <v>238</v>
      </c>
      <c r="AU3927" s="73" t="s">
        <v>241</v>
      </c>
    </row>
    <row r="3928" spans="15:47" ht="13" x14ac:dyDescent="0.25">
      <c r="O3928" s="6"/>
      <c r="P3928" s="6"/>
      <c r="Q3928" s="60"/>
      <c r="R3928" s="70"/>
      <c r="S3928" s="63" t="s">
        <v>250</v>
      </c>
      <c r="T3928" s="71" t="s">
        <v>242</v>
      </c>
      <c r="U3928" s="61"/>
      <c r="V3928" s="63" t="s">
        <v>250</v>
      </c>
      <c r="W3928" s="71" t="s">
        <v>242</v>
      </c>
      <c r="X3928" s="61"/>
      <c r="Y3928" s="63" t="s">
        <v>250</v>
      </c>
      <c r="Z3928" s="71" t="s">
        <v>242</v>
      </c>
      <c r="AA3928" s="61"/>
      <c r="AB3928" s="63" t="s">
        <v>250</v>
      </c>
      <c r="AC3928" s="71" t="s">
        <v>242</v>
      </c>
      <c r="AD3928" s="61"/>
      <c r="AE3928" s="63" t="s">
        <v>250</v>
      </c>
      <c r="AF3928" s="71" t="s">
        <v>242</v>
      </c>
      <c r="AG3928" s="61"/>
      <c r="AH3928" s="63" t="s">
        <v>250</v>
      </c>
      <c r="AI3928" s="71" t="s">
        <v>242</v>
      </c>
      <c r="AJ3928" s="61"/>
      <c r="AK3928" s="63" t="s">
        <v>250</v>
      </c>
      <c r="AL3928" s="71" t="s">
        <v>242</v>
      </c>
      <c r="AM3928" s="61"/>
      <c r="AN3928" s="63" t="s">
        <v>250</v>
      </c>
      <c r="AO3928" s="71" t="s">
        <v>242</v>
      </c>
      <c r="AP3928" s="61"/>
      <c r="AQ3928" s="63" t="s">
        <v>250</v>
      </c>
      <c r="AR3928" s="71" t="s">
        <v>242</v>
      </c>
      <c r="AS3928" s="61"/>
      <c r="AT3928" s="63" t="s">
        <v>250</v>
      </c>
      <c r="AU3928" s="71" t="s">
        <v>242</v>
      </c>
    </row>
    <row r="3929" spans="15:47" ht="13" x14ac:dyDescent="0.3">
      <c r="O3929" s="6" t="s">
        <v>231</v>
      </c>
      <c r="P3929" s="6"/>
      <c r="Q3929" s="60"/>
      <c r="R3929" s="85">
        <f>P_1_minQ-(R3927^2*R_up)+dpup_minQ</f>
        <v>30.390667929686604</v>
      </c>
      <c r="S3929" s="56"/>
      <c r="T3929" s="72"/>
      <c r="U3929" s="53">
        <f>P_1_minQ-(U3927^2*R_up)+dpup_minQ</f>
        <v>25.989268196559387</v>
      </c>
      <c r="V3929" s="44"/>
      <c r="W3929" s="72"/>
      <c r="X3929" s="53">
        <f>P_1_minQ-(X3927^2*R_up)+dpup_minQ</f>
        <v>-121.27980495109887</v>
      </c>
      <c r="Y3929" s="44"/>
      <c r="Z3929" s="72"/>
      <c r="AA3929" s="53">
        <f>P_1_minQ-(AA3927^2*R_up)+dpup_minQ</f>
        <v>-592.72932985464377</v>
      </c>
      <c r="AB3929" s="44"/>
      <c r="AC3929" s="72"/>
      <c r="AD3929" s="53">
        <f>P_1_minQ-(AD3927^2*R_up)+dpup_minQ</f>
        <v>-1700.2539165305379</v>
      </c>
      <c r="AE3929" s="44"/>
      <c r="AF3929" s="72"/>
      <c r="AG3929" s="53">
        <f>P_1_minQ-(AG3927^2*R_up)+dpup_minQ</f>
        <v>-3838.229467396583</v>
      </c>
      <c r="AH3929" s="44"/>
      <c r="AI3929" s="72"/>
      <c r="AJ3929" s="53">
        <f>P_1_minQ-(AJ3927^2*R_up)+dpup_minQ</f>
        <v>-6879.9509984460492</v>
      </c>
      <c r="AK3929" s="44"/>
      <c r="AL3929" s="72"/>
      <c r="AM3929" s="53">
        <f>P_1_minQ-(AM3927^2*R_up)+dpup_minQ</f>
        <v>-10271.13376871408</v>
      </c>
      <c r="AN3929" s="44"/>
      <c r="AO3929" s="72"/>
      <c r="AP3929" s="53">
        <f>P_1_minQ-(AP3927^2*R_up)+dpup_minQ</f>
        <v>-13863.734728075731</v>
      </c>
      <c r="AQ3929" s="44"/>
      <c r="AR3929" s="72"/>
      <c r="AS3929" s="53">
        <f>P_1_minQ-(AS3927^2*R_up)+dpup_minQ</f>
        <v>-17973.894806274897</v>
      </c>
      <c r="AT3929" s="44"/>
      <c r="AU3929" s="72"/>
    </row>
    <row r="3930" spans="15:47" ht="13" x14ac:dyDescent="0.3">
      <c r="O3930" s="6" t="s">
        <v>233</v>
      </c>
      <c r="P3930" s="6"/>
      <c r="Q3930" s="60"/>
      <c r="R3930" s="85">
        <f>P_2_minQ+(R3927^2*R_dn)-dpdn_minQ</f>
        <v>29.96186641406268</v>
      </c>
      <c r="S3930" s="66"/>
      <c r="T3930" s="74"/>
      <c r="U3930" s="53">
        <f>P_2_minQ+(U3927^2*R_dn)-dpdn_minQ</f>
        <v>30.842146360688123</v>
      </c>
      <c r="V3930" s="45"/>
      <c r="W3930" s="74"/>
      <c r="X3930" s="53">
        <f>P_2_minQ+(X3927^2*R_dn)-dpdn_minQ</f>
        <v>60.295960990219776</v>
      </c>
      <c r="Y3930" s="45"/>
      <c r="Z3930" s="74"/>
      <c r="AA3930" s="53">
        <f>P_2_minQ+(AA3927^2*R_dn)-dpdn_minQ</f>
        <v>154.58586597092872</v>
      </c>
      <c r="AB3930" s="45"/>
      <c r="AC3930" s="74"/>
      <c r="AD3930" s="53">
        <f>P_2_minQ+(AD3927^2*R_dn)-dpdn_minQ</f>
        <v>376.09078330610754</v>
      </c>
      <c r="AE3930" s="45"/>
      <c r="AF3930" s="74"/>
      <c r="AG3930" s="53">
        <f>P_2_minQ+(AG3927^2*R_dn)-dpdn_minQ</f>
        <v>803.68589347931652</v>
      </c>
      <c r="AH3930" s="45"/>
      <c r="AI3930" s="74"/>
      <c r="AJ3930" s="53">
        <f>P_2_minQ+(AJ3927^2*R_dn)-dpdn_minQ</f>
        <v>1412.0301996892097</v>
      </c>
      <c r="AK3930" s="45"/>
      <c r="AL3930" s="74"/>
      <c r="AM3930" s="53">
        <f>P_2_minQ+(AM3927^2*R_dn)-dpdn_minQ</f>
        <v>2090.266753742816</v>
      </c>
      <c r="AN3930" s="45"/>
      <c r="AO3930" s="74"/>
      <c r="AP3930" s="53">
        <f>P_2_minQ+(AP3927^2*R_dn)-dpdn_minQ</f>
        <v>2808.7869456151461</v>
      </c>
      <c r="AQ3930" s="45"/>
      <c r="AR3930" s="74"/>
      <c r="AS3930" s="53">
        <f>P_2_minQ+(AS3927^2*R_dn)-dpdn_minQ</f>
        <v>3630.8189612549791</v>
      </c>
      <c r="AT3930" s="45"/>
      <c r="AU3930" s="74"/>
    </row>
    <row r="3931" spans="15:47" x14ac:dyDescent="0.25">
      <c r="O3931" s="6" t="s">
        <v>243</v>
      </c>
      <c r="Q3931" s="60"/>
      <c r="R3931" s="53">
        <f>R3929-R3930</f>
        <v>0.42880151562392399</v>
      </c>
      <c r="S3931" s="56"/>
      <c r="T3931" s="72"/>
      <c r="U3931" s="64">
        <f>U3929-U3930</f>
        <v>-4.852878164128736</v>
      </c>
      <c r="V3931" s="44"/>
      <c r="W3931" s="72"/>
      <c r="X3931" s="64">
        <f>X3929-X3930</f>
        <v>-181.57576594131865</v>
      </c>
      <c r="Y3931" s="44"/>
      <c r="Z3931" s="72"/>
      <c r="AA3931" s="64">
        <f>AA3929-AA3930</f>
        <v>-747.31519582557246</v>
      </c>
      <c r="AB3931" s="44"/>
      <c r="AC3931" s="72"/>
      <c r="AD3931" s="64">
        <f>AD3929-AD3930</f>
        <v>-2076.3446998366453</v>
      </c>
      <c r="AE3931" s="44"/>
      <c r="AF3931" s="72"/>
      <c r="AG3931" s="64">
        <f>AG3929-AG3930</f>
        <v>-4641.9153608758998</v>
      </c>
      <c r="AH3931" s="44"/>
      <c r="AI3931" s="72"/>
      <c r="AJ3931" s="64">
        <f>AJ3929-AJ3930</f>
        <v>-8291.9811981352595</v>
      </c>
      <c r="AK3931" s="44"/>
      <c r="AL3931" s="72"/>
      <c r="AM3931" s="64">
        <f>AM3929-AM3930</f>
        <v>-12361.400522456897</v>
      </c>
      <c r="AN3931" s="44"/>
      <c r="AO3931" s="72"/>
      <c r="AP3931" s="64">
        <f>AP3929-AP3930</f>
        <v>-16672.521673690877</v>
      </c>
      <c r="AQ3931" s="44"/>
      <c r="AR3931" s="72"/>
      <c r="AS3931" s="64">
        <f>AS3929-AS3930</f>
        <v>-21604.713767529876</v>
      </c>
      <c r="AT3931" s="44"/>
      <c r="AU3931" s="72"/>
    </row>
    <row r="3932" spans="15:47" ht="13" x14ac:dyDescent="0.3">
      <c r="O3932" s="6" t="s">
        <v>75</v>
      </c>
      <c r="P3932" s="6">
        <v>3</v>
      </c>
      <c r="Q3932" s="65"/>
      <c r="R3932" s="85">
        <f>(F_LP_h/F_P_h)^2*(R3929-('Valve Sizing'!$V$4*'Valve Sizing'!$G$7))</f>
        <v>24.800677401577936</v>
      </c>
      <c r="S3932" s="58"/>
      <c r="T3932" s="73"/>
      <c r="U3932" s="53">
        <f>(U$29/U$27)^2*(U3929-('Valve Sizing'!$V$4*'Valve Sizing'!$G$7))</f>
        <v>21.150321117907151</v>
      </c>
      <c r="V3932" s="41"/>
      <c r="W3932" s="73"/>
      <c r="X3932" s="53">
        <f>(X$29/X$27)^2*(X3929-('Valve Sizing'!$V$4*'Valve Sizing'!$G$7))</f>
        <v>-98.490060756773318</v>
      </c>
      <c r="Y3932" s="41"/>
      <c r="Z3932" s="73"/>
      <c r="AA3932" s="53">
        <f>(AA$29/AA$27)^2*(AA3929-('Valve Sizing'!$V$4*'Valve Sizing'!$G$7))</f>
        <v>-458.3996544701036</v>
      </c>
      <c r="AB3932" s="41"/>
      <c r="AC3932" s="73"/>
      <c r="AD3932" s="53">
        <f>(AD$29/AD$27)^2*(AD3929-('Valve Sizing'!$V$4*'Valve Sizing'!$G$7))</f>
        <v>-1226.5190776522561</v>
      </c>
      <c r="AE3932" s="41"/>
      <c r="AF3932" s="73"/>
      <c r="AG3932" s="53">
        <f>(AG$29/AG$27)^2*(AG3929-('Valve Sizing'!$V$4*'Valve Sizing'!$G$7))</f>
        <v>-2472.2718882093677</v>
      </c>
      <c r="AH3932" s="41"/>
      <c r="AI3932" s="73"/>
      <c r="AJ3932" s="53">
        <f>(AJ$29/AJ$27)^2*(AJ3929-('Valve Sizing'!$V$4*'Valve Sizing'!$G$7))</f>
        <v>-3979.3727999544208</v>
      </c>
      <c r="AK3932" s="41"/>
      <c r="AL3932" s="73"/>
      <c r="AM3932" s="53">
        <f>(AM$29/AM$27)^2*(AM3929-('Valve Sizing'!$V$4*'Valve Sizing'!$G$7))</f>
        <v>-4914.6620054495352</v>
      </c>
      <c r="AN3932" s="41"/>
      <c r="AO3932" s="73"/>
      <c r="AP3932" s="53">
        <f>(AP$29/AP$27)^2*(AP3929-('Valve Sizing'!$V$4*'Valve Sizing'!$G$7))</f>
        <v>-5471.1753096407465</v>
      </c>
      <c r="AQ3932" s="41"/>
      <c r="AR3932" s="73"/>
      <c r="AS3932" s="53">
        <f>(AS$29/AS$27)^2*(AS3929-('Valve Sizing'!$V$4*'Valve Sizing'!$G$7))</f>
        <v>-6760.8805892118098</v>
      </c>
      <c r="AT3932" s="41"/>
      <c r="AU3932" s="73"/>
    </row>
    <row r="3933" spans="15:47" ht="13" x14ac:dyDescent="0.25">
      <c r="O3933" s="1" t="s">
        <v>69</v>
      </c>
      <c r="P3933" s="17">
        <v>7</v>
      </c>
      <c r="Q3933" s="65"/>
      <c r="R3933" s="53">
        <f>(R3927/(N_1*F_P_h))*SQRT('Valve Sizing'!$G$6/R3931)</f>
        <v>1353.5869650438856</v>
      </c>
      <c r="S3933" s="58"/>
      <c r="T3933" s="73"/>
      <c r="U3933" s="64" t="e">
        <f>(U3927/(N_1*U$27))*SQRT('Valve Sizing'!$G$6/U3931)</f>
        <v>#NUM!</v>
      </c>
      <c r="V3933" s="41"/>
      <c r="W3933" s="73"/>
      <c r="X3933" s="64" t="e">
        <f>(X3927/(N_1*X$27))*SQRT('Valve Sizing'!$G$6/X3931)</f>
        <v>#NUM!</v>
      </c>
      <c r="Y3933" s="41"/>
      <c r="Z3933" s="73"/>
      <c r="AA3933" s="64" t="e">
        <f>(AA3927/(N_1*AA$27))*SQRT('Valve Sizing'!$G$6/AA3931)</f>
        <v>#NUM!</v>
      </c>
      <c r="AB3933" s="41"/>
      <c r="AC3933" s="73"/>
      <c r="AD3933" s="64" t="e">
        <f>(AD3927/(N_1*AD$27))*SQRT('Valve Sizing'!$G$6/AD3931)</f>
        <v>#NUM!</v>
      </c>
      <c r="AE3933" s="41"/>
      <c r="AF3933" s="73"/>
      <c r="AG3933" s="64" t="e">
        <f>(AG3927/(N_1*AG$27))*SQRT('Valve Sizing'!$G$6/AG3931)</f>
        <v>#NUM!</v>
      </c>
      <c r="AH3933" s="41"/>
      <c r="AI3933" s="73"/>
      <c r="AJ3933" s="64" t="e">
        <f>(AJ3927/(N_1*AJ$27))*SQRT('Valve Sizing'!$G$6/AJ3931)</f>
        <v>#NUM!</v>
      </c>
      <c r="AK3933" s="41"/>
      <c r="AL3933" s="73"/>
      <c r="AM3933" s="64" t="e">
        <f>(AM3927/(N_1*AM$27))*SQRT('Valve Sizing'!$G$6/AM3931)</f>
        <v>#NUM!</v>
      </c>
      <c r="AN3933" s="41"/>
      <c r="AO3933" s="73"/>
      <c r="AP3933" s="64" t="e">
        <f>(AP3927/(N_1*AP$27))*SQRT('Valve Sizing'!$G$6/AP3931)</f>
        <v>#NUM!</v>
      </c>
      <c r="AQ3933" s="41"/>
      <c r="AR3933" s="73"/>
      <c r="AS3933" s="64" t="e">
        <f>(AS3927/(N_1*AS$27))*SQRT('Valve Sizing'!$G$6/AS3931)</f>
        <v>#NUM!</v>
      </c>
      <c r="AT3933" s="41"/>
      <c r="AU3933" s="73"/>
    </row>
    <row r="3934" spans="15:47" ht="13" x14ac:dyDescent="0.3">
      <c r="O3934" s="1" t="s">
        <v>72</v>
      </c>
      <c r="P3934" s="17">
        <v>7</v>
      </c>
      <c r="Q3934" s="65"/>
      <c r="R3934" s="53">
        <f>(R3927/(N_1*F_P_h))*SQRT('Valve Sizing'!$G$6/R3932)</f>
        <v>177.9846495237606</v>
      </c>
      <c r="S3934" s="56"/>
      <c r="T3934" s="72"/>
      <c r="U3934" s="85">
        <f>(U3927/(N_1*U$27))*SQRT('Valve Sizing'!$G$6/U3932)</f>
        <v>208.25450785594458</v>
      </c>
      <c r="V3934" s="44"/>
      <c r="W3934" s="72"/>
      <c r="X3934" s="85" t="e">
        <f>(X3927/(N_1*X$27))*SQRT('Valve Sizing'!$G$6/X3932)</f>
        <v>#NUM!</v>
      </c>
      <c r="Y3934" s="44"/>
      <c r="Z3934" s="72"/>
      <c r="AA3934" s="85" t="e">
        <f>(AA3927/(N_1*AA$27))*SQRT('Valve Sizing'!$G$6/AA3932)</f>
        <v>#NUM!</v>
      </c>
      <c r="AB3934" s="44"/>
      <c r="AC3934" s="72"/>
      <c r="AD3934" s="85" t="e">
        <f>(AD3927/(N_1*AD$27))*SQRT('Valve Sizing'!$G$6/AD3932)</f>
        <v>#NUM!</v>
      </c>
      <c r="AE3934" s="44"/>
      <c r="AF3934" s="72"/>
      <c r="AG3934" s="85" t="e">
        <f>(AG3927/(N_1*AG$27))*SQRT('Valve Sizing'!$G$6/AG3932)</f>
        <v>#NUM!</v>
      </c>
      <c r="AH3934" s="44"/>
      <c r="AI3934" s="72"/>
      <c r="AJ3934" s="85" t="e">
        <f>(AJ3927/(N_1*AJ$27))*SQRT('Valve Sizing'!$G$6/AJ3932)</f>
        <v>#NUM!</v>
      </c>
      <c r="AK3934" s="44"/>
      <c r="AL3934" s="72"/>
      <c r="AM3934" s="85" t="e">
        <f>(AM3927/(N_1*AM$27))*SQRT('Valve Sizing'!$G$6/AM3932)</f>
        <v>#NUM!</v>
      </c>
      <c r="AN3934" s="44"/>
      <c r="AO3934" s="72"/>
      <c r="AP3934" s="85" t="e">
        <f>(AP3927/(N_1*AP$27))*SQRT('Valve Sizing'!$G$6/AP3932)</f>
        <v>#NUM!</v>
      </c>
      <c r="AQ3934" s="44"/>
      <c r="AR3934" s="72"/>
      <c r="AS3934" s="85" t="e">
        <f>(AS3927/(N_1*AS$27))*SQRT('Valve Sizing'!$G$6/AS3932)</f>
        <v>#NUM!</v>
      </c>
      <c r="AT3934" s="44"/>
      <c r="AU3934" s="72"/>
    </row>
    <row r="3935" spans="15:47" x14ac:dyDescent="0.25">
      <c r="O3935" s="1" t="s">
        <v>246</v>
      </c>
      <c r="P3935" s="18"/>
      <c r="Q3935" s="65"/>
      <c r="R3935" s="53">
        <f>IF(R3931&lt;R3932,R3933,R3934)</f>
        <v>1353.5869650438856</v>
      </c>
      <c r="S3935" s="49"/>
      <c r="T3935" s="72"/>
      <c r="U3935" s="64" t="e">
        <f>IF(U3931&lt;U3932,U3933,U3934)</f>
        <v>#NUM!</v>
      </c>
      <c r="V3935" s="44"/>
      <c r="W3935" s="72"/>
      <c r="X3935" s="64" t="e">
        <f>IF(X3931&lt;X3932,X3933,X3934)</f>
        <v>#NUM!</v>
      </c>
      <c r="Y3935" s="44"/>
      <c r="Z3935" s="72"/>
      <c r="AA3935" s="64" t="e">
        <f>IF(AA3931&lt;AA3932,AA3933,AA3934)</f>
        <v>#NUM!</v>
      </c>
      <c r="AB3935" s="44"/>
      <c r="AC3935" s="72"/>
      <c r="AD3935" s="64" t="e">
        <f>IF(AD3931&lt;AD3932,AD3933,AD3934)</f>
        <v>#NUM!</v>
      </c>
      <c r="AE3935" s="44"/>
      <c r="AF3935" s="72"/>
      <c r="AG3935" s="64" t="e">
        <f>IF(AG3931&lt;AG3932,AG3933,AG3934)</f>
        <v>#NUM!</v>
      </c>
      <c r="AH3935" s="44"/>
      <c r="AI3935" s="72"/>
      <c r="AJ3935" s="64" t="e">
        <f>IF(AJ3931&lt;AJ3932,AJ3933,AJ3934)</f>
        <v>#NUM!</v>
      </c>
      <c r="AK3935" s="44"/>
      <c r="AL3935" s="72"/>
      <c r="AM3935" s="64" t="e">
        <f>IF(AM3931&lt;AM3932,AM3933,AM3934)</f>
        <v>#NUM!</v>
      </c>
      <c r="AN3935" s="44"/>
      <c r="AO3935" s="72"/>
      <c r="AP3935" s="64" t="e">
        <f>IF(AP3931&lt;AP3932,AP3933,AP3934)</f>
        <v>#NUM!</v>
      </c>
      <c r="AQ3935" s="44"/>
      <c r="AR3935" s="72"/>
      <c r="AS3935" s="64" t="e">
        <f>IF(AS3931&lt;AS3932,AS3933,AS3934)</f>
        <v>#NUM!</v>
      </c>
      <c r="AT3935" s="44"/>
      <c r="AU3935" s="72"/>
    </row>
    <row r="3936" spans="15:47" ht="13" x14ac:dyDescent="0.3">
      <c r="O3936" s="7" t="s">
        <v>264</v>
      </c>
      <c r="Q3936" s="61"/>
      <c r="R3936" s="53"/>
      <c r="S3936" s="69">
        <f>IFERROR(ABS(C_h-R3935),Q_max*10)</f>
        <v>1348.5869650438856</v>
      </c>
      <c r="T3936" s="76">
        <f>R3927</f>
        <v>886.23886317514859</v>
      </c>
      <c r="U3936" s="61"/>
      <c r="V3936" s="69">
        <f>IFERROR(ABS(U$23-U3935),Q_max*10)</f>
        <v>5500</v>
      </c>
      <c r="W3936" s="75">
        <f>U3927</f>
        <v>956.945541135898</v>
      </c>
      <c r="X3936" s="61"/>
      <c r="Y3936" s="69">
        <f>IFERROR(ABS(X$23-X3935),Q_max*10)</f>
        <v>5500</v>
      </c>
      <c r="Z3936" s="75">
        <f>X3927</f>
        <v>2297.0376628610243</v>
      </c>
      <c r="AA3936" s="61"/>
      <c r="AB3936" s="69">
        <f>IFERROR(ABS(AA$23-AA3935),Q_max*10)</f>
        <v>5500</v>
      </c>
      <c r="AC3936" s="75">
        <f>AA3927</f>
        <v>4385.8867355411721</v>
      </c>
      <c r="AD3936" s="61"/>
      <c r="AE3936" s="69">
        <f>IFERROR(ABS(AD$23-AD3935),Q_max*10)</f>
        <v>5500</v>
      </c>
      <c r="AF3936" s="75">
        <f>AD3927</f>
        <v>7213.1688922739932</v>
      </c>
      <c r="AG3936" s="61"/>
      <c r="AH3936" s="69">
        <f>IFERROR(ABS(AG$23-AG3935),Q_max*10)</f>
        <v>5500</v>
      </c>
      <c r="AI3936" s="75">
        <f>AG3927</f>
        <v>10739.425567953474</v>
      </c>
      <c r="AJ3936" s="61"/>
      <c r="AK3936" s="69">
        <f>IFERROR(ABS(AJ$23-AJ3935),Q_max*10)</f>
        <v>5500</v>
      </c>
      <c r="AL3936" s="75">
        <f>AJ3927</f>
        <v>14331.805052539177</v>
      </c>
      <c r="AM3936" s="61"/>
      <c r="AN3936" s="69">
        <f>IFERROR(ABS(AM$23-AM3935),Q_max*10)</f>
        <v>5500</v>
      </c>
      <c r="AO3936" s="75">
        <f>AM3927</f>
        <v>17487.525779584255</v>
      </c>
      <c r="AP3936" s="61"/>
      <c r="AQ3936" s="69">
        <f>IFERROR(ABS(AP$23-AP3935),Q_max*10)</f>
        <v>5500</v>
      </c>
      <c r="AR3936" s="75">
        <f>AP3927</f>
        <v>20302.474536329861</v>
      </c>
      <c r="AS3936" s="61"/>
      <c r="AT3936" s="69">
        <f>IFERROR(ABS(AS$23-AS3935),Q_max*10)</f>
        <v>5500</v>
      </c>
      <c r="AU3936" s="75">
        <f>AS3927</f>
        <v>23106.109845964977</v>
      </c>
    </row>
    <row r="3937" spans="15:47" ht="14.5" x14ac:dyDescent="0.35">
      <c r="O3937" s="8"/>
      <c r="P3937" s="6"/>
      <c r="Q3937" s="60"/>
      <c r="R3937" s="67"/>
      <c r="S3937" s="56"/>
      <c r="T3937" s="72"/>
      <c r="V3937" s="11"/>
      <c r="W3937" s="38"/>
      <c r="Y3937" s="11"/>
      <c r="Z3937" s="38"/>
      <c r="AB3937" s="11"/>
      <c r="AC3937" s="38"/>
      <c r="AE3937" s="11"/>
      <c r="AF3937" s="38"/>
      <c r="AH3937" s="11"/>
      <c r="AI3937" s="38"/>
      <c r="AK3937" s="11"/>
      <c r="AL3937" s="38"/>
      <c r="AN3937" s="11"/>
      <c r="AO3937" s="38"/>
      <c r="AQ3937" s="11"/>
      <c r="AR3937" s="38"/>
      <c r="AT3937" s="11"/>
      <c r="AU3937" s="38"/>
    </row>
    <row r="3938" spans="15:47" ht="14" x14ac:dyDescent="0.3">
      <c r="O3938" s="8" t="s">
        <v>235</v>
      </c>
      <c r="P3938" s="6"/>
      <c r="Q3938" s="60"/>
      <c r="R3938" s="53">
        <f>R3927*1.02</f>
        <v>903.96364043865162</v>
      </c>
      <c r="S3938" s="58" t="s">
        <v>238</v>
      </c>
      <c r="T3938" s="73" t="s">
        <v>241</v>
      </c>
      <c r="U3938" s="84">
        <f>U3927*1.01</f>
        <v>966.51499654725694</v>
      </c>
      <c r="V3938" s="58" t="s">
        <v>238</v>
      </c>
      <c r="W3938" s="73" t="s">
        <v>241</v>
      </c>
      <c r="X3938" s="84">
        <f>X3927*1.01</f>
        <v>2320.0080394896345</v>
      </c>
      <c r="Y3938" s="58" t="s">
        <v>238</v>
      </c>
      <c r="Z3938" s="73" t="s">
        <v>241</v>
      </c>
      <c r="AA3938" s="84">
        <f>AA3927*1.01</f>
        <v>4429.7456028965835</v>
      </c>
      <c r="AB3938" s="58" t="s">
        <v>238</v>
      </c>
      <c r="AC3938" s="73" t="s">
        <v>241</v>
      </c>
      <c r="AD3938" s="84">
        <f>AD3927*1.01</f>
        <v>7285.3005811967332</v>
      </c>
      <c r="AE3938" s="58" t="s">
        <v>238</v>
      </c>
      <c r="AF3938" s="73" t="s">
        <v>241</v>
      </c>
      <c r="AG3938" s="84">
        <f>AG3927*1.01</f>
        <v>10846.81982363301</v>
      </c>
      <c r="AH3938" s="58" t="s">
        <v>238</v>
      </c>
      <c r="AI3938" s="73" t="s">
        <v>241</v>
      </c>
      <c r="AJ3938" s="84">
        <f>AJ3927*1.01</f>
        <v>14475.123103064569</v>
      </c>
      <c r="AK3938" s="58" t="s">
        <v>238</v>
      </c>
      <c r="AL3938" s="73" t="s">
        <v>241</v>
      </c>
      <c r="AM3938" s="84">
        <f>AM3927*1.01</f>
        <v>17662.401037380099</v>
      </c>
      <c r="AN3938" s="58" t="s">
        <v>238</v>
      </c>
      <c r="AO3938" s="73" t="s">
        <v>241</v>
      </c>
      <c r="AP3938" s="84">
        <f>AP3927*1.01</f>
        <v>20505.499281693159</v>
      </c>
      <c r="AQ3938" s="58" t="s">
        <v>238</v>
      </c>
      <c r="AR3938" s="73" t="s">
        <v>241</v>
      </c>
      <c r="AS3938" s="84">
        <f>AS3927*1.01</f>
        <v>23337.170944424626</v>
      </c>
      <c r="AT3938" s="58" t="s">
        <v>238</v>
      </c>
      <c r="AU3938" s="73" t="s">
        <v>241</v>
      </c>
    </row>
    <row r="3939" spans="15:47" ht="13" x14ac:dyDescent="0.25">
      <c r="O3939" s="6"/>
      <c r="P3939" s="6"/>
      <c r="Q3939" s="60"/>
      <c r="R3939" s="70"/>
      <c r="S3939" s="63" t="s">
        <v>250</v>
      </c>
      <c r="T3939" s="71" t="s">
        <v>242</v>
      </c>
      <c r="U3939" s="61"/>
      <c r="V3939" s="63" t="s">
        <v>250</v>
      </c>
      <c r="W3939" s="71" t="s">
        <v>242</v>
      </c>
      <c r="X3939" s="61"/>
      <c r="Y3939" s="63" t="s">
        <v>250</v>
      </c>
      <c r="Z3939" s="71" t="s">
        <v>242</v>
      </c>
      <c r="AA3939" s="61"/>
      <c r="AB3939" s="63" t="s">
        <v>250</v>
      </c>
      <c r="AC3939" s="71" t="s">
        <v>242</v>
      </c>
      <c r="AD3939" s="61"/>
      <c r="AE3939" s="63" t="s">
        <v>250</v>
      </c>
      <c r="AF3939" s="71" t="s">
        <v>242</v>
      </c>
      <c r="AG3939" s="61"/>
      <c r="AH3939" s="63" t="s">
        <v>250</v>
      </c>
      <c r="AI3939" s="71" t="s">
        <v>242</v>
      </c>
      <c r="AJ3939" s="61"/>
      <c r="AK3939" s="63" t="s">
        <v>250</v>
      </c>
      <c r="AL3939" s="71" t="s">
        <v>242</v>
      </c>
      <c r="AM3939" s="61"/>
      <c r="AN3939" s="63" t="s">
        <v>250</v>
      </c>
      <c r="AO3939" s="71" t="s">
        <v>242</v>
      </c>
      <c r="AP3939" s="61"/>
      <c r="AQ3939" s="63" t="s">
        <v>250</v>
      </c>
      <c r="AR3939" s="71" t="s">
        <v>242</v>
      </c>
      <c r="AS3939" s="61"/>
      <c r="AT3939" s="63" t="s">
        <v>250</v>
      </c>
      <c r="AU3939" s="71" t="s">
        <v>242</v>
      </c>
    </row>
    <row r="3940" spans="15:47" ht="13" x14ac:dyDescent="0.3">
      <c r="O3940" s="6" t="s">
        <v>231</v>
      </c>
      <c r="P3940" s="6"/>
      <c r="Q3940" s="60"/>
      <c r="R3940" s="85">
        <f>P_1_minQ-(R3938^2*R_up)+dpup_minQ</f>
        <v>29.319038728973325</v>
      </c>
      <c r="S3940" s="56"/>
      <c r="T3940" s="72"/>
      <c r="U3940" s="53">
        <f>P_1_minQ-(U3938^2*R_up)+dpup_minQ</f>
        <v>25.367638009093412</v>
      </c>
      <c r="V3940" s="44"/>
      <c r="W3940" s="72"/>
      <c r="X3940" s="53">
        <f>P_1_minQ-(X3938^2*R_up)+dpup_minQ</f>
        <v>-124.86154350883274</v>
      </c>
      <c r="Y3940" s="44"/>
      <c r="Z3940" s="72"/>
      <c r="AA3940" s="53">
        <f>P_1_minQ-(AA3938^2*R_up)+dpup_minQ</f>
        <v>-605.78720386293878</v>
      </c>
      <c r="AB3940" s="44"/>
      <c r="AC3940" s="72"/>
      <c r="AD3940" s="53">
        <f>P_1_minQ-(AD3938^2*R_up)+dpup_minQ</f>
        <v>-1735.5730347310187</v>
      </c>
      <c r="AE3940" s="44"/>
      <c r="AF3940" s="72"/>
      <c r="AG3940" s="53">
        <f>P_1_minQ-(AG3938^2*R_up)+dpup_minQ</f>
        <v>-3916.5218941694716</v>
      </c>
      <c r="AH3940" s="44"/>
      <c r="AI3940" s="72"/>
      <c r="AJ3940" s="53">
        <f>P_1_minQ-(AJ3938^2*R_up)+dpup_minQ</f>
        <v>-7019.3820279930314</v>
      </c>
      <c r="AK3940" s="44"/>
      <c r="AL3940" s="72"/>
      <c r="AM3940" s="53">
        <f>P_1_minQ-(AM3938^2*R_up)+dpup_minQ</f>
        <v>-10478.727571943453</v>
      </c>
      <c r="AN3940" s="44"/>
      <c r="AO3940" s="72"/>
      <c r="AP3940" s="53">
        <f>P_1_minQ-(AP3938^2*R_up)+dpup_minQ</f>
        <v>-14143.53981058827</v>
      </c>
      <c r="AQ3940" s="44"/>
      <c r="AR3940" s="72"/>
      <c r="AS3940" s="53">
        <f>P_1_minQ-(AS3938^2*R_up)+dpup_minQ</f>
        <v>-18336.314106359237</v>
      </c>
      <c r="AT3940" s="44"/>
      <c r="AU3940" s="72"/>
    </row>
    <row r="3941" spans="15:47" ht="13" x14ac:dyDescent="0.3">
      <c r="O3941" s="6" t="s">
        <v>233</v>
      </c>
      <c r="P3941" s="6"/>
      <c r="Q3941" s="60"/>
      <c r="R3941" s="85">
        <f>P_2_minQ+(R3938^2*R_dn)-dpdn_minQ</f>
        <v>30.176192254205336</v>
      </c>
      <c r="S3941" s="66"/>
      <c r="T3941" s="74"/>
      <c r="U3941" s="53">
        <f>P_2_minQ+(U3938^2*R_dn)-dpdn_minQ</f>
        <v>30.96647239818132</v>
      </c>
      <c r="V3941" s="45"/>
      <c r="W3941" s="74"/>
      <c r="X3941" s="53">
        <f>P_2_minQ+(X3938^2*R_dn)-dpdn_minQ</f>
        <v>61.01230870176655</v>
      </c>
      <c r="Y3941" s="45"/>
      <c r="Z3941" s="74"/>
      <c r="AA3941" s="53">
        <f>P_2_minQ+(AA3938^2*R_dn)-dpdn_minQ</f>
        <v>157.19744077258778</v>
      </c>
      <c r="AB3941" s="45"/>
      <c r="AC3941" s="74"/>
      <c r="AD3941" s="53">
        <f>P_2_minQ+(AD3938^2*R_dn)-dpdn_minQ</f>
        <v>383.15460694620367</v>
      </c>
      <c r="AE3941" s="45"/>
      <c r="AF3941" s="74"/>
      <c r="AG3941" s="53">
        <f>P_2_minQ+(AG3938^2*R_dn)-dpdn_minQ</f>
        <v>819.34437883389421</v>
      </c>
      <c r="AH3941" s="45"/>
      <c r="AI3941" s="74"/>
      <c r="AJ3941" s="53">
        <f>P_2_minQ+(AJ3938^2*R_dn)-dpdn_minQ</f>
        <v>1439.9164055986062</v>
      </c>
      <c r="AK3941" s="45"/>
      <c r="AL3941" s="74"/>
      <c r="AM3941" s="53">
        <f>P_2_minQ+(AM3938^2*R_dn)-dpdn_minQ</f>
        <v>2131.78551438869</v>
      </c>
      <c r="AN3941" s="45"/>
      <c r="AO3941" s="74"/>
      <c r="AP3941" s="53">
        <f>P_2_minQ+(AP3938^2*R_dn)-dpdn_minQ</f>
        <v>2864.747962117654</v>
      </c>
      <c r="AQ3941" s="45"/>
      <c r="AR3941" s="74"/>
      <c r="AS3941" s="53">
        <f>P_2_minQ+(AS3938^2*R_dn)-dpdn_minQ</f>
        <v>3703.3028212718468</v>
      </c>
      <c r="AT3941" s="45"/>
      <c r="AU3941" s="74"/>
    </row>
    <row r="3942" spans="15:47" x14ac:dyDescent="0.25">
      <c r="O3942" s="6" t="s">
        <v>243</v>
      </c>
      <c r="Q3942" s="60"/>
      <c r="R3942" s="53">
        <f>R3940-R3941</f>
        <v>-0.85715352523201105</v>
      </c>
      <c r="S3942" s="56"/>
      <c r="T3942" s="72"/>
      <c r="U3942" s="64">
        <f>U3940-U3941</f>
        <v>-5.5988343890879086</v>
      </c>
      <c r="V3942" s="44"/>
      <c r="W3942" s="72"/>
      <c r="X3942" s="64">
        <f>X3940-X3941</f>
        <v>-185.8738522105993</v>
      </c>
      <c r="Y3942" s="44"/>
      <c r="Z3942" s="72"/>
      <c r="AA3942" s="64">
        <f>AA3940-AA3941</f>
        <v>-762.98464463552659</v>
      </c>
      <c r="AB3942" s="44"/>
      <c r="AC3942" s="72"/>
      <c r="AD3942" s="64">
        <f>AD3940-AD3941</f>
        <v>-2118.7276416772224</v>
      </c>
      <c r="AE3942" s="44"/>
      <c r="AF3942" s="72"/>
      <c r="AG3942" s="64">
        <f>AG3940-AG3941</f>
        <v>-4735.8662730033657</v>
      </c>
      <c r="AH3942" s="44"/>
      <c r="AI3942" s="72"/>
      <c r="AJ3942" s="64">
        <f>AJ3940-AJ3941</f>
        <v>-8459.2984335916371</v>
      </c>
      <c r="AK3942" s="44"/>
      <c r="AL3942" s="72"/>
      <c r="AM3942" s="64">
        <f>AM3940-AM3941</f>
        <v>-12610.513086332143</v>
      </c>
      <c r="AN3942" s="44"/>
      <c r="AO3942" s="72"/>
      <c r="AP3942" s="64">
        <f>AP3940-AP3941</f>
        <v>-17008.287772705924</v>
      </c>
      <c r="AQ3942" s="44"/>
      <c r="AR3942" s="72"/>
      <c r="AS3942" s="64">
        <f>AS3940-AS3941</f>
        <v>-22039.616927631083</v>
      </c>
      <c r="AT3942" s="44"/>
      <c r="AU3942" s="72"/>
    </row>
    <row r="3943" spans="15:47" ht="13" x14ac:dyDescent="0.3">
      <c r="O3943" s="6" t="s">
        <v>75</v>
      </c>
      <c r="P3943" s="6">
        <v>3</v>
      </c>
      <c r="Q3943" s="65"/>
      <c r="R3943" s="85">
        <f>(F_LP_h/F_P_h)^2*(R3940-('Valve Sizing'!$V$4*'Valve Sizing'!$G$7))</f>
        <v>23.913312173636303</v>
      </c>
      <c r="S3943" s="58"/>
      <c r="T3943" s="73"/>
      <c r="U3943" s="53">
        <f>(U$29/U$27)^2*(U3940-('Valve Sizing'!$V$4*'Valve Sizing'!$G$7))</f>
        <v>20.635718990875183</v>
      </c>
      <c r="V3943" s="41"/>
      <c r="W3943" s="73"/>
      <c r="X3943" s="53">
        <f>(X$29/X$27)^2*(X3940-('Valve Sizing'!$V$4*'Valve Sizing'!$G$7))</f>
        <v>-101.3882372792627</v>
      </c>
      <c r="Y3943" s="41"/>
      <c r="Z3943" s="73"/>
      <c r="AA3943" s="53">
        <f>(AA$29/AA$27)^2*(AA3940-('Valve Sizing'!$V$4*'Valve Sizing'!$G$7))</f>
        <v>-468.49074322049597</v>
      </c>
      <c r="AB3943" s="41"/>
      <c r="AC3943" s="73"/>
      <c r="AD3943" s="53">
        <f>(AD$29/AD$27)^2*(AD3940-('Valve Sizing'!$V$4*'Valve Sizing'!$G$7))</f>
        <v>-1251.9907809309925</v>
      </c>
      <c r="AE3943" s="41"/>
      <c r="AF3943" s="73"/>
      <c r="AG3943" s="53">
        <f>(AG$29/AG$27)^2*(AG3940-('Valve Sizing'!$V$4*'Valve Sizing'!$G$7))</f>
        <v>-2522.6956520958925</v>
      </c>
      <c r="AH3943" s="41"/>
      <c r="AI3943" s="73"/>
      <c r="AJ3943" s="53">
        <f>(AJ$29/AJ$27)^2*(AJ3940-('Valve Sizing'!$V$4*'Valve Sizing'!$G$7))</f>
        <v>-4060.0147346822114</v>
      </c>
      <c r="AK3943" s="41"/>
      <c r="AL3943" s="73"/>
      <c r="AM3943" s="53">
        <f>(AM$29/AM$27)^2*(AM3940-('Valve Sizing'!$V$4*'Valve Sizing'!$G$7))</f>
        <v>-5013.9898586629924</v>
      </c>
      <c r="AN3943" s="41"/>
      <c r="AO3943" s="73"/>
      <c r="AP3943" s="53">
        <f>(AP$29/AP$27)^2*(AP3940-('Valve Sizing'!$V$4*'Valve Sizing'!$G$7))</f>
        <v>-5581.5939016314251</v>
      </c>
      <c r="AQ3943" s="41"/>
      <c r="AR3943" s="73"/>
      <c r="AS3943" s="53">
        <f>(AS$29/AS$27)^2*(AS3940-('Valve Sizing'!$V$4*'Valve Sizing'!$G$7))</f>
        <v>-6897.2012725440836</v>
      </c>
      <c r="AT3943" s="41"/>
      <c r="AU3943" s="73"/>
    </row>
    <row r="3944" spans="15:47" ht="13" x14ac:dyDescent="0.25">
      <c r="O3944" s="1" t="s">
        <v>69</v>
      </c>
      <c r="P3944" s="17">
        <v>7</v>
      </c>
      <c r="Q3944" s="65"/>
      <c r="R3944" s="53" t="e">
        <f>(R3938/(N_1*F_P_h))*SQRT('Valve Sizing'!$G$6/R3942)</f>
        <v>#NUM!</v>
      </c>
      <c r="S3944" s="58"/>
      <c r="T3944" s="73"/>
      <c r="U3944" s="64" t="e">
        <f>(U3938/(N_1*U$27))*SQRT('Valve Sizing'!$G$6/U3942)</f>
        <v>#NUM!</v>
      </c>
      <c r="V3944" s="41"/>
      <c r="W3944" s="73"/>
      <c r="X3944" s="64" t="e">
        <f>(X3938/(N_1*X$27))*SQRT('Valve Sizing'!$G$6/X3942)</f>
        <v>#NUM!</v>
      </c>
      <c r="Y3944" s="41"/>
      <c r="Z3944" s="73"/>
      <c r="AA3944" s="64" t="e">
        <f>(AA3938/(N_1*AA$27))*SQRT('Valve Sizing'!$G$6/AA3942)</f>
        <v>#NUM!</v>
      </c>
      <c r="AB3944" s="41"/>
      <c r="AC3944" s="73"/>
      <c r="AD3944" s="64" t="e">
        <f>(AD3938/(N_1*AD$27))*SQRT('Valve Sizing'!$G$6/AD3942)</f>
        <v>#NUM!</v>
      </c>
      <c r="AE3944" s="41"/>
      <c r="AF3944" s="73"/>
      <c r="AG3944" s="64" t="e">
        <f>(AG3938/(N_1*AG$27))*SQRT('Valve Sizing'!$G$6/AG3942)</f>
        <v>#NUM!</v>
      </c>
      <c r="AH3944" s="41"/>
      <c r="AI3944" s="73"/>
      <c r="AJ3944" s="64" t="e">
        <f>(AJ3938/(N_1*AJ$27))*SQRT('Valve Sizing'!$G$6/AJ3942)</f>
        <v>#NUM!</v>
      </c>
      <c r="AK3944" s="41"/>
      <c r="AL3944" s="73"/>
      <c r="AM3944" s="64" t="e">
        <f>(AM3938/(N_1*AM$27))*SQRT('Valve Sizing'!$G$6/AM3942)</f>
        <v>#NUM!</v>
      </c>
      <c r="AN3944" s="41"/>
      <c r="AO3944" s="73"/>
      <c r="AP3944" s="64" t="e">
        <f>(AP3938/(N_1*AP$27))*SQRT('Valve Sizing'!$G$6/AP3942)</f>
        <v>#NUM!</v>
      </c>
      <c r="AQ3944" s="41"/>
      <c r="AR3944" s="73"/>
      <c r="AS3944" s="64" t="e">
        <f>(AS3938/(N_1*AS$27))*SQRT('Valve Sizing'!$G$6/AS3942)</f>
        <v>#NUM!</v>
      </c>
      <c r="AT3944" s="41"/>
      <c r="AU3944" s="73"/>
    </row>
    <row r="3945" spans="15:47" ht="13" x14ac:dyDescent="0.3">
      <c r="O3945" s="1" t="s">
        <v>72</v>
      </c>
      <c r="P3945" s="17">
        <v>7</v>
      </c>
      <c r="Q3945" s="65"/>
      <c r="R3945" s="53">
        <f>(R3938/(N_1*F_P_h))*SQRT('Valve Sizing'!$G$6/R3943)</f>
        <v>184.88199739302053</v>
      </c>
      <c r="S3945" s="56"/>
      <c r="T3945" s="72"/>
      <c r="U3945" s="85">
        <f>(U3938/(N_1*U$27))*SQRT('Valve Sizing'!$G$6/U3943)</f>
        <v>212.94353767424548</v>
      </c>
      <c r="V3945" s="44"/>
      <c r="W3945" s="72"/>
      <c r="X3945" s="85" t="e">
        <f>(X3938/(N_1*X$27))*SQRT('Valve Sizing'!$G$6/X3943)</f>
        <v>#NUM!</v>
      </c>
      <c r="Y3945" s="44"/>
      <c r="Z3945" s="72"/>
      <c r="AA3945" s="85" t="e">
        <f>(AA3938/(N_1*AA$27))*SQRT('Valve Sizing'!$G$6/AA3943)</f>
        <v>#NUM!</v>
      </c>
      <c r="AB3945" s="44"/>
      <c r="AC3945" s="72"/>
      <c r="AD3945" s="85" t="e">
        <f>(AD3938/(N_1*AD$27))*SQRT('Valve Sizing'!$G$6/AD3943)</f>
        <v>#NUM!</v>
      </c>
      <c r="AE3945" s="44"/>
      <c r="AF3945" s="72"/>
      <c r="AG3945" s="85" t="e">
        <f>(AG3938/(N_1*AG$27))*SQRT('Valve Sizing'!$G$6/AG3943)</f>
        <v>#NUM!</v>
      </c>
      <c r="AH3945" s="44"/>
      <c r="AI3945" s="72"/>
      <c r="AJ3945" s="85" t="e">
        <f>(AJ3938/(N_1*AJ$27))*SQRT('Valve Sizing'!$G$6/AJ3943)</f>
        <v>#NUM!</v>
      </c>
      <c r="AK3945" s="44"/>
      <c r="AL3945" s="72"/>
      <c r="AM3945" s="85" t="e">
        <f>(AM3938/(N_1*AM$27))*SQRT('Valve Sizing'!$G$6/AM3943)</f>
        <v>#NUM!</v>
      </c>
      <c r="AN3945" s="44"/>
      <c r="AO3945" s="72"/>
      <c r="AP3945" s="85" t="e">
        <f>(AP3938/(N_1*AP$27))*SQRT('Valve Sizing'!$G$6/AP3943)</f>
        <v>#NUM!</v>
      </c>
      <c r="AQ3945" s="44"/>
      <c r="AR3945" s="72"/>
      <c r="AS3945" s="85" t="e">
        <f>(AS3938/(N_1*AS$27))*SQRT('Valve Sizing'!$G$6/AS3943)</f>
        <v>#NUM!</v>
      </c>
      <c r="AT3945" s="44"/>
      <c r="AU3945" s="72"/>
    </row>
    <row r="3946" spans="15:47" x14ac:dyDescent="0.25">
      <c r="O3946" s="1" t="s">
        <v>246</v>
      </c>
      <c r="P3946" s="18"/>
      <c r="Q3946" s="65"/>
      <c r="R3946" s="53" t="e">
        <f>IF(R3942&lt;R3943,R3944,R3945)</f>
        <v>#NUM!</v>
      </c>
      <c r="S3946" s="49"/>
      <c r="T3946" s="72"/>
      <c r="U3946" s="64" t="e">
        <f>IF(U3942&lt;U3943,U3944,U3945)</f>
        <v>#NUM!</v>
      </c>
      <c r="V3946" s="44"/>
      <c r="W3946" s="72"/>
      <c r="X3946" s="64" t="e">
        <f>IF(X3942&lt;X3943,X3944,X3945)</f>
        <v>#NUM!</v>
      </c>
      <c r="Y3946" s="44"/>
      <c r="Z3946" s="72"/>
      <c r="AA3946" s="64" t="e">
        <f>IF(AA3942&lt;AA3943,AA3944,AA3945)</f>
        <v>#NUM!</v>
      </c>
      <c r="AB3946" s="44"/>
      <c r="AC3946" s="72"/>
      <c r="AD3946" s="64" t="e">
        <f>IF(AD3942&lt;AD3943,AD3944,AD3945)</f>
        <v>#NUM!</v>
      </c>
      <c r="AE3946" s="44"/>
      <c r="AF3946" s="72"/>
      <c r="AG3946" s="64" t="e">
        <f>IF(AG3942&lt;AG3943,AG3944,AG3945)</f>
        <v>#NUM!</v>
      </c>
      <c r="AH3946" s="44"/>
      <c r="AI3946" s="72"/>
      <c r="AJ3946" s="64" t="e">
        <f>IF(AJ3942&lt;AJ3943,AJ3944,AJ3945)</f>
        <v>#NUM!</v>
      </c>
      <c r="AK3946" s="44"/>
      <c r="AL3946" s="72"/>
      <c r="AM3946" s="64" t="e">
        <f>IF(AM3942&lt;AM3943,AM3944,AM3945)</f>
        <v>#NUM!</v>
      </c>
      <c r="AN3946" s="44"/>
      <c r="AO3946" s="72"/>
      <c r="AP3946" s="64" t="e">
        <f>IF(AP3942&lt;AP3943,AP3944,AP3945)</f>
        <v>#NUM!</v>
      </c>
      <c r="AQ3946" s="44"/>
      <c r="AR3946" s="72"/>
      <c r="AS3946" s="64" t="e">
        <f>IF(AS3942&lt;AS3943,AS3944,AS3945)</f>
        <v>#NUM!</v>
      </c>
      <c r="AT3946" s="44"/>
      <c r="AU3946" s="72"/>
    </row>
    <row r="3947" spans="15:47" ht="13" x14ac:dyDescent="0.3">
      <c r="O3947" s="7" t="s">
        <v>264</v>
      </c>
      <c r="Q3947" s="61"/>
      <c r="R3947" s="53"/>
      <c r="S3947" s="69">
        <f>IFERROR(ABS(C_h-R3946),Q_max*10)</f>
        <v>5500</v>
      </c>
      <c r="T3947" s="76">
        <f>R3938</f>
        <v>903.96364043865162</v>
      </c>
      <c r="U3947" s="61"/>
      <c r="V3947" s="69">
        <f>IFERROR(ABS(U$23-U3946),Q_max*10)</f>
        <v>5500</v>
      </c>
      <c r="W3947" s="75">
        <f>U3938</f>
        <v>966.51499654725694</v>
      </c>
      <c r="X3947" s="61"/>
      <c r="Y3947" s="69">
        <f>IFERROR(ABS(X$23-X3946),Q_max*10)</f>
        <v>5500</v>
      </c>
      <c r="Z3947" s="75">
        <f>X3938</f>
        <v>2320.0080394896345</v>
      </c>
      <c r="AA3947" s="61"/>
      <c r="AB3947" s="69">
        <f>IFERROR(ABS(AA$23-AA3946),Q_max*10)</f>
        <v>5500</v>
      </c>
      <c r="AC3947" s="75">
        <f>AA3938</f>
        <v>4429.7456028965835</v>
      </c>
      <c r="AD3947" s="61"/>
      <c r="AE3947" s="69">
        <f>IFERROR(ABS(AD$23-AD3946),Q_max*10)</f>
        <v>5500</v>
      </c>
      <c r="AF3947" s="75">
        <f>AD3938</f>
        <v>7285.3005811967332</v>
      </c>
      <c r="AG3947" s="61"/>
      <c r="AH3947" s="69">
        <f>IFERROR(ABS(AG$23-AG3946),Q_max*10)</f>
        <v>5500</v>
      </c>
      <c r="AI3947" s="75">
        <f>AG3938</f>
        <v>10846.81982363301</v>
      </c>
      <c r="AJ3947" s="61"/>
      <c r="AK3947" s="69">
        <f>IFERROR(ABS(AJ$23-AJ3946),Q_max*10)</f>
        <v>5500</v>
      </c>
      <c r="AL3947" s="75">
        <f>AJ3938</f>
        <v>14475.123103064569</v>
      </c>
      <c r="AM3947" s="61"/>
      <c r="AN3947" s="69">
        <f>IFERROR(ABS(AM$23-AM3946),Q_max*10)</f>
        <v>5500</v>
      </c>
      <c r="AO3947" s="75">
        <f>AM3938</f>
        <v>17662.401037380099</v>
      </c>
      <c r="AP3947" s="61"/>
      <c r="AQ3947" s="69">
        <f>IFERROR(ABS(AP$23-AP3946),Q_max*10)</f>
        <v>5500</v>
      </c>
      <c r="AR3947" s="75">
        <f>AP3938</f>
        <v>20505.499281693159</v>
      </c>
      <c r="AS3947" s="61"/>
      <c r="AT3947" s="69">
        <f>IFERROR(ABS(AS$23-AS3946),Q_max*10)</f>
        <v>5500</v>
      </c>
      <c r="AU3947" s="75">
        <f>AS3938</f>
        <v>23337.170944424626</v>
      </c>
    </row>
    <row r="3948" spans="15:47" ht="14.5" x14ac:dyDescent="0.35">
      <c r="O3948" s="6"/>
      <c r="P3948" s="6"/>
      <c r="Q3948" s="60"/>
      <c r="R3948" s="67"/>
      <c r="S3948" s="58"/>
      <c r="T3948" s="73"/>
      <c r="V3948" s="11"/>
      <c r="W3948" s="38"/>
      <c r="Y3948" s="11"/>
      <c r="Z3948" s="38"/>
      <c r="AB3948" s="11"/>
      <c r="AC3948" s="38"/>
      <c r="AE3948" s="11"/>
      <c r="AF3948" s="38"/>
      <c r="AH3948" s="11"/>
      <c r="AI3948" s="38"/>
      <c r="AK3948" s="11"/>
      <c r="AL3948" s="38"/>
      <c r="AN3948" s="11"/>
      <c r="AO3948" s="38"/>
      <c r="AQ3948" s="11"/>
      <c r="AR3948" s="38"/>
      <c r="AT3948" s="11"/>
      <c r="AU3948" s="38"/>
    </row>
    <row r="3949" spans="15:47" ht="14" x14ac:dyDescent="0.3">
      <c r="O3949" s="8" t="s">
        <v>235</v>
      </c>
      <c r="P3949" s="6"/>
      <c r="Q3949" s="60"/>
      <c r="R3949" s="53">
        <f>R3938*1.02</f>
        <v>922.04291324742462</v>
      </c>
      <c r="S3949" s="58" t="s">
        <v>238</v>
      </c>
      <c r="T3949" s="73" t="s">
        <v>241</v>
      </c>
      <c r="U3949" s="84">
        <f>U3938*1.01</f>
        <v>976.18014651272949</v>
      </c>
      <c r="V3949" s="58" t="s">
        <v>238</v>
      </c>
      <c r="W3949" s="73" t="s">
        <v>241</v>
      </c>
      <c r="X3949" s="84">
        <f>X3938*1.01</f>
        <v>2343.2081198845308</v>
      </c>
      <c r="Y3949" s="58" t="s">
        <v>238</v>
      </c>
      <c r="Z3949" s="73" t="s">
        <v>241</v>
      </c>
      <c r="AA3949" s="84">
        <f>AA3938*1.01</f>
        <v>4474.0430589255493</v>
      </c>
      <c r="AB3949" s="58" t="s">
        <v>238</v>
      </c>
      <c r="AC3949" s="73" t="s">
        <v>241</v>
      </c>
      <c r="AD3949" s="84">
        <f>AD3938*1.01</f>
        <v>7358.1535870087009</v>
      </c>
      <c r="AE3949" s="58" t="s">
        <v>238</v>
      </c>
      <c r="AF3949" s="73" t="s">
        <v>241</v>
      </c>
      <c r="AG3949" s="84">
        <f>AG3938*1.01</f>
        <v>10955.288021869341</v>
      </c>
      <c r="AH3949" s="58" t="s">
        <v>238</v>
      </c>
      <c r="AI3949" s="73" t="s">
        <v>241</v>
      </c>
      <c r="AJ3949" s="84">
        <f>AJ3938*1.01</f>
        <v>14619.874334095215</v>
      </c>
      <c r="AK3949" s="58" t="s">
        <v>238</v>
      </c>
      <c r="AL3949" s="73" t="s">
        <v>241</v>
      </c>
      <c r="AM3949" s="84">
        <f>AM3938*1.01</f>
        <v>17839.025047753901</v>
      </c>
      <c r="AN3949" s="58" t="s">
        <v>238</v>
      </c>
      <c r="AO3949" s="73" t="s">
        <v>241</v>
      </c>
      <c r="AP3949" s="84">
        <f>AP3938*1.01</f>
        <v>20710.55427451009</v>
      </c>
      <c r="AQ3949" s="58" t="s">
        <v>238</v>
      </c>
      <c r="AR3949" s="73" t="s">
        <v>241</v>
      </c>
      <c r="AS3949" s="84">
        <f>AS3938*1.01</f>
        <v>23570.542653868873</v>
      </c>
      <c r="AT3949" s="58" t="s">
        <v>238</v>
      </c>
      <c r="AU3949" s="73" t="s">
        <v>241</v>
      </c>
    </row>
    <row r="3950" spans="15:47" ht="13" x14ac:dyDescent="0.25">
      <c r="O3950" s="6"/>
      <c r="P3950" s="6"/>
      <c r="Q3950" s="60"/>
      <c r="R3950" s="70"/>
      <c r="S3950" s="63" t="s">
        <v>250</v>
      </c>
      <c r="T3950" s="71" t="s">
        <v>242</v>
      </c>
      <c r="U3950" s="61"/>
      <c r="V3950" s="63" t="s">
        <v>250</v>
      </c>
      <c r="W3950" s="71" t="s">
        <v>242</v>
      </c>
      <c r="X3950" s="61"/>
      <c r="Y3950" s="63" t="s">
        <v>250</v>
      </c>
      <c r="Z3950" s="71" t="s">
        <v>242</v>
      </c>
      <c r="AA3950" s="61"/>
      <c r="AB3950" s="63" t="s">
        <v>250</v>
      </c>
      <c r="AC3950" s="71" t="s">
        <v>242</v>
      </c>
      <c r="AD3950" s="61"/>
      <c r="AE3950" s="63" t="s">
        <v>250</v>
      </c>
      <c r="AF3950" s="71" t="s">
        <v>242</v>
      </c>
      <c r="AG3950" s="61"/>
      <c r="AH3950" s="63" t="s">
        <v>250</v>
      </c>
      <c r="AI3950" s="71" t="s">
        <v>242</v>
      </c>
      <c r="AJ3950" s="61"/>
      <c r="AK3950" s="63" t="s">
        <v>250</v>
      </c>
      <c r="AL3950" s="71" t="s">
        <v>242</v>
      </c>
      <c r="AM3950" s="61"/>
      <c r="AN3950" s="63" t="s">
        <v>250</v>
      </c>
      <c r="AO3950" s="71" t="s">
        <v>242</v>
      </c>
      <c r="AP3950" s="61"/>
      <c r="AQ3950" s="63" t="s">
        <v>250</v>
      </c>
      <c r="AR3950" s="71" t="s">
        <v>242</v>
      </c>
      <c r="AS3950" s="61"/>
      <c r="AT3950" s="63" t="s">
        <v>250</v>
      </c>
      <c r="AU3950" s="71" t="s">
        <v>242</v>
      </c>
    </row>
    <row r="3951" spans="15:47" ht="13" x14ac:dyDescent="0.3">
      <c r="O3951" s="6" t="s">
        <v>231</v>
      </c>
      <c r="P3951" s="6"/>
      <c r="Q3951" s="60"/>
      <c r="R3951" s="85">
        <f>P_1_minQ-(R3949^2*R_up)+dpup_minQ</f>
        <v>28.204115708551242</v>
      </c>
      <c r="S3951" s="56"/>
      <c r="T3951" s="72"/>
      <c r="U3951" s="53">
        <f>P_1_minQ-(U3949^2*R_up)+dpup_minQ</f>
        <v>24.733513054859369</v>
      </c>
      <c r="V3951" s="44"/>
      <c r="W3951" s="72"/>
      <c r="X3951" s="53">
        <f>P_1_minQ-(X3949^2*R_up)+dpup_minQ</f>
        <v>-128.51527501157713</v>
      </c>
      <c r="Y3951" s="44"/>
      <c r="Z3951" s="72"/>
      <c r="AA3951" s="53">
        <f>P_1_minQ-(AA3949^2*R_up)+dpup_minQ</f>
        <v>-619.10754113880057</v>
      </c>
      <c r="AB3951" s="44"/>
      <c r="AC3951" s="72"/>
      <c r="AD3951" s="53">
        <f>P_1_minQ-(AD3949^2*R_up)+dpup_minQ</f>
        <v>-1771.6020672073289</v>
      </c>
      <c r="AE3951" s="44"/>
      <c r="AF3951" s="72"/>
      <c r="AG3951" s="53">
        <f>P_1_minQ-(AG3949^2*R_up)+dpup_minQ</f>
        <v>-3996.387998720495</v>
      </c>
      <c r="AH3951" s="44"/>
      <c r="AI3951" s="72"/>
      <c r="AJ3951" s="53">
        <f>P_1_minQ-(AJ3949^2*R_up)+dpup_minQ</f>
        <v>-7161.6156212339083</v>
      </c>
      <c r="AK3951" s="44"/>
      <c r="AL3951" s="72"/>
      <c r="AM3951" s="53">
        <f>P_1_minQ-(AM3949^2*R_up)+dpup_minQ</f>
        <v>-10690.494010617733</v>
      </c>
      <c r="AN3951" s="44"/>
      <c r="AO3951" s="72"/>
      <c r="AP3951" s="53">
        <f>P_1_minQ-(AP3949^2*R_up)+dpup_minQ</f>
        <v>-14428.968975259311</v>
      </c>
      <c r="AQ3951" s="44"/>
      <c r="AR3951" s="72"/>
      <c r="AS3951" s="53">
        <f>P_1_minQ-(AS3949^2*R_up)+dpup_minQ</f>
        <v>-18706.01803437528</v>
      </c>
      <c r="AT3951" s="44"/>
      <c r="AU3951" s="72"/>
    </row>
    <row r="3952" spans="15:47" ht="13" x14ac:dyDescent="0.3">
      <c r="O3952" s="6" t="s">
        <v>233</v>
      </c>
      <c r="P3952" s="6"/>
      <c r="Q3952" s="60"/>
      <c r="R3952" s="85">
        <f>P_2_minQ+(R3949^2*R_dn)-dpdn_minQ</f>
        <v>30.399176858289753</v>
      </c>
      <c r="S3952" s="66"/>
      <c r="T3952" s="74"/>
      <c r="U3952" s="53">
        <f>P_2_minQ+(U3949^2*R_dn)-dpdn_minQ</f>
        <v>31.093297389028127</v>
      </c>
      <c r="V3952" s="45"/>
      <c r="W3952" s="74"/>
      <c r="X3952" s="53">
        <f>P_2_minQ+(X3949^2*R_dn)-dpdn_minQ</f>
        <v>61.743055002315423</v>
      </c>
      <c r="Y3952" s="45"/>
      <c r="Z3952" s="74"/>
      <c r="AA3952" s="53">
        <f>P_2_minQ+(AA3949^2*R_dn)-dpdn_minQ</f>
        <v>159.86150822776014</v>
      </c>
      <c r="AB3952" s="45"/>
      <c r="AC3952" s="74"/>
      <c r="AD3952" s="53">
        <f>P_2_minQ+(AD3949^2*R_dn)-dpdn_minQ</f>
        <v>390.36041344146571</v>
      </c>
      <c r="AE3952" s="45"/>
      <c r="AF3952" s="74"/>
      <c r="AG3952" s="53">
        <f>P_2_minQ+(AG3949^2*R_dn)-dpdn_minQ</f>
        <v>835.31759974409897</v>
      </c>
      <c r="AH3952" s="45"/>
      <c r="AI3952" s="74"/>
      <c r="AJ3952" s="53">
        <f>P_2_minQ+(AJ3949^2*R_dn)-dpdn_minQ</f>
        <v>1468.3631242467816</v>
      </c>
      <c r="AK3952" s="45"/>
      <c r="AL3952" s="74"/>
      <c r="AM3952" s="53">
        <f>P_2_minQ+(AM3949^2*R_dn)-dpdn_minQ</f>
        <v>2174.1388021235462</v>
      </c>
      <c r="AN3952" s="45"/>
      <c r="AO3952" s="74"/>
      <c r="AP3952" s="53">
        <f>P_2_minQ+(AP3949^2*R_dn)-dpdn_minQ</f>
        <v>2921.8337950518621</v>
      </c>
      <c r="AQ3952" s="45"/>
      <c r="AR3952" s="74"/>
      <c r="AS3952" s="53">
        <f>P_2_minQ+(AS3949^2*R_dn)-dpdn_minQ</f>
        <v>3777.2436068750553</v>
      </c>
      <c r="AT3952" s="45"/>
      <c r="AU3952" s="74"/>
    </row>
    <row r="3953" spans="15:47" x14ac:dyDescent="0.25">
      <c r="O3953" s="6" t="s">
        <v>243</v>
      </c>
      <c r="Q3953" s="60"/>
      <c r="R3953" s="53">
        <f>R3951-R3952</f>
        <v>-2.1950611497385104</v>
      </c>
      <c r="S3953" s="56"/>
      <c r="T3953" s="72"/>
      <c r="U3953" s="64">
        <f>U3951-U3952</f>
        <v>-6.3597843341687579</v>
      </c>
      <c r="V3953" s="44"/>
      <c r="W3953" s="72"/>
      <c r="X3953" s="64">
        <f>X3951-X3952</f>
        <v>-190.25833001389256</v>
      </c>
      <c r="Y3953" s="44"/>
      <c r="Z3953" s="72"/>
      <c r="AA3953" s="64">
        <f>AA3951-AA3952</f>
        <v>-778.96904936656074</v>
      </c>
      <c r="AB3953" s="44"/>
      <c r="AC3953" s="72"/>
      <c r="AD3953" s="64">
        <f>AD3951-AD3952</f>
        <v>-2161.9624806487946</v>
      </c>
      <c r="AE3953" s="44"/>
      <c r="AF3953" s="72"/>
      <c r="AG3953" s="64">
        <f>AG3951-AG3952</f>
        <v>-4831.705598464594</v>
      </c>
      <c r="AH3953" s="44"/>
      <c r="AI3953" s="72"/>
      <c r="AJ3953" s="64">
        <f>AJ3951-AJ3952</f>
        <v>-8629.9787454806901</v>
      </c>
      <c r="AK3953" s="44"/>
      <c r="AL3953" s="72"/>
      <c r="AM3953" s="64">
        <f>AM3951-AM3952</f>
        <v>-12864.632812741278</v>
      </c>
      <c r="AN3953" s="44"/>
      <c r="AO3953" s="72"/>
      <c r="AP3953" s="64">
        <f>AP3951-AP3952</f>
        <v>-17350.802770311173</v>
      </c>
      <c r="AQ3953" s="44"/>
      <c r="AR3953" s="72"/>
      <c r="AS3953" s="64">
        <f>AS3951-AS3952</f>
        <v>-22483.261641250334</v>
      </c>
      <c r="AT3953" s="44"/>
      <c r="AU3953" s="72"/>
    </row>
    <row r="3954" spans="15:47" ht="13" x14ac:dyDescent="0.3">
      <c r="O3954" s="6" t="s">
        <v>75</v>
      </c>
      <c r="P3954" s="6">
        <v>3</v>
      </c>
      <c r="Q3954" s="65"/>
      <c r="R3954" s="85">
        <f>(F_LP_h/F_P_h)^2*(R3951-('Valve Sizing'!$V$4*'Valve Sizing'!$G$7))</f>
        <v>22.990097390485836</v>
      </c>
      <c r="S3954" s="58"/>
      <c r="T3954" s="73"/>
      <c r="U3954" s="53">
        <f>(U$29/U$27)^2*(U3951-('Valve Sizing'!$V$4*'Valve Sizing'!$G$7))</f>
        <v>20.110773361089876</v>
      </c>
      <c r="V3954" s="41"/>
      <c r="W3954" s="73"/>
      <c r="X3954" s="53">
        <f>(X$29/X$27)^2*(X3951-('Valve Sizing'!$V$4*'Valve Sizing'!$G$7))</f>
        <v>-104.34466714985415</v>
      </c>
      <c r="Y3954" s="41"/>
      <c r="Z3954" s="73"/>
      <c r="AA3954" s="53">
        <f>(AA$29/AA$27)^2*(AA3951-('Valve Sizing'!$V$4*'Valve Sizing'!$G$7))</f>
        <v>-478.78466285477128</v>
      </c>
      <c r="AB3954" s="41"/>
      <c r="AC3954" s="73"/>
      <c r="AD3954" s="53">
        <f>(AD$29/AD$27)^2*(AD3951-('Valve Sizing'!$V$4*'Valve Sizing'!$G$7))</f>
        <v>-1277.9744654456315</v>
      </c>
      <c r="AE3954" s="41"/>
      <c r="AF3954" s="73"/>
      <c r="AG3954" s="53">
        <f>(AG$29/AG$27)^2*(AG3951-('Valve Sizing'!$V$4*'Valve Sizing'!$G$7))</f>
        <v>-2574.1329336365361</v>
      </c>
      <c r="AH3954" s="41"/>
      <c r="AI3954" s="73"/>
      <c r="AJ3954" s="53">
        <f>(AJ$29/AJ$27)^2*(AJ3951-('Valve Sizing'!$V$4*'Valve Sizing'!$G$7))</f>
        <v>-4142.2775722980314</v>
      </c>
      <c r="AK3954" s="41"/>
      <c r="AL3954" s="73"/>
      <c r="AM3954" s="53">
        <f>(AM$29/AM$27)^2*(AM3951-('Valve Sizing'!$V$4*'Valve Sizing'!$G$7))</f>
        <v>-5115.3142017260388</v>
      </c>
      <c r="AN3954" s="41"/>
      <c r="AO3954" s="73"/>
      <c r="AP3954" s="53">
        <f>(AP$29/AP$27)^2*(AP3951-('Valve Sizing'!$V$4*'Valve Sizing'!$G$7))</f>
        <v>-5694.2319073211156</v>
      </c>
      <c r="AQ3954" s="41"/>
      <c r="AR3954" s="73"/>
      <c r="AS3954" s="53">
        <f>(AS$29/AS$27)^2*(AS3951-('Valve Sizing'!$V$4*'Valve Sizing'!$G$7))</f>
        <v>-7036.2620016113397</v>
      </c>
      <c r="AT3954" s="41"/>
      <c r="AU3954" s="73"/>
    </row>
    <row r="3955" spans="15:47" ht="13" x14ac:dyDescent="0.25">
      <c r="O3955" s="1" t="s">
        <v>69</v>
      </c>
      <c r="P3955" s="17">
        <v>7</v>
      </c>
      <c r="Q3955" s="65"/>
      <c r="R3955" s="53" t="e">
        <f>(R3949/(N_1*F_P_h))*SQRT('Valve Sizing'!$G$6/R3953)</f>
        <v>#NUM!</v>
      </c>
      <c r="S3955" s="58"/>
      <c r="T3955" s="73"/>
      <c r="U3955" s="64" t="e">
        <f>(U3949/(N_1*U$27))*SQRT('Valve Sizing'!$G$6/U3953)</f>
        <v>#NUM!</v>
      </c>
      <c r="V3955" s="41"/>
      <c r="W3955" s="73"/>
      <c r="X3955" s="64" t="e">
        <f>(X3949/(N_1*X$27))*SQRT('Valve Sizing'!$G$6/X3953)</f>
        <v>#NUM!</v>
      </c>
      <c r="Y3955" s="41"/>
      <c r="Z3955" s="73"/>
      <c r="AA3955" s="64" t="e">
        <f>(AA3949/(N_1*AA$27))*SQRT('Valve Sizing'!$G$6/AA3953)</f>
        <v>#NUM!</v>
      </c>
      <c r="AB3955" s="41"/>
      <c r="AC3955" s="73"/>
      <c r="AD3955" s="64" t="e">
        <f>(AD3949/(N_1*AD$27))*SQRT('Valve Sizing'!$G$6/AD3953)</f>
        <v>#NUM!</v>
      </c>
      <c r="AE3955" s="41"/>
      <c r="AF3955" s="73"/>
      <c r="AG3955" s="64" t="e">
        <f>(AG3949/(N_1*AG$27))*SQRT('Valve Sizing'!$G$6/AG3953)</f>
        <v>#NUM!</v>
      </c>
      <c r="AH3955" s="41"/>
      <c r="AI3955" s="73"/>
      <c r="AJ3955" s="64" t="e">
        <f>(AJ3949/(N_1*AJ$27))*SQRT('Valve Sizing'!$G$6/AJ3953)</f>
        <v>#NUM!</v>
      </c>
      <c r="AK3955" s="41"/>
      <c r="AL3955" s="73"/>
      <c r="AM3955" s="64" t="e">
        <f>(AM3949/(N_1*AM$27))*SQRT('Valve Sizing'!$G$6/AM3953)</f>
        <v>#NUM!</v>
      </c>
      <c r="AN3955" s="41"/>
      <c r="AO3955" s="73"/>
      <c r="AP3955" s="64" t="e">
        <f>(AP3949/(N_1*AP$27))*SQRT('Valve Sizing'!$G$6/AP3953)</f>
        <v>#NUM!</v>
      </c>
      <c r="AQ3955" s="41"/>
      <c r="AR3955" s="73"/>
      <c r="AS3955" s="64" t="e">
        <f>(AS3949/(N_1*AS$27))*SQRT('Valve Sizing'!$G$6/AS3953)</f>
        <v>#NUM!</v>
      </c>
      <c r="AT3955" s="41"/>
      <c r="AU3955" s="73"/>
    </row>
    <row r="3956" spans="15:47" ht="13" x14ac:dyDescent="0.3">
      <c r="O3956" s="1" t="s">
        <v>72</v>
      </c>
      <c r="P3956" s="17">
        <v>7</v>
      </c>
      <c r="Q3956" s="65"/>
      <c r="R3956" s="53">
        <f>(R3949/(N_1*F_P_h))*SQRT('Valve Sizing'!$G$6/R3954)</f>
        <v>192.32877141300577</v>
      </c>
      <c r="S3956" s="56"/>
      <c r="T3956" s="72"/>
      <c r="U3956" s="85">
        <f>(U3949/(N_1*U$27))*SQRT('Valve Sizing'!$G$6/U3954)</f>
        <v>217.86188418470908</v>
      </c>
      <c r="V3956" s="44"/>
      <c r="W3956" s="72"/>
      <c r="X3956" s="85" t="e">
        <f>(X3949/(N_1*X$27))*SQRT('Valve Sizing'!$G$6/X3954)</f>
        <v>#NUM!</v>
      </c>
      <c r="Y3956" s="44"/>
      <c r="Z3956" s="72"/>
      <c r="AA3956" s="85" t="e">
        <f>(AA3949/(N_1*AA$27))*SQRT('Valve Sizing'!$G$6/AA3954)</f>
        <v>#NUM!</v>
      </c>
      <c r="AB3956" s="44"/>
      <c r="AC3956" s="72"/>
      <c r="AD3956" s="85" t="e">
        <f>(AD3949/(N_1*AD$27))*SQRT('Valve Sizing'!$G$6/AD3954)</f>
        <v>#NUM!</v>
      </c>
      <c r="AE3956" s="44"/>
      <c r="AF3956" s="72"/>
      <c r="AG3956" s="85" t="e">
        <f>(AG3949/(N_1*AG$27))*SQRT('Valve Sizing'!$G$6/AG3954)</f>
        <v>#NUM!</v>
      </c>
      <c r="AH3956" s="44"/>
      <c r="AI3956" s="72"/>
      <c r="AJ3956" s="85" t="e">
        <f>(AJ3949/(N_1*AJ$27))*SQRT('Valve Sizing'!$G$6/AJ3954)</f>
        <v>#NUM!</v>
      </c>
      <c r="AK3956" s="44"/>
      <c r="AL3956" s="72"/>
      <c r="AM3956" s="85" t="e">
        <f>(AM3949/(N_1*AM$27))*SQRT('Valve Sizing'!$G$6/AM3954)</f>
        <v>#NUM!</v>
      </c>
      <c r="AN3956" s="44"/>
      <c r="AO3956" s="72"/>
      <c r="AP3956" s="85" t="e">
        <f>(AP3949/(N_1*AP$27))*SQRT('Valve Sizing'!$G$6/AP3954)</f>
        <v>#NUM!</v>
      </c>
      <c r="AQ3956" s="44"/>
      <c r="AR3956" s="72"/>
      <c r="AS3956" s="85" t="e">
        <f>(AS3949/(N_1*AS$27))*SQRT('Valve Sizing'!$G$6/AS3954)</f>
        <v>#NUM!</v>
      </c>
      <c r="AT3956" s="44"/>
      <c r="AU3956" s="72"/>
    </row>
    <row r="3957" spans="15:47" x14ac:dyDescent="0.25">
      <c r="O3957" s="1" t="s">
        <v>246</v>
      </c>
      <c r="P3957" s="18"/>
      <c r="Q3957" s="65"/>
      <c r="R3957" s="53" t="e">
        <f>IF(R3953&lt;R3954,R3955,R3956)</f>
        <v>#NUM!</v>
      </c>
      <c r="S3957" s="49"/>
      <c r="T3957" s="72"/>
      <c r="U3957" s="64" t="e">
        <f>IF(U3953&lt;U3954,U3955,U3956)</f>
        <v>#NUM!</v>
      </c>
      <c r="V3957" s="44"/>
      <c r="W3957" s="72"/>
      <c r="X3957" s="64" t="e">
        <f>IF(X3953&lt;X3954,X3955,X3956)</f>
        <v>#NUM!</v>
      </c>
      <c r="Y3957" s="44"/>
      <c r="Z3957" s="72"/>
      <c r="AA3957" s="64" t="e">
        <f>IF(AA3953&lt;AA3954,AA3955,AA3956)</f>
        <v>#NUM!</v>
      </c>
      <c r="AB3957" s="44"/>
      <c r="AC3957" s="72"/>
      <c r="AD3957" s="64" t="e">
        <f>IF(AD3953&lt;AD3954,AD3955,AD3956)</f>
        <v>#NUM!</v>
      </c>
      <c r="AE3957" s="44"/>
      <c r="AF3957" s="72"/>
      <c r="AG3957" s="64" t="e">
        <f>IF(AG3953&lt;AG3954,AG3955,AG3956)</f>
        <v>#NUM!</v>
      </c>
      <c r="AH3957" s="44"/>
      <c r="AI3957" s="72"/>
      <c r="AJ3957" s="64" t="e">
        <f>IF(AJ3953&lt;AJ3954,AJ3955,AJ3956)</f>
        <v>#NUM!</v>
      </c>
      <c r="AK3957" s="44"/>
      <c r="AL3957" s="72"/>
      <c r="AM3957" s="64" t="e">
        <f>IF(AM3953&lt;AM3954,AM3955,AM3956)</f>
        <v>#NUM!</v>
      </c>
      <c r="AN3957" s="44"/>
      <c r="AO3957" s="72"/>
      <c r="AP3957" s="64" t="e">
        <f>IF(AP3953&lt;AP3954,AP3955,AP3956)</f>
        <v>#NUM!</v>
      </c>
      <c r="AQ3957" s="44"/>
      <c r="AR3957" s="72"/>
      <c r="AS3957" s="64" t="e">
        <f>IF(AS3953&lt;AS3954,AS3955,AS3956)</f>
        <v>#NUM!</v>
      </c>
      <c r="AT3957" s="44"/>
      <c r="AU3957" s="72"/>
    </row>
    <row r="3958" spans="15:47" ht="13" x14ac:dyDescent="0.3">
      <c r="O3958" s="7" t="s">
        <v>264</v>
      </c>
      <c r="Q3958" s="61"/>
      <c r="R3958" s="53"/>
      <c r="S3958" s="69">
        <f>IFERROR(ABS(C_h-R3957),Q_max*10)</f>
        <v>5500</v>
      </c>
      <c r="T3958" s="76">
        <f>R3949</f>
        <v>922.04291324742462</v>
      </c>
      <c r="U3958" s="61"/>
      <c r="V3958" s="69">
        <f>IFERROR(ABS(U$23-U3957),Q_max*10)</f>
        <v>5500</v>
      </c>
      <c r="W3958" s="75">
        <f>U3949</f>
        <v>976.18014651272949</v>
      </c>
      <c r="X3958" s="61"/>
      <c r="Y3958" s="69">
        <f>IFERROR(ABS(X$23-X3957),Q_max*10)</f>
        <v>5500</v>
      </c>
      <c r="Z3958" s="75">
        <f>X3949</f>
        <v>2343.2081198845308</v>
      </c>
      <c r="AA3958" s="61"/>
      <c r="AB3958" s="69">
        <f>IFERROR(ABS(AA$23-AA3957),Q_max*10)</f>
        <v>5500</v>
      </c>
      <c r="AC3958" s="75">
        <f>AA3949</f>
        <v>4474.0430589255493</v>
      </c>
      <c r="AD3958" s="61"/>
      <c r="AE3958" s="69">
        <f>IFERROR(ABS(AD$23-AD3957),Q_max*10)</f>
        <v>5500</v>
      </c>
      <c r="AF3958" s="75">
        <f>AD3949</f>
        <v>7358.1535870087009</v>
      </c>
      <c r="AG3958" s="61"/>
      <c r="AH3958" s="69">
        <f>IFERROR(ABS(AG$23-AG3957),Q_max*10)</f>
        <v>5500</v>
      </c>
      <c r="AI3958" s="75">
        <f>AG3949</f>
        <v>10955.288021869341</v>
      </c>
      <c r="AJ3958" s="61"/>
      <c r="AK3958" s="69">
        <f>IFERROR(ABS(AJ$23-AJ3957),Q_max*10)</f>
        <v>5500</v>
      </c>
      <c r="AL3958" s="75">
        <f>AJ3949</f>
        <v>14619.874334095215</v>
      </c>
      <c r="AM3958" s="61"/>
      <c r="AN3958" s="69">
        <f>IFERROR(ABS(AM$23-AM3957),Q_max*10)</f>
        <v>5500</v>
      </c>
      <c r="AO3958" s="75">
        <f>AM3949</f>
        <v>17839.025047753901</v>
      </c>
      <c r="AP3958" s="61"/>
      <c r="AQ3958" s="69">
        <f>IFERROR(ABS(AP$23-AP3957),Q_max*10)</f>
        <v>5500</v>
      </c>
      <c r="AR3958" s="75">
        <f>AP3949</f>
        <v>20710.55427451009</v>
      </c>
      <c r="AS3958" s="61"/>
      <c r="AT3958" s="69">
        <f>IFERROR(ABS(AS$23-AS3957),Q_max*10)</f>
        <v>5500</v>
      </c>
      <c r="AU3958" s="75">
        <f>AS3949</f>
        <v>23570.542653868873</v>
      </c>
    </row>
    <row r="3959" spans="15:47" ht="14.5" x14ac:dyDescent="0.35">
      <c r="O3959" s="8"/>
      <c r="P3959" s="6"/>
      <c r="Q3959" s="60"/>
      <c r="R3959" s="67"/>
      <c r="S3959" s="56"/>
      <c r="T3959" s="72"/>
      <c r="V3959" s="11"/>
      <c r="W3959" s="38"/>
      <c r="Y3959" s="11"/>
      <c r="Z3959" s="38"/>
      <c r="AB3959" s="11"/>
      <c r="AC3959" s="38"/>
      <c r="AE3959" s="11"/>
      <c r="AF3959" s="38"/>
      <c r="AH3959" s="11"/>
      <c r="AI3959" s="38"/>
      <c r="AK3959" s="11"/>
      <c r="AL3959" s="38"/>
      <c r="AN3959" s="11"/>
      <c r="AO3959" s="38"/>
      <c r="AQ3959" s="11"/>
      <c r="AR3959" s="38"/>
      <c r="AT3959" s="11"/>
      <c r="AU3959" s="38"/>
    </row>
    <row r="3960" spans="15:47" ht="14" x14ac:dyDescent="0.3">
      <c r="O3960" s="8" t="s">
        <v>235</v>
      </c>
      <c r="P3960" s="6"/>
      <c r="Q3960" s="60"/>
      <c r="R3960" s="53">
        <f>R3949*1.02</f>
        <v>940.4837715123731</v>
      </c>
      <c r="S3960" s="58" t="s">
        <v>238</v>
      </c>
      <c r="T3960" s="73" t="s">
        <v>241</v>
      </c>
      <c r="U3960" s="84">
        <f>U3949*1.01</f>
        <v>985.94194797785678</v>
      </c>
      <c r="V3960" s="58" t="s">
        <v>238</v>
      </c>
      <c r="W3960" s="73" t="s">
        <v>241</v>
      </c>
      <c r="X3960" s="84">
        <f>X3949*1.01</f>
        <v>2366.6402010833763</v>
      </c>
      <c r="Y3960" s="58" t="s">
        <v>238</v>
      </c>
      <c r="Z3960" s="73" t="s">
        <v>241</v>
      </c>
      <c r="AA3960" s="84">
        <f>AA3949*1.01</f>
        <v>4518.7834895148044</v>
      </c>
      <c r="AB3960" s="58" t="s">
        <v>238</v>
      </c>
      <c r="AC3960" s="73" t="s">
        <v>241</v>
      </c>
      <c r="AD3960" s="84">
        <f>AD3949*1.01</f>
        <v>7431.7351228787884</v>
      </c>
      <c r="AE3960" s="58" t="s">
        <v>238</v>
      </c>
      <c r="AF3960" s="73" t="s">
        <v>241</v>
      </c>
      <c r="AG3960" s="84">
        <f>AG3949*1.01</f>
        <v>11064.840902088034</v>
      </c>
      <c r="AH3960" s="58" t="s">
        <v>238</v>
      </c>
      <c r="AI3960" s="73" t="s">
        <v>241</v>
      </c>
      <c r="AJ3960" s="84">
        <f>AJ3949*1.01</f>
        <v>14766.073077436167</v>
      </c>
      <c r="AK3960" s="58" t="s">
        <v>238</v>
      </c>
      <c r="AL3960" s="73" t="s">
        <v>241</v>
      </c>
      <c r="AM3960" s="84">
        <f>AM3949*1.01</f>
        <v>18017.415298231441</v>
      </c>
      <c r="AN3960" s="58" t="s">
        <v>238</v>
      </c>
      <c r="AO3960" s="73" t="s">
        <v>241</v>
      </c>
      <c r="AP3960" s="84">
        <f>AP3949*1.01</f>
        <v>20917.659817255193</v>
      </c>
      <c r="AQ3960" s="58" t="s">
        <v>238</v>
      </c>
      <c r="AR3960" s="73" t="s">
        <v>241</v>
      </c>
      <c r="AS3960" s="84">
        <f>AS3949*1.01</f>
        <v>23806.248080407564</v>
      </c>
      <c r="AT3960" s="58" t="s">
        <v>238</v>
      </c>
      <c r="AU3960" s="73" t="s">
        <v>241</v>
      </c>
    </row>
    <row r="3961" spans="15:47" ht="13" x14ac:dyDescent="0.25">
      <c r="O3961" s="6"/>
      <c r="P3961" s="6"/>
      <c r="Q3961" s="60"/>
      <c r="R3961" s="70"/>
      <c r="S3961" s="63" t="s">
        <v>250</v>
      </c>
      <c r="T3961" s="71" t="s">
        <v>242</v>
      </c>
      <c r="U3961" s="61"/>
      <c r="V3961" s="63" t="s">
        <v>250</v>
      </c>
      <c r="W3961" s="71" t="s">
        <v>242</v>
      </c>
      <c r="X3961" s="61"/>
      <c r="Y3961" s="63" t="s">
        <v>250</v>
      </c>
      <c r="Z3961" s="71" t="s">
        <v>242</v>
      </c>
      <c r="AA3961" s="61"/>
      <c r="AB3961" s="63" t="s">
        <v>250</v>
      </c>
      <c r="AC3961" s="71" t="s">
        <v>242</v>
      </c>
      <c r="AD3961" s="61"/>
      <c r="AE3961" s="63" t="s">
        <v>250</v>
      </c>
      <c r="AF3961" s="71" t="s">
        <v>242</v>
      </c>
      <c r="AG3961" s="61"/>
      <c r="AH3961" s="63" t="s">
        <v>250</v>
      </c>
      <c r="AI3961" s="71" t="s">
        <v>242</v>
      </c>
      <c r="AJ3961" s="61"/>
      <c r="AK3961" s="63" t="s">
        <v>250</v>
      </c>
      <c r="AL3961" s="71" t="s">
        <v>242</v>
      </c>
      <c r="AM3961" s="61"/>
      <c r="AN3961" s="63" t="s">
        <v>250</v>
      </c>
      <c r="AO3961" s="71" t="s">
        <v>242</v>
      </c>
      <c r="AP3961" s="61"/>
      <c r="AQ3961" s="63" t="s">
        <v>250</v>
      </c>
      <c r="AR3961" s="71" t="s">
        <v>242</v>
      </c>
      <c r="AS3961" s="61"/>
      <c r="AT3961" s="63" t="s">
        <v>250</v>
      </c>
      <c r="AU3961" s="71" t="s">
        <v>242</v>
      </c>
    </row>
    <row r="3962" spans="15:47" ht="13" x14ac:dyDescent="0.3">
      <c r="O3962" s="6" t="s">
        <v>231</v>
      </c>
      <c r="P3962" s="6"/>
      <c r="Q3962" s="60"/>
      <c r="R3962" s="85">
        <f>P_1_minQ-(R3960^2*R_up)+dpup_minQ</f>
        <v>27.044149798104105</v>
      </c>
      <c r="S3962" s="56"/>
      <c r="T3962" s="72"/>
      <c r="U3962" s="53">
        <f>P_1_minQ-(U3960^2*R_up)+dpup_minQ</f>
        <v>24.086642189045225</v>
      </c>
      <c r="V3962" s="44"/>
      <c r="W3962" s="72"/>
      <c r="X3962" s="53">
        <f>P_1_minQ-(X3960^2*R_up)+dpup_minQ</f>
        <v>-132.24244651752664</v>
      </c>
      <c r="Y3962" s="44"/>
      <c r="Z3962" s="72"/>
      <c r="AA3962" s="53">
        <f>P_1_minQ-(AA3960^2*R_up)+dpup_minQ</f>
        <v>-632.6956171939072</v>
      </c>
      <c r="AB3962" s="44"/>
      <c r="AC3962" s="72"/>
      <c r="AD3962" s="53">
        <f>P_1_minQ-(AD3960^2*R_up)+dpup_minQ</f>
        <v>-1808.3552832364132</v>
      </c>
      <c r="AE3962" s="44"/>
      <c r="AF3962" s="72"/>
      <c r="AG3962" s="53">
        <f>P_1_minQ-(AG3960^2*R_up)+dpup_minQ</f>
        <v>-4077.8594119729937</v>
      </c>
      <c r="AH3962" s="44"/>
      <c r="AI3962" s="72"/>
      <c r="AJ3962" s="53">
        <f>P_1_minQ-(AJ3960^2*R_up)+dpup_minQ</f>
        <v>-7306.7081096989277</v>
      </c>
      <c r="AK3962" s="44"/>
      <c r="AL3962" s="72"/>
      <c r="AM3962" s="53">
        <f>P_1_minQ-(AM3960^2*R_up)+dpup_minQ</f>
        <v>-10906.516954709368</v>
      </c>
      <c r="AN3962" s="44"/>
      <c r="AO3962" s="72"/>
      <c r="AP3962" s="53">
        <f>P_1_minQ-(AP3960^2*R_up)+dpup_minQ</f>
        <v>-14720.135266140242</v>
      </c>
      <c r="AQ3962" s="44"/>
      <c r="AR3962" s="72"/>
      <c r="AS3962" s="53">
        <f>P_1_minQ-(AS3960^2*R_up)+dpup_minQ</f>
        <v>-19083.153011344439</v>
      </c>
      <c r="AT3962" s="44"/>
      <c r="AU3962" s="72"/>
    </row>
    <row r="3963" spans="15:47" ht="13" x14ac:dyDescent="0.3">
      <c r="O3963" s="6" t="s">
        <v>233</v>
      </c>
      <c r="P3963" s="6"/>
      <c r="Q3963" s="60"/>
      <c r="R3963" s="85">
        <f>P_2_minQ+(R3960^2*R_dn)-dpdn_minQ</f>
        <v>30.631170040379182</v>
      </c>
      <c r="S3963" s="66"/>
      <c r="T3963" s="74"/>
      <c r="U3963" s="53">
        <f>P_2_minQ+(U3960^2*R_dn)-dpdn_minQ</f>
        <v>31.222671562190957</v>
      </c>
      <c r="V3963" s="45"/>
      <c r="W3963" s="74"/>
      <c r="X3963" s="53">
        <f>P_2_minQ+(X3960^2*R_dn)-dpdn_minQ</f>
        <v>62.488489303505332</v>
      </c>
      <c r="Y3963" s="45"/>
      <c r="Z3963" s="74"/>
      <c r="AA3963" s="53">
        <f>P_2_minQ+(AA3960^2*R_dn)-dpdn_minQ</f>
        <v>162.57912343878147</v>
      </c>
      <c r="AB3963" s="45"/>
      <c r="AC3963" s="74"/>
      <c r="AD3963" s="53">
        <f>P_2_minQ+(AD3960^2*R_dn)-dpdn_minQ</f>
        <v>397.71105664728259</v>
      </c>
      <c r="AE3963" s="45"/>
      <c r="AF3963" s="74"/>
      <c r="AG3963" s="53">
        <f>P_2_minQ+(AG3960^2*R_dn)-dpdn_minQ</f>
        <v>851.61188239459864</v>
      </c>
      <c r="AH3963" s="45"/>
      <c r="AI3963" s="74"/>
      <c r="AJ3963" s="53">
        <f>P_2_minQ+(AJ3960^2*R_dn)-dpdn_minQ</f>
        <v>1497.3816219397854</v>
      </c>
      <c r="AK3963" s="45"/>
      <c r="AL3963" s="74"/>
      <c r="AM3963" s="53">
        <f>P_2_minQ+(AM3960^2*R_dn)-dpdn_minQ</f>
        <v>2217.3433909418732</v>
      </c>
      <c r="AN3963" s="45"/>
      <c r="AO3963" s="74"/>
      <c r="AP3963" s="53">
        <f>P_2_minQ+(AP3960^2*R_dn)-dpdn_minQ</f>
        <v>2980.0670532280483</v>
      </c>
      <c r="AQ3963" s="45"/>
      <c r="AR3963" s="74"/>
      <c r="AS3963" s="53">
        <f>P_2_minQ+(AS3960^2*R_dn)-dpdn_minQ</f>
        <v>3852.6706022688873</v>
      </c>
      <c r="AT3963" s="45"/>
      <c r="AU3963" s="74"/>
    </row>
    <row r="3964" spans="15:47" x14ac:dyDescent="0.25">
      <c r="O3964" s="6" t="s">
        <v>243</v>
      </c>
      <c r="Q3964" s="60"/>
      <c r="R3964" s="53">
        <f>R3962-R3963</f>
        <v>-3.5870202422750772</v>
      </c>
      <c r="S3964" s="56"/>
      <c r="T3964" s="72"/>
      <c r="U3964" s="64">
        <f>U3962-U3963</f>
        <v>-7.1360293731457318</v>
      </c>
      <c r="V3964" s="44"/>
      <c r="W3964" s="72"/>
      <c r="X3964" s="64">
        <f>X3962-X3963</f>
        <v>-194.73093582103198</v>
      </c>
      <c r="Y3964" s="44"/>
      <c r="Z3964" s="72"/>
      <c r="AA3964" s="64">
        <f>AA3962-AA3963</f>
        <v>-795.27474063268869</v>
      </c>
      <c r="AB3964" s="44"/>
      <c r="AC3964" s="72"/>
      <c r="AD3964" s="64">
        <f>AD3962-AD3963</f>
        <v>-2206.0663398836959</v>
      </c>
      <c r="AE3964" s="44"/>
      <c r="AF3964" s="72"/>
      <c r="AG3964" s="64">
        <f>AG3962-AG3963</f>
        <v>-4929.4712943675922</v>
      </c>
      <c r="AH3964" s="44"/>
      <c r="AI3964" s="72"/>
      <c r="AJ3964" s="64">
        <f>AJ3962-AJ3963</f>
        <v>-8804.0897316387127</v>
      </c>
      <c r="AK3964" s="44"/>
      <c r="AL3964" s="72"/>
      <c r="AM3964" s="64">
        <f>AM3962-AM3963</f>
        <v>-13123.860345651241</v>
      </c>
      <c r="AN3964" s="44"/>
      <c r="AO3964" s="72"/>
      <c r="AP3964" s="64">
        <f>AP3962-AP3963</f>
        <v>-17700.202319368291</v>
      </c>
      <c r="AQ3964" s="44"/>
      <c r="AR3964" s="72"/>
      <c r="AS3964" s="64">
        <f>AS3962-AS3963</f>
        <v>-22935.823613613327</v>
      </c>
      <c r="AT3964" s="44"/>
      <c r="AU3964" s="72"/>
    </row>
    <row r="3965" spans="15:47" ht="13" x14ac:dyDescent="0.3">
      <c r="O3965" s="6" t="s">
        <v>75</v>
      </c>
      <c r="P3965" s="6">
        <v>3</v>
      </c>
      <c r="Q3965" s="65"/>
      <c r="R3965" s="85">
        <f>(F_LP_h/F_P_h)^2*(R3962-('Valve Sizing'!$V$4*'Valve Sizing'!$G$7))</f>
        <v>22.02958473009609</v>
      </c>
      <c r="S3965" s="58"/>
      <c r="T3965" s="73"/>
      <c r="U3965" s="53">
        <f>(U$29/U$27)^2*(U3962-('Valve Sizing'!$V$4*'Valve Sizing'!$G$7))</f>
        <v>19.575276324145886</v>
      </c>
      <c r="V3965" s="41"/>
      <c r="W3965" s="73"/>
      <c r="X3965" s="53">
        <f>(X$29/X$27)^2*(X3962-('Valve Sizing'!$V$4*'Valve Sizing'!$G$7))</f>
        <v>-107.36052126084448</v>
      </c>
      <c r="Y3965" s="41"/>
      <c r="Z3965" s="73"/>
      <c r="AA3965" s="53">
        <f>(AA$29/AA$27)^2*(AA3962-('Valve Sizing'!$V$4*'Valve Sizing'!$G$7))</f>
        <v>-489.28549027369559</v>
      </c>
      <c r="AB3965" s="41"/>
      <c r="AC3965" s="73"/>
      <c r="AD3965" s="53">
        <f>(AD$29/AD$27)^2*(AD3962-('Valve Sizing'!$V$4*'Valve Sizing'!$G$7))</f>
        <v>-1304.4804220190147</v>
      </c>
      <c r="AE3965" s="41"/>
      <c r="AF3965" s="73"/>
      <c r="AG3965" s="53">
        <f>(AG$29/AG$27)^2*(AG3962-('Valve Sizing'!$V$4*'Valve Sizing'!$G$7))</f>
        <v>-2626.6041045361467</v>
      </c>
      <c r="AH3965" s="41"/>
      <c r="AI3965" s="73"/>
      <c r="AJ3965" s="53">
        <f>(AJ$29/AJ$27)^2*(AJ3962-('Valve Sizing'!$V$4*'Valve Sizing'!$G$7))</f>
        <v>-4226.1938929499292</v>
      </c>
      <c r="AK3965" s="41"/>
      <c r="AL3965" s="73"/>
      <c r="AM3965" s="53">
        <f>(AM$29/AM$27)^2*(AM3962-('Valve Sizing'!$V$4*'Valve Sizing'!$G$7))</f>
        <v>-5218.6751640846533</v>
      </c>
      <c r="AN3965" s="41"/>
      <c r="AO3965" s="73"/>
      <c r="AP3965" s="53">
        <f>(AP$29/AP$27)^2*(AP3962-('Valve Sizing'!$V$4*'Valve Sizing'!$G$7))</f>
        <v>-5809.13393692517</v>
      </c>
      <c r="AQ3965" s="41"/>
      <c r="AR3965" s="73"/>
      <c r="AS3965" s="53">
        <f>(AS$29/AS$27)^2*(AS3962-('Valve Sizing'!$V$4*'Valve Sizing'!$G$7))</f>
        <v>-7178.1178513328441</v>
      </c>
      <c r="AT3965" s="41"/>
      <c r="AU3965" s="73"/>
    </row>
    <row r="3966" spans="15:47" ht="13" x14ac:dyDescent="0.25">
      <c r="O3966" s="1" t="s">
        <v>69</v>
      </c>
      <c r="P3966" s="17">
        <v>7</v>
      </c>
      <c r="Q3966" s="65"/>
      <c r="R3966" s="53" t="e">
        <f>(R3960/(N_1*F_P_h))*SQRT('Valve Sizing'!$G$6/R3964)</f>
        <v>#NUM!</v>
      </c>
      <c r="S3966" s="58"/>
      <c r="T3966" s="73"/>
      <c r="U3966" s="64" t="e">
        <f>(U3960/(N_1*U$27))*SQRT('Valve Sizing'!$G$6/U3964)</f>
        <v>#NUM!</v>
      </c>
      <c r="V3966" s="41"/>
      <c r="W3966" s="73"/>
      <c r="X3966" s="64" t="e">
        <f>(X3960/(N_1*X$27))*SQRT('Valve Sizing'!$G$6/X3964)</f>
        <v>#NUM!</v>
      </c>
      <c r="Y3966" s="41"/>
      <c r="Z3966" s="73"/>
      <c r="AA3966" s="64" t="e">
        <f>(AA3960/(N_1*AA$27))*SQRT('Valve Sizing'!$G$6/AA3964)</f>
        <v>#NUM!</v>
      </c>
      <c r="AB3966" s="41"/>
      <c r="AC3966" s="73"/>
      <c r="AD3966" s="64" t="e">
        <f>(AD3960/(N_1*AD$27))*SQRT('Valve Sizing'!$G$6/AD3964)</f>
        <v>#NUM!</v>
      </c>
      <c r="AE3966" s="41"/>
      <c r="AF3966" s="73"/>
      <c r="AG3966" s="64" t="e">
        <f>(AG3960/(N_1*AG$27))*SQRT('Valve Sizing'!$G$6/AG3964)</f>
        <v>#NUM!</v>
      </c>
      <c r="AH3966" s="41"/>
      <c r="AI3966" s="73"/>
      <c r="AJ3966" s="64" t="e">
        <f>(AJ3960/(N_1*AJ$27))*SQRT('Valve Sizing'!$G$6/AJ3964)</f>
        <v>#NUM!</v>
      </c>
      <c r="AK3966" s="41"/>
      <c r="AL3966" s="73"/>
      <c r="AM3966" s="64" t="e">
        <f>(AM3960/(N_1*AM$27))*SQRT('Valve Sizing'!$G$6/AM3964)</f>
        <v>#NUM!</v>
      </c>
      <c r="AN3966" s="41"/>
      <c r="AO3966" s="73"/>
      <c r="AP3966" s="64" t="e">
        <f>(AP3960/(N_1*AP$27))*SQRT('Valve Sizing'!$G$6/AP3964)</f>
        <v>#NUM!</v>
      </c>
      <c r="AQ3966" s="41"/>
      <c r="AR3966" s="73"/>
      <c r="AS3966" s="64" t="e">
        <f>(AS3960/(N_1*AS$27))*SQRT('Valve Sizing'!$G$6/AS3964)</f>
        <v>#NUM!</v>
      </c>
      <c r="AT3966" s="41"/>
      <c r="AU3966" s="73"/>
    </row>
    <row r="3967" spans="15:47" ht="13" x14ac:dyDescent="0.3">
      <c r="O3967" s="1" t="s">
        <v>72</v>
      </c>
      <c r="P3967" s="17">
        <v>7</v>
      </c>
      <c r="Q3967" s="65"/>
      <c r="R3967" s="53">
        <f>(R3960/(N_1*F_P_h))*SQRT('Valve Sizing'!$G$6/R3965)</f>
        <v>200.40644278141659</v>
      </c>
      <c r="S3967" s="56"/>
      <c r="T3967" s="72"/>
      <c r="U3967" s="85">
        <f>(U3960/(N_1*U$27))*SQRT('Valve Sizing'!$G$6/U3965)</f>
        <v>223.02988699767636</v>
      </c>
      <c r="V3967" s="44"/>
      <c r="W3967" s="72"/>
      <c r="X3967" s="85" t="e">
        <f>(X3960/(N_1*X$27))*SQRT('Valve Sizing'!$G$6/X3965)</f>
        <v>#NUM!</v>
      </c>
      <c r="Y3967" s="44"/>
      <c r="Z3967" s="72"/>
      <c r="AA3967" s="85" t="e">
        <f>(AA3960/(N_1*AA$27))*SQRT('Valve Sizing'!$G$6/AA3965)</f>
        <v>#NUM!</v>
      </c>
      <c r="AB3967" s="44"/>
      <c r="AC3967" s="72"/>
      <c r="AD3967" s="85" t="e">
        <f>(AD3960/(N_1*AD$27))*SQRT('Valve Sizing'!$G$6/AD3965)</f>
        <v>#NUM!</v>
      </c>
      <c r="AE3967" s="44"/>
      <c r="AF3967" s="72"/>
      <c r="AG3967" s="85" t="e">
        <f>(AG3960/(N_1*AG$27))*SQRT('Valve Sizing'!$G$6/AG3965)</f>
        <v>#NUM!</v>
      </c>
      <c r="AH3967" s="44"/>
      <c r="AI3967" s="72"/>
      <c r="AJ3967" s="85" t="e">
        <f>(AJ3960/(N_1*AJ$27))*SQRT('Valve Sizing'!$G$6/AJ3965)</f>
        <v>#NUM!</v>
      </c>
      <c r="AK3967" s="44"/>
      <c r="AL3967" s="72"/>
      <c r="AM3967" s="85" t="e">
        <f>(AM3960/(N_1*AM$27))*SQRT('Valve Sizing'!$G$6/AM3965)</f>
        <v>#NUM!</v>
      </c>
      <c r="AN3967" s="44"/>
      <c r="AO3967" s="72"/>
      <c r="AP3967" s="85" t="e">
        <f>(AP3960/(N_1*AP$27))*SQRT('Valve Sizing'!$G$6/AP3965)</f>
        <v>#NUM!</v>
      </c>
      <c r="AQ3967" s="44"/>
      <c r="AR3967" s="72"/>
      <c r="AS3967" s="85" t="e">
        <f>(AS3960/(N_1*AS$27))*SQRT('Valve Sizing'!$G$6/AS3965)</f>
        <v>#NUM!</v>
      </c>
      <c r="AT3967" s="44"/>
      <c r="AU3967" s="72"/>
    </row>
    <row r="3968" spans="15:47" x14ac:dyDescent="0.25">
      <c r="O3968" s="1" t="s">
        <v>246</v>
      </c>
      <c r="P3968" s="18"/>
      <c r="Q3968" s="65"/>
      <c r="R3968" s="53" t="e">
        <f>IF(R3964&lt;R3965,R3966,R3967)</f>
        <v>#NUM!</v>
      </c>
      <c r="S3968" s="49"/>
      <c r="T3968" s="72"/>
      <c r="U3968" s="64" t="e">
        <f>IF(U3964&lt;U3965,U3966,U3967)</f>
        <v>#NUM!</v>
      </c>
      <c r="V3968" s="44"/>
      <c r="W3968" s="72"/>
      <c r="X3968" s="64" t="e">
        <f>IF(X3964&lt;X3965,X3966,X3967)</f>
        <v>#NUM!</v>
      </c>
      <c r="Y3968" s="44"/>
      <c r="Z3968" s="72"/>
      <c r="AA3968" s="64" t="e">
        <f>IF(AA3964&lt;AA3965,AA3966,AA3967)</f>
        <v>#NUM!</v>
      </c>
      <c r="AB3968" s="44"/>
      <c r="AC3968" s="72"/>
      <c r="AD3968" s="64" t="e">
        <f>IF(AD3964&lt;AD3965,AD3966,AD3967)</f>
        <v>#NUM!</v>
      </c>
      <c r="AE3968" s="44"/>
      <c r="AF3968" s="72"/>
      <c r="AG3968" s="64" t="e">
        <f>IF(AG3964&lt;AG3965,AG3966,AG3967)</f>
        <v>#NUM!</v>
      </c>
      <c r="AH3968" s="44"/>
      <c r="AI3968" s="72"/>
      <c r="AJ3968" s="64" t="e">
        <f>IF(AJ3964&lt;AJ3965,AJ3966,AJ3967)</f>
        <v>#NUM!</v>
      </c>
      <c r="AK3968" s="44"/>
      <c r="AL3968" s="72"/>
      <c r="AM3968" s="64" t="e">
        <f>IF(AM3964&lt;AM3965,AM3966,AM3967)</f>
        <v>#NUM!</v>
      </c>
      <c r="AN3968" s="44"/>
      <c r="AO3968" s="72"/>
      <c r="AP3968" s="64" t="e">
        <f>IF(AP3964&lt;AP3965,AP3966,AP3967)</f>
        <v>#NUM!</v>
      </c>
      <c r="AQ3968" s="44"/>
      <c r="AR3968" s="72"/>
      <c r="AS3968" s="64" t="e">
        <f>IF(AS3964&lt;AS3965,AS3966,AS3967)</f>
        <v>#NUM!</v>
      </c>
      <c r="AT3968" s="44"/>
      <c r="AU3968" s="72"/>
    </row>
    <row r="3969" spans="15:47" ht="13" x14ac:dyDescent="0.3">
      <c r="O3969" s="7" t="s">
        <v>264</v>
      </c>
      <c r="Q3969" s="61"/>
      <c r="R3969" s="53"/>
      <c r="S3969" s="69">
        <f>IFERROR(ABS(C_h-R3968),Q_max*10)</f>
        <v>5500</v>
      </c>
      <c r="T3969" s="76">
        <f>R3960</f>
        <v>940.4837715123731</v>
      </c>
      <c r="U3969" s="61"/>
      <c r="V3969" s="69">
        <f>IFERROR(ABS(U$23-U3968),Q_max*10)</f>
        <v>5500</v>
      </c>
      <c r="W3969" s="75">
        <f>U3960</f>
        <v>985.94194797785678</v>
      </c>
      <c r="X3969" s="61"/>
      <c r="Y3969" s="69">
        <f>IFERROR(ABS(X$23-X3968),Q_max*10)</f>
        <v>5500</v>
      </c>
      <c r="Z3969" s="75">
        <f>X3960</f>
        <v>2366.6402010833763</v>
      </c>
      <c r="AA3969" s="61"/>
      <c r="AB3969" s="69">
        <f>IFERROR(ABS(AA$23-AA3968),Q_max*10)</f>
        <v>5500</v>
      </c>
      <c r="AC3969" s="75">
        <f>AA3960</f>
        <v>4518.7834895148044</v>
      </c>
      <c r="AD3969" s="61"/>
      <c r="AE3969" s="69">
        <f>IFERROR(ABS(AD$23-AD3968),Q_max*10)</f>
        <v>5500</v>
      </c>
      <c r="AF3969" s="75">
        <f>AD3960</f>
        <v>7431.7351228787884</v>
      </c>
      <c r="AG3969" s="61"/>
      <c r="AH3969" s="69">
        <f>IFERROR(ABS(AG$23-AG3968),Q_max*10)</f>
        <v>5500</v>
      </c>
      <c r="AI3969" s="75">
        <f>AG3960</f>
        <v>11064.840902088034</v>
      </c>
      <c r="AJ3969" s="61"/>
      <c r="AK3969" s="69">
        <f>IFERROR(ABS(AJ$23-AJ3968),Q_max*10)</f>
        <v>5500</v>
      </c>
      <c r="AL3969" s="75">
        <f>AJ3960</f>
        <v>14766.073077436167</v>
      </c>
      <c r="AM3969" s="61"/>
      <c r="AN3969" s="69">
        <f>IFERROR(ABS(AM$23-AM3968),Q_max*10)</f>
        <v>5500</v>
      </c>
      <c r="AO3969" s="75">
        <f>AM3960</f>
        <v>18017.415298231441</v>
      </c>
      <c r="AP3969" s="61"/>
      <c r="AQ3969" s="69">
        <f>IFERROR(ABS(AP$23-AP3968),Q_max*10)</f>
        <v>5500</v>
      </c>
      <c r="AR3969" s="75">
        <f>AP3960</f>
        <v>20917.659817255193</v>
      </c>
      <c r="AS3969" s="61"/>
      <c r="AT3969" s="69">
        <f>IFERROR(ABS(AS$23-AS3968),Q_max*10)</f>
        <v>5500</v>
      </c>
      <c r="AU3969" s="75">
        <f>AS3960</f>
        <v>23806.248080407564</v>
      </c>
    </row>
    <row r="3970" spans="15:47" ht="14.5" x14ac:dyDescent="0.35">
      <c r="O3970" s="6"/>
      <c r="P3970" s="6"/>
      <c r="Q3970" s="60"/>
      <c r="R3970" s="67"/>
      <c r="S3970" s="56"/>
      <c r="T3970" s="72"/>
      <c r="V3970" s="11"/>
      <c r="W3970" s="38"/>
      <c r="Y3970" s="11"/>
      <c r="Z3970" s="38"/>
      <c r="AB3970" s="11"/>
      <c r="AC3970" s="38"/>
      <c r="AE3970" s="11"/>
      <c r="AF3970" s="38"/>
      <c r="AH3970" s="11"/>
      <c r="AI3970" s="38"/>
      <c r="AK3970" s="11"/>
      <c r="AL3970" s="38"/>
      <c r="AN3970" s="11"/>
      <c r="AO3970" s="38"/>
      <c r="AQ3970" s="11"/>
      <c r="AR3970" s="38"/>
      <c r="AT3970" s="11"/>
      <c r="AU3970" s="38"/>
    </row>
    <row r="3971" spans="15:47" ht="14" x14ac:dyDescent="0.3">
      <c r="O3971" s="8" t="s">
        <v>235</v>
      </c>
      <c r="P3971" s="6"/>
      <c r="Q3971" s="60"/>
      <c r="R3971" s="53">
        <f>R3960*1.02</f>
        <v>959.29344694262056</v>
      </c>
      <c r="S3971" s="58" t="s">
        <v>238</v>
      </c>
      <c r="T3971" s="73" t="s">
        <v>241</v>
      </c>
      <c r="U3971" s="84">
        <f>U3960*1.01</f>
        <v>995.80136745763537</v>
      </c>
      <c r="V3971" s="58" t="s">
        <v>238</v>
      </c>
      <c r="W3971" s="73" t="s">
        <v>241</v>
      </c>
      <c r="X3971" s="84">
        <f>X3960*1.01</f>
        <v>2390.30660309421</v>
      </c>
      <c r="Y3971" s="58" t="s">
        <v>238</v>
      </c>
      <c r="Z3971" s="73" t="s">
        <v>241</v>
      </c>
      <c r="AA3971" s="84">
        <f>AA3960*1.01</f>
        <v>4563.9713244099521</v>
      </c>
      <c r="AB3971" s="58" t="s">
        <v>238</v>
      </c>
      <c r="AC3971" s="73" t="s">
        <v>241</v>
      </c>
      <c r="AD3971" s="84">
        <f>AD3960*1.01</f>
        <v>7506.052474107576</v>
      </c>
      <c r="AE3971" s="58" t="s">
        <v>238</v>
      </c>
      <c r="AF3971" s="73" t="s">
        <v>241</v>
      </c>
      <c r="AG3971" s="84">
        <f>AG3960*1.01</f>
        <v>11175.489311108913</v>
      </c>
      <c r="AH3971" s="58" t="s">
        <v>238</v>
      </c>
      <c r="AI3971" s="73" t="s">
        <v>241</v>
      </c>
      <c r="AJ3971" s="84">
        <f>AJ3960*1.01</f>
        <v>14913.733808210529</v>
      </c>
      <c r="AK3971" s="58" t="s">
        <v>238</v>
      </c>
      <c r="AL3971" s="73" t="s">
        <v>241</v>
      </c>
      <c r="AM3971" s="84">
        <f>AM3960*1.01</f>
        <v>18197.589451213757</v>
      </c>
      <c r="AN3971" s="58" t="s">
        <v>238</v>
      </c>
      <c r="AO3971" s="73" t="s">
        <v>241</v>
      </c>
      <c r="AP3971" s="84">
        <f>AP3960*1.01</f>
        <v>21126.836415427744</v>
      </c>
      <c r="AQ3971" s="58" t="s">
        <v>238</v>
      </c>
      <c r="AR3971" s="73" t="s">
        <v>241</v>
      </c>
      <c r="AS3971" s="84">
        <f>AS3960*1.01</f>
        <v>24044.310561211641</v>
      </c>
      <c r="AT3971" s="58" t="s">
        <v>238</v>
      </c>
      <c r="AU3971" s="73" t="s">
        <v>241</v>
      </c>
    </row>
    <row r="3972" spans="15:47" ht="13" x14ac:dyDescent="0.25">
      <c r="O3972" s="6"/>
      <c r="P3972" s="6"/>
      <c r="Q3972" s="60"/>
      <c r="R3972" s="70"/>
      <c r="S3972" s="63" t="s">
        <v>250</v>
      </c>
      <c r="T3972" s="71" t="s">
        <v>242</v>
      </c>
      <c r="U3972" s="61"/>
      <c r="V3972" s="63" t="s">
        <v>250</v>
      </c>
      <c r="W3972" s="71" t="s">
        <v>242</v>
      </c>
      <c r="X3972" s="61"/>
      <c r="Y3972" s="63" t="s">
        <v>250</v>
      </c>
      <c r="Z3972" s="71" t="s">
        <v>242</v>
      </c>
      <c r="AA3972" s="61"/>
      <c r="AB3972" s="63" t="s">
        <v>250</v>
      </c>
      <c r="AC3972" s="71" t="s">
        <v>242</v>
      </c>
      <c r="AD3972" s="61"/>
      <c r="AE3972" s="63" t="s">
        <v>250</v>
      </c>
      <c r="AF3972" s="71" t="s">
        <v>242</v>
      </c>
      <c r="AG3972" s="61"/>
      <c r="AH3972" s="63" t="s">
        <v>250</v>
      </c>
      <c r="AI3972" s="71" t="s">
        <v>242</v>
      </c>
      <c r="AJ3972" s="61"/>
      <c r="AK3972" s="63" t="s">
        <v>250</v>
      </c>
      <c r="AL3972" s="71" t="s">
        <v>242</v>
      </c>
      <c r="AM3972" s="61"/>
      <c r="AN3972" s="63" t="s">
        <v>250</v>
      </c>
      <c r="AO3972" s="71" t="s">
        <v>242</v>
      </c>
      <c r="AP3972" s="61"/>
      <c r="AQ3972" s="63" t="s">
        <v>250</v>
      </c>
      <c r="AR3972" s="71" t="s">
        <v>242</v>
      </c>
      <c r="AS3972" s="61"/>
      <c r="AT3972" s="63" t="s">
        <v>250</v>
      </c>
      <c r="AU3972" s="71" t="s">
        <v>242</v>
      </c>
    </row>
    <row r="3973" spans="15:47" ht="13" x14ac:dyDescent="0.3">
      <c r="O3973" s="6" t="s">
        <v>231</v>
      </c>
      <c r="P3973" s="6"/>
      <c r="Q3973" s="60"/>
      <c r="R3973" s="85">
        <f>P_1_minQ-(R3971^2*R_up)+dpup_minQ</f>
        <v>25.837321264874898</v>
      </c>
      <c r="S3973" s="56"/>
      <c r="T3973" s="72"/>
      <c r="U3973" s="53">
        <f>P_1_minQ-(U3971^2*R_up)+dpup_minQ</f>
        <v>23.426769218828216</v>
      </c>
      <c r="V3973" s="44"/>
      <c r="W3973" s="72"/>
      <c r="X3973" s="53">
        <f>P_1_minQ-(X3971^2*R_up)+dpup_minQ</f>
        <v>-136.04453417074578</v>
      </c>
      <c r="Y3973" s="44"/>
      <c r="Z3973" s="72"/>
      <c r="AA3973" s="53">
        <f>P_1_minQ-(AA3971^2*R_up)+dpup_minQ</f>
        <v>-646.55681357772141</v>
      </c>
      <c r="AB3973" s="44"/>
      <c r="AC3973" s="72"/>
      <c r="AD3973" s="53">
        <f>P_1_minQ-(AD3971^2*R_up)+dpup_minQ</f>
        <v>-1845.8472389076821</v>
      </c>
      <c r="AE3973" s="44"/>
      <c r="AF3973" s="72"/>
      <c r="AG3973" s="53">
        <f>P_1_minQ-(AG3971^2*R_up)+dpup_minQ</f>
        <v>-4160.9684006318676</v>
      </c>
      <c r="AH3973" s="44"/>
      <c r="AI3973" s="72"/>
      <c r="AJ3973" s="53">
        <f>P_1_minQ-(AJ3971^2*R_up)+dpup_minQ</f>
        <v>-7454.7169571820932</v>
      </c>
      <c r="AK3973" s="44"/>
      <c r="AL3973" s="72"/>
      <c r="AM3973" s="53">
        <f>P_1_minQ-(AM3971^2*R_up)+dpup_minQ</f>
        <v>-11126.881959977245</v>
      </c>
      <c r="AN3973" s="44"/>
      <c r="AO3973" s="72"/>
      <c r="AP3973" s="53">
        <f>P_1_minQ-(AP3971^2*R_up)+dpup_minQ</f>
        <v>-15017.153999467877</v>
      </c>
      <c r="AQ3973" s="44"/>
      <c r="AR3973" s="72"/>
      <c r="AS3973" s="53">
        <f>P_1_minQ-(AS3971^2*R_up)+dpup_minQ</f>
        <v>-19467.868401350683</v>
      </c>
      <c r="AT3973" s="44"/>
      <c r="AU3973" s="72"/>
    </row>
    <row r="3974" spans="15:47" ht="13" x14ac:dyDescent="0.3">
      <c r="O3974" s="6" t="s">
        <v>233</v>
      </c>
      <c r="P3974" s="6"/>
      <c r="Q3974" s="60"/>
      <c r="R3974" s="85">
        <f>P_2_minQ+(R3971^2*R_dn)-dpdn_minQ</f>
        <v>30.872535747025022</v>
      </c>
      <c r="S3974" s="66"/>
      <c r="T3974" s="74"/>
      <c r="U3974" s="53">
        <f>P_2_minQ+(U3971^2*R_dn)-dpdn_minQ</f>
        <v>31.354646156234356</v>
      </c>
      <c r="V3974" s="45"/>
      <c r="W3974" s="74"/>
      <c r="X3974" s="53">
        <f>P_2_minQ+(X3971^2*R_dn)-dpdn_minQ</f>
        <v>63.248906834149153</v>
      </c>
      <c r="Y3974" s="45"/>
      <c r="Z3974" s="74"/>
      <c r="AA3974" s="53">
        <f>P_2_minQ+(AA3971^2*R_dn)-dpdn_minQ</f>
        <v>165.3513627155443</v>
      </c>
      <c r="AB3974" s="45"/>
      <c r="AC3974" s="74"/>
      <c r="AD3974" s="53">
        <f>P_2_minQ+(AD3971^2*R_dn)-dpdn_minQ</f>
        <v>405.20944778153637</v>
      </c>
      <c r="AE3974" s="45"/>
      <c r="AF3974" s="74"/>
      <c r="AG3974" s="53">
        <f>P_2_minQ+(AG3971^2*R_dn)-dpdn_minQ</f>
        <v>868.23368012637332</v>
      </c>
      <c r="AH3974" s="45"/>
      <c r="AI3974" s="74"/>
      <c r="AJ3974" s="53">
        <f>P_2_minQ+(AJ3971^2*R_dn)-dpdn_minQ</f>
        <v>1526.9833914364185</v>
      </c>
      <c r="AK3974" s="45"/>
      <c r="AL3974" s="74"/>
      <c r="AM3974" s="53">
        <f>P_2_minQ+(AM3971^2*R_dn)-dpdn_minQ</f>
        <v>2261.4163919954485</v>
      </c>
      <c r="AN3974" s="45"/>
      <c r="AO3974" s="74"/>
      <c r="AP3974" s="53">
        <f>P_2_minQ+(AP3971^2*R_dn)-dpdn_minQ</f>
        <v>3039.4707998935751</v>
      </c>
      <c r="AQ3974" s="45"/>
      <c r="AR3974" s="74"/>
      <c r="AS3974" s="53">
        <f>P_2_minQ+(AS3971^2*R_dn)-dpdn_minQ</f>
        <v>3929.6136802701358</v>
      </c>
      <c r="AT3974" s="45"/>
      <c r="AU3974" s="74"/>
    </row>
    <row r="3975" spans="15:47" x14ac:dyDescent="0.25">
      <c r="O3975" s="6" t="s">
        <v>243</v>
      </c>
      <c r="Q3975" s="60"/>
      <c r="R3975" s="53">
        <f>R3973-R3974</f>
        <v>-5.0352144821501241</v>
      </c>
      <c r="S3975" s="56"/>
      <c r="T3975" s="72"/>
      <c r="U3975" s="64">
        <f>U3973-U3974</f>
        <v>-7.9278769374061397</v>
      </c>
      <c r="V3975" s="44"/>
      <c r="W3975" s="72"/>
      <c r="X3975" s="64">
        <f>X3973-X3974</f>
        <v>-199.29344100489493</v>
      </c>
      <c r="Y3975" s="44"/>
      <c r="Z3975" s="72"/>
      <c r="AA3975" s="64">
        <f>AA3973-AA3974</f>
        <v>-811.90817629326568</v>
      </c>
      <c r="AB3975" s="44"/>
      <c r="AC3975" s="72"/>
      <c r="AD3975" s="64">
        <f>AD3973-AD3974</f>
        <v>-2251.0566866892186</v>
      </c>
      <c r="AE3975" s="44"/>
      <c r="AF3975" s="72"/>
      <c r="AG3975" s="64">
        <f>AG3973-AG3974</f>
        <v>-5029.2020807582412</v>
      </c>
      <c r="AH3975" s="44"/>
      <c r="AI3975" s="72"/>
      <c r="AJ3975" s="64">
        <f>AJ3973-AJ3974</f>
        <v>-8981.7003486185113</v>
      </c>
      <c r="AK3975" s="44"/>
      <c r="AL3975" s="72"/>
      <c r="AM3975" s="64">
        <f>AM3973-AM3974</f>
        <v>-13388.298351972693</v>
      </c>
      <c r="AN3975" s="44"/>
      <c r="AO3975" s="72"/>
      <c r="AP3975" s="64">
        <f>AP3973-AP3974</f>
        <v>-18056.624799361452</v>
      </c>
      <c r="AQ3975" s="44"/>
      <c r="AR3975" s="72"/>
      <c r="AS3975" s="64">
        <f>AS3973-AS3974</f>
        <v>-23397.482081620819</v>
      </c>
      <c r="AT3975" s="44"/>
      <c r="AU3975" s="72"/>
    </row>
    <row r="3976" spans="15:47" ht="13" x14ac:dyDescent="0.3">
      <c r="O3976" s="6" t="s">
        <v>75</v>
      </c>
      <c r="P3976" s="6">
        <v>3</v>
      </c>
      <c r="Q3976" s="65"/>
      <c r="R3976" s="85">
        <f>(F_LP_h/F_P_h)^2*(R3973-('Valve Sizing'!$V$4*'Valve Sizing'!$G$7))</f>
        <v>21.030267358226592</v>
      </c>
      <c r="S3976" s="58"/>
      <c r="T3976" s="73"/>
      <c r="U3976" s="53">
        <f>(U$29/U$27)^2*(U3973-('Valve Sizing'!$V$4*'Valve Sizing'!$G$7))</f>
        <v>19.029015796759321</v>
      </c>
      <c r="V3976" s="41"/>
      <c r="W3976" s="73"/>
      <c r="X3976" s="53">
        <f>(X$29/X$27)^2*(X3973-('Valve Sizing'!$V$4*'Valve Sizing'!$G$7))</f>
        <v>-110.43699403946573</v>
      </c>
      <c r="Y3976" s="41"/>
      <c r="Z3976" s="73"/>
      <c r="AA3976" s="53">
        <f>(AA$29/AA$27)^2*(AA3973-('Valve Sizing'!$V$4*'Valve Sizing'!$G$7))</f>
        <v>-499.99738432374016</v>
      </c>
      <c r="AB3976" s="41"/>
      <c r="AC3976" s="73"/>
      <c r="AD3976" s="53">
        <f>(AD$29/AD$27)^2*(AD3973-('Valve Sizing'!$V$4*'Valve Sizing'!$G$7))</f>
        <v>-1331.5191483195231</v>
      </c>
      <c r="AE3976" s="41"/>
      <c r="AF3976" s="73"/>
      <c r="AG3976" s="53">
        <f>(AG$29/AG$27)^2*(AG3973-('Valve Sizing'!$V$4*'Valve Sizing'!$G$7))</f>
        <v>-2680.1299459708389</v>
      </c>
      <c r="AH3976" s="41"/>
      <c r="AI3976" s="73"/>
      <c r="AJ3976" s="53">
        <f>(AJ$29/AJ$27)^2*(AJ3973-('Valve Sizing'!$V$4*'Valve Sizing'!$G$7))</f>
        <v>-4311.7969316469298</v>
      </c>
      <c r="AK3976" s="41"/>
      <c r="AL3976" s="73"/>
      <c r="AM3976" s="53">
        <f>(AM$29/AM$27)^2*(AM3973-('Valve Sizing'!$V$4*'Valve Sizing'!$G$7))</f>
        <v>-5324.1136817866764</v>
      </c>
      <c r="AN3976" s="41"/>
      <c r="AO3976" s="73"/>
      <c r="AP3976" s="53">
        <f>(AP$29/AP$27)^2*(AP3973-('Valve Sizing'!$V$4*'Valve Sizing'!$G$7))</f>
        <v>-5926.345497324266</v>
      </c>
      <c r="AQ3976" s="41"/>
      <c r="AR3976" s="73"/>
      <c r="AS3976" s="53">
        <f>(AS$29/AS$27)^2*(AS3973-('Valve Sizing'!$V$4*'Valve Sizing'!$G$7))</f>
        <v>-7322.8250036337531</v>
      </c>
      <c r="AT3976" s="41"/>
      <c r="AU3976" s="73"/>
    </row>
    <row r="3977" spans="15:47" ht="13" x14ac:dyDescent="0.25">
      <c r="O3977" s="1" t="s">
        <v>69</v>
      </c>
      <c r="P3977" s="17">
        <v>7</v>
      </c>
      <c r="Q3977" s="65"/>
      <c r="R3977" s="53" t="e">
        <f>(R3971/(N_1*F_P_h))*SQRT('Valve Sizing'!$G$6/R3975)</f>
        <v>#NUM!</v>
      </c>
      <c r="S3977" s="58"/>
      <c r="T3977" s="73"/>
      <c r="U3977" s="64" t="e">
        <f>(U3971/(N_1*U$27))*SQRT('Valve Sizing'!$G$6/U3975)</f>
        <v>#NUM!</v>
      </c>
      <c r="V3977" s="41"/>
      <c r="W3977" s="73"/>
      <c r="X3977" s="64" t="e">
        <f>(X3971/(N_1*X$27))*SQRT('Valve Sizing'!$G$6/X3975)</f>
        <v>#NUM!</v>
      </c>
      <c r="Y3977" s="41"/>
      <c r="Z3977" s="73"/>
      <c r="AA3977" s="64" t="e">
        <f>(AA3971/(N_1*AA$27))*SQRT('Valve Sizing'!$G$6/AA3975)</f>
        <v>#NUM!</v>
      </c>
      <c r="AB3977" s="41"/>
      <c r="AC3977" s="73"/>
      <c r="AD3977" s="64" t="e">
        <f>(AD3971/(N_1*AD$27))*SQRT('Valve Sizing'!$G$6/AD3975)</f>
        <v>#NUM!</v>
      </c>
      <c r="AE3977" s="41"/>
      <c r="AF3977" s="73"/>
      <c r="AG3977" s="64" t="e">
        <f>(AG3971/(N_1*AG$27))*SQRT('Valve Sizing'!$G$6/AG3975)</f>
        <v>#NUM!</v>
      </c>
      <c r="AH3977" s="41"/>
      <c r="AI3977" s="73"/>
      <c r="AJ3977" s="64" t="e">
        <f>(AJ3971/(N_1*AJ$27))*SQRT('Valve Sizing'!$G$6/AJ3975)</f>
        <v>#NUM!</v>
      </c>
      <c r="AK3977" s="41"/>
      <c r="AL3977" s="73"/>
      <c r="AM3977" s="64" t="e">
        <f>(AM3971/(N_1*AM$27))*SQRT('Valve Sizing'!$G$6/AM3975)</f>
        <v>#NUM!</v>
      </c>
      <c r="AN3977" s="41"/>
      <c r="AO3977" s="73"/>
      <c r="AP3977" s="64" t="e">
        <f>(AP3971/(N_1*AP$27))*SQRT('Valve Sizing'!$G$6/AP3975)</f>
        <v>#NUM!</v>
      </c>
      <c r="AQ3977" s="41"/>
      <c r="AR3977" s="73"/>
      <c r="AS3977" s="64" t="e">
        <f>(AS3971/(N_1*AS$27))*SQRT('Valve Sizing'!$G$6/AS3975)</f>
        <v>#NUM!</v>
      </c>
      <c r="AT3977" s="41"/>
      <c r="AU3977" s="73"/>
    </row>
    <row r="3978" spans="15:47" ht="13" x14ac:dyDescent="0.3">
      <c r="O3978" s="1" t="s">
        <v>72</v>
      </c>
      <c r="P3978" s="17">
        <v>7</v>
      </c>
      <c r="Q3978" s="65"/>
      <c r="R3978" s="53">
        <f>(R3971/(N_1*F_P_h))*SQRT('Valve Sizing'!$G$6/R3976)</f>
        <v>209.21489917241794</v>
      </c>
      <c r="S3978" s="56"/>
      <c r="T3978" s="72"/>
      <c r="U3978" s="85">
        <f>(U3971/(N_1*U$27))*SQRT('Valve Sizing'!$G$6/U3976)</f>
        <v>228.47054908352638</v>
      </c>
      <c r="V3978" s="44"/>
      <c r="W3978" s="72"/>
      <c r="X3978" s="85" t="e">
        <f>(X3971/(N_1*X$27))*SQRT('Valve Sizing'!$G$6/X3976)</f>
        <v>#NUM!</v>
      </c>
      <c r="Y3978" s="44"/>
      <c r="Z3978" s="72"/>
      <c r="AA3978" s="85" t="e">
        <f>(AA3971/(N_1*AA$27))*SQRT('Valve Sizing'!$G$6/AA3976)</f>
        <v>#NUM!</v>
      </c>
      <c r="AB3978" s="44"/>
      <c r="AC3978" s="72"/>
      <c r="AD3978" s="85" t="e">
        <f>(AD3971/(N_1*AD$27))*SQRT('Valve Sizing'!$G$6/AD3976)</f>
        <v>#NUM!</v>
      </c>
      <c r="AE3978" s="44"/>
      <c r="AF3978" s="72"/>
      <c r="AG3978" s="85" t="e">
        <f>(AG3971/(N_1*AG$27))*SQRT('Valve Sizing'!$G$6/AG3976)</f>
        <v>#NUM!</v>
      </c>
      <c r="AH3978" s="44"/>
      <c r="AI3978" s="72"/>
      <c r="AJ3978" s="85" t="e">
        <f>(AJ3971/(N_1*AJ$27))*SQRT('Valve Sizing'!$G$6/AJ3976)</f>
        <v>#NUM!</v>
      </c>
      <c r="AK3978" s="44"/>
      <c r="AL3978" s="72"/>
      <c r="AM3978" s="85" t="e">
        <f>(AM3971/(N_1*AM$27))*SQRT('Valve Sizing'!$G$6/AM3976)</f>
        <v>#NUM!</v>
      </c>
      <c r="AN3978" s="44"/>
      <c r="AO3978" s="72"/>
      <c r="AP3978" s="85" t="e">
        <f>(AP3971/(N_1*AP$27))*SQRT('Valve Sizing'!$G$6/AP3976)</f>
        <v>#NUM!</v>
      </c>
      <c r="AQ3978" s="44"/>
      <c r="AR3978" s="72"/>
      <c r="AS3978" s="85" t="e">
        <f>(AS3971/(N_1*AS$27))*SQRT('Valve Sizing'!$G$6/AS3976)</f>
        <v>#NUM!</v>
      </c>
      <c r="AT3978" s="44"/>
      <c r="AU3978" s="72"/>
    </row>
    <row r="3979" spans="15:47" x14ac:dyDescent="0.25">
      <c r="O3979" s="1" t="s">
        <v>246</v>
      </c>
      <c r="P3979" s="18"/>
      <c r="Q3979" s="65"/>
      <c r="R3979" s="53" t="e">
        <f>IF(R3975&lt;R3976,R3977,R3978)</f>
        <v>#NUM!</v>
      </c>
      <c r="S3979" s="49"/>
      <c r="T3979" s="72"/>
      <c r="U3979" s="64" t="e">
        <f>IF(U3975&lt;U3976,U3977,U3978)</f>
        <v>#NUM!</v>
      </c>
      <c r="V3979" s="44"/>
      <c r="W3979" s="72"/>
      <c r="X3979" s="64" t="e">
        <f>IF(X3975&lt;X3976,X3977,X3978)</f>
        <v>#NUM!</v>
      </c>
      <c r="Y3979" s="44"/>
      <c r="Z3979" s="72"/>
      <c r="AA3979" s="64" t="e">
        <f>IF(AA3975&lt;AA3976,AA3977,AA3978)</f>
        <v>#NUM!</v>
      </c>
      <c r="AB3979" s="44"/>
      <c r="AC3979" s="72"/>
      <c r="AD3979" s="64" t="e">
        <f>IF(AD3975&lt;AD3976,AD3977,AD3978)</f>
        <v>#NUM!</v>
      </c>
      <c r="AE3979" s="44"/>
      <c r="AF3979" s="72"/>
      <c r="AG3979" s="64" t="e">
        <f>IF(AG3975&lt;AG3976,AG3977,AG3978)</f>
        <v>#NUM!</v>
      </c>
      <c r="AH3979" s="44"/>
      <c r="AI3979" s="72"/>
      <c r="AJ3979" s="64" t="e">
        <f>IF(AJ3975&lt;AJ3976,AJ3977,AJ3978)</f>
        <v>#NUM!</v>
      </c>
      <c r="AK3979" s="44"/>
      <c r="AL3979" s="72"/>
      <c r="AM3979" s="64" t="e">
        <f>IF(AM3975&lt;AM3976,AM3977,AM3978)</f>
        <v>#NUM!</v>
      </c>
      <c r="AN3979" s="44"/>
      <c r="AO3979" s="72"/>
      <c r="AP3979" s="64" t="e">
        <f>IF(AP3975&lt;AP3976,AP3977,AP3978)</f>
        <v>#NUM!</v>
      </c>
      <c r="AQ3979" s="44"/>
      <c r="AR3979" s="72"/>
      <c r="AS3979" s="64" t="e">
        <f>IF(AS3975&lt;AS3976,AS3977,AS3978)</f>
        <v>#NUM!</v>
      </c>
      <c r="AT3979" s="44"/>
      <c r="AU3979" s="72"/>
    </row>
    <row r="3980" spans="15:47" ht="13" x14ac:dyDescent="0.3">
      <c r="O3980" s="7" t="s">
        <v>264</v>
      </c>
      <c r="Q3980" s="61"/>
      <c r="R3980" s="53"/>
      <c r="S3980" s="69">
        <f>IFERROR(ABS(C_h-R3979),Q_max*10)</f>
        <v>5500</v>
      </c>
      <c r="T3980" s="76">
        <f>R3971</f>
        <v>959.29344694262056</v>
      </c>
      <c r="U3980" s="61"/>
      <c r="V3980" s="69">
        <f>IFERROR(ABS(U$23-U3979),Q_max*10)</f>
        <v>5500</v>
      </c>
      <c r="W3980" s="75">
        <f>U3971</f>
        <v>995.80136745763537</v>
      </c>
      <c r="X3980" s="61"/>
      <c r="Y3980" s="69">
        <f>IFERROR(ABS(X$23-X3979),Q_max*10)</f>
        <v>5500</v>
      </c>
      <c r="Z3980" s="75">
        <f>X3971</f>
        <v>2390.30660309421</v>
      </c>
      <c r="AA3980" s="61"/>
      <c r="AB3980" s="69">
        <f>IFERROR(ABS(AA$23-AA3979),Q_max*10)</f>
        <v>5500</v>
      </c>
      <c r="AC3980" s="75">
        <f>AA3971</f>
        <v>4563.9713244099521</v>
      </c>
      <c r="AD3980" s="61"/>
      <c r="AE3980" s="69">
        <f>IFERROR(ABS(AD$23-AD3979),Q_max*10)</f>
        <v>5500</v>
      </c>
      <c r="AF3980" s="75">
        <f>AD3971</f>
        <v>7506.052474107576</v>
      </c>
      <c r="AG3980" s="61"/>
      <c r="AH3980" s="69">
        <f>IFERROR(ABS(AG$23-AG3979),Q_max*10)</f>
        <v>5500</v>
      </c>
      <c r="AI3980" s="75">
        <f>AG3971</f>
        <v>11175.489311108913</v>
      </c>
      <c r="AJ3980" s="61"/>
      <c r="AK3980" s="69">
        <f>IFERROR(ABS(AJ$23-AJ3979),Q_max*10)</f>
        <v>5500</v>
      </c>
      <c r="AL3980" s="75">
        <f>AJ3971</f>
        <v>14913.733808210529</v>
      </c>
      <c r="AM3980" s="61"/>
      <c r="AN3980" s="69">
        <f>IFERROR(ABS(AM$23-AM3979),Q_max*10)</f>
        <v>5500</v>
      </c>
      <c r="AO3980" s="75">
        <f>AM3971</f>
        <v>18197.589451213757</v>
      </c>
      <c r="AP3980" s="61"/>
      <c r="AQ3980" s="69">
        <f>IFERROR(ABS(AP$23-AP3979),Q_max*10)</f>
        <v>5500</v>
      </c>
      <c r="AR3980" s="75">
        <f>AP3971</f>
        <v>21126.836415427744</v>
      </c>
      <c r="AS3980" s="61"/>
      <c r="AT3980" s="69">
        <f>IFERROR(ABS(AS$23-AS3979),Q_max*10)</f>
        <v>5500</v>
      </c>
      <c r="AU3980" s="75">
        <f>AS3971</f>
        <v>24044.310561211641</v>
      </c>
    </row>
    <row r="3981" spans="15:47" ht="14.5" x14ac:dyDescent="0.35">
      <c r="O3981" s="6"/>
      <c r="P3981" s="6"/>
      <c r="Q3981" s="60"/>
      <c r="R3981" s="67"/>
      <c r="S3981" s="56"/>
      <c r="T3981" s="72"/>
      <c r="V3981" s="11"/>
      <c r="W3981" s="38"/>
      <c r="Y3981" s="11"/>
      <c r="Z3981" s="38"/>
      <c r="AB3981" s="11"/>
      <c r="AC3981" s="38"/>
      <c r="AE3981" s="11"/>
      <c r="AF3981" s="38"/>
      <c r="AH3981" s="11"/>
      <c r="AI3981" s="38"/>
      <c r="AK3981" s="11"/>
      <c r="AL3981" s="38"/>
      <c r="AN3981" s="11"/>
      <c r="AO3981" s="38"/>
      <c r="AQ3981" s="11"/>
      <c r="AR3981" s="38"/>
      <c r="AT3981" s="11"/>
      <c r="AU3981" s="38"/>
    </row>
    <row r="3982" spans="15:47" ht="14" x14ac:dyDescent="0.3">
      <c r="O3982" s="8" t="s">
        <v>235</v>
      </c>
      <c r="P3982" s="6"/>
      <c r="Q3982" s="60"/>
      <c r="R3982" s="53">
        <f>R3971*1.02</f>
        <v>978.47931588147298</v>
      </c>
      <c r="S3982" s="58" t="s">
        <v>238</v>
      </c>
      <c r="T3982" s="73" t="s">
        <v>241</v>
      </c>
      <c r="U3982" s="84">
        <f>U3971*1.01</f>
        <v>1005.7593811322117</v>
      </c>
      <c r="V3982" s="58" t="s">
        <v>238</v>
      </c>
      <c r="W3982" s="73" t="s">
        <v>241</v>
      </c>
      <c r="X3982" s="84">
        <f>X3971*1.01</f>
        <v>2414.2096691251522</v>
      </c>
      <c r="Y3982" s="58" t="s">
        <v>238</v>
      </c>
      <c r="Z3982" s="73" t="s">
        <v>241</v>
      </c>
      <c r="AA3982" s="84">
        <f>AA3971*1.01</f>
        <v>4609.6110376540519</v>
      </c>
      <c r="AB3982" s="58" t="s">
        <v>238</v>
      </c>
      <c r="AC3982" s="73" t="s">
        <v>241</v>
      </c>
      <c r="AD3982" s="84">
        <f>AD3971*1.01</f>
        <v>7581.1129988486518</v>
      </c>
      <c r="AE3982" s="58" t="s">
        <v>238</v>
      </c>
      <c r="AF3982" s="73" t="s">
        <v>241</v>
      </c>
      <c r="AG3982" s="84">
        <f>AG3971*1.01</f>
        <v>11287.244204220002</v>
      </c>
      <c r="AH3982" s="58" t="s">
        <v>238</v>
      </c>
      <c r="AI3982" s="73" t="s">
        <v>241</v>
      </c>
      <c r="AJ3982" s="84">
        <f>AJ3971*1.01</f>
        <v>15062.871146292635</v>
      </c>
      <c r="AK3982" s="58" t="s">
        <v>238</v>
      </c>
      <c r="AL3982" s="73" t="s">
        <v>241</v>
      </c>
      <c r="AM3982" s="84">
        <f>AM3971*1.01</f>
        <v>18379.565345725896</v>
      </c>
      <c r="AN3982" s="58" t="s">
        <v>238</v>
      </c>
      <c r="AO3982" s="73" t="s">
        <v>241</v>
      </c>
      <c r="AP3982" s="84">
        <f>AP3971*1.01</f>
        <v>21338.104779582023</v>
      </c>
      <c r="AQ3982" s="58" t="s">
        <v>238</v>
      </c>
      <c r="AR3982" s="73" t="s">
        <v>241</v>
      </c>
      <c r="AS3982" s="84">
        <f>AS3971*1.01</f>
        <v>24284.753666823759</v>
      </c>
      <c r="AT3982" s="58" t="s">
        <v>238</v>
      </c>
      <c r="AU3982" s="73" t="s">
        <v>241</v>
      </c>
    </row>
    <row r="3983" spans="15:47" ht="13" x14ac:dyDescent="0.25">
      <c r="O3983" s="6"/>
      <c r="P3983" s="6"/>
      <c r="Q3983" s="60"/>
      <c r="R3983" s="70"/>
      <c r="S3983" s="63" t="s">
        <v>250</v>
      </c>
      <c r="T3983" s="71" t="s">
        <v>242</v>
      </c>
      <c r="U3983" s="61"/>
      <c r="V3983" s="63" t="s">
        <v>250</v>
      </c>
      <c r="W3983" s="71" t="s">
        <v>242</v>
      </c>
      <c r="X3983" s="61"/>
      <c r="Y3983" s="63" t="s">
        <v>250</v>
      </c>
      <c r="Z3983" s="71" t="s">
        <v>242</v>
      </c>
      <c r="AA3983" s="61"/>
      <c r="AB3983" s="63" t="s">
        <v>250</v>
      </c>
      <c r="AC3983" s="71" t="s">
        <v>242</v>
      </c>
      <c r="AD3983" s="61"/>
      <c r="AE3983" s="63" t="s">
        <v>250</v>
      </c>
      <c r="AF3983" s="71" t="s">
        <v>242</v>
      </c>
      <c r="AG3983" s="61"/>
      <c r="AH3983" s="63" t="s">
        <v>250</v>
      </c>
      <c r="AI3983" s="71" t="s">
        <v>242</v>
      </c>
      <c r="AJ3983" s="61"/>
      <c r="AK3983" s="63" t="s">
        <v>250</v>
      </c>
      <c r="AL3983" s="71" t="s">
        <v>242</v>
      </c>
      <c r="AM3983" s="61"/>
      <c r="AN3983" s="63" t="s">
        <v>250</v>
      </c>
      <c r="AO3983" s="71" t="s">
        <v>242</v>
      </c>
      <c r="AP3983" s="61"/>
      <c r="AQ3983" s="63" t="s">
        <v>250</v>
      </c>
      <c r="AR3983" s="71" t="s">
        <v>242</v>
      </c>
      <c r="AS3983" s="61"/>
      <c r="AT3983" s="63" t="s">
        <v>250</v>
      </c>
      <c r="AU3983" s="71" t="s">
        <v>242</v>
      </c>
    </row>
    <row r="3984" spans="15:47" ht="13" x14ac:dyDescent="0.3">
      <c r="O3984" s="6" t="s">
        <v>231</v>
      </c>
      <c r="P3984" s="6"/>
      <c r="Q3984" s="60"/>
      <c r="R3984" s="85">
        <f>P_1_minQ-(R3982^2*R_up)+dpup_minQ</f>
        <v>24.581736858903231</v>
      </c>
      <c r="S3984" s="56"/>
      <c r="T3984" s="72"/>
      <c r="U3984" s="53">
        <f>P_1_minQ-(U3982^2*R_up)+dpup_minQ</f>
        <v>22.753632801909848</v>
      </c>
      <c r="V3984" s="44"/>
      <c r="W3984" s="72"/>
      <c r="X3984" s="53">
        <f>P_1_minQ-(X3982^2*R_up)+dpup_minQ</f>
        <v>-139.92304378579459</v>
      </c>
      <c r="Y3984" s="44"/>
      <c r="Z3984" s="72"/>
      <c r="AA3984" s="53">
        <f>P_1_minQ-(AA3982^2*R_up)+dpup_minQ</f>
        <v>-660.69662000885046</v>
      </c>
      <c r="AB3984" s="44"/>
      <c r="AC3984" s="72"/>
      <c r="AD3984" s="53">
        <f>P_1_minQ-(AD3982^2*R_up)+dpup_minQ</f>
        <v>-1884.0927828879433</v>
      </c>
      <c r="AE3984" s="44"/>
      <c r="AF3984" s="72"/>
      <c r="AG3984" s="53">
        <f>P_1_minQ-(AG3982^2*R_up)+dpup_minQ</f>
        <v>-4245.7478799627843</v>
      </c>
      <c r="AH3984" s="44"/>
      <c r="AI3984" s="72"/>
      <c r="AJ3984" s="53">
        <f>P_1_minQ-(AJ3982^2*R_up)+dpup_minQ</f>
        <v>-7605.7007824996699</v>
      </c>
      <c r="AK3984" s="44"/>
      <c r="AL3984" s="72"/>
      <c r="AM3984" s="53">
        <f>P_1_minQ-(AM3982^2*R_up)+dpup_minQ</f>
        <v>-11351.676301851006</v>
      </c>
      <c r="AN3984" s="44"/>
      <c r="AO3984" s="72"/>
      <c r="AP3984" s="53">
        <f>P_1_minQ-(AP3982^2*R_up)+dpup_minQ</f>
        <v>-15320.142809335399</v>
      </c>
      <c r="AQ3984" s="44"/>
      <c r="AR3984" s="72"/>
      <c r="AS3984" s="53">
        <f>P_1_minQ-(AS3982^2*R_up)+dpup_minQ</f>
        <v>-19860.31657069605</v>
      </c>
      <c r="AT3984" s="44"/>
      <c r="AU3984" s="72"/>
    </row>
    <row r="3985" spans="15:47" ht="13" x14ac:dyDescent="0.3">
      <c r="O3985" s="6" t="s">
        <v>233</v>
      </c>
      <c r="P3985" s="6"/>
      <c r="Q3985" s="60"/>
      <c r="R3985" s="85">
        <f>P_2_minQ+(R3982^2*R_dn)-dpdn_minQ</f>
        <v>31.123652628219354</v>
      </c>
      <c r="S3985" s="66"/>
      <c r="T3985" s="74"/>
      <c r="U3985" s="53">
        <f>P_2_minQ+(U3982^2*R_dn)-dpdn_minQ</f>
        <v>31.489273439618032</v>
      </c>
      <c r="V3985" s="45"/>
      <c r="W3985" s="74"/>
      <c r="X3985" s="53">
        <f>P_2_minQ+(X3982^2*R_dn)-dpdn_minQ</f>
        <v>64.024608757158916</v>
      </c>
      <c r="Y3985" s="45"/>
      <c r="Z3985" s="74"/>
      <c r="AA3985" s="53">
        <f>P_2_minQ+(AA3982^2*R_dn)-dpdn_minQ</f>
        <v>168.17932400177008</v>
      </c>
      <c r="AB3985" s="45"/>
      <c r="AC3985" s="74"/>
      <c r="AD3985" s="53">
        <f>P_2_minQ+(AD3982^2*R_dn)-dpdn_minQ</f>
        <v>412.85855657758862</v>
      </c>
      <c r="AE3985" s="45"/>
      <c r="AF3985" s="74"/>
      <c r="AG3985" s="53">
        <f>P_2_minQ+(AG3982^2*R_dn)-dpdn_minQ</f>
        <v>885.18957599255668</v>
      </c>
      <c r="AH3985" s="45"/>
      <c r="AI3985" s="74"/>
      <c r="AJ3985" s="53">
        <f>P_2_minQ+(AJ3982^2*R_dn)-dpdn_minQ</f>
        <v>1557.1801564999337</v>
      </c>
      <c r="AK3985" s="45"/>
      <c r="AL3985" s="74"/>
      <c r="AM3985" s="53">
        <f>P_2_minQ+(AM3982^2*R_dn)-dpdn_minQ</f>
        <v>2306.375260370201</v>
      </c>
      <c r="AN3985" s="45"/>
      <c r="AO3985" s="74"/>
      <c r="AP3985" s="53">
        <f>P_2_minQ+(AP3982^2*R_dn)-dpdn_minQ</f>
        <v>3100.0685618670796</v>
      </c>
      <c r="AQ3985" s="45"/>
      <c r="AR3985" s="74"/>
      <c r="AS3985" s="53">
        <f>P_2_minQ+(AS3982^2*R_dn)-dpdn_minQ</f>
        <v>4008.1033141392099</v>
      </c>
      <c r="AT3985" s="45"/>
      <c r="AU3985" s="74"/>
    </row>
    <row r="3986" spans="15:47" x14ac:dyDescent="0.25">
      <c r="O3986" s="6" t="s">
        <v>243</v>
      </c>
      <c r="Q3986" s="60"/>
      <c r="R3986" s="53">
        <f>R3984-R3985</f>
        <v>-6.5419157693161232</v>
      </c>
      <c r="S3986" s="56"/>
      <c r="T3986" s="72"/>
      <c r="U3986" s="64">
        <f>U3984-U3985</f>
        <v>-8.7356406377081832</v>
      </c>
      <c r="V3986" s="44"/>
      <c r="W3986" s="72"/>
      <c r="X3986" s="64">
        <f>X3984-X3985</f>
        <v>-203.94765254295351</v>
      </c>
      <c r="Y3986" s="44"/>
      <c r="Z3986" s="72"/>
      <c r="AA3986" s="64">
        <f>AA3984-AA3985</f>
        <v>-828.87594401062051</v>
      </c>
      <c r="AB3986" s="44"/>
      <c r="AC3986" s="72"/>
      <c r="AD3986" s="64">
        <f>AD3984-AD3985</f>
        <v>-2296.9513394655319</v>
      </c>
      <c r="AE3986" s="44"/>
      <c r="AF3986" s="72"/>
      <c r="AG3986" s="64">
        <f>AG3984-AG3985</f>
        <v>-5130.9374559553407</v>
      </c>
      <c r="AH3986" s="44"/>
      <c r="AI3986" s="72"/>
      <c r="AJ3986" s="64">
        <f>AJ3984-AJ3985</f>
        <v>-9162.880938999604</v>
      </c>
      <c r="AK3986" s="44"/>
      <c r="AL3986" s="72"/>
      <c r="AM3986" s="64">
        <f>AM3984-AM3985</f>
        <v>-13658.051562221208</v>
      </c>
      <c r="AN3986" s="44"/>
      <c r="AO3986" s="72"/>
      <c r="AP3986" s="64">
        <f>AP3984-AP3985</f>
        <v>-18420.21137120248</v>
      </c>
      <c r="AQ3986" s="44"/>
      <c r="AR3986" s="72"/>
      <c r="AS3986" s="64">
        <f>AS3984-AS3985</f>
        <v>-23868.419884835261</v>
      </c>
      <c r="AT3986" s="44"/>
      <c r="AU3986" s="72"/>
    </row>
    <row r="3987" spans="15:47" ht="13" x14ac:dyDescent="0.3">
      <c r="O3987" s="6" t="s">
        <v>75</v>
      </c>
      <c r="P3987" s="6">
        <v>3</v>
      </c>
      <c r="Q3987" s="65"/>
      <c r="R3987" s="85">
        <f>(F_LP_h/F_P_h)^2*(R3984-('Valve Sizing'!$V$4*'Valve Sizing'!$G$7))</f>
        <v>19.990577564533567</v>
      </c>
      <c r="S3987" s="58"/>
      <c r="T3987" s="73"/>
      <c r="U3987" s="53">
        <f>(U$29/U$27)^2*(U3984-('Valve Sizing'!$V$4*'Valve Sizing'!$G$7))</f>
        <v>18.471775432772287</v>
      </c>
      <c r="V3987" s="41"/>
      <c r="W3987" s="73"/>
      <c r="X3987" s="53">
        <f>(X$29/X$27)^2*(X3984-('Valve Sizing'!$V$4*'Valve Sizing'!$G$7))</f>
        <v>-113.57530392093726</v>
      </c>
      <c r="Y3987" s="41"/>
      <c r="Z3987" s="73"/>
      <c r="AA3987" s="53">
        <f>(AA$29/AA$27)^2*(AA3984-('Valve Sizing'!$V$4*'Valve Sizing'!$G$7))</f>
        <v>-510.92458744419076</v>
      </c>
      <c r="AB3987" s="41"/>
      <c r="AC3987" s="73"/>
      <c r="AD3987" s="53">
        <f>(AD$29/AD$27)^2*(AD3984-('Valve Sizing'!$V$4*'Valve Sizing'!$G$7))</f>
        <v>-1359.1013530186715</v>
      </c>
      <c r="AE3987" s="41"/>
      <c r="AF3987" s="73"/>
      <c r="AG3987" s="53">
        <f>(AG$29/AG$27)^2*(AG3984-('Valve Sizing'!$V$4*'Valve Sizing'!$G$7))</f>
        <v>-2734.7316568183687</v>
      </c>
      <c r="AH3987" s="41"/>
      <c r="AI3987" s="73"/>
      <c r="AJ3987" s="53">
        <f>(AJ$29/AJ$27)^2*(AJ3984-('Valve Sizing'!$V$4*'Valve Sizing'!$G$7))</f>
        <v>-4399.1205914217398</v>
      </c>
      <c r="AK3987" s="41"/>
      <c r="AL3987" s="73"/>
      <c r="AM3987" s="53">
        <f>(AM$29/AM$27)^2*(AM3984-('Valve Sizing'!$V$4*'Valve Sizing'!$G$7))</f>
        <v>-5431.6715136945095</v>
      </c>
      <c r="AN3987" s="41"/>
      <c r="AO3987" s="73"/>
      <c r="AP3987" s="53">
        <f>(AP$29/AP$27)^2*(AP3984-('Valve Sizing'!$V$4*'Valve Sizing'!$G$7))</f>
        <v>-6045.9130100873836</v>
      </c>
      <c r="AQ3987" s="41"/>
      <c r="AR3987" s="73"/>
      <c r="AS3987" s="53">
        <f>(AS$29/AS$27)^2*(AS3984-('Valve Sizing'!$V$4*'Valve Sizing'!$G$7))</f>
        <v>-7470.4407696959097</v>
      </c>
      <c r="AT3987" s="41"/>
      <c r="AU3987" s="73"/>
    </row>
    <row r="3988" spans="15:47" ht="13" x14ac:dyDescent="0.25">
      <c r="O3988" s="1" t="s">
        <v>69</v>
      </c>
      <c r="P3988" s="17">
        <v>7</v>
      </c>
      <c r="Q3988" s="65"/>
      <c r="R3988" s="53" t="e">
        <f>(R3982/(N_1*F_P_h))*SQRT('Valve Sizing'!$G$6/R3986)</f>
        <v>#NUM!</v>
      </c>
      <c r="S3988" s="58"/>
      <c r="T3988" s="73"/>
      <c r="U3988" s="64" t="e">
        <f>(U3982/(N_1*U$27))*SQRT('Valve Sizing'!$G$6/U3986)</f>
        <v>#NUM!</v>
      </c>
      <c r="V3988" s="41"/>
      <c r="W3988" s="73"/>
      <c r="X3988" s="64" t="e">
        <f>(X3982/(N_1*X$27))*SQRT('Valve Sizing'!$G$6/X3986)</f>
        <v>#NUM!</v>
      </c>
      <c r="Y3988" s="41"/>
      <c r="Z3988" s="73"/>
      <c r="AA3988" s="64" t="e">
        <f>(AA3982/(N_1*AA$27))*SQRT('Valve Sizing'!$G$6/AA3986)</f>
        <v>#NUM!</v>
      </c>
      <c r="AB3988" s="41"/>
      <c r="AC3988" s="73"/>
      <c r="AD3988" s="64" t="e">
        <f>(AD3982/(N_1*AD$27))*SQRT('Valve Sizing'!$G$6/AD3986)</f>
        <v>#NUM!</v>
      </c>
      <c r="AE3988" s="41"/>
      <c r="AF3988" s="73"/>
      <c r="AG3988" s="64" t="e">
        <f>(AG3982/(N_1*AG$27))*SQRT('Valve Sizing'!$G$6/AG3986)</f>
        <v>#NUM!</v>
      </c>
      <c r="AH3988" s="41"/>
      <c r="AI3988" s="73"/>
      <c r="AJ3988" s="64" t="e">
        <f>(AJ3982/(N_1*AJ$27))*SQRT('Valve Sizing'!$G$6/AJ3986)</f>
        <v>#NUM!</v>
      </c>
      <c r="AK3988" s="41"/>
      <c r="AL3988" s="73"/>
      <c r="AM3988" s="64" t="e">
        <f>(AM3982/(N_1*AM$27))*SQRT('Valve Sizing'!$G$6/AM3986)</f>
        <v>#NUM!</v>
      </c>
      <c r="AN3988" s="41"/>
      <c r="AO3988" s="73"/>
      <c r="AP3988" s="64" t="e">
        <f>(AP3982/(N_1*AP$27))*SQRT('Valve Sizing'!$G$6/AP3986)</f>
        <v>#NUM!</v>
      </c>
      <c r="AQ3988" s="41"/>
      <c r="AR3988" s="73"/>
      <c r="AS3988" s="64" t="e">
        <f>(AS3982/(N_1*AS$27))*SQRT('Valve Sizing'!$G$6/AS3986)</f>
        <v>#NUM!</v>
      </c>
      <c r="AT3988" s="41"/>
      <c r="AU3988" s="73"/>
    </row>
    <row r="3989" spans="15:47" ht="13" x14ac:dyDescent="0.3">
      <c r="O3989" s="1" t="s">
        <v>72</v>
      </c>
      <c r="P3989" s="17">
        <v>7</v>
      </c>
      <c r="Q3989" s="65"/>
      <c r="R3989" s="53">
        <f>(R3982/(N_1*F_P_h))*SQRT('Valve Sizing'!$G$6/R3987)</f>
        <v>218.87819934607052</v>
      </c>
      <c r="S3989" s="56"/>
      <c r="T3989" s="72"/>
      <c r="U3989" s="85">
        <f>(U3982/(N_1*U$27))*SQRT('Valve Sizing'!$G$6/U3987)</f>
        <v>234.21000453643441</v>
      </c>
      <c r="V3989" s="44"/>
      <c r="W3989" s="72"/>
      <c r="X3989" s="85" t="e">
        <f>(X3982/(N_1*X$27))*SQRT('Valve Sizing'!$G$6/X3987)</f>
        <v>#NUM!</v>
      </c>
      <c r="Y3989" s="44"/>
      <c r="Z3989" s="72"/>
      <c r="AA3989" s="85" t="e">
        <f>(AA3982/(N_1*AA$27))*SQRT('Valve Sizing'!$G$6/AA3987)</f>
        <v>#NUM!</v>
      </c>
      <c r="AB3989" s="44"/>
      <c r="AC3989" s="72"/>
      <c r="AD3989" s="85" t="e">
        <f>(AD3982/(N_1*AD$27))*SQRT('Valve Sizing'!$G$6/AD3987)</f>
        <v>#NUM!</v>
      </c>
      <c r="AE3989" s="44"/>
      <c r="AF3989" s="72"/>
      <c r="AG3989" s="85" t="e">
        <f>(AG3982/(N_1*AG$27))*SQRT('Valve Sizing'!$G$6/AG3987)</f>
        <v>#NUM!</v>
      </c>
      <c r="AH3989" s="44"/>
      <c r="AI3989" s="72"/>
      <c r="AJ3989" s="85" t="e">
        <f>(AJ3982/(N_1*AJ$27))*SQRT('Valve Sizing'!$G$6/AJ3987)</f>
        <v>#NUM!</v>
      </c>
      <c r="AK3989" s="44"/>
      <c r="AL3989" s="72"/>
      <c r="AM3989" s="85" t="e">
        <f>(AM3982/(N_1*AM$27))*SQRT('Valve Sizing'!$G$6/AM3987)</f>
        <v>#NUM!</v>
      </c>
      <c r="AN3989" s="44"/>
      <c r="AO3989" s="72"/>
      <c r="AP3989" s="85" t="e">
        <f>(AP3982/(N_1*AP$27))*SQRT('Valve Sizing'!$G$6/AP3987)</f>
        <v>#NUM!</v>
      </c>
      <c r="AQ3989" s="44"/>
      <c r="AR3989" s="72"/>
      <c r="AS3989" s="85" t="e">
        <f>(AS3982/(N_1*AS$27))*SQRT('Valve Sizing'!$G$6/AS3987)</f>
        <v>#NUM!</v>
      </c>
      <c r="AT3989" s="44"/>
      <c r="AU3989" s="72"/>
    </row>
    <row r="3990" spans="15:47" x14ac:dyDescent="0.25">
      <c r="O3990" s="1" t="s">
        <v>246</v>
      </c>
      <c r="P3990" s="18"/>
      <c r="Q3990" s="65"/>
      <c r="R3990" s="53" t="e">
        <f>IF(R3986&lt;R3987,R3988,R3989)</f>
        <v>#NUM!</v>
      </c>
      <c r="S3990" s="49"/>
      <c r="T3990" s="72"/>
      <c r="U3990" s="64" t="e">
        <f>IF(U3986&lt;U3987,U3988,U3989)</f>
        <v>#NUM!</v>
      </c>
      <c r="V3990" s="44"/>
      <c r="W3990" s="72"/>
      <c r="X3990" s="64" t="e">
        <f>IF(X3986&lt;X3987,X3988,X3989)</f>
        <v>#NUM!</v>
      </c>
      <c r="Y3990" s="44"/>
      <c r="Z3990" s="72"/>
      <c r="AA3990" s="64" t="e">
        <f>IF(AA3986&lt;AA3987,AA3988,AA3989)</f>
        <v>#NUM!</v>
      </c>
      <c r="AB3990" s="44"/>
      <c r="AC3990" s="72"/>
      <c r="AD3990" s="64" t="e">
        <f>IF(AD3986&lt;AD3987,AD3988,AD3989)</f>
        <v>#NUM!</v>
      </c>
      <c r="AE3990" s="44"/>
      <c r="AF3990" s="72"/>
      <c r="AG3990" s="64" t="e">
        <f>IF(AG3986&lt;AG3987,AG3988,AG3989)</f>
        <v>#NUM!</v>
      </c>
      <c r="AH3990" s="44"/>
      <c r="AI3990" s="72"/>
      <c r="AJ3990" s="64" t="e">
        <f>IF(AJ3986&lt;AJ3987,AJ3988,AJ3989)</f>
        <v>#NUM!</v>
      </c>
      <c r="AK3990" s="44"/>
      <c r="AL3990" s="72"/>
      <c r="AM3990" s="64" t="e">
        <f>IF(AM3986&lt;AM3987,AM3988,AM3989)</f>
        <v>#NUM!</v>
      </c>
      <c r="AN3990" s="44"/>
      <c r="AO3990" s="72"/>
      <c r="AP3990" s="64" t="e">
        <f>IF(AP3986&lt;AP3987,AP3988,AP3989)</f>
        <v>#NUM!</v>
      </c>
      <c r="AQ3990" s="44"/>
      <c r="AR3990" s="72"/>
      <c r="AS3990" s="64" t="e">
        <f>IF(AS3986&lt;AS3987,AS3988,AS3989)</f>
        <v>#NUM!</v>
      </c>
      <c r="AT3990" s="44"/>
      <c r="AU3990" s="72"/>
    </row>
    <row r="3991" spans="15:47" ht="13" x14ac:dyDescent="0.3">
      <c r="O3991" s="7" t="s">
        <v>264</v>
      </c>
      <c r="Q3991" s="61"/>
      <c r="R3991" s="53"/>
      <c r="S3991" s="69">
        <f>IFERROR(ABS(C_h-R3990),Q_max*10)</f>
        <v>5500</v>
      </c>
      <c r="T3991" s="76">
        <f>R3982</f>
        <v>978.47931588147298</v>
      </c>
      <c r="U3991" s="61"/>
      <c r="V3991" s="69">
        <f>IFERROR(ABS(U$23-U3990),Q_max*10)</f>
        <v>5500</v>
      </c>
      <c r="W3991" s="75">
        <f>U3982</f>
        <v>1005.7593811322117</v>
      </c>
      <c r="X3991" s="61"/>
      <c r="Y3991" s="69">
        <f>IFERROR(ABS(X$23-X3990),Q_max*10)</f>
        <v>5500</v>
      </c>
      <c r="Z3991" s="75">
        <f>X3982</f>
        <v>2414.2096691251522</v>
      </c>
      <c r="AA3991" s="61"/>
      <c r="AB3991" s="69">
        <f>IFERROR(ABS(AA$23-AA3990),Q_max*10)</f>
        <v>5500</v>
      </c>
      <c r="AC3991" s="75">
        <f>AA3982</f>
        <v>4609.6110376540519</v>
      </c>
      <c r="AD3991" s="61"/>
      <c r="AE3991" s="69">
        <f>IFERROR(ABS(AD$23-AD3990),Q_max*10)</f>
        <v>5500</v>
      </c>
      <c r="AF3991" s="75">
        <f>AD3982</f>
        <v>7581.1129988486518</v>
      </c>
      <c r="AG3991" s="61"/>
      <c r="AH3991" s="69">
        <f>IFERROR(ABS(AG$23-AG3990),Q_max*10)</f>
        <v>5500</v>
      </c>
      <c r="AI3991" s="75">
        <f>AG3982</f>
        <v>11287.244204220002</v>
      </c>
      <c r="AJ3991" s="61"/>
      <c r="AK3991" s="69">
        <f>IFERROR(ABS(AJ$23-AJ3990),Q_max*10)</f>
        <v>5500</v>
      </c>
      <c r="AL3991" s="75">
        <f>AJ3982</f>
        <v>15062.871146292635</v>
      </c>
      <c r="AM3991" s="61"/>
      <c r="AN3991" s="69">
        <f>IFERROR(ABS(AM$23-AM3990),Q_max*10)</f>
        <v>5500</v>
      </c>
      <c r="AO3991" s="75">
        <f>AM3982</f>
        <v>18379.565345725896</v>
      </c>
      <c r="AP3991" s="61"/>
      <c r="AQ3991" s="69">
        <f>IFERROR(ABS(AP$23-AP3990),Q_max*10)</f>
        <v>5500</v>
      </c>
      <c r="AR3991" s="75">
        <f>AP3982</f>
        <v>21338.104779582023</v>
      </c>
      <c r="AS3991" s="61"/>
      <c r="AT3991" s="69">
        <f>IFERROR(ABS(AS$23-AS3990),Q_max*10)</f>
        <v>5500</v>
      </c>
      <c r="AU3991" s="75">
        <f>AS3982</f>
        <v>24284.753666823759</v>
      </c>
    </row>
    <row r="3992" spans="15:47" ht="14.5" x14ac:dyDescent="0.35">
      <c r="O3992" s="6"/>
      <c r="P3992" s="6"/>
      <c r="Q3992" s="60"/>
      <c r="R3992" s="67"/>
      <c r="S3992" s="58"/>
      <c r="T3992" s="73"/>
      <c r="V3992" s="11"/>
      <c r="W3992" s="38"/>
      <c r="Y3992" s="11"/>
      <c r="Z3992" s="38"/>
      <c r="AB3992" s="11"/>
      <c r="AC3992" s="38"/>
      <c r="AE3992" s="11"/>
      <c r="AF3992" s="38"/>
      <c r="AH3992" s="11"/>
      <c r="AI3992" s="38"/>
      <c r="AK3992" s="11"/>
      <c r="AL3992" s="38"/>
      <c r="AN3992" s="11"/>
      <c r="AO3992" s="38"/>
      <c r="AQ3992" s="11"/>
      <c r="AR3992" s="38"/>
      <c r="AT3992" s="11"/>
      <c r="AU3992" s="38"/>
    </row>
    <row r="3993" spans="15:47" ht="14" x14ac:dyDescent="0.3">
      <c r="O3993" s="8" t="s">
        <v>235</v>
      </c>
      <c r="P3993" s="6"/>
      <c r="Q3993" s="60"/>
      <c r="R3993" s="53">
        <f>R3982*1.02</f>
        <v>998.04890219910249</v>
      </c>
      <c r="S3993" s="58" t="s">
        <v>238</v>
      </c>
      <c r="T3993" s="73" t="s">
        <v>241</v>
      </c>
      <c r="U3993" s="84">
        <f>U3982*1.01</f>
        <v>1015.8169749435339</v>
      </c>
      <c r="V3993" s="58" t="s">
        <v>238</v>
      </c>
      <c r="W3993" s="73" t="s">
        <v>241</v>
      </c>
      <c r="X3993" s="84">
        <f>X3982*1.01</f>
        <v>2438.3517658164037</v>
      </c>
      <c r="Y3993" s="58" t="s">
        <v>238</v>
      </c>
      <c r="Z3993" s="73" t="s">
        <v>241</v>
      </c>
      <c r="AA3993" s="84">
        <f>AA3982*1.01</f>
        <v>4655.7071480305922</v>
      </c>
      <c r="AB3993" s="58" t="s">
        <v>238</v>
      </c>
      <c r="AC3993" s="73" t="s">
        <v>241</v>
      </c>
      <c r="AD3993" s="84">
        <f>AD3982*1.01</f>
        <v>7656.9241288371386</v>
      </c>
      <c r="AE3993" s="58" t="s">
        <v>238</v>
      </c>
      <c r="AF3993" s="73" t="s">
        <v>241</v>
      </c>
      <c r="AG3993" s="84">
        <f>AG3982*1.01</f>
        <v>11400.116646262202</v>
      </c>
      <c r="AH3993" s="58" t="s">
        <v>238</v>
      </c>
      <c r="AI3993" s="73" t="s">
        <v>241</v>
      </c>
      <c r="AJ3993" s="84">
        <f>AJ3982*1.01</f>
        <v>15213.499857755562</v>
      </c>
      <c r="AK3993" s="58" t="s">
        <v>238</v>
      </c>
      <c r="AL3993" s="73" t="s">
        <v>241</v>
      </c>
      <c r="AM3993" s="84">
        <f>AM3982*1.01</f>
        <v>18563.360999183154</v>
      </c>
      <c r="AN3993" s="58" t="s">
        <v>238</v>
      </c>
      <c r="AO3993" s="73" t="s">
        <v>241</v>
      </c>
      <c r="AP3993" s="84">
        <f>AP3982*1.01</f>
        <v>21551.485827377845</v>
      </c>
      <c r="AQ3993" s="58" t="s">
        <v>238</v>
      </c>
      <c r="AR3993" s="73" t="s">
        <v>241</v>
      </c>
      <c r="AS3993" s="84">
        <f>AS3982*1.01</f>
        <v>24527.601203491995</v>
      </c>
      <c r="AT3993" s="58" t="s">
        <v>238</v>
      </c>
      <c r="AU3993" s="73" t="s">
        <v>241</v>
      </c>
    </row>
    <row r="3994" spans="15:47" ht="13" x14ac:dyDescent="0.25">
      <c r="O3994" s="6"/>
      <c r="P3994" s="6"/>
      <c r="Q3994" s="60"/>
      <c r="R3994" s="70"/>
      <c r="S3994" s="63" t="s">
        <v>250</v>
      </c>
      <c r="T3994" s="71" t="s">
        <v>242</v>
      </c>
      <c r="U3994" s="61"/>
      <c r="V3994" s="63" t="s">
        <v>250</v>
      </c>
      <c r="W3994" s="71" t="s">
        <v>242</v>
      </c>
      <c r="X3994" s="61"/>
      <c r="Y3994" s="63" t="s">
        <v>250</v>
      </c>
      <c r="Z3994" s="71" t="s">
        <v>242</v>
      </c>
      <c r="AA3994" s="61"/>
      <c r="AB3994" s="63" t="s">
        <v>250</v>
      </c>
      <c r="AC3994" s="71" t="s">
        <v>242</v>
      </c>
      <c r="AD3994" s="61"/>
      <c r="AE3994" s="63" t="s">
        <v>250</v>
      </c>
      <c r="AF3994" s="71" t="s">
        <v>242</v>
      </c>
      <c r="AG3994" s="61"/>
      <c r="AH3994" s="63" t="s">
        <v>250</v>
      </c>
      <c r="AI3994" s="71" t="s">
        <v>242</v>
      </c>
      <c r="AJ3994" s="61"/>
      <c r="AK3994" s="63" t="s">
        <v>250</v>
      </c>
      <c r="AL3994" s="71" t="s">
        <v>242</v>
      </c>
      <c r="AM3994" s="61"/>
      <c r="AN3994" s="63" t="s">
        <v>250</v>
      </c>
      <c r="AO3994" s="71" t="s">
        <v>242</v>
      </c>
      <c r="AP3994" s="61"/>
      <c r="AQ3994" s="63" t="s">
        <v>250</v>
      </c>
      <c r="AR3994" s="71" t="s">
        <v>242</v>
      </c>
      <c r="AS3994" s="61"/>
      <c r="AT3994" s="63" t="s">
        <v>250</v>
      </c>
      <c r="AU3994" s="71" t="s">
        <v>242</v>
      </c>
    </row>
    <row r="3995" spans="15:47" ht="13" x14ac:dyDescent="0.3">
      <c r="O3995" s="6" t="s">
        <v>231</v>
      </c>
      <c r="P3995" s="6"/>
      <c r="Q3995" s="60"/>
      <c r="R3995" s="85">
        <f>P_1_minQ-(R3993^2*R_up)+dpup_minQ</f>
        <v>23.275426842930305</v>
      </c>
      <c r="S3995" s="56"/>
      <c r="T3995" s="72"/>
      <c r="U3995" s="53">
        <f>P_1_minQ-(U3993^2*R_up)+dpup_minQ</f>
        <v>22.066966343011412</v>
      </c>
      <c r="V3995" s="44"/>
      <c r="W3995" s="72"/>
      <c r="X3995" s="53">
        <f>P_1_minQ-(X3993^2*R_up)+dpup_minQ</f>
        <v>-143.87951144410587</v>
      </c>
      <c r="Y3995" s="44"/>
      <c r="Z3995" s="72"/>
      <c r="AA3995" s="53">
        <f>P_1_minQ-(AA3993^2*R_up)+dpup_minQ</f>
        <v>-675.12063654924509</v>
      </c>
      <c r="AB3995" s="44"/>
      <c r="AC3995" s="72"/>
      <c r="AD3995" s="53">
        <f>P_1_minQ-(AD3993^2*R_up)+dpup_minQ</f>
        <v>-1923.1070623022079</v>
      </c>
      <c r="AE3995" s="44"/>
      <c r="AF3995" s="72"/>
      <c r="AG3995" s="53">
        <f>P_1_minQ-(AG3993^2*R_up)+dpup_minQ</f>
        <v>-4332.2314268282535</v>
      </c>
      <c r="AH3995" s="44"/>
      <c r="AI3995" s="72"/>
      <c r="AJ3995" s="53">
        <f>P_1_minQ-(AJ3993^2*R_up)+dpup_minQ</f>
        <v>-7759.719382706131</v>
      </c>
      <c r="AK3995" s="44"/>
      <c r="AL3995" s="72"/>
      <c r="AM3995" s="53">
        <f>P_1_minQ-(AM3993^2*R_up)+dpup_minQ</f>
        <v>-11580.989009996427</v>
      </c>
      <c r="AN3995" s="44"/>
      <c r="AO3995" s="72"/>
      <c r="AP3995" s="53">
        <f>P_1_minQ-(AP3993^2*R_up)+dpup_minQ</f>
        <v>-15629.221694281261</v>
      </c>
      <c r="AQ3995" s="44"/>
      <c r="AR3995" s="72"/>
      <c r="AS3995" s="53">
        <f>P_1_minQ-(AS3993^2*R_up)+dpup_minQ</f>
        <v>-20260.652948245257</v>
      </c>
      <c r="AT3995" s="44"/>
      <c r="AU3995" s="72"/>
    </row>
    <row r="3996" spans="15:47" ht="13" x14ac:dyDescent="0.3">
      <c r="O3996" s="6" t="s">
        <v>233</v>
      </c>
      <c r="P3996" s="6"/>
      <c r="Q3996" s="60"/>
      <c r="R3996" s="85">
        <f>P_2_minQ+(R3993^2*R_dn)-dpdn_minQ</f>
        <v>31.384914631413938</v>
      </c>
      <c r="S3996" s="66"/>
      <c r="T3996" s="74"/>
      <c r="U3996" s="53">
        <f>P_2_minQ+(U3993^2*R_dn)-dpdn_minQ</f>
        <v>31.626606731397718</v>
      </c>
      <c r="V3996" s="45"/>
      <c r="W3996" s="74"/>
      <c r="X3996" s="53">
        <f>P_2_minQ+(X3993^2*R_dn)-dpdn_minQ</f>
        <v>64.815902288821178</v>
      </c>
      <c r="Y3996" s="45"/>
      <c r="Z3996" s="74"/>
      <c r="AA3996" s="53">
        <f>P_2_minQ+(AA3993^2*R_dn)-dpdn_minQ</f>
        <v>171.06412730984906</v>
      </c>
      <c r="AB3996" s="45"/>
      <c r="AC3996" s="74"/>
      <c r="AD3996" s="53">
        <f>P_2_minQ+(AD3993^2*R_dn)-dpdn_minQ</f>
        <v>420.66141246044151</v>
      </c>
      <c r="AE3996" s="45"/>
      <c r="AF3996" s="74"/>
      <c r="AG3996" s="53">
        <f>P_2_minQ+(AG3993^2*R_dn)-dpdn_minQ</f>
        <v>902.48628536565047</v>
      </c>
      <c r="AH3996" s="45"/>
      <c r="AI3996" s="74"/>
      <c r="AJ3996" s="53">
        <f>P_2_minQ+(AJ3993^2*R_dn)-dpdn_minQ</f>
        <v>1587.983876541226</v>
      </c>
      <c r="AK3996" s="45"/>
      <c r="AL3996" s="74"/>
      <c r="AM3996" s="53">
        <f>P_2_minQ+(AM3993^2*R_dn)-dpdn_minQ</f>
        <v>2352.2378019992852</v>
      </c>
      <c r="AN3996" s="45"/>
      <c r="AO3996" s="74"/>
      <c r="AP3996" s="53">
        <f>P_2_minQ+(AP3993^2*R_dn)-dpdn_minQ</f>
        <v>3161.8843388562518</v>
      </c>
      <c r="AQ3996" s="45"/>
      <c r="AR3996" s="74"/>
      <c r="AS3996" s="53">
        <f>P_2_minQ+(AS3993^2*R_dn)-dpdn_minQ</f>
        <v>4088.1705896490507</v>
      </c>
      <c r="AT3996" s="45"/>
      <c r="AU3996" s="74"/>
    </row>
    <row r="3997" spans="15:47" x14ac:dyDescent="0.25">
      <c r="O3997" s="6" t="s">
        <v>243</v>
      </c>
      <c r="Q3997" s="60"/>
      <c r="R3997" s="53">
        <f>R3995-R3996</f>
        <v>-8.1094877884836336</v>
      </c>
      <c r="S3997" s="56"/>
      <c r="T3997" s="72"/>
      <c r="U3997" s="64">
        <f>U3995-U3996</f>
        <v>-9.5596403883863061</v>
      </c>
      <c r="V3997" s="44"/>
      <c r="W3997" s="72"/>
      <c r="X3997" s="64">
        <f>X3995-X3996</f>
        <v>-208.69541373292705</v>
      </c>
      <c r="Y3997" s="44"/>
      <c r="Z3997" s="72"/>
      <c r="AA3997" s="64">
        <f>AA3995-AA3996</f>
        <v>-846.18476385909412</v>
      </c>
      <c r="AB3997" s="44"/>
      <c r="AC3997" s="72"/>
      <c r="AD3997" s="64">
        <f>AD3995-AD3996</f>
        <v>-2343.7684747626495</v>
      </c>
      <c r="AE3997" s="44"/>
      <c r="AF3997" s="72"/>
      <c r="AG3997" s="64">
        <f>AG3995-AG3996</f>
        <v>-5234.7177121939039</v>
      </c>
      <c r="AH3997" s="44"/>
      <c r="AI3997" s="72"/>
      <c r="AJ3997" s="64">
        <f>AJ3995-AJ3996</f>
        <v>-9347.703259247357</v>
      </c>
      <c r="AK3997" s="44"/>
      <c r="AL3997" s="72"/>
      <c r="AM3997" s="64">
        <f>AM3995-AM3996</f>
        <v>-13933.226811995712</v>
      </c>
      <c r="AN3997" s="44"/>
      <c r="AO3997" s="72"/>
      <c r="AP3997" s="64">
        <f>AP3995-AP3996</f>
        <v>-18791.106033137512</v>
      </c>
      <c r="AQ3997" s="44"/>
      <c r="AR3997" s="72"/>
      <c r="AS3997" s="64">
        <f>AS3995-AS3996</f>
        <v>-24348.823537894306</v>
      </c>
      <c r="AT3997" s="44"/>
      <c r="AU3997" s="72"/>
    </row>
    <row r="3998" spans="15:47" ht="13" x14ac:dyDescent="0.3">
      <c r="O3998" s="6" t="s">
        <v>75</v>
      </c>
      <c r="P3998" s="6">
        <v>3</v>
      </c>
      <c r="Q3998" s="65"/>
      <c r="R3998" s="85">
        <f>(F_LP_h/F_P_h)^2*(R3995-('Valve Sizing'!$V$4*'Valve Sizing'!$G$7))</f>
        <v>18.908884303175341</v>
      </c>
      <c r="S3998" s="58"/>
      <c r="T3998" s="73"/>
      <c r="U3998" s="53">
        <f>(U$29/U$27)^2*(U3995-('Valve Sizing'!$V$4*'Valve Sizing'!$G$7))</f>
        <v>17.903334537469107</v>
      </c>
      <c r="V3998" s="41"/>
      <c r="W3998" s="73"/>
      <c r="X3998" s="53">
        <f>(X$29/X$27)^2*(X3995-('Valve Sizing'!$V$4*'Valve Sizing'!$G$7))</f>
        <v>-116.77669383102636</v>
      </c>
      <c r="Y3998" s="41"/>
      <c r="Z3998" s="73"/>
      <c r="AA3998" s="53">
        <f>(AA$29/AA$27)^2*(AA3995-('Valve Sizing'!$V$4*'Valve Sizing'!$G$7))</f>
        <v>-522.07142734736237</v>
      </c>
      <c r="AB3998" s="41"/>
      <c r="AC3998" s="73"/>
      <c r="AD3998" s="53">
        <f>(AD$29/AD$27)^2*(AD3995-('Valve Sizing'!$V$4*'Valve Sizing'!$G$7))</f>
        <v>-1387.2379600322729</v>
      </c>
      <c r="AE3998" s="41"/>
      <c r="AF3998" s="73"/>
      <c r="AG3998" s="53">
        <f>(AG$29/AG$27)^2*(AG3995-('Valve Sizing'!$V$4*'Valve Sizing'!$G$7))</f>
        <v>-2790.4308620539341</v>
      </c>
      <c r="AH3998" s="41"/>
      <c r="AI3998" s="73"/>
      <c r="AJ3998" s="53">
        <f>(AJ$29/AJ$27)^2*(AJ3995-('Valve Sizing'!$V$4*'Valve Sizing'!$G$7))</f>
        <v>-4488.199456758025</v>
      </c>
      <c r="AK3998" s="41"/>
      <c r="AL3998" s="73"/>
      <c r="AM3998" s="53">
        <f>(AM$29/AM$27)^2*(AM3995-('Valve Sizing'!$V$4*'Valve Sizing'!$G$7))</f>
        <v>-5541.3912580236884</v>
      </c>
      <c r="AN3998" s="41"/>
      <c r="AO3998" s="73"/>
      <c r="AP3998" s="53">
        <f>(AP$29/AP$27)^2*(AP3995-('Valve Sizing'!$V$4*'Valve Sizing'!$G$7))</f>
        <v>-6167.8838298570408</v>
      </c>
      <c r="AQ3998" s="41"/>
      <c r="AR3998" s="73"/>
      <c r="AS3998" s="53">
        <f>(AS$29/AS$27)^2*(AS3995-('Valve Sizing'!$V$4*'Valve Sizing'!$G$7))</f>
        <v>-7621.0236126559157</v>
      </c>
      <c r="AT3998" s="41"/>
      <c r="AU3998" s="73"/>
    </row>
    <row r="3999" spans="15:47" ht="13" x14ac:dyDescent="0.25">
      <c r="O3999" s="1" t="s">
        <v>69</v>
      </c>
      <c r="P3999" s="17">
        <v>7</v>
      </c>
      <c r="Q3999" s="65"/>
      <c r="R3999" s="53" t="e">
        <f>(R3993/(N_1*F_P_h))*SQRT('Valve Sizing'!$G$6/R3997)</f>
        <v>#NUM!</v>
      </c>
      <c r="S3999" s="58"/>
      <c r="T3999" s="73"/>
      <c r="U3999" s="64" t="e">
        <f>(U3993/(N_1*U$27))*SQRT('Valve Sizing'!$G$6/U3997)</f>
        <v>#NUM!</v>
      </c>
      <c r="V3999" s="41"/>
      <c r="W3999" s="73"/>
      <c r="X3999" s="64" t="e">
        <f>(X3993/(N_1*X$27))*SQRT('Valve Sizing'!$G$6/X3997)</f>
        <v>#NUM!</v>
      </c>
      <c r="Y3999" s="41"/>
      <c r="Z3999" s="73"/>
      <c r="AA3999" s="64" t="e">
        <f>(AA3993/(N_1*AA$27))*SQRT('Valve Sizing'!$G$6/AA3997)</f>
        <v>#NUM!</v>
      </c>
      <c r="AB3999" s="41"/>
      <c r="AC3999" s="73"/>
      <c r="AD3999" s="64" t="e">
        <f>(AD3993/(N_1*AD$27))*SQRT('Valve Sizing'!$G$6/AD3997)</f>
        <v>#NUM!</v>
      </c>
      <c r="AE3999" s="41"/>
      <c r="AF3999" s="73"/>
      <c r="AG3999" s="64" t="e">
        <f>(AG3993/(N_1*AG$27))*SQRT('Valve Sizing'!$G$6/AG3997)</f>
        <v>#NUM!</v>
      </c>
      <c r="AH3999" s="41"/>
      <c r="AI3999" s="73"/>
      <c r="AJ3999" s="64" t="e">
        <f>(AJ3993/(N_1*AJ$27))*SQRT('Valve Sizing'!$G$6/AJ3997)</f>
        <v>#NUM!</v>
      </c>
      <c r="AK3999" s="41"/>
      <c r="AL3999" s="73"/>
      <c r="AM3999" s="64" t="e">
        <f>(AM3993/(N_1*AM$27))*SQRT('Valve Sizing'!$G$6/AM3997)</f>
        <v>#NUM!</v>
      </c>
      <c r="AN3999" s="41"/>
      <c r="AO3999" s="73"/>
      <c r="AP3999" s="64" t="e">
        <f>(AP3993/(N_1*AP$27))*SQRT('Valve Sizing'!$G$6/AP3997)</f>
        <v>#NUM!</v>
      </c>
      <c r="AQ3999" s="41"/>
      <c r="AR3999" s="73"/>
      <c r="AS3999" s="64" t="e">
        <f>(AS3993/(N_1*AS$27))*SQRT('Valve Sizing'!$G$6/AS3997)</f>
        <v>#NUM!</v>
      </c>
      <c r="AT3999" s="41"/>
      <c r="AU3999" s="73"/>
    </row>
    <row r="4000" spans="15:47" ht="13" x14ac:dyDescent="0.3">
      <c r="O4000" s="1" t="s">
        <v>72</v>
      </c>
      <c r="P4000" s="17">
        <v>7</v>
      </c>
      <c r="Q4000" s="65"/>
      <c r="R4000" s="53">
        <f>(R3993/(N_1*F_P_h))*SQRT('Valve Sizing'!$G$6/R3998)</f>
        <v>229.55269594950812</v>
      </c>
      <c r="S4000" s="56"/>
      <c r="T4000" s="72"/>
      <c r="U4000" s="85">
        <f>(U3993/(N_1*U$27))*SQRT('Valve Sizing'!$G$6/U3998)</f>
        <v>240.27809102905877</v>
      </c>
      <c r="V4000" s="44"/>
      <c r="W4000" s="72"/>
      <c r="X4000" s="85" t="e">
        <f>(X3993/(N_1*X$27))*SQRT('Valve Sizing'!$G$6/X3998)</f>
        <v>#NUM!</v>
      </c>
      <c r="Y4000" s="44"/>
      <c r="Z4000" s="72"/>
      <c r="AA4000" s="85" t="e">
        <f>(AA3993/(N_1*AA$27))*SQRT('Valve Sizing'!$G$6/AA3998)</f>
        <v>#NUM!</v>
      </c>
      <c r="AB4000" s="44"/>
      <c r="AC4000" s="72"/>
      <c r="AD4000" s="85" t="e">
        <f>(AD3993/(N_1*AD$27))*SQRT('Valve Sizing'!$G$6/AD3998)</f>
        <v>#NUM!</v>
      </c>
      <c r="AE4000" s="44"/>
      <c r="AF4000" s="72"/>
      <c r="AG4000" s="85" t="e">
        <f>(AG3993/(N_1*AG$27))*SQRT('Valve Sizing'!$G$6/AG3998)</f>
        <v>#NUM!</v>
      </c>
      <c r="AH4000" s="44"/>
      <c r="AI4000" s="72"/>
      <c r="AJ4000" s="85" t="e">
        <f>(AJ3993/(N_1*AJ$27))*SQRT('Valve Sizing'!$G$6/AJ3998)</f>
        <v>#NUM!</v>
      </c>
      <c r="AK4000" s="44"/>
      <c r="AL4000" s="72"/>
      <c r="AM4000" s="85" t="e">
        <f>(AM3993/(N_1*AM$27))*SQRT('Valve Sizing'!$G$6/AM3998)</f>
        <v>#NUM!</v>
      </c>
      <c r="AN4000" s="44"/>
      <c r="AO4000" s="72"/>
      <c r="AP4000" s="85" t="e">
        <f>(AP3993/(N_1*AP$27))*SQRT('Valve Sizing'!$G$6/AP3998)</f>
        <v>#NUM!</v>
      </c>
      <c r="AQ4000" s="44"/>
      <c r="AR4000" s="72"/>
      <c r="AS4000" s="85" t="e">
        <f>(AS3993/(N_1*AS$27))*SQRT('Valve Sizing'!$G$6/AS3998)</f>
        <v>#NUM!</v>
      </c>
      <c r="AT4000" s="44"/>
      <c r="AU4000" s="72"/>
    </row>
    <row r="4001" spans="15:47" x14ac:dyDescent="0.25">
      <c r="O4001" s="1" t="s">
        <v>246</v>
      </c>
      <c r="P4001" s="18"/>
      <c r="Q4001" s="65"/>
      <c r="R4001" s="53" t="e">
        <f>IF(R3997&lt;R3998,R3999,R4000)</f>
        <v>#NUM!</v>
      </c>
      <c r="S4001" s="49"/>
      <c r="T4001" s="72"/>
      <c r="U4001" s="64" t="e">
        <f>IF(U3997&lt;U3998,U3999,U4000)</f>
        <v>#NUM!</v>
      </c>
      <c r="V4001" s="44"/>
      <c r="W4001" s="72"/>
      <c r="X4001" s="64" t="e">
        <f>IF(X3997&lt;X3998,X3999,X4000)</f>
        <v>#NUM!</v>
      </c>
      <c r="Y4001" s="44"/>
      <c r="Z4001" s="72"/>
      <c r="AA4001" s="64" t="e">
        <f>IF(AA3997&lt;AA3998,AA3999,AA4000)</f>
        <v>#NUM!</v>
      </c>
      <c r="AB4001" s="44"/>
      <c r="AC4001" s="72"/>
      <c r="AD4001" s="64" t="e">
        <f>IF(AD3997&lt;AD3998,AD3999,AD4000)</f>
        <v>#NUM!</v>
      </c>
      <c r="AE4001" s="44"/>
      <c r="AF4001" s="72"/>
      <c r="AG4001" s="64" t="e">
        <f>IF(AG3997&lt;AG3998,AG3999,AG4000)</f>
        <v>#NUM!</v>
      </c>
      <c r="AH4001" s="44"/>
      <c r="AI4001" s="72"/>
      <c r="AJ4001" s="64" t="e">
        <f>IF(AJ3997&lt;AJ3998,AJ3999,AJ4000)</f>
        <v>#NUM!</v>
      </c>
      <c r="AK4001" s="44"/>
      <c r="AL4001" s="72"/>
      <c r="AM4001" s="64" t="e">
        <f>IF(AM3997&lt;AM3998,AM3999,AM4000)</f>
        <v>#NUM!</v>
      </c>
      <c r="AN4001" s="44"/>
      <c r="AO4001" s="72"/>
      <c r="AP4001" s="64" t="e">
        <f>IF(AP3997&lt;AP3998,AP3999,AP4000)</f>
        <v>#NUM!</v>
      </c>
      <c r="AQ4001" s="44"/>
      <c r="AR4001" s="72"/>
      <c r="AS4001" s="64" t="e">
        <f>IF(AS3997&lt;AS3998,AS3999,AS4000)</f>
        <v>#NUM!</v>
      </c>
      <c r="AT4001" s="44"/>
      <c r="AU4001" s="72"/>
    </row>
    <row r="4002" spans="15:47" ht="13" x14ac:dyDescent="0.3">
      <c r="O4002" s="7" t="s">
        <v>264</v>
      </c>
      <c r="Q4002" s="61"/>
      <c r="R4002" s="53"/>
      <c r="S4002" s="69">
        <f>IFERROR(ABS(C_h-R4001),Q_max*10)</f>
        <v>5500</v>
      </c>
      <c r="T4002" s="76">
        <f>R3993</f>
        <v>998.04890219910249</v>
      </c>
      <c r="U4002" s="61"/>
      <c r="V4002" s="69">
        <f>IFERROR(ABS(U$23-U4001),Q_max*10)</f>
        <v>5500</v>
      </c>
      <c r="W4002" s="75">
        <f>U3993</f>
        <v>1015.8169749435339</v>
      </c>
      <c r="X4002" s="61"/>
      <c r="Y4002" s="69">
        <f>IFERROR(ABS(X$23-X4001),Q_max*10)</f>
        <v>5500</v>
      </c>
      <c r="Z4002" s="75">
        <f>X3993</f>
        <v>2438.3517658164037</v>
      </c>
      <c r="AA4002" s="61"/>
      <c r="AB4002" s="69">
        <f>IFERROR(ABS(AA$23-AA4001),Q_max*10)</f>
        <v>5500</v>
      </c>
      <c r="AC4002" s="75">
        <f>AA3993</f>
        <v>4655.7071480305922</v>
      </c>
      <c r="AD4002" s="61"/>
      <c r="AE4002" s="69">
        <f>IFERROR(ABS(AD$23-AD4001),Q_max*10)</f>
        <v>5500</v>
      </c>
      <c r="AF4002" s="75">
        <f>AD3993</f>
        <v>7656.9241288371386</v>
      </c>
      <c r="AG4002" s="61"/>
      <c r="AH4002" s="69">
        <f>IFERROR(ABS(AG$23-AG4001),Q_max*10)</f>
        <v>5500</v>
      </c>
      <c r="AI4002" s="75">
        <f>AG3993</f>
        <v>11400.116646262202</v>
      </c>
      <c r="AJ4002" s="61"/>
      <c r="AK4002" s="69">
        <f>IFERROR(ABS(AJ$23-AJ4001),Q_max*10)</f>
        <v>5500</v>
      </c>
      <c r="AL4002" s="75">
        <f>AJ3993</f>
        <v>15213.499857755562</v>
      </c>
      <c r="AM4002" s="61"/>
      <c r="AN4002" s="69">
        <f>IFERROR(ABS(AM$23-AM4001),Q_max*10)</f>
        <v>5500</v>
      </c>
      <c r="AO4002" s="75">
        <f>AM3993</f>
        <v>18563.360999183154</v>
      </c>
      <c r="AP4002" s="61"/>
      <c r="AQ4002" s="69">
        <f>IFERROR(ABS(AP$23-AP4001),Q_max*10)</f>
        <v>5500</v>
      </c>
      <c r="AR4002" s="75">
        <f>AP3993</f>
        <v>21551.485827377845</v>
      </c>
      <c r="AS4002" s="61"/>
      <c r="AT4002" s="69">
        <f>IFERROR(ABS(AS$23-AS4001),Q_max*10)</f>
        <v>5500</v>
      </c>
      <c r="AU4002" s="75">
        <f>AS3993</f>
        <v>24527.601203491995</v>
      </c>
    </row>
    <row r="4003" spans="15:47" ht="14.5" x14ac:dyDescent="0.35">
      <c r="O4003" s="8"/>
      <c r="P4003" s="6"/>
      <c r="Q4003" s="60"/>
      <c r="R4003" s="67"/>
      <c r="S4003" s="56"/>
      <c r="T4003" s="72"/>
      <c r="V4003" s="11"/>
      <c r="W4003" s="38"/>
      <c r="Y4003" s="11"/>
      <c r="Z4003" s="38"/>
      <c r="AB4003" s="11"/>
      <c r="AC4003" s="38"/>
      <c r="AE4003" s="11"/>
      <c r="AF4003" s="38"/>
      <c r="AH4003" s="11"/>
      <c r="AI4003" s="38"/>
      <c r="AK4003" s="11"/>
      <c r="AL4003" s="38"/>
      <c r="AN4003" s="11"/>
      <c r="AO4003" s="38"/>
      <c r="AQ4003" s="11"/>
      <c r="AR4003" s="38"/>
      <c r="AT4003" s="11"/>
      <c r="AU4003" s="38"/>
    </row>
    <row r="4004" spans="15:47" ht="14" x14ac:dyDescent="0.3">
      <c r="O4004" s="8" t="s">
        <v>235</v>
      </c>
      <c r="P4004" s="6"/>
      <c r="Q4004" s="60"/>
      <c r="R4004" s="53">
        <f>R3993*1.02</f>
        <v>1018.0098802430846</v>
      </c>
      <c r="S4004" s="58" t="s">
        <v>238</v>
      </c>
      <c r="T4004" s="73" t="s">
        <v>241</v>
      </c>
      <c r="U4004" s="84">
        <f>U3993*1.01</f>
        <v>1025.9751446929693</v>
      </c>
      <c r="V4004" s="58" t="s">
        <v>238</v>
      </c>
      <c r="W4004" s="73" t="s">
        <v>241</v>
      </c>
      <c r="X4004" s="84">
        <f>X3993*1.01</f>
        <v>2462.735283474568</v>
      </c>
      <c r="Y4004" s="58" t="s">
        <v>238</v>
      </c>
      <c r="Z4004" s="73" t="s">
        <v>241</v>
      </c>
      <c r="AA4004" s="84">
        <f>AA3993*1.01</f>
        <v>4702.2642195108983</v>
      </c>
      <c r="AB4004" s="58" t="s">
        <v>238</v>
      </c>
      <c r="AC4004" s="73" t="s">
        <v>241</v>
      </c>
      <c r="AD4004" s="84">
        <f>AD3993*1.01</f>
        <v>7733.4933701255104</v>
      </c>
      <c r="AE4004" s="58" t="s">
        <v>238</v>
      </c>
      <c r="AF4004" s="73" t="s">
        <v>241</v>
      </c>
      <c r="AG4004" s="84">
        <f>AG3993*1.01</f>
        <v>11514.117812724824</v>
      </c>
      <c r="AH4004" s="58" t="s">
        <v>238</v>
      </c>
      <c r="AI4004" s="73" t="s">
        <v>241</v>
      </c>
      <c r="AJ4004" s="84">
        <f>AJ3993*1.01</f>
        <v>15365.634856333118</v>
      </c>
      <c r="AK4004" s="58" t="s">
        <v>238</v>
      </c>
      <c r="AL4004" s="73" t="s">
        <v>241</v>
      </c>
      <c r="AM4004" s="84">
        <f>AM3993*1.01</f>
        <v>18748.994609174988</v>
      </c>
      <c r="AN4004" s="58" t="s">
        <v>238</v>
      </c>
      <c r="AO4004" s="73" t="s">
        <v>241</v>
      </c>
      <c r="AP4004" s="84">
        <f>AP3993*1.01</f>
        <v>21767.000685651623</v>
      </c>
      <c r="AQ4004" s="58" t="s">
        <v>238</v>
      </c>
      <c r="AR4004" s="73" t="s">
        <v>241</v>
      </c>
      <c r="AS4004" s="84">
        <f>AS3993*1.01</f>
        <v>24772.877215526914</v>
      </c>
      <c r="AT4004" s="58" t="s">
        <v>238</v>
      </c>
      <c r="AU4004" s="73" t="s">
        <v>241</v>
      </c>
    </row>
    <row r="4005" spans="15:47" ht="13" x14ac:dyDescent="0.25">
      <c r="O4005" s="6"/>
      <c r="P4005" s="6"/>
      <c r="Q4005" s="60"/>
      <c r="R4005" s="70"/>
      <c r="S4005" s="63" t="s">
        <v>250</v>
      </c>
      <c r="T4005" s="71" t="s">
        <v>242</v>
      </c>
      <c r="U4005" s="61"/>
      <c r="V4005" s="63" t="s">
        <v>250</v>
      </c>
      <c r="W4005" s="71" t="s">
        <v>242</v>
      </c>
      <c r="X4005" s="61"/>
      <c r="Y4005" s="63" t="s">
        <v>250</v>
      </c>
      <c r="Z4005" s="71" t="s">
        <v>242</v>
      </c>
      <c r="AA4005" s="61"/>
      <c r="AB4005" s="63" t="s">
        <v>250</v>
      </c>
      <c r="AC4005" s="71" t="s">
        <v>242</v>
      </c>
      <c r="AD4005" s="61"/>
      <c r="AE4005" s="63" t="s">
        <v>250</v>
      </c>
      <c r="AF4005" s="71" t="s">
        <v>242</v>
      </c>
      <c r="AG4005" s="61"/>
      <c r="AH4005" s="63" t="s">
        <v>250</v>
      </c>
      <c r="AI4005" s="71" t="s">
        <v>242</v>
      </c>
      <c r="AJ4005" s="61"/>
      <c r="AK4005" s="63" t="s">
        <v>250</v>
      </c>
      <c r="AL4005" s="71" t="s">
        <v>242</v>
      </c>
      <c r="AM4005" s="61"/>
      <c r="AN4005" s="63" t="s">
        <v>250</v>
      </c>
      <c r="AO4005" s="71" t="s">
        <v>242</v>
      </c>
      <c r="AP4005" s="61"/>
      <c r="AQ4005" s="63" t="s">
        <v>250</v>
      </c>
      <c r="AR4005" s="71" t="s">
        <v>242</v>
      </c>
      <c r="AS4005" s="61"/>
      <c r="AT4005" s="63" t="s">
        <v>250</v>
      </c>
      <c r="AU4005" s="71" t="s">
        <v>242</v>
      </c>
    </row>
    <row r="4006" spans="15:47" ht="13" x14ac:dyDescent="0.3">
      <c r="O4006" s="6" t="s">
        <v>231</v>
      </c>
      <c r="P4006" s="6"/>
      <c r="Q4006" s="60"/>
      <c r="R4006" s="85">
        <f>P_1_minQ-(R4004^2*R_up)+dpup_minQ</f>
        <v>21.91634190231208</v>
      </c>
      <c r="S4006" s="56"/>
      <c r="T4006" s="72"/>
      <c r="U4006" s="53">
        <f>P_1_minQ-(U4004^2*R_up)+dpup_minQ</f>
        <v>21.366497888289114</v>
      </c>
      <c r="V4006" s="44"/>
      <c r="W4006" s="72"/>
      <c r="X4006" s="53">
        <f>P_1_minQ-(X4004^2*R_up)+dpup_minQ</f>
        <v>-147.91550410234922</v>
      </c>
      <c r="Y4006" s="44"/>
      <c r="Z4006" s="72"/>
      <c r="AA4006" s="53">
        <f>P_1_minQ-(AA4004^2*R_up)+dpup_minQ</f>
        <v>-689.8345758221019</v>
      </c>
      <c r="AB4006" s="44"/>
      <c r="AC4006" s="72"/>
      <c r="AD4006" s="53">
        <f>P_1_minQ-(AD4004^2*R_up)+dpup_minQ</f>
        <v>-1962.9055287326994</v>
      </c>
      <c r="AE4006" s="44"/>
      <c r="AF4006" s="72"/>
      <c r="AG4006" s="53">
        <f>P_1_minQ-(AG4004^2*R_up)+dpup_minQ</f>
        <v>-4420.4532929857187</v>
      </c>
      <c r="AH4006" s="44"/>
      <c r="AI4006" s="72"/>
      <c r="AJ4006" s="53">
        <f>P_1_minQ-(AJ4004^2*R_up)+dpup_minQ</f>
        <v>-7916.8337567767412</v>
      </c>
      <c r="AK4006" s="44"/>
      <c r="AL4006" s="72"/>
      <c r="AM4006" s="53">
        <f>P_1_minQ-(AM4004^2*R_up)+dpup_minQ</f>
        <v>-11814.910903575576</v>
      </c>
      <c r="AN4006" s="44"/>
      <c r="AO4006" s="72"/>
      <c r="AP4006" s="53">
        <f>P_1_minQ-(AP4004^2*R_up)+dpup_minQ</f>
        <v>-15944.513064814531</v>
      </c>
      <c r="AQ4006" s="44"/>
      <c r="AR4006" s="72"/>
      <c r="AS4006" s="53">
        <f>P_1_minQ-(AS4004^2*R_up)+dpup_minQ</f>
        <v>-20669.0360869832</v>
      </c>
      <c r="AT4006" s="44"/>
      <c r="AU4006" s="72"/>
    </row>
    <row r="4007" spans="15:47" ht="13" x14ac:dyDescent="0.3">
      <c r="O4007" s="6" t="s">
        <v>233</v>
      </c>
      <c r="P4007" s="6"/>
      <c r="Q4007" s="60"/>
      <c r="R4007" s="85">
        <f>P_2_minQ+(R4004^2*R_dn)-dpdn_minQ</f>
        <v>31.656731619537585</v>
      </c>
      <c r="S4007" s="66"/>
      <c r="T4007" s="74"/>
      <c r="U4007" s="53">
        <f>P_2_minQ+(U4004^2*R_dn)-dpdn_minQ</f>
        <v>31.766700422342179</v>
      </c>
      <c r="V4007" s="45"/>
      <c r="W4007" s="74"/>
      <c r="X4007" s="53">
        <f>P_2_minQ+(X4004^2*R_dn)-dpdn_minQ</f>
        <v>65.623100820469844</v>
      </c>
      <c r="Y4007" s="45"/>
      <c r="Z4007" s="74"/>
      <c r="AA4007" s="53">
        <f>P_2_minQ+(AA4004^2*R_dn)-dpdn_minQ</f>
        <v>174.00691516442041</v>
      </c>
      <c r="AB4007" s="45"/>
      <c r="AC4007" s="74"/>
      <c r="AD4007" s="53">
        <f>P_2_minQ+(AD4004^2*R_dn)-dpdn_minQ</f>
        <v>428.6211057465398</v>
      </c>
      <c r="AE4007" s="45"/>
      <c r="AF4007" s="74"/>
      <c r="AG4007" s="53">
        <f>P_2_minQ+(AG4004^2*R_dn)-dpdn_minQ</f>
        <v>920.13065859714345</v>
      </c>
      <c r="AH4007" s="45"/>
      <c r="AI4007" s="74"/>
      <c r="AJ4007" s="53">
        <f>P_2_minQ+(AJ4004^2*R_dn)-dpdn_minQ</f>
        <v>1619.4067513553482</v>
      </c>
      <c r="AK4007" s="45"/>
      <c r="AL4007" s="74"/>
      <c r="AM4007" s="53">
        <f>P_2_minQ+(AM4004^2*R_dn)-dpdn_minQ</f>
        <v>2399.0221807151147</v>
      </c>
      <c r="AN4007" s="45"/>
      <c r="AO4007" s="74"/>
      <c r="AP4007" s="53">
        <f>P_2_minQ+(AP4004^2*R_dn)-dpdn_minQ</f>
        <v>3224.942612962906</v>
      </c>
      <c r="AQ4007" s="45"/>
      <c r="AR4007" s="74"/>
      <c r="AS4007" s="53">
        <f>P_2_minQ+(AS4004^2*R_dn)-dpdn_minQ</f>
        <v>4169.8472173966393</v>
      </c>
      <c r="AT4007" s="45"/>
      <c r="AU4007" s="74"/>
    </row>
    <row r="4008" spans="15:47" x14ac:dyDescent="0.25">
      <c r="O4008" s="6" t="s">
        <v>243</v>
      </c>
      <c r="Q4008" s="60"/>
      <c r="R4008" s="53">
        <f>R4006-R4007</f>
        <v>-9.7403897172255043</v>
      </c>
      <c r="S4008" s="56"/>
      <c r="T4008" s="72"/>
      <c r="U4008" s="64">
        <f>U4006-U4007</f>
        <v>-10.400202534053065</v>
      </c>
      <c r="V4008" s="44"/>
      <c r="W4008" s="72"/>
      <c r="X4008" s="64">
        <f>X4006-X4007</f>
        <v>-213.53860492281905</v>
      </c>
      <c r="Y4008" s="44"/>
      <c r="Z4008" s="72"/>
      <c r="AA4008" s="64">
        <f>AA4006-AA4007</f>
        <v>-863.84149098652233</v>
      </c>
      <c r="AB4008" s="44"/>
      <c r="AC4008" s="72"/>
      <c r="AD4008" s="64">
        <f>AD4006-AD4007</f>
        <v>-2391.526634479239</v>
      </c>
      <c r="AE4008" s="44"/>
      <c r="AF4008" s="72"/>
      <c r="AG4008" s="64">
        <f>AG4006-AG4007</f>
        <v>-5340.583951582862</v>
      </c>
      <c r="AH4008" s="44"/>
      <c r="AI4008" s="72"/>
      <c r="AJ4008" s="64">
        <f>AJ4006-AJ4007</f>
        <v>-9536.2405081320903</v>
      </c>
      <c r="AK4008" s="44"/>
      <c r="AL4008" s="72"/>
      <c r="AM4008" s="64">
        <f>AM4006-AM4007</f>
        <v>-14213.933084290689</v>
      </c>
      <c r="AN4008" s="44"/>
      <c r="AO4008" s="72"/>
      <c r="AP4008" s="64">
        <f>AP4006-AP4007</f>
        <v>-19169.455677777438</v>
      </c>
      <c r="AQ4008" s="44"/>
      <c r="AR4008" s="72"/>
      <c r="AS4008" s="64">
        <f>AS4006-AS4007</f>
        <v>-24838.88330437984</v>
      </c>
      <c r="AT4008" s="44"/>
      <c r="AU4008" s="72"/>
    </row>
    <row r="4009" spans="15:47" ht="13" x14ac:dyDescent="0.3">
      <c r="O4009" s="6" t="s">
        <v>75</v>
      </c>
      <c r="P4009" s="6">
        <v>3</v>
      </c>
      <c r="Q4009" s="65"/>
      <c r="R4009" s="85">
        <f>(F_LP_h/F_P_h)^2*(R4006-('Valve Sizing'!$V$4*'Valve Sizing'!$G$7))</f>
        <v>17.78349063405825</v>
      </c>
      <c r="S4009" s="58"/>
      <c r="T4009" s="73"/>
      <c r="U4009" s="53">
        <f>(U$29/U$27)^2*(U4006-('Valve Sizing'!$V$4*'Valve Sizing'!$G$7))</f>
        <v>17.323467980170328</v>
      </c>
      <c r="V4009" s="41"/>
      <c r="W4009" s="73"/>
      <c r="X4009" s="53">
        <f>(X$29/X$27)^2*(X4006-('Valve Sizing'!$V$4*'Valve Sizing'!$G$7))</f>
        <v>-120.04243167830825</v>
      </c>
      <c r="Y4009" s="41"/>
      <c r="Z4009" s="73"/>
      <c r="AA4009" s="53">
        <f>(AA$29/AA$27)^2*(AA4006-('Valve Sizing'!$V$4*'Valve Sizing'!$G$7))</f>
        <v>-533.44231873258786</v>
      </c>
      <c r="AB4009" s="41"/>
      <c r="AC4009" s="73"/>
      <c r="AD4009" s="53">
        <f>(AD$29/AD$27)^2*(AD4006-('Valve Sizing'!$V$4*'Valve Sizing'!$G$7))</f>
        <v>-1415.9401128468478</v>
      </c>
      <c r="AE4009" s="41"/>
      <c r="AF4009" s="73"/>
      <c r="AG4009" s="53">
        <f>(AG$29/AG$27)^2*(AG4006-('Valve Sizing'!$V$4*'Valve Sizing'!$G$7))</f>
        <v>-2847.2496213147347</v>
      </c>
      <c r="AH4009" s="41"/>
      <c r="AI4009" s="73"/>
      <c r="AJ4009" s="53">
        <f>(AJ$29/AJ$27)^2*(AJ4006-('Valve Sizing'!$V$4*'Valve Sizing'!$G$7))</f>
        <v>-4579.0688072875682</v>
      </c>
      <c r="AK4009" s="41"/>
      <c r="AL4009" s="73"/>
      <c r="AM4009" s="53">
        <f>(AM$29/AM$27)^2*(AM4006-('Valve Sizing'!$V$4*'Valve Sizing'!$G$7))</f>
        <v>-5653.3163692138869</v>
      </c>
      <c r="AN4009" s="41"/>
      <c r="AO4009" s="73"/>
      <c r="AP4009" s="53">
        <f>(AP$29/AP$27)^2*(AP4006-('Valve Sizing'!$V$4*'Valve Sizing'!$G$7))</f>
        <v>-6292.3062631040666</v>
      </c>
      <c r="AQ4009" s="41"/>
      <c r="AR4009" s="73"/>
      <c r="AS4009" s="53">
        <f>(AS$29/AS$27)^2*(AS4006-('Valve Sizing'!$V$4*'Valve Sizing'!$G$7))</f>
        <v>-7774.6331707594154</v>
      </c>
      <c r="AT4009" s="41"/>
      <c r="AU4009" s="73"/>
    </row>
    <row r="4010" spans="15:47" ht="13" x14ac:dyDescent="0.25">
      <c r="O4010" s="1" t="s">
        <v>69</v>
      </c>
      <c r="P4010" s="17">
        <v>7</v>
      </c>
      <c r="Q4010" s="65"/>
      <c r="R4010" s="53" t="e">
        <f>(R4004/(N_1*F_P_h))*SQRT('Valve Sizing'!$G$6/R4008)</f>
        <v>#NUM!</v>
      </c>
      <c r="S4010" s="58"/>
      <c r="T4010" s="73"/>
      <c r="U4010" s="64" t="e">
        <f>(U4004/(N_1*U$27))*SQRT('Valve Sizing'!$G$6/U4008)</f>
        <v>#NUM!</v>
      </c>
      <c r="V4010" s="41"/>
      <c r="W4010" s="73"/>
      <c r="X4010" s="64" t="e">
        <f>(X4004/(N_1*X$27))*SQRT('Valve Sizing'!$G$6/X4008)</f>
        <v>#NUM!</v>
      </c>
      <c r="Y4010" s="41"/>
      <c r="Z4010" s="73"/>
      <c r="AA4010" s="64" t="e">
        <f>(AA4004/(N_1*AA$27))*SQRT('Valve Sizing'!$G$6/AA4008)</f>
        <v>#NUM!</v>
      </c>
      <c r="AB4010" s="41"/>
      <c r="AC4010" s="73"/>
      <c r="AD4010" s="64" t="e">
        <f>(AD4004/(N_1*AD$27))*SQRT('Valve Sizing'!$G$6/AD4008)</f>
        <v>#NUM!</v>
      </c>
      <c r="AE4010" s="41"/>
      <c r="AF4010" s="73"/>
      <c r="AG4010" s="64" t="e">
        <f>(AG4004/(N_1*AG$27))*SQRT('Valve Sizing'!$G$6/AG4008)</f>
        <v>#NUM!</v>
      </c>
      <c r="AH4010" s="41"/>
      <c r="AI4010" s="73"/>
      <c r="AJ4010" s="64" t="e">
        <f>(AJ4004/(N_1*AJ$27))*SQRT('Valve Sizing'!$G$6/AJ4008)</f>
        <v>#NUM!</v>
      </c>
      <c r="AK4010" s="41"/>
      <c r="AL4010" s="73"/>
      <c r="AM4010" s="64" t="e">
        <f>(AM4004/(N_1*AM$27))*SQRT('Valve Sizing'!$G$6/AM4008)</f>
        <v>#NUM!</v>
      </c>
      <c r="AN4010" s="41"/>
      <c r="AO4010" s="73"/>
      <c r="AP4010" s="64" t="e">
        <f>(AP4004/(N_1*AP$27))*SQRT('Valve Sizing'!$G$6/AP4008)</f>
        <v>#NUM!</v>
      </c>
      <c r="AQ4010" s="41"/>
      <c r="AR4010" s="73"/>
      <c r="AS4010" s="64" t="e">
        <f>(AS4004/(N_1*AS$27))*SQRT('Valve Sizing'!$G$6/AS4008)</f>
        <v>#NUM!</v>
      </c>
      <c r="AT4010" s="41"/>
      <c r="AU4010" s="73"/>
    </row>
    <row r="4011" spans="15:47" ht="13" x14ac:dyDescent="0.3">
      <c r="O4011" s="1" t="s">
        <v>72</v>
      </c>
      <c r="P4011" s="17">
        <v>7</v>
      </c>
      <c r="Q4011" s="65"/>
      <c r="R4011" s="53">
        <f>(R4004/(N_1*F_P_h))*SQRT('Valve Sizing'!$G$6/R4009)</f>
        <v>241.438773600003</v>
      </c>
      <c r="S4011" s="56"/>
      <c r="T4011" s="72"/>
      <c r="U4011" s="85">
        <f>(U4004/(N_1*U$27))*SQRT('Valve Sizing'!$G$6/U4009)</f>
        <v>246.70905585675652</v>
      </c>
      <c r="V4011" s="44"/>
      <c r="W4011" s="72"/>
      <c r="X4011" s="85" t="e">
        <f>(X4004/(N_1*X$27))*SQRT('Valve Sizing'!$G$6/X4009)</f>
        <v>#NUM!</v>
      </c>
      <c r="Y4011" s="44"/>
      <c r="Z4011" s="72"/>
      <c r="AA4011" s="85" t="e">
        <f>(AA4004/(N_1*AA$27))*SQRT('Valve Sizing'!$G$6/AA4009)</f>
        <v>#NUM!</v>
      </c>
      <c r="AB4011" s="44"/>
      <c r="AC4011" s="72"/>
      <c r="AD4011" s="85" t="e">
        <f>(AD4004/(N_1*AD$27))*SQRT('Valve Sizing'!$G$6/AD4009)</f>
        <v>#NUM!</v>
      </c>
      <c r="AE4011" s="44"/>
      <c r="AF4011" s="72"/>
      <c r="AG4011" s="85" t="e">
        <f>(AG4004/(N_1*AG$27))*SQRT('Valve Sizing'!$G$6/AG4009)</f>
        <v>#NUM!</v>
      </c>
      <c r="AH4011" s="44"/>
      <c r="AI4011" s="72"/>
      <c r="AJ4011" s="85" t="e">
        <f>(AJ4004/(N_1*AJ$27))*SQRT('Valve Sizing'!$G$6/AJ4009)</f>
        <v>#NUM!</v>
      </c>
      <c r="AK4011" s="44"/>
      <c r="AL4011" s="72"/>
      <c r="AM4011" s="85" t="e">
        <f>(AM4004/(N_1*AM$27))*SQRT('Valve Sizing'!$G$6/AM4009)</f>
        <v>#NUM!</v>
      </c>
      <c r="AN4011" s="44"/>
      <c r="AO4011" s="72"/>
      <c r="AP4011" s="85" t="e">
        <f>(AP4004/(N_1*AP$27))*SQRT('Valve Sizing'!$G$6/AP4009)</f>
        <v>#NUM!</v>
      </c>
      <c r="AQ4011" s="44"/>
      <c r="AR4011" s="72"/>
      <c r="AS4011" s="85" t="e">
        <f>(AS4004/(N_1*AS$27))*SQRT('Valve Sizing'!$G$6/AS4009)</f>
        <v>#NUM!</v>
      </c>
      <c r="AT4011" s="44"/>
      <c r="AU4011" s="72"/>
    </row>
    <row r="4012" spans="15:47" x14ac:dyDescent="0.25">
      <c r="O4012" s="1" t="s">
        <v>246</v>
      </c>
      <c r="P4012" s="18"/>
      <c r="Q4012" s="65"/>
      <c r="R4012" s="53" t="e">
        <f>IF(R4008&lt;R4009,R4010,R4011)</f>
        <v>#NUM!</v>
      </c>
      <c r="S4012" s="49"/>
      <c r="T4012" s="72"/>
      <c r="U4012" s="64" t="e">
        <f>IF(U4008&lt;U4009,U4010,U4011)</f>
        <v>#NUM!</v>
      </c>
      <c r="V4012" s="44"/>
      <c r="W4012" s="72"/>
      <c r="X4012" s="64" t="e">
        <f>IF(X4008&lt;X4009,X4010,X4011)</f>
        <v>#NUM!</v>
      </c>
      <c r="Y4012" s="44"/>
      <c r="Z4012" s="72"/>
      <c r="AA4012" s="64" t="e">
        <f>IF(AA4008&lt;AA4009,AA4010,AA4011)</f>
        <v>#NUM!</v>
      </c>
      <c r="AB4012" s="44"/>
      <c r="AC4012" s="72"/>
      <c r="AD4012" s="64" t="e">
        <f>IF(AD4008&lt;AD4009,AD4010,AD4011)</f>
        <v>#NUM!</v>
      </c>
      <c r="AE4012" s="44"/>
      <c r="AF4012" s="72"/>
      <c r="AG4012" s="64" t="e">
        <f>IF(AG4008&lt;AG4009,AG4010,AG4011)</f>
        <v>#NUM!</v>
      </c>
      <c r="AH4012" s="44"/>
      <c r="AI4012" s="72"/>
      <c r="AJ4012" s="64" t="e">
        <f>IF(AJ4008&lt;AJ4009,AJ4010,AJ4011)</f>
        <v>#NUM!</v>
      </c>
      <c r="AK4012" s="44"/>
      <c r="AL4012" s="72"/>
      <c r="AM4012" s="64" t="e">
        <f>IF(AM4008&lt;AM4009,AM4010,AM4011)</f>
        <v>#NUM!</v>
      </c>
      <c r="AN4012" s="44"/>
      <c r="AO4012" s="72"/>
      <c r="AP4012" s="64" t="e">
        <f>IF(AP4008&lt;AP4009,AP4010,AP4011)</f>
        <v>#NUM!</v>
      </c>
      <c r="AQ4012" s="44"/>
      <c r="AR4012" s="72"/>
      <c r="AS4012" s="64" t="e">
        <f>IF(AS4008&lt;AS4009,AS4010,AS4011)</f>
        <v>#NUM!</v>
      </c>
      <c r="AT4012" s="44"/>
      <c r="AU4012" s="72"/>
    </row>
    <row r="4013" spans="15:47" ht="13" x14ac:dyDescent="0.3">
      <c r="O4013" s="7" t="s">
        <v>264</v>
      </c>
      <c r="Q4013" s="61"/>
      <c r="R4013" s="53"/>
      <c r="S4013" s="69">
        <f>IFERROR(ABS(C_h-R4012),Q_max*10)</f>
        <v>5500</v>
      </c>
      <c r="T4013" s="76">
        <f>R4004</f>
        <v>1018.0098802430846</v>
      </c>
      <c r="U4013" s="61"/>
      <c r="V4013" s="69">
        <f>IFERROR(ABS(U$23-U4012),Q_max*10)</f>
        <v>5500</v>
      </c>
      <c r="W4013" s="75">
        <f>U4004</f>
        <v>1025.9751446929693</v>
      </c>
      <c r="X4013" s="61"/>
      <c r="Y4013" s="69">
        <f>IFERROR(ABS(X$23-X4012),Q_max*10)</f>
        <v>5500</v>
      </c>
      <c r="Z4013" s="75">
        <f>X4004</f>
        <v>2462.735283474568</v>
      </c>
      <c r="AA4013" s="61"/>
      <c r="AB4013" s="69">
        <f>IFERROR(ABS(AA$23-AA4012),Q_max*10)</f>
        <v>5500</v>
      </c>
      <c r="AC4013" s="75">
        <f>AA4004</f>
        <v>4702.2642195108983</v>
      </c>
      <c r="AD4013" s="61"/>
      <c r="AE4013" s="69">
        <f>IFERROR(ABS(AD$23-AD4012),Q_max*10)</f>
        <v>5500</v>
      </c>
      <c r="AF4013" s="75">
        <f>AD4004</f>
        <v>7733.4933701255104</v>
      </c>
      <c r="AG4013" s="61"/>
      <c r="AH4013" s="69">
        <f>IFERROR(ABS(AG$23-AG4012),Q_max*10)</f>
        <v>5500</v>
      </c>
      <c r="AI4013" s="75">
        <f>AG4004</f>
        <v>11514.117812724824</v>
      </c>
      <c r="AJ4013" s="61"/>
      <c r="AK4013" s="69">
        <f>IFERROR(ABS(AJ$23-AJ4012),Q_max*10)</f>
        <v>5500</v>
      </c>
      <c r="AL4013" s="75">
        <f>AJ4004</f>
        <v>15365.634856333118</v>
      </c>
      <c r="AM4013" s="61"/>
      <c r="AN4013" s="69">
        <f>IFERROR(ABS(AM$23-AM4012),Q_max*10)</f>
        <v>5500</v>
      </c>
      <c r="AO4013" s="75">
        <f>AM4004</f>
        <v>18748.994609174988</v>
      </c>
      <c r="AP4013" s="61"/>
      <c r="AQ4013" s="69">
        <f>IFERROR(ABS(AP$23-AP4012),Q_max*10)</f>
        <v>5500</v>
      </c>
      <c r="AR4013" s="75">
        <f>AP4004</f>
        <v>21767.000685651623</v>
      </c>
      <c r="AS4013" s="61"/>
      <c r="AT4013" s="69">
        <f>IFERROR(ABS(AS$23-AS4012),Q_max*10)</f>
        <v>5500</v>
      </c>
      <c r="AU4013" s="75">
        <f>AS4004</f>
        <v>24772.877215526914</v>
      </c>
    </row>
    <row r="4014" spans="15:47" ht="14.5" x14ac:dyDescent="0.35">
      <c r="O4014" s="6"/>
      <c r="P4014" s="6"/>
      <c r="Q4014" s="60"/>
      <c r="R4014" s="67"/>
      <c r="S4014" s="66"/>
      <c r="T4014" s="74"/>
      <c r="V4014" s="11"/>
      <c r="W4014" s="38"/>
      <c r="Y4014" s="11"/>
      <c r="Z4014" s="38"/>
      <c r="AB4014" s="11"/>
      <c r="AC4014" s="38"/>
      <c r="AE4014" s="11"/>
      <c r="AF4014" s="38"/>
      <c r="AH4014" s="11"/>
      <c r="AI4014" s="38"/>
      <c r="AK4014" s="11"/>
      <c r="AL4014" s="38"/>
      <c r="AN4014" s="11"/>
      <c r="AO4014" s="38"/>
      <c r="AQ4014" s="11"/>
      <c r="AR4014" s="38"/>
      <c r="AT4014" s="11"/>
      <c r="AU4014" s="38"/>
    </row>
    <row r="4015" spans="15:47" ht="14" x14ac:dyDescent="0.3">
      <c r="O4015" s="8" t="s">
        <v>235</v>
      </c>
      <c r="P4015" s="6"/>
      <c r="Q4015" s="60"/>
      <c r="R4015" s="53">
        <f>R4004*1.02</f>
        <v>1038.3700778479463</v>
      </c>
      <c r="S4015" s="58" t="s">
        <v>238</v>
      </c>
      <c r="T4015" s="73" t="s">
        <v>241</v>
      </c>
      <c r="U4015" s="84">
        <f>U4004*1.01</f>
        <v>1036.2348961398989</v>
      </c>
      <c r="V4015" s="58" t="s">
        <v>238</v>
      </c>
      <c r="W4015" s="73" t="s">
        <v>241</v>
      </c>
      <c r="X4015" s="84">
        <f>X4004*1.01</f>
        <v>2487.3626363093135</v>
      </c>
      <c r="Y4015" s="58" t="s">
        <v>238</v>
      </c>
      <c r="Z4015" s="73" t="s">
        <v>241</v>
      </c>
      <c r="AA4015" s="84">
        <f>AA4004*1.01</f>
        <v>4749.2868617060076</v>
      </c>
      <c r="AB4015" s="58" t="s">
        <v>238</v>
      </c>
      <c r="AC4015" s="73" t="s">
        <v>241</v>
      </c>
      <c r="AD4015" s="84">
        <f>AD4004*1.01</f>
        <v>7810.8283038267655</v>
      </c>
      <c r="AE4015" s="58" t="s">
        <v>238</v>
      </c>
      <c r="AF4015" s="73" t="s">
        <v>241</v>
      </c>
      <c r="AG4015" s="84">
        <f>AG4004*1.01</f>
        <v>11629.258990852073</v>
      </c>
      <c r="AH4015" s="58" t="s">
        <v>238</v>
      </c>
      <c r="AI4015" s="73" t="s">
        <v>241</v>
      </c>
      <c r="AJ4015" s="84">
        <f>AJ4004*1.01</f>
        <v>15519.291204896448</v>
      </c>
      <c r="AK4015" s="58" t="s">
        <v>238</v>
      </c>
      <c r="AL4015" s="73" t="s">
        <v>241</v>
      </c>
      <c r="AM4015" s="84">
        <f>AM4004*1.01</f>
        <v>18936.484555266739</v>
      </c>
      <c r="AN4015" s="58" t="s">
        <v>238</v>
      </c>
      <c r="AO4015" s="73" t="s">
        <v>241</v>
      </c>
      <c r="AP4015" s="84">
        <f>AP4004*1.01</f>
        <v>21984.670692508138</v>
      </c>
      <c r="AQ4015" s="58" t="s">
        <v>238</v>
      </c>
      <c r="AR4015" s="73" t="s">
        <v>241</v>
      </c>
      <c r="AS4015" s="84">
        <f>AS4004*1.01</f>
        <v>25020.605987682186</v>
      </c>
      <c r="AT4015" s="58" t="s">
        <v>238</v>
      </c>
      <c r="AU4015" s="73" t="s">
        <v>241</v>
      </c>
    </row>
    <row r="4016" spans="15:47" ht="13" x14ac:dyDescent="0.25">
      <c r="O4016" s="6"/>
      <c r="P4016" s="6"/>
      <c r="Q4016" s="60"/>
      <c r="R4016" s="70"/>
      <c r="S4016" s="63" t="s">
        <v>250</v>
      </c>
      <c r="T4016" s="71" t="s">
        <v>242</v>
      </c>
      <c r="U4016" s="61"/>
      <c r="V4016" s="63" t="s">
        <v>250</v>
      </c>
      <c r="W4016" s="71" t="s">
        <v>242</v>
      </c>
      <c r="X4016" s="61"/>
      <c r="Y4016" s="63" t="s">
        <v>250</v>
      </c>
      <c r="Z4016" s="71" t="s">
        <v>242</v>
      </c>
      <c r="AA4016" s="61"/>
      <c r="AB4016" s="63" t="s">
        <v>250</v>
      </c>
      <c r="AC4016" s="71" t="s">
        <v>242</v>
      </c>
      <c r="AD4016" s="61"/>
      <c r="AE4016" s="63" t="s">
        <v>250</v>
      </c>
      <c r="AF4016" s="71" t="s">
        <v>242</v>
      </c>
      <c r="AG4016" s="61"/>
      <c r="AH4016" s="63" t="s">
        <v>250</v>
      </c>
      <c r="AI4016" s="71" t="s">
        <v>242</v>
      </c>
      <c r="AJ4016" s="61"/>
      <c r="AK4016" s="63" t="s">
        <v>250</v>
      </c>
      <c r="AL4016" s="71" t="s">
        <v>242</v>
      </c>
      <c r="AM4016" s="61"/>
      <c r="AN4016" s="63" t="s">
        <v>250</v>
      </c>
      <c r="AO4016" s="71" t="s">
        <v>242</v>
      </c>
      <c r="AP4016" s="61"/>
      <c r="AQ4016" s="63" t="s">
        <v>250</v>
      </c>
      <c r="AR4016" s="71" t="s">
        <v>242</v>
      </c>
      <c r="AS4016" s="61"/>
      <c r="AT4016" s="63" t="s">
        <v>250</v>
      </c>
      <c r="AU4016" s="71" t="s">
        <v>242</v>
      </c>
    </row>
    <row r="4017" spans="15:47" ht="13" x14ac:dyDescent="0.3">
      <c r="O4017" s="6" t="s">
        <v>231</v>
      </c>
      <c r="P4017" s="6"/>
      <c r="Q4017" s="60"/>
      <c r="R4017" s="85">
        <f>P_1_minQ-(R4015^2*R_up)+dpup_minQ</f>
        <v>20.50234993009288</v>
      </c>
      <c r="S4017" s="56"/>
      <c r="T4017" s="72"/>
      <c r="U4017" s="53">
        <f>P_1_minQ-(U4015^2*R_up)+dpup_minQ</f>
        <v>20.65195001762692</v>
      </c>
      <c r="V4017" s="44"/>
      <c r="W4017" s="72"/>
      <c r="X4017" s="53">
        <f>P_1_minQ-(X4015^2*R_up)+dpup_minQ</f>
        <v>-152.03262021302325</v>
      </c>
      <c r="Y4017" s="44"/>
      <c r="Z4017" s="72"/>
      <c r="AA4017" s="53">
        <f>P_1_minQ-(AA4015^2*R_up)+dpup_minQ</f>
        <v>-704.844265274343</v>
      </c>
      <c r="AB4017" s="44"/>
      <c r="AC4017" s="72"/>
      <c r="AD4017" s="53">
        <f>P_1_minQ-(AD4015^2*R_up)+dpup_minQ</f>
        <v>-2003.5039443384433</v>
      </c>
      <c r="AE4017" s="44"/>
      <c r="AF4017" s="72"/>
      <c r="AG4017" s="53">
        <f>P_1_minQ-(AG4015^2*R_up)+dpup_minQ</f>
        <v>-4510.4484186529489</v>
      </c>
      <c r="AH4017" s="44"/>
      <c r="AI4017" s="72"/>
      <c r="AJ4017" s="53">
        <f>P_1_minQ-(AJ4015^2*R_up)+dpup_minQ</f>
        <v>-8077.1061297661699</v>
      </c>
      <c r="AK4017" s="44"/>
      <c r="AL4017" s="72"/>
      <c r="AM4017" s="53">
        <f>P_1_minQ-(AM4015^2*R_up)+dpup_minQ</f>
        <v>-12053.534627215662</v>
      </c>
      <c r="AN4017" s="44"/>
      <c r="AO4017" s="72"/>
      <c r="AP4017" s="53">
        <f>P_1_minQ-(AP4015^2*R_up)+dpup_minQ</f>
        <v>-16266.141791895518</v>
      </c>
      <c r="AQ4017" s="44"/>
      <c r="AR4017" s="72"/>
      <c r="AS4017" s="53">
        <f>P_1_minQ-(AS4015^2*R_up)+dpup_minQ</f>
        <v>-21085.627726809784</v>
      </c>
      <c r="AT4017" s="44"/>
      <c r="AU4017" s="72"/>
    </row>
    <row r="4018" spans="15:47" ht="13" x14ac:dyDescent="0.3">
      <c r="O4018" s="6" t="s">
        <v>233</v>
      </c>
      <c r="P4018" s="6"/>
      <c r="Q4018" s="60"/>
      <c r="R4018" s="85">
        <f>P_2_minQ+(R4015^2*R_dn)-dpdn_minQ</f>
        <v>31.939530013981425</v>
      </c>
      <c r="S4018" s="66"/>
      <c r="T4018" s="74"/>
      <c r="U4018" s="53">
        <f>P_2_minQ+(U4015^2*R_dn)-dpdn_minQ</f>
        <v>31.909609996474618</v>
      </c>
      <c r="V4018" s="45"/>
      <c r="W4018" s="74"/>
      <c r="X4018" s="53">
        <f>P_2_minQ+(X4015^2*R_dn)-dpdn_minQ</f>
        <v>66.446524042604651</v>
      </c>
      <c r="Y4018" s="45"/>
      <c r="Z4018" s="74"/>
      <c r="AA4018" s="53">
        <f>P_2_minQ+(AA4015^2*R_dn)-dpdn_minQ</f>
        <v>177.00885305486864</v>
      </c>
      <c r="AB4018" s="45"/>
      <c r="AC4018" s="74"/>
      <c r="AD4018" s="53">
        <f>P_2_minQ+(AD4015^2*R_dn)-dpdn_minQ</f>
        <v>436.74078886768859</v>
      </c>
      <c r="AE4018" s="45"/>
      <c r="AF4018" s="74"/>
      <c r="AG4018" s="53">
        <f>P_2_minQ+(AG4015^2*R_dn)-dpdn_minQ</f>
        <v>938.12968373058959</v>
      </c>
      <c r="AH4018" s="45"/>
      <c r="AI4018" s="74"/>
      <c r="AJ4018" s="53">
        <f>P_2_minQ+(AJ4015^2*R_dn)-dpdn_minQ</f>
        <v>1651.4612259532339</v>
      </c>
      <c r="AK4018" s="45"/>
      <c r="AL4018" s="74"/>
      <c r="AM4018" s="53">
        <f>P_2_minQ+(AM4015^2*R_dn)-dpdn_minQ</f>
        <v>2446.7469254431321</v>
      </c>
      <c r="AN4018" s="45"/>
      <c r="AO4018" s="74"/>
      <c r="AP4018" s="53">
        <f>P_2_minQ+(AP4015^2*R_dn)-dpdn_minQ</f>
        <v>3289.2683583791031</v>
      </c>
      <c r="AQ4018" s="45"/>
      <c r="AR4018" s="74"/>
      <c r="AS4018" s="53">
        <f>P_2_minQ+(AS4015^2*R_dn)-dpdn_minQ</f>
        <v>4253.1655453619569</v>
      </c>
      <c r="AT4018" s="45"/>
      <c r="AU4018" s="74"/>
    </row>
    <row r="4019" spans="15:47" x14ac:dyDescent="0.25">
      <c r="O4019" s="6" t="s">
        <v>243</v>
      </c>
      <c r="Q4019" s="60"/>
      <c r="R4019" s="53">
        <f>R4017-R4018</f>
        <v>-11.437180083888546</v>
      </c>
      <c r="S4019" s="56"/>
      <c r="T4019" s="72"/>
      <c r="U4019" s="64">
        <f>U4017-U4018</f>
        <v>-11.257659978847698</v>
      </c>
      <c r="V4019" s="44"/>
      <c r="W4019" s="72"/>
      <c r="X4019" s="64">
        <f>X4017-X4018</f>
        <v>-218.47914425562789</v>
      </c>
      <c r="Y4019" s="44"/>
      <c r="Z4019" s="72"/>
      <c r="AA4019" s="64">
        <f>AA4017-AA4018</f>
        <v>-881.85311832921161</v>
      </c>
      <c r="AB4019" s="44"/>
      <c r="AC4019" s="72"/>
      <c r="AD4019" s="64">
        <f>AD4017-AD4018</f>
        <v>-2440.244733206132</v>
      </c>
      <c r="AE4019" s="44"/>
      <c r="AF4019" s="72"/>
      <c r="AG4019" s="64">
        <f>AG4017-AG4018</f>
        <v>-5448.5781023835389</v>
      </c>
      <c r="AH4019" s="44"/>
      <c r="AI4019" s="72"/>
      <c r="AJ4019" s="64">
        <f>AJ4017-AJ4018</f>
        <v>-9728.5673557194041</v>
      </c>
      <c r="AK4019" s="44"/>
      <c r="AL4019" s="72"/>
      <c r="AM4019" s="64">
        <f>AM4017-AM4018</f>
        <v>-14500.281552658795</v>
      </c>
      <c r="AN4019" s="44"/>
      <c r="AO4019" s="72"/>
      <c r="AP4019" s="64">
        <f>AP4017-AP4018</f>
        <v>-19555.41015027462</v>
      </c>
      <c r="AQ4019" s="44"/>
      <c r="AR4019" s="72"/>
      <c r="AS4019" s="64">
        <f>AS4017-AS4018</f>
        <v>-25338.793272171741</v>
      </c>
      <c r="AT4019" s="44"/>
      <c r="AU4019" s="72"/>
    </row>
    <row r="4020" spans="15:47" ht="13" x14ac:dyDescent="0.3">
      <c r="O4020" s="6" t="s">
        <v>75</v>
      </c>
      <c r="P4020" s="6">
        <v>3</v>
      </c>
      <c r="Q4020" s="65"/>
      <c r="R4020" s="85">
        <f>(F_LP_h/F_P_h)^2*(R4017-('Valve Sizing'!$V$4*'Valve Sizing'!$G$7))</f>
        <v>16.612631060708829</v>
      </c>
      <c r="S4020" s="58"/>
      <c r="T4020" s="73"/>
      <c r="U4020" s="53">
        <f>(U$29/U$27)^2*(U4017-('Valve Sizing'!$V$4*'Valve Sizing'!$G$7))</f>
        <v>16.731946105069866</v>
      </c>
      <c r="V4020" s="41"/>
      <c r="W4020" s="73"/>
      <c r="X4020" s="53">
        <f>(X$29/X$27)^2*(X4017-('Valve Sizing'!$V$4*'Valve Sizing'!$G$7))</f>
        <v>-123.3738108563205</v>
      </c>
      <c r="Y4020" s="41"/>
      <c r="Z4020" s="73"/>
      <c r="AA4020" s="53">
        <f>(AA$29/AA$27)^2*(AA4017-('Valve Sizing'!$V$4*'Valve Sizing'!$G$7))</f>
        <v>-545.04176503465635</v>
      </c>
      <c r="AB4020" s="41"/>
      <c r="AC4020" s="73"/>
      <c r="AD4020" s="53">
        <f>(AD$29/AD$27)^2*(AD4017-('Valve Sizing'!$V$4*'Valve Sizing'!$G$7))</f>
        <v>-1445.2191789329952</v>
      </c>
      <c r="AE4020" s="41"/>
      <c r="AF4020" s="73"/>
      <c r="AG4020" s="53">
        <f>(AG$29/AG$27)^2*(AG4017-('Valve Sizing'!$V$4*'Valve Sizing'!$G$7))</f>
        <v>-2905.2104376366774</v>
      </c>
      <c r="AH4020" s="41"/>
      <c r="AI4020" s="73"/>
      <c r="AJ4020" s="53">
        <f>(AJ$29/AJ$27)^2*(AJ4017-('Valve Sizing'!$V$4*'Valve Sizing'!$G$7))</f>
        <v>-4671.764631762755</v>
      </c>
      <c r="AK4020" s="41"/>
      <c r="AL4020" s="73"/>
      <c r="AM4020" s="53">
        <f>(AM$29/AM$27)^2*(AM4017-('Valve Sizing'!$V$4*'Valve Sizing'!$G$7))</f>
        <v>-5767.4911751390064</v>
      </c>
      <c r="AN4020" s="41"/>
      <c r="AO4020" s="73"/>
      <c r="AP4020" s="53">
        <f>(AP$29/AP$27)^2*(AP4017-('Valve Sizing'!$V$4*'Valve Sizing'!$G$7))</f>
        <v>-6419.2295872593568</v>
      </c>
      <c r="AQ4020" s="41"/>
      <c r="AR4020" s="73"/>
      <c r="AS4020" s="53">
        <f>(AS$29/AS$27)^2*(AS4017-('Valve Sizing'!$V$4*'Valve Sizing'!$G$7))</f>
        <v>-7931.3302809807992</v>
      </c>
      <c r="AT4020" s="41"/>
      <c r="AU4020" s="73"/>
    </row>
    <row r="4021" spans="15:47" ht="13" x14ac:dyDescent="0.25">
      <c r="O4021" s="1" t="s">
        <v>69</v>
      </c>
      <c r="P4021" s="17">
        <v>7</v>
      </c>
      <c r="Q4021" s="65"/>
      <c r="R4021" s="53" t="e">
        <f>(R4015/(N_1*F_P_h))*SQRT('Valve Sizing'!$G$6/R4019)</f>
        <v>#NUM!</v>
      </c>
      <c r="S4021" s="58"/>
      <c r="T4021" s="73"/>
      <c r="U4021" s="64" t="e">
        <f>(U4015/(N_1*U$27))*SQRT('Valve Sizing'!$G$6/U4019)</f>
        <v>#NUM!</v>
      </c>
      <c r="V4021" s="41"/>
      <c r="W4021" s="73"/>
      <c r="X4021" s="64" t="e">
        <f>(X4015/(N_1*X$27))*SQRT('Valve Sizing'!$G$6/X4019)</f>
        <v>#NUM!</v>
      </c>
      <c r="Y4021" s="41"/>
      <c r="Z4021" s="73"/>
      <c r="AA4021" s="64" t="e">
        <f>(AA4015/(N_1*AA$27))*SQRT('Valve Sizing'!$G$6/AA4019)</f>
        <v>#NUM!</v>
      </c>
      <c r="AB4021" s="41"/>
      <c r="AC4021" s="73"/>
      <c r="AD4021" s="64" t="e">
        <f>(AD4015/(N_1*AD$27))*SQRT('Valve Sizing'!$G$6/AD4019)</f>
        <v>#NUM!</v>
      </c>
      <c r="AE4021" s="41"/>
      <c r="AF4021" s="73"/>
      <c r="AG4021" s="64" t="e">
        <f>(AG4015/(N_1*AG$27))*SQRT('Valve Sizing'!$G$6/AG4019)</f>
        <v>#NUM!</v>
      </c>
      <c r="AH4021" s="41"/>
      <c r="AI4021" s="73"/>
      <c r="AJ4021" s="64" t="e">
        <f>(AJ4015/(N_1*AJ$27))*SQRT('Valve Sizing'!$G$6/AJ4019)</f>
        <v>#NUM!</v>
      </c>
      <c r="AK4021" s="41"/>
      <c r="AL4021" s="73"/>
      <c r="AM4021" s="64" t="e">
        <f>(AM4015/(N_1*AM$27))*SQRT('Valve Sizing'!$G$6/AM4019)</f>
        <v>#NUM!</v>
      </c>
      <c r="AN4021" s="41"/>
      <c r="AO4021" s="73"/>
      <c r="AP4021" s="64" t="e">
        <f>(AP4015/(N_1*AP$27))*SQRT('Valve Sizing'!$G$6/AP4019)</f>
        <v>#NUM!</v>
      </c>
      <c r="AQ4021" s="41"/>
      <c r="AR4021" s="73"/>
      <c r="AS4021" s="64" t="e">
        <f>(AS4015/(N_1*AS$27))*SQRT('Valve Sizing'!$G$6/AS4019)</f>
        <v>#NUM!</v>
      </c>
      <c r="AT4021" s="41"/>
      <c r="AU4021" s="73"/>
    </row>
    <row r="4022" spans="15:47" ht="13" x14ac:dyDescent="0.3">
      <c r="O4022" s="1" t="s">
        <v>72</v>
      </c>
      <c r="P4022" s="17">
        <v>7</v>
      </c>
      <c r="Q4022" s="65"/>
      <c r="R4022" s="53">
        <f>(R4015/(N_1*F_P_h))*SQRT('Valve Sizing'!$G$6/R4020)</f>
        <v>254.79827492258303</v>
      </c>
      <c r="S4022" s="56"/>
      <c r="T4022" s="72"/>
      <c r="U4022" s="85">
        <f>(U4015/(N_1*U$27))*SQRT('Valve Sizing'!$G$6/U4020)</f>
        <v>253.54243408953016</v>
      </c>
      <c r="V4022" s="44"/>
      <c r="W4022" s="72"/>
      <c r="X4022" s="85" t="e">
        <f>(X4015/(N_1*X$27))*SQRT('Valve Sizing'!$G$6/X4020)</f>
        <v>#NUM!</v>
      </c>
      <c r="Y4022" s="44"/>
      <c r="Z4022" s="72"/>
      <c r="AA4022" s="85" t="e">
        <f>(AA4015/(N_1*AA$27))*SQRT('Valve Sizing'!$G$6/AA4020)</f>
        <v>#NUM!</v>
      </c>
      <c r="AB4022" s="44"/>
      <c r="AC4022" s="72"/>
      <c r="AD4022" s="85" t="e">
        <f>(AD4015/(N_1*AD$27))*SQRT('Valve Sizing'!$G$6/AD4020)</f>
        <v>#NUM!</v>
      </c>
      <c r="AE4022" s="44"/>
      <c r="AF4022" s="72"/>
      <c r="AG4022" s="85" t="e">
        <f>(AG4015/(N_1*AG$27))*SQRT('Valve Sizing'!$G$6/AG4020)</f>
        <v>#NUM!</v>
      </c>
      <c r="AH4022" s="44"/>
      <c r="AI4022" s="72"/>
      <c r="AJ4022" s="85" t="e">
        <f>(AJ4015/(N_1*AJ$27))*SQRT('Valve Sizing'!$G$6/AJ4020)</f>
        <v>#NUM!</v>
      </c>
      <c r="AK4022" s="44"/>
      <c r="AL4022" s="72"/>
      <c r="AM4022" s="85" t="e">
        <f>(AM4015/(N_1*AM$27))*SQRT('Valve Sizing'!$G$6/AM4020)</f>
        <v>#NUM!</v>
      </c>
      <c r="AN4022" s="44"/>
      <c r="AO4022" s="72"/>
      <c r="AP4022" s="85" t="e">
        <f>(AP4015/(N_1*AP$27))*SQRT('Valve Sizing'!$G$6/AP4020)</f>
        <v>#NUM!</v>
      </c>
      <c r="AQ4022" s="44"/>
      <c r="AR4022" s="72"/>
      <c r="AS4022" s="85" t="e">
        <f>(AS4015/(N_1*AS$27))*SQRT('Valve Sizing'!$G$6/AS4020)</f>
        <v>#NUM!</v>
      </c>
      <c r="AT4022" s="44"/>
      <c r="AU4022" s="72"/>
    </row>
    <row r="4023" spans="15:47" x14ac:dyDescent="0.25">
      <c r="O4023" s="1" t="s">
        <v>246</v>
      </c>
      <c r="P4023" s="18"/>
      <c r="Q4023" s="65"/>
      <c r="R4023" s="53" t="e">
        <f>IF(R4019&lt;R4020,R4021,R4022)</f>
        <v>#NUM!</v>
      </c>
      <c r="S4023" s="49"/>
      <c r="T4023" s="72"/>
      <c r="U4023" s="64" t="e">
        <f>IF(U4019&lt;U4020,U4021,U4022)</f>
        <v>#NUM!</v>
      </c>
      <c r="V4023" s="44"/>
      <c r="W4023" s="72"/>
      <c r="X4023" s="64" t="e">
        <f>IF(X4019&lt;X4020,X4021,X4022)</f>
        <v>#NUM!</v>
      </c>
      <c r="Y4023" s="44"/>
      <c r="Z4023" s="72"/>
      <c r="AA4023" s="64" t="e">
        <f>IF(AA4019&lt;AA4020,AA4021,AA4022)</f>
        <v>#NUM!</v>
      </c>
      <c r="AB4023" s="44"/>
      <c r="AC4023" s="72"/>
      <c r="AD4023" s="64" t="e">
        <f>IF(AD4019&lt;AD4020,AD4021,AD4022)</f>
        <v>#NUM!</v>
      </c>
      <c r="AE4023" s="44"/>
      <c r="AF4023" s="72"/>
      <c r="AG4023" s="64" t="e">
        <f>IF(AG4019&lt;AG4020,AG4021,AG4022)</f>
        <v>#NUM!</v>
      </c>
      <c r="AH4023" s="44"/>
      <c r="AI4023" s="72"/>
      <c r="AJ4023" s="64" t="e">
        <f>IF(AJ4019&lt;AJ4020,AJ4021,AJ4022)</f>
        <v>#NUM!</v>
      </c>
      <c r="AK4023" s="44"/>
      <c r="AL4023" s="72"/>
      <c r="AM4023" s="64" t="e">
        <f>IF(AM4019&lt;AM4020,AM4021,AM4022)</f>
        <v>#NUM!</v>
      </c>
      <c r="AN4023" s="44"/>
      <c r="AO4023" s="72"/>
      <c r="AP4023" s="64" t="e">
        <f>IF(AP4019&lt;AP4020,AP4021,AP4022)</f>
        <v>#NUM!</v>
      </c>
      <c r="AQ4023" s="44"/>
      <c r="AR4023" s="72"/>
      <c r="AS4023" s="64" t="e">
        <f>IF(AS4019&lt;AS4020,AS4021,AS4022)</f>
        <v>#NUM!</v>
      </c>
      <c r="AT4023" s="44"/>
      <c r="AU4023" s="72"/>
    </row>
    <row r="4024" spans="15:47" ht="13" x14ac:dyDescent="0.3">
      <c r="O4024" s="7" t="s">
        <v>264</v>
      </c>
      <c r="Q4024" s="61"/>
      <c r="R4024" s="53"/>
      <c r="S4024" s="69">
        <f>IFERROR(ABS(C_h-R4023),Q_max*10)</f>
        <v>5500</v>
      </c>
      <c r="T4024" s="76">
        <f>R4015</f>
        <v>1038.3700778479463</v>
      </c>
      <c r="U4024" s="61"/>
      <c r="V4024" s="69">
        <f>IFERROR(ABS(U$23-U4023),Q_max*10)</f>
        <v>5500</v>
      </c>
      <c r="W4024" s="75">
        <f>U4015</f>
        <v>1036.2348961398989</v>
      </c>
      <c r="X4024" s="61"/>
      <c r="Y4024" s="69">
        <f>IFERROR(ABS(X$23-X4023),Q_max*10)</f>
        <v>5500</v>
      </c>
      <c r="Z4024" s="75">
        <f>X4015</f>
        <v>2487.3626363093135</v>
      </c>
      <c r="AA4024" s="61"/>
      <c r="AB4024" s="69">
        <f>IFERROR(ABS(AA$23-AA4023),Q_max*10)</f>
        <v>5500</v>
      </c>
      <c r="AC4024" s="75">
        <f>AA4015</f>
        <v>4749.2868617060076</v>
      </c>
      <c r="AD4024" s="61"/>
      <c r="AE4024" s="69">
        <f>IFERROR(ABS(AD$23-AD4023),Q_max*10)</f>
        <v>5500</v>
      </c>
      <c r="AF4024" s="75">
        <f>AD4015</f>
        <v>7810.8283038267655</v>
      </c>
      <c r="AG4024" s="61"/>
      <c r="AH4024" s="69">
        <f>IFERROR(ABS(AG$23-AG4023),Q_max*10)</f>
        <v>5500</v>
      </c>
      <c r="AI4024" s="75">
        <f>AG4015</f>
        <v>11629.258990852073</v>
      </c>
      <c r="AJ4024" s="61"/>
      <c r="AK4024" s="69">
        <f>IFERROR(ABS(AJ$23-AJ4023),Q_max*10)</f>
        <v>5500</v>
      </c>
      <c r="AL4024" s="75">
        <f>AJ4015</f>
        <v>15519.291204896448</v>
      </c>
      <c r="AM4024" s="61"/>
      <c r="AN4024" s="69">
        <f>IFERROR(ABS(AM$23-AM4023),Q_max*10)</f>
        <v>5500</v>
      </c>
      <c r="AO4024" s="75">
        <f>AM4015</f>
        <v>18936.484555266739</v>
      </c>
      <c r="AP4024" s="61"/>
      <c r="AQ4024" s="69">
        <f>IFERROR(ABS(AP$23-AP4023),Q_max*10)</f>
        <v>5500</v>
      </c>
      <c r="AR4024" s="75">
        <f>AP4015</f>
        <v>21984.670692508138</v>
      </c>
      <c r="AS4024" s="61"/>
      <c r="AT4024" s="69">
        <f>IFERROR(ABS(AS$23-AS4023),Q_max*10)</f>
        <v>5500</v>
      </c>
      <c r="AU4024" s="75">
        <f>AS4015</f>
        <v>25020.605987682186</v>
      </c>
    </row>
    <row r="4025" spans="15:47" ht="14.5" x14ac:dyDescent="0.35">
      <c r="O4025" s="8"/>
      <c r="P4025" s="6"/>
      <c r="Q4025" s="60"/>
      <c r="R4025" s="67"/>
      <c r="S4025" s="56"/>
      <c r="T4025" s="72"/>
      <c r="V4025" s="11"/>
      <c r="W4025" s="38"/>
      <c r="Y4025" s="11"/>
      <c r="Z4025" s="38"/>
      <c r="AB4025" s="11"/>
      <c r="AC4025" s="38"/>
      <c r="AE4025" s="11"/>
      <c r="AF4025" s="38"/>
      <c r="AH4025" s="11"/>
      <c r="AI4025" s="38"/>
      <c r="AK4025" s="11"/>
      <c r="AL4025" s="38"/>
      <c r="AN4025" s="11"/>
      <c r="AO4025" s="38"/>
      <c r="AQ4025" s="11"/>
      <c r="AR4025" s="38"/>
      <c r="AT4025" s="11"/>
      <c r="AU4025" s="38"/>
    </row>
    <row r="4026" spans="15:47" ht="14" x14ac:dyDescent="0.3">
      <c r="O4026" s="8" t="s">
        <v>235</v>
      </c>
      <c r="P4026" s="6"/>
      <c r="Q4026" s="60"/>
      <c r="R4026" s="53">
        <f>R4015*1.02</f>
        <v>1059.1374794049052</v>
      </c>
      <c r="S4026" s="58" t="s">
        <v>238</v>
      </c>
      <c r="T4026" s="73" t="s">
        <v>241</v>
      </c>
      <c r="U4026" s="84">
        <f>U4015*1.01</f>
        <v>1046.5972451012979</v>
      </c>
      <c r="V4026" s="58" t="s">
        <v>238</v>
      </c>
      <c r="W4026" s="73" t="s">
        <v>241</v>
      </c>
      <c r="X4026" s="84">
        <f>X4015*1.01</f>
        <v>2512.2362626724066</v>
      </c>
      <c r="Y4026" s="58" t="s">
        <v>238</v>
      </c>
      <c r="Z4026" s="73" t="s">
        <v>241</v>
      </c>
      <c r="AA4026" s="84">
        <f>AA4015*1.01</f>
        <v>4796.7797303230673</v>
      </c>
      <c r="AB4026" s="58" t="s">
        <v>238</v>
      </c>
      <c r="AC4026" s="73" t="s">
        <v>241</v>
      </c>
      <c r="AD4026" s="84">
        <f>AD4015*1.01</f>
        <v>7888.936586865033</v>
      </c>
      <c r="AE4026" s="58" t="s">
        <v>238</v>
      </c>
      <c r="AF4026" s="73" t="s">
        <v>241</v>
      </c>
      <c r="AG4026" s="84">
        <f>AG4015*1.01</f>
        <v>11745.551580760593</v>
      </c>
      <c r="AH4026" s="58" t="s">
        <v>238</v>
      </c>
      <c r="AI4026" s="73" t="s">
        <v>241</v>
      </c>
      <c r="AJ4026" s="84">
        <f>AJ4015*1.01</f>
        <v>15674.484116945412</v>
      </c>
      <c r="AK4026" s="58" t="s">
        <v>238</v>
      </c>
      <c r="AL4026" s="73" t="s">
        <v>241</v>
      </c>
      <c r="AM4026" s="84">
        <f>AM4015*1.01</f>
        <v>19125.849400819407</v>
      </c>
      <c r="AN4026" s="58" t="s">
        <v>238</v>
      </c>
      <c r="AO4026" s="73" t="s">
        <v>241</v>
      </c>
      <c r="AP4026" s="84">
        <f>AP4015*1.01</f>
        <v>22204.517399433218</v>
      </c>
      <c r="AQ4026" s="58" t="s">
        <v>238</v>
      </c>
      <c r="AR4026" s="73" t="s">
        <v>241</v>
      </c>
      <c r="AS4026" s="84">
        <f>AS4015*1.01</f>
        <v>25270.812047559008</v>
      </c>
      <c r="AT4026" s="58" t="s">
        <v>238</v>
      </c>
      <c r="AU4026" s="73" t="s">
        <v>241</v>
      </c>
    </row>
    <row r="4027" spans="15:47" ht="13" x14ac:dyDescent="0.25">
      <c r="O4027" s="6"/>
      <c r="P4027" s="6"/>
      <c r="Q4027" s="60"/>
      <c r="R4027" s="70"/>
      <c r="S4027" s="63" t="s">
        <v>250</v>
      </c>
      <c r="T4027" s="71" t="s">
        <v>242</v>
      </c>
      <c r="U4027" s="61"/>
      <c r="V4027" s="63" t="s">
        <v>250</v>
      </c>
      <c r="W4027" s="71" t="s">
        <v>242</v>
      </c>
      <c r="X4027" s="61"/>
      <c r="Y4027" s="63" t="s">
        <v>250</v>
      </c>
      <c r="Z4027" s="71" t="s">
        <v>242</v>
      </c>
      <c r="AA4027" s="61"/>
      <c r="AB4027" s="63" t="s">
        <v>250</v>
      </c>
      <c r="AC4027" s="71" t="s">
        <v>242</v>
      </c>
      <c r="AD4027" s="61"/>
      <c r="AE4027" s="63" t="s">
        <v>250</v>
      </c>
      <c r="AF4027" s="71" t="s">
        <v>242</v>
      </c>
      <c r="AG4027" s="61"/>
      <c r="AH4027" s="63" t="s">
        <v>250</v>
      </c>
      <c r="AI4027" s="71" t="s">
        <v>242</v>
      </c>
      <c r="AJ4027" s="61"/>
      <c r="AK4027" s="63" t="s">
        <v>250</v>
      </c>
      <c r="AL4027" s="71" t="s">
        <v>242</v>
      </c>
      <c r="AM4027" s="61"/>
      <c r="AN4027" s="63" t="s">
        <v>250</v>
      </c>
      <c r="AO4027" s="71" t="s">
        <v>242</v>
      </c>
      <c r="AP4027" s="61"/>
      <c r="AQ4027" s="63" t="s">
        <v>250</v>
      </c>
      <c r="AR4027" s="71" t="s">
        <v>242</v>
      </c>
      <c r="AS4027" s="61"/>
      <c r="AT4027" s="63" t="s">
        <v>250</v>
      </c>
      <c r="AU4027" s="71" t="s">
        <v>242</v>
      </c>
    </row>
    <row r="4028" spans="15:47" ht="13" x14ac:dyDescent="0.3">
      <c r="O4028" s="6" t="s">
        <v>231</v>
      </c>
      <c r="P4028" s="6"/>
      <c r="Q4028" s="60"/>
      <c r="R4028" s="85">
        <f>P_1_minQ-(R4026^2*R_up)+dpup_minQ</f>
        <v>19.031232682196016</v>
      </c>
      <c r="S4028" s="56"/>
      <c r="T4028" s="72"/>
      <c r="U4028" s="53">
        <f>P_1_minQ-(U4026^2*R_up)+dpup_minQ</f>
        <v>19.923039734764405</v>
      </c>
      <c r="V4028" s="44"/>
      <c r="W4028" s="72"/>
      <c r="X4028" s="53">
        <f>P_1_minQ-(X4026^2*R_up)+dpup_minQ</f>
        <v>-156.23249035752181</v>
      </c>
      <c r="Y4028" s="44"/>
      <c r="Z4028" s="72"/>
      <c r="AA4028" s="53">
        <f>P_1_minQ-(AA4026^2*R_up)+dpup_minQ</f>
        <v>-720.15564948457404</v>
      </c>
      <c r="AB4028" s="44"/>
      <c r="AC4028" s="72"/>
      <c r="AD4028" s="53">
        <f>P_1_minQ-(AD4026^2*R_up)+dpup_minQ</f>
        <v>-2044.9183880978628</v>
      </c>
      <c r="AE4028" s="44"/>
      <c r="AF4028" s="72"/>
      <c r="AG4028" s="53">
        <f>P_1_minQ-(AG4026^2*R_up)+dpup_minQ</f>
        <v>-4602.2524463460886</v>
      </c>
      <c r="AH4028" s="44"/>
      <c r="AI4028" s="72"/>
      <c r="AJ4028" s="53">
        <f>P_1_minQ-(AJ4026^2*R_up)+dpup_minQ</f>
        <v>-8240.5999774526863</v>
      </c>
      <c r="AK4028" s="44"/>
      <c r="AL4028" s="72"/>
      <c r="AM4028" s="53">
        <f>P_1_minQ-(AM4026^2*R_up)+dpup_minQ</f>
        <v>-12296.954687700914</v>
      </c>
      <c r="AN4028" s="44"/>
      <c r="AO4028" s="72"/>
      <c r="AP4028" s="53">
        <f>P_1_minQ-(AP4026^2*R_up)+dpup_minQ</f>
        <v>-16594.235256390832</v>
      </c>
      <c r="AQ4028" s="44"/>
      <c r="AR4028" s="72"/>
      <c r="AS4028" s="53">
        <f>P_1_minQ-(AS4026^2*R_up)+dpup_minQ</f>
        <v>-21510.592858596876</v>
      </c>
      <c r="AT4028" s="44"/>
      <c r="AU4028" s="72"/>
    </row>
    <row r="4029" spans="15:47" ht="13" x14ac:dyDescent="0.3">
      <c r="O4029" s="6" t="s">
        <v>233</v>
      </c>
      <c r="P4029" s="6"/>
      <c r="Q4029" s="60"/>
      <c r="R4029" s="85">
        <f>P_2_minQ+(R4026^2*R_dn)-dpdn_minQ</f>
        <v>32.233753463560802</v>
      </c>
      <c r="S4029" s="66"/>
      <c r="T4029" s="74"/>
      <c r="U4029" s="53">
        <f>P_2_minQ+(U4026^2*R_dn)-dpdn_minQ</f>
        <v>32.055392053047122</v>
      </c>
      <c r="V4029" s="45"/>
      <c r="W4029" s="74"/>
      <c r="X4029" s="53">
        <f>P_2_minQ+(X4026^2*R_dn)-dpdn_minQ</f>
        <v>67.286498071504369</v>
      </c>
      <c r="Y4029" s="45"/>
      <c r="Z4029" s="74"/>
      <c r="AA4029" s="53">
        <f>P_2_minQ+(AA4026^2*R_dn)-dpdn_minQ</f>
        <v>180.07112989691481</v>
      </c>
      <c r="AB4029" s="45"/>
      <c r="AC4029" s="74"/>
      <c r="AD4029" s="53">
        <f>P_2_minQ+(AD4026^2*R_dn)-dpdn_minQ</f>
        <v>445.02367761957254</v>
      </c>
      <c r="AE4029" s="45"/>
      <c r="AF4029" s="74"/>
      <c r="AG4029" s="53">
        <f>P_2_minQ+(AG4026^2*R_dn)-dpdn_minQ</f>
        <v>956.49048926921762</v>
      </c>
      <c r="AH4029" s="45"/>
      <c r="AI4029" s="74"/>
      <c r="AJ4029" s="53">
        <f>P_2_minQ+(AJ4026^2*R_dn)-dpdn_minQ</f>
        <v>1684.1599954905371</v>
      </c>
      <c r="AK4029" s="45"/>
      <c r="AL4029" s="74"/>
      <c r="AM4029" s="53">
        <f>P_2_minQ+(AM4026^2*R_dn)-dpdn_minQ</f>
        <v>2495.4309375401826</v>
      </c>
      <c r="AN4029" s="45"/>
      <c r="AO4029" s="74"/>
      <c r="AP4029" s="53">
        <f>P_2_minQ+(AP4026^2*R_dn)-dpdn_minQ</f>
        <v>3354.8870512781659</v>
      </c>
      <c r="AQ4029" s="45"/>
      <c r="AR4029" s="74"/>
      <c r="AS4029" s="53">
        <f>P_2_minQ+(AS4026^2*R_dn)-dpdn_minQ</f>
        <v>4338.1585717193748</v>
      </c>
      <c r="AT4029" s="45"/>
      <c r="AU4029" s="74"/>
    </row>
    <row r="4030" spans="15:47" x14ac:dyDescent="0.25">
      <c r="O4030" s="6" t="s">
        <v>243</v>
      </c>
      <c r="Q4030" s="60"/>
      <c r="R4030" s="53">
        <f>R4028-R4029</f>
        <v>-13.202520781364786</v>
      </c>
      <c r="S4030" s="56"/>
      <c r="T4030" s="72"/>
      <c r="U4030" s="64">
        <f>U4028-U4029</f>
        <v>-12.132352318282717</v>
      </c>
      <c r="V4030" s="44"/>
      <c r="W4030" s="72"/>
      <c r="X4030" s="64">
        <f>X4028-X4029</f>
        <v>-223.51898842902619</v>
      </c>
      <c r="Y4030" s="44"/>
      <c r="Z4030" s="72"/>
      <c r="AA4030" s="64">
        <f>AA4028-AA4029</f>
        <v>-900.22677938148888</v>
      </c>
      <c r="AB4030" s="44"/>
      <c r="AC4030" s="72"/>
      <c r="AD4030" s="64">
        <f>AD4028-AD4029</f>
        <v>-2489.9420657174355</v>
      </c>
      <c r="AE4030" s="44"/>
      <c r="AF4030" s="72"/>
      <c r="AG4030" s="64">
        <f>AG4028-AG4029</f>
        <v>-5558.7429356153061</v>
      </c>
      <c r="AH4030" s="44"/>
      <c r="AI4030" s="72"/>
      <c r="AJ4030" s="64">
        <f>AJ4028-AJ4029</f>
        <v>-9924.7599729432241</v>
      </c>
      <c r="AK4030" s="44"/>
      <c r="AL4030" s="72"/>
      <c r="AM4030" s="64">
        <f>AM4028-AM4029</f>
        <v>-14792.385625241097</v>
      </c>
      <c r="AN4030" s="44"/>
      <c r="AO4030" s="72"/>
      <c r="AP4030" s="64">
        <f>AP4028-AP4029</f>
        <v>-19949.122307668997</v>
      </c>
      <c r="AQ4030" s="44"/>
      <c r="AR4030" s="72"/>
      <c r="AS4030" s="64">
        <f>AS4028-AS4029</f>
        <v>-25848.75143031625</v>
      </c>
      <c r="AT4030" s="44"/>
      <c r="AU4030" s="72"/>
    </row>
    <row r="4031" spans="15:47" ht="13" x14ac:dyDescent="0.3">
      <c r="O4031" s="6" t="s">
        <v>75</v>
      </c>
      <c r="P4031" s="6">
        <v>3</v>
      </c>
      <c r="Q4031" s="65"/>
      <c r="R4031" s="85">
        <f>(F_LP_h/F_P_h)^2*(R4028-('Valve Sizing'!$V$4*'Valve Sizing'!$G$7))</f>
        <v>15.394468760596084</v>
      </c>
      <c r="S4031" s="58"/>
      <c r="T4031" s="73"/>
      <c r="U4031" s="53">
        <f>(U$29/U$27)^2*(U4028-('Valve Sizing'!$V$4*'Valve Sizing'!$G$7))</f>
        <v>16.128534640279874</v>
      </c>
      <c r="V4031" s="41"/>
      <c r="W4031" s="73"/>
      <c r="X4031" s="53">
        <f>(X$29/X$27)^2*(X4028-('Valve Sizing'!$V$4*'Valve Sizing'!$G$7))</f>
        <v>-126.77215075581078</v>
      </c>
      <c r="Y4031" s="41"/>
      <c r="Z4031" s="73"/>
      <c r="AA4031" s="53">
        <f>(AA$29/AA$27)^2*(AA4028-('Valve Sizing'!$V$4*'Valve Sizing'!$G$7))</f>
        <v>-556.87436020739631</v>
      </c>
      <c r="AB4031" s="41"/>
      <c r="AC4031" s="73"/>
      <c r="AD4031" s="53">
        <f>(AD$29/AD$27)^2*(AD4028-('Valve Sizing'!$V$4*'Valve Sizing'!$G$7))</f>
        <v>-1475.0867542474746</v>
      </c>
      <c r="AE4031" s="41"/>
      <c r="AF4031" s="73"/>
      <c r="AG4031" s="53">
        <f>(AG$29/AG$27)^2*(AG4028-('Valve Sizing'!$V$4*'Valve Sizing'!$G$7))</f>
        <v>-2964.3362663666899</v>
      </c>
      <c r="AH4031" s="41"/>
      <c r="AI4031" s="73"/>
      <c r="AJ4031" s="53">
        <f>(AJ$29/AJ$27)^2*(AJ4028-('Valve Sizing'!$V$4*'Valve Sizing'!$G$7))</f>
        <v>-4766.3236423098933</v>
      </c>
      <c r="AK4031" s="41"/>
      <c r="AL4031" s="73"/>
      <c r="AM4031" s="53">
        <f>(AM$29/AM$27)^2*(AM4028-('Valve Sizing'!$V$4*'Valve Sizing'!$G$7))</f>
        <v>-5883.9608946632216</v>
      </c>
      <c r="AN4031" s="41"/>
      <c r="AO4031" s="73"/>
      <c r="AP4031" s="53">
        <f>(AP$29/AP$27)^2*(AP4028-('Valve Sizing'!$V$4*'Valve Sizing'!$G$7))</f>
        <v>-6548.7040702301674</v>
      </c>
      <c r="AQ4031" s="41"/>
      <c r="AR4031" s="73"/>
      <c r="AS4031" s="53">
        <f>(AS$29/AS$27)^2*(AS4028-('Valve Sizing'!$V$4*'Valve Sizing'!$G$7))</f>
        <v>-8091.1770031176302</v>
      </c>
      <c r="AT4031" s="41"/>
      <c r="AU4031" s="73"/>
    </row>
    <row r="4032" spans="15:47" ht="13" x14ac:dyDescent="0.25">
      <c r="O4032" s="1" t="s">
        <v>69</v>
      </c>
      <c r="P4032" s="17">
        <v>7</v>
      </c>
      <c r="Q4032" s="65"/>
      <c r="R4032" s="53" t="e">
        <f>(R4026/(N_1*F_P_h))*SQRT('Valve Sizing'!$G$6/R4030)</f>
        <v>#NUM!</v>
      </c>
      <c r="S4032" s="58"/>
      <c r="T4032" s="73"/>
      <c r="U4032" s="64" t="e">
        <f>(U4026/(N_1*U$27))*SQRT('Valve Sizing'!$G$6/U4030)</f>
        <v>#NUM!</v>
      </c>
      <c r="V4032" s="41"/>
      <c r="W4032" s="73"/>
      <c r="X4032" s="64" t="e">
        <f>(X4026/(N_1*X$27))*SQRT('Valve Sizing'!$G$6/X4030)</f>
        <v>#NUM!</v>
      </c>
      <c r="Y4032" s="41"/>
      <c r="Z4032" s="73"/>
      <c r="AA4032" s="64" t="e">
        <f>(AA4026/(N_1*AA$27))*SQRT('Valve Sizing'!$G$6/AA4030)</f>
        <v>#NUM!</v>
      </c>
      <c r="AB4032" s="41"/>
      <c r="AC4032" s="73"/>
      <c r="AD4032" s="64" t="e">
        <f>(AD4026/(N_1*AD$27))*SQRT('Valve Sizing'!$G$6/AD4030)</f>
        <v>#NUM!</v>
      </c>
      <c r="AE4032" s="41"/>
      <c r="AF4032" s="73"/>
      <c r="AG4032" s="64" t="e">
        <f>(AG4026/(N_1*AG$27))*SQRT('Valve Sizing'!$G$6/AG4030)</f>
        <v>#NUM!</v>
      </c>
      <c r="AH4032" s="41"/>
      <c r="AI4032" s="73"/>
      <c r="AJ4032" s="64" t="e">
        <f>(AJ4026/(N_1*AJ$27))*SQRT('Valve Sizing'!$G$6/AJ4030)</f>
        <v>#NUM!</v>
      </c>
      <c r="AK4032" s="41"/>
      <c r="AL4032" s="73"/>
      <c r="AM4032" s="64" t="e">
        <f>(AM4026/(N_1*AM$27))*SQRT('Valve Sizing'!$G$6/AM4030)</f>
        <v>#NUM!</v>
      </c>
      <c r="AN4032" s="41"/>
      <c r="AO4032" s="73"/>
      <c r="AP4032" s="64" t="e">
        <f>(AP4026/(N_1*AP$27))*SQRT('Valve Sizing'!$G$6/AP4030)</f>
        <v>#NUM!</v>
      </c>
      <c r="AQ4032" s="41"/>
      <c r="AR4032" s="73"/>
      <c r="AS4032" s="64" t="e">
        <f>(AS4026/(N_1*AS$27))*SQRT('Valve Sizing'!$G$6/AS4030)</f>
        <v>#NUM!</v>
      </c>
      <c r="AT4032" s="41"/>
      <c r="AU4032" s="73"/>
    </row>
    <row r="4033" spans="15:47" ht="13" x14ac:dyDescent="0.3">
      <c r="O4033" s="1" t="s">
        <v>72</v>
      </c>
      <c r="P4033" s="17">
        <v>7</v>
      </c>
      <c r="Q4033" s="65"/>
      <c r="R4033" s="53">
        <f>(R4026/(N_1*F_P_h))*SQRT('Valve Sizing'!$G$6/R4031)</f>
        <v>269.98119287157971</v>
      </c>
      <c r="S4033" s="56"/>
      <c r="T4033" s="72"/>
      <c r="U4033" s="85">
        <f>(U4026/(N_1*U$27))*SQRT('Valve Sizing'!$G$6/U4031)</f>
        <v>260.8241507691119</v>
      </c>
      <c r="V4033" s="44"/>
      <c r="W4033" s="72"/>
      <c r="X4033" s="85" t="e">
        <f>(X4026/(N_1*X$27))*SQRT('Valve Sizing'!$G$6/X4031)</f>
        <v>#NUM!</v>
      </c>
      <c r="Y4033" s="44"/>
      <c r="Z4033" s="72"/>
      <c r="AA4033" s="85" t="e">
        <f>(AA4026/(N_1*AA$27))*SQRT('Valve Sizing'!$G$6/AA4031)</f>
        <v>#NUM!</v>
      </c>
      <c r="AB4033" s="44"/>
      <c r="AC4033" s="72"/>
      <c r="AD4033" s="85" t="e">
        <f>(AD4026/(N_1*AD$27))*SQRT('Valve Sizing'!$G$6/AD4031)</f>
        <v>#NUM!</v>
      </c>
      <c r="AE4033" s="44"/>
      <c r="AF4033" s="72"/>
      <c r="AG4033" s="85" t="e">
        <f>(AG4026/(N_1*AG$27))*SQRT('Valve Sizing'!$G$6/AG4031)</f>
        <v>#NUM!</v>
      </c>
      <c r="AH4033" s="44"/>
      <c r="AI4033" s="72"/>
      <c r="AJ4033" s="85" t="e">
        <f>(AJ4026/(N_1*AJ$27))*SQRT('Valve Sizing'!$G$6/AJ4031)</f>
        <v>#NUM!</v>
      </c>
      <c r="AK4033" s="44"/>
      <c r="AL4033" s="72"/>
      <c r="AM4033" s="85" t="e">
        <f>(AM4026/(N_1*AM$27))*SQRT('Valve Sizing'!$G$6/AM4031)</f>
        <v>#NUM!</v>
      </c>
      <c r="AN4033" s="44"/>
      <c r="AO4033" s="72"/>
      <c r="AP4033" s="85" t="e">
        <f>(AP4026/(N_1*AP$27))*SQRT('Valve Sizing'!$G$6/AP4031)</f>
        <v>#NUM!</v>
      </c>
      <c r="AQ4033" s="44"/>
      <c r="AR4033" s="72"/>
      <c r="AS4033" s="85" t="e">
        <f>(AS4026/(N_1*AS$27))*SQRT('Valve Sizing'!$G$6/AS4031)</f>
        <v>#NUM!</v>
      </c>
      <c r="AT4033" s="44"/>
      <c r="AU4033" s="72"/>
    </row>
    <row r="4034" spans="15:47" x14ac:dyDescent="0.25">
      <c r="O4034" s="1" t="s">
        <v>246</v>
      </c>
      <c r="P4034" s="18"/>
      <c r="Q4034" s="65"/>
      <c r="R4034" s="53" t="e">
        <f>IF(R4030&lt;R4031,R4032,R4033)</f>
        <v>#NUM!</v>
      </c>
      <c r="S4034" s="49"/>
      <c r="T4034" s="72"/>
      <c r="U4034" s="64" t="e">
        <f>IF(U4030&lt;U4031,U4032,U4033)</f>
        <v>#NUM!</v>
      </c>
      <c r="V4034" s="44"/>
      <c r="W4034" s="72"/>
      <c r="X4034" s="64" t="e">
        <f>IF(X4030&lt;X4031,X4032,X4033)</f>
        <v>#NUM!</v>
      </c>
      <c r="Y4034" s="44"/>
      <c r="Z4034" s="72"/>
      <c r="AA4034" s="64" t="e">
        <f>IF(AA4030&lt;AA4031,AA4032,AA4033)</f>
        <v>#NUM!</v>
      </c>
      <c r="AB4034" s="44"/>
      <c r="AC4034" s="72"/>
      <c r="AD4034" s="64" t="e">
        <f>IF(AD4030&lt;AD4031,AD4032,AD4033)</f>
        <v>#NUM!</v>
      </c>
      <c r="AE4034" s="44"/>
      <c r="AF4034" s="72"/>
      <c r="AG4034" s="64" t="e">
        <f>IF(AG4030&lt;AG4031,AG4032,AG4033)</f>
        <v>#NUM!</v>
      </c>
      <c r="AH4034" s="44"/>
      <c r="AI4034" s="72"/>
      <c r="AJ4034" s="64" t="e">
        <f>IF(AJ4030&lt;AJ4031,AJ4032,AJ4033)</f>
        <v>#NUM!</v>
      </c>
      <c r="AK4034" s="44"/>
      <c r="AL4034" s="72"/>
      <c r="AM4034" s="64" t="e">
        <f>IF(AM4030&lt;AM4031,AM4032,AM4033)</f>
        <v>#NUM!</v>
      </c>
      <c r="AN4034" s="44"/>
      <c r="AO4034" s="72"/>
      <c r="AP4034" s="64" t="e">
        <f>IF(AP4030&lt;AP4031,AP4032,AP4033)</f>
        <v>#NUM!</v>
      </c>
      <c r="AQ4034" s="44"/>
      <c r="AR4034" s="72"/>
      <c r="AS4034" s="64" t="e">
        <f>IF(AS4030&lt;AS4031,AS4032,AS4033)</f>
        <v>#NUM!</v>
      </c>
      <c r="AT4034" s="44"/>
      <c r="AU4034" s="72"/>
    </row>
    <row r="4035" spans="15:47" ht="13" x14ac:dyDescent="0.3">
      <c r="O4035" s="7" t="s">
        <v>264</v>
      </c>
      <c r="Q4035" s="61"/>
      <c r="R4035" s="53"/>
      <c r="S4035" s="69">
        <f>IFERROR(ABS(C_h-R4034),Q_max*10)</f>
        <v>5500</v>
      </c>
      <c r="T4035" s="76">
        <f>R4026</f>
        <v>1059.1374794049052</v>
      </c>
      <c r="U4035" s="61"/>
      <c r="V4035" s="69">
        <f>IFERROR(ABS(U$23-U4034),Q_max*10)</f>
        <v>5500</v>
      </c>
      <c r="W4035" s="75">
        <f>U4026</f>
        <v>1046.5972451012979</v>
      </c>
      <c r="X4035" s="61"/>
      <c r="Y4035" s="69">
        <f>IFERROR(ABS(X$23-X4034),Q_max*10)</f>
        <v>5500</v>
      </c>
      <c r="Z4035" s="75">
        <f>X4026</f>
        <v>2512.2362626724066</v>
      </c>
      <c r="AA4035" s="61"/>
      <c r="AB4035" s="69">
        <f>IFERROR(ABS(AA$23-AA4034),Q_max*10)</f>
        <v>5500</v>
      </c>
      <c r="AC4035" s="75">
        <f>AA4026</f>
        <v>4796.7797303230673</v>
      </c>
      <c r="AD4035" s="61"/>
      <c r="AE4035" s="69">
        <f>IFERROR(ABS(AD$23-AD4034),Q_max*10)</f>
        <v>5500</v>
      </c>
      <c r="AF4035" s="75">
        <f>AD4026</f>
        <v>7888.936586865033</v>
      </c>
      <c r="AG4035" s="61"/>
      <c r="AH4035" s="69">
        <f>IFERROR(ABS(AG$23-AG4034),Q_max*10)</f>
        <v>5500</v>
      </c>
      <c r="AI4035" s="75">
        <f>AG4026</f>
        <v>11745.551580760593</v>
      </c>
      <c r="AJ4035" s="61"/>
      <c r="AK4035" s="69">
        <f>IFERROR(ABS(AJ$23-AJ4034),Q_max*10)</f>
        <v>5500</v>
      </c>
      <c r="AL4035" s="75">
        <f>AJ4026</f>
        <v>15674.484116945412</v>
      </c>
      <c r="AM4035" s="61"/>
      <c r="AN4035" s="69">
        <f>IFERROR(ABS(AM$23-AM4034),Q_max*10)</f>
        <v>5500</v>
      </c>
      <c r="AO4035" s="75">
        <f>AM4026</f>
        <v>19125.849400819407</v>
      </c>
      <c r="AP4035" s="61"/>
      <c r="AQ4035" s="69">
        <f>IFERROR(ABS(AP$23-AP4034),Q_max*10)</f>
        <v>5500</v>
      </c>
      <c r="AR4035" s="75">
        <f>AP4026</f>
        <v>22204.517399433218</v>
      </c>
      <c r="AS4035" s="61"/>
      <c r="AT4035" s="69">
        <f>IFERROR(ABS(AS$23-AS4034),Q_max*10)</f>
        <v>5500</v>
      </c>
      <c r="AU4035" s="75">
        <f>AS4026</f>
        <v>25270.812047559008</v>
      </c>
    </row>
    <row r="4036" spans="15:47" ht="14.5" x14ac:dyDescent="0.35">
      <c r="O4036" s="6"/>
      <c r="P4036" s="6"/>
      <c r="Q4036" s="60"/>
      <c r="R4036" s="67"/>
      <c r="S4036" s="58"/>
      <c r="T4036" s="73"/>
      <c r="V4036" s="11"/>
      <c r="W4036" s="38"/>
      <c r="Y4036" s="11"/>
      <c r="Z4036" s="38"/>
      <c r="AB4036" s="11"/>
      <c r="AC4036" s="38"/>
      <c r="AE4036" s="11"/>
      <c r="AF4036" s="38"/>
      <c r="AH4036" s="11"/>
      <c r="AI4036" s="38"/>
      <c r="AK4036" s="11"/>
      <c r="AL4036" s="38"/>
      <c r="AN4036" s="11"/>
      <c r="AO4036" s="38"/>
      <c r="AQ4036" s="11"/>
      <c r="AR4036" s="38"/>
      <c r="AT4036" s="11"/>
      <c r="AU4036" s="38"/>
    </row>
    <row r="4037" spans="15:47" ht="14" x14ac:dyDescent="0.3">
      <c r="O4037" s="8" t="s">
        <v>235</v>
      </c>
      <c r="P4037" s="6"/>
      <c r="Q4037" s="60"/>
      <c r="R4037" s="53">
        <f>R4026*1.02</f>
        <v>1080.3202289930034</v>
      </c>
      <c r="S4037" s="58" t="s">
        <v>238</v>
      </c>
      <c r="T4037" s="73" t="s">
        <v>241</v>
      </c>
      <c r="U4037" s="84">
        <f>U4026*1.01</f>
        <v>1057.0632175523108</v>
      </c>
      <c r="V4037" s="58" t="s">
        <v>238</v>
      </c>
      <c r="W4037" s="73" t="s">
        <v>241</v>
      </c>
      <c r="X4037" s="84">
        <f>X4026*1.01</f>
        <v>2537.3586252991308</v>
      </c>
      <c r="Y4037" s="58" t="s">
        <v>238</v>
      </c>
      <c r="Z4037" s="73" t="s">
        <v>241</v>
      </c>
      <c r="AA4037" s="84">
        <f>AA4026*1.01</f>
        <v>4844.7475276262976</v>
      </c>
      <c r="AB4037" s="58" t="s">
        <v>238</v>
      </c>
      <c r="AC4037" s="73" t="s">
        <v>241</v>
      </c>
      <c r="AD4037" s="84">
        <f>AD4026*1.01</f>
        <v>7967.8259527336832</v>
      </c>
      <c r="AE4037" s="58" t="s">
        <v>238</v>
      </c>
      <c r="AF4037" s="73" t="s">
        <v>241</v>
      </c>
      <c r="AG4037" s="84">
        <f>AG4026*1.01</f>
        <v>11863.007096568199</v>
      </c>
      <c r="AH4037" s="58" t="s">
        <v>238</v>
      </c>
      <c r="AI4037" s="73" t="s">
        <v>241</v>
      </c>
      <c r="AJ4037" s="84">
        <f>AJ4026*1.01</f>
        <v>15831.228958114867</v>
      </c>
      <c r="AK4037" s="58" t="s">
        <v>238</v>
      </c>
      <c r="AL4037" s="73" t="s">
        <v>241</v>
      </c>
      <c r="AM4037" s="84">
        <f>AM4026*1.01</f>
        <v>19317.107894827601</v>
      </c>
      <c r="AN4037" s="58" t="s">
        <v>238</v>
      </c>
      <c r="AO4037" s="73" t="s">
        <v>241</v>
      </c>
      <c r="AP4037" s="84">
        <f>AP4026*1.01</f>
        <v>22426.562573427549</v>
      </c>
      <c r="AQ4037" s="58" t="s">
        <v>238</v>
      </c>
      <c r="AR4037" s="73" t="s">
        <v>241</v>
      </c>
      <c r="AS4037" s="84">
        <f>AS4026*1.01</f>
        <v>25523.520168034596</v>
      </c>
      <c r="AT4037" s="58" t="s">
        <v>238</v>
      </c>
      <c r="AU4037" s="73" t="s">
        <v>241</v>
      </c>
    </row>
    <row r="4038" spans="15:47" ht="13" x14ac:dyDescent="0.25">
      <c r="O4038" s="6"/>
      <c r="P4038" s="6"/>
      <c r="Q4038" s="60"/>
      <c r="R4038" s="70"/>
      <c r="S4038" s="63" t="s">
        <v>250</v>
      </c>
      <c r="T4038" s="71" t="s">
        <v>242</v>
      </c>
      <c r="U4038" s="61"/>
      <c r="V4038" s="63" t="s">
        <v>250</v>
      </c>
      <c r="W4038" s="71" t="s">
        <v>242</v>
      </c>
      <c r="X4038" s="61"/>
      <c r="Y4038" s="63" t="s">
        <v>250</v>
      </c>
      <c r="Z4038" s="71" t="s">
        <v>242</v>
      </c>
      <c r="AA4038" s="61"/>
      <c r="AB4038" s="63" t="s">
        <v>250</v>
      </c>
      <c r="AC4038" s="71" t="s">
        <v>242</v>
      </c>
      <c r="AD4038" s="61"/>
      <c r="AE4038" s="63" t="s">
        <v>250</v>
      </c>
      <c r="AF4038" s="71" t="s">
        <v>242</v>
      </c>
      <c r="AG4038" s="61"/>
      <c r="AH4038" s="63" t="s">
        <v>250</v>
      </c>
      <c r="AI4038" s="71" t="s">
        <v>242</v>
      </c>
      <c r="AJ4038" s="61"/>
      <c r="AK4038" s="63" t="s">
        <v>250</v>
      </c>
      <c r="AL4038" s="71" t="s">
        <v>242</v>
      </c>
      <c r="AM4038" s="61"/>
      <c r="AN4038" s="63" t="s">
        <v>250</v>
      </c>
      <c r="AO4038" s="71" t="s">
        <v>242</v>
      </c>
      <c r="AP4038" s="61"/>
      <c r="AQ4038" s="63" t="s">
        <v>250</v>
      </c>
      <c r="AR4038" s="71" t="s">
        <v>242</v>
      </c>
      <c r="AS4038" s="61"/>
      <c r="AT4038" s="63" t="s">
        <v>250</v>
      </c>
      <c r="AU4038" s="71" t="s">
        <v>242</v>
      </c>
    </row>
    <row r="4039" spans="15:47" ht="13" x14ac:dyDescent="0.3">
      <c r="O4039" s="6" t="s">
        <v>231</v>
      </c>
      <c r="P4039" s="6"/>
      <c r="Q4039" s="60"/>
      <c r="R4039" s="85">
        <f>P_1_minQ-(R4037^2*R_up)+dpup_minQ</f>
        <v>17.500682297484115</v>
      </c>
      <c r="S4039" s="56"/>
      <c r="T4039" s="72"/>
      <c r="U4039" s="53">
        <f>P_1_minQ-(U4037^2*R_up)+dpup_minQ</f>
        <v>19.17947835521635</v>
      </c>
      <c r="V4039" s="44"/>
      <c r="W4039" s="72"/>
      <c r="X4039" s="53">
        <f>P_1_minQ-(X4037^2*R_up)+dpup_minQ</f>
        <v>-160.51677789192487</v>
      </c>
      <c r="Y4039" s="44"/>
      <c r="Z4039" s="72"/>
      <c r="AA4039" s="53">
        <f>P_1_minQ-(AA4037^2*R_up)+dpup_minQ</f>
        <v>-735.77479251743068</v>
      </c>
      <c r="AB4039" s="44"/>
      <c r="AC4039" s="72"/>
      <c r="AD4039" s="53">
        <f>P_1_minQ-(AD4037^2*R_up)+dpup_minQ</f>
        <v>-2087.1652621768467</v>
      </c>
      <c r="AE4039" s="44"/>
      <c r="AF4039" s="72"/>
      <c r="AG4039" s="53">
        <f>P_1_minQ-(AG4037^2*R_up)+dpup_minQ</f>
        <v>-4695.9017349958622</v>
      </c>
      <c r="AH4039" s="44"/>
      <c r="AI4039" s="72"/>
      <c r="AJ4039" s="53">
        <f>P_1_minQ-(AJ4037^2*R_up)+dpup_minQ</f>
        <v>-8407.3800514777013</v>
      </c>
      <c r="AK4039" s="44"/>
      <c r="AL4039" s="72"/>
      <c r="AM4039" s="53">
        <f>P_1_minQ-(AM4037^2*R_up)+dpup_minQ</f>
        <v>-12545.267491401919</v>
      </c>
      <c r="AN4039" s="44"/>
      <c r="AO4039" s="72"/>
      <c r="AP4039" s="53">
        <f>P_1_minQ-(AP4037^2*R_up)+dpup_minQ</f>
        <v>-16928.923399522504</v>
      </c>
      <c r="AQ4039" s="44"/>
      <c r="AR4039" s="72"/>
      <c r="AS4039" s="53">
        <f>P_1_minQ-(AS4037^2*R_up)+dpup_minQ</f>
        <v>-21944.099789532887</v>
      </c>
      <c r="AT4039" s="44"/>
      <c r="AU4039" s="72"/>
    </row>
    <row r="4040" spans="15:47" ht="13" x14ac:dyDescent="0.3">
      <c r="O4040" s="6" t="s">
        <v>233</v>
      </c>
      <c r="P4040" s="6"/>
      <c r="Q4040" s="60"/>
      <c r="R4040" s="85">
        <f>P_2_minQ+(R4037^2*R_dn)-dpdn_minQ</f>
        <v>32.539863540503184</v>
      </c>
      <c r="S4040" s="66"/>
      <c r="T4040" s="74"/>
      <c r="U4040" s="53">
        <f>P_2_minQ+(U4037^2*R_dn)-dpdn_minQ</f>
        <v>32.204104328956731</v>
      </c>
      <c r="V4040" s="45"/>
      <c r="W4040" s="74"/>
      <c r="X4040" s="53">
        <f>P_2_minQ+(X4037^2*R_dn)-dpdn_minQ</f>
        <v>68.143355578384984</v>
      </c>
      <c r="Y4040" s="45"/>
      <c r="Z4040" s="74"/>
      <c r="AA4040" s="53">
        <f>P_2_minQ+(AA4037^2*R_dn)-dpdn_minQ</f>
        <v>183.19495850348611</v>
      </c>
      <c r="AB4040" s="45"/>
      <c r="AC4040" s="74"/>
      <c r="AD4040" s="53">
        <f>P_2_minQ+(AD4037^2*R_dn)-dpdn_minQ</f>
        <v>453.47305243536925</v>
      </c>
      <c r="AE4040" s="45"/>
      <c r="AF4040" s="74"/>
      <c r="AG4040" s="53">
        <f>P_2_minQ+(AG4037^2*R_dn)-dpdn_minQ</f>
        <v>975.22034699917219</v>
      </c>
      <c r="AH4040" s="45"/>
      <c r="AI4040" s="74"/>
      <c r="AJ4040" s="53">
        <f>P_2_minQ+(AJ4037^2*R_dn)-dpdn_minQ</f>
        <v>1717.5160102955404</v>
      </c>
      <c r="AK4040" s="45"/>
      <c r="AL4040" s="74"/>
      <c r="AM4040" s="53">
        <f>P_2_minQ+(AM4037^2*R_dn)-dpdn_minQ</f>
        <v>2545.0934982803838</v>
      </c>
      <c r="AN4040" s="45"/>
      <c r="AO4040" s="74"/>
      <c r="AP4040" s="53">
        <f>P_2_minQ+(AP4037^2*R_dn)-dpdn_minQ</f>
        <v>3421.8246799045005</v>
      </c>
      <c r="AQ4040" s="45"/>
      <c r="AR4040" s="74"/>
      <c r="AS4040" s="53">
        <f>P_2_minQ+(AS4037^2*R_dn)-dpdn_minQ</f>
        <v>4424.8599579065776</v>
      </c>
      <c r="AT4040" s="45"/>
      <c r="AU4040" s="74"/>
    </row>
    <row r="4041" spans="15:47" x14ac:dyDescent="0.25">
      <c r="O4041" s="6" t="s">
        <v>243</v>
      </c>
      <c r="Q4041" s="60"/>
      <c r="R4041" s="53">
        <f>R4039-R4040</f>
        <v>-15.039181243019069</v>
      </c>
      <c r="S4041" s="56"/>
      <c r="T4041" s="72"/>
      <c r="U4041" s="64">
        <f>U4039-U4040</f>
        <v>-13.024625973740381</v>
      </c>
      <c r="V4041" s="44"/>
      <c r="W4041" s="72"/>
      <c r="X4041" s="64">
        <f>X4039-X4040</f>
        <v>-228.66013347030986</v>
      </c>
      <c r="Y4041" s="44"/>
      <c r="Z4041" s="72"/>
      <c r="AA4041" s="64">
        <f>AA4039-AA4040</f>
        <v>-918.96975102091676</v>
      </c>
      <c r="AB4041" s="44"/>
      <c r="AC4041" s="72"/>
      <c r="AD4041" s="64">
        <f>AD4039-AD4040</f>
        <v>-2540.6383146122162</v>
      </c>
      <c r="AE4041" s="44"/>
      <c r="AF4041" s="72"/>
      <c r="AG4041" s="64">
        <f>AG4039-AG4040</f>
        <v>-5671.122081995034</v>
      </c>
      <c r="AH4041" s="44"/>
      <c r="AI4041" s="72"/>
      <c r="AJ4041" s="64">
        <f>AJ4039-AJ4040</f>
        <v>-10124.896061773241</v>
      </c>
      <c r="AK4041" s="44"/>
      <c r="AL4041" s="72"/>
      <c r="AM4041" s="64">
        <f>AM4039-AM4040</f>
        <v>-15090.360989682304</v>
      </c>
      <c r="AN4041" s="44"/>
      <c r="AO4041" s="72"/>
      <c r="AP4041" s="64">
        <f>AP4039-AP4040</f>
        <v>-20350.748079427005</v>
      </c>
      <c r="AQ4041" s="44"/>
      <c r="AR4041" s="72"/>
      <c r="AS4041" s="64">
        <f>AS4039-AS4040</f>
        <v>-26368.959747439465</v>
      </c>
      <c r="AT4041" s="44"/>
      <c r="AU4041" s="72"/>
    </row>
    <row r="4042" spans="15:47" ht="13" x14ac:dyDescent="0.3">
      <c r="O4042" s="6" t="s">
        <v>75</v>
      </c>
      <c r="P4042" s="6">
        <v>3</v>
      </c>
      <c r="Q4042" s="65"/>
      <c r="R4042" s="85">
        <f>(F_LP_h/F_P_h)^2*(R4039-('Valve Sizing'!$V$4*'Valve Sizing'!$G$7))</f>
        <v>14.12709270355878</v>
      </c>
      <c r="S4042" s="58"/>
      <c r="T4042" s="73"/>
      <c r="U4042" s="53">
        <f>(U$29/U$27)^2*(U4039-('Valve Sizing'!$V$4*'Valve Sizing'!$G$7))</f>
        <v>15.512994605047599</v>
      </c>
      <c r="V4042" s="41"/>
      <c r="W4042" s="73"/>
      <c r="X4042" s="53">
        <f>(X$29/X$27)^2*(X4039-('Valve Sizing'!$V$4*'Valve Sizing'!$G$7))</f>
        <v>-130.2387972872809</v>
      </c>
      <c r="Y4042" s="41"/>
      <c r="Z4042" s="73"/>
      <c r="AA4042" s="53">
        <f>(AA$29/AA$27)^2*(AA4039-('Valve Sizing'!$V$4*'Valve Sizing'!$G$7))</f>
        <v>-568.9447905431083</v>
      </c>
      <c r="AB4042" s="41"/>
      <c r="AC4042" s="73"/>
      <c r="AD4042" s="53">
        <f>(AD$29/AD$27)^2*(AD4039-('Valve Sizing'!$V$4*'Valve Sizing'!$G$7))</f>
        <v>-1505.5546678257749</v>
      </c>
      <c r="AE4042" s="41"/>
      <c r="AF4042" s="73"/>
      <c r="AG4042" s="53">
        <f>(AG$29/AG$27)^2*(AG4039-('Valve Sizing'!$V$4*'Valve Sizing'!$G$7))</f>
        <v>-3024.6505242541766</v>
      </c>
      <c r="AH4042" s="41"/>
      <c r="AI4042" s="73"/>
      <c r="AJ4042" s="53">
        <f>(AJ$29/AJ$27)^2*(AJ4039-('Valve Sizing'!$V$4*'Valve Sizing'!$G$7))</f>
        <v>-4862.7832889690289</v>
      </c>
      <c r="AK4042" s="41"/>
      <c r="AL4042" s="73"/>
      <c r="AM4042" s="53">
        <f>(AM$29/AM$27)^2*(AM4039-('Valve Sizing'!$V$4*'Valve Sizing'!$G$7))</f>
        <v>-6002.7716555498719</v>
      </c>
      <c r="AN4042" s="41"/>
      <c r="AO4042" s="73"/>
      <c r="AP4042" s="53">
        <f>(AP$29/AP$27)^2*(AP4039-('Valve Sizing'!$V$4*'Valve Sizing'!$G$7))</f>
        <v>-6680.7809903086936</v>
      </c>
      <c r="AQ4042" s="41"/>
      <c r="AR4042" s="73"/>
      <c r="AS4042" s="53">
        <f>(AS$29/AS$27)^2*(AS4039-('Valve Sizing'!$V$4*'Valve Sizing'!$G$7))</f>
        <v>-8254.2366443694118</v>
      </c>
      <c r="AT4042" s="41"/>
      <c r="AU4042" s="73"/>
    </row>
    <row r="4043" spans="15:47" ht="13" x14ac:dyDescent="0.25">
      <c r="O4043" s="1" t="s">
        <v>69</v>
      </c>
      <c r="P4043" s="17">
        <v>7</v>
      </c>
      <c r="Q4043" s="65"/>
      <c r="R4043" s="53" t="e">
        <f>(R4037/(N_1*F_P_h))*SQRT('Valve Sizing'!$G$6/R4041)</f>
        <v>#NUM!</v>
      </c>
      <c r="S4043" s="58"/>
      <c r="T4043" s="73"/>
      <c r="U4043" s="64" t="e">
        <f>(U4037/(N_1*U$27))*SQRT('Valve Sizing'!$G$6/U4041)</f>
        <v>#NUM!</v>
      </c>
      <c r="V4043" s="41"/>
      <c r="W4043" s="73"/>
      <c r="X4043" s="64" t="e">
        <f>(X4037/(N_1*X$27))*SQRT('Valve Sizing'!$G$6/X4041)</f>
        <v>#NUM!</v>
      </c>
      <c r="Y4043" s="41"/>
      <c r="Z4043" s="73"/>
      <c r="AA4043" s="64" t="e">
        <f>(AA4037/(N_1*AA$27))*SQRT('Valve Sizing'!$G$6/AA4041)</f>
        <v>#NUM!</v>
      </c>
      <c r="AB4043" s="41"/>
      <c r="AC4043" s="73"/>
      <c r="AD4043" s="64" t="e">
        <f>(AD4037/(N_1*AD$27))*SQRT('Valve Sizing'!$G$6/AD4041)</f>
        <v>#NUM!</v>
      </c>
      <c r="AE4043" s="41"/>
      <c r="AF4043" s="73"/>
      <c r="AG4043" s="64" t="e">
        <f>(AG4037/(N_1*AG$27))*SQRT('Valve Sizing'!$G$6/AG4041)</f>
        <v>#NUM!</v>
      </c>
      <c r="AH4043" s="41"/>
      <c r="AI4043" s="73"/>
      <c r="AJ4043" s="64" t="e">
        <f>(AJ4037/(N_1*AJ$27))*SQRT('Valve Sizing'!$G$6/AJ4041)</f>
        <v>#NUM!</v>
      </c>
      <c r="AK4043" s="41"/>
      <c r="AL4043" s="73"/>
      <c r="AM4043" s="64" t="e">
        <f>(AM4037/(N_1*AM$27))*SQRT('Valve Sizing'!$G$6/AM4041)</f>
        <v>#NUM!</v>
      </c>
      <c r="AN4043" s="41"/>
      <c r="AO4043" s="73"/>
      <c r="AP4043" s="64" t="e">
        <f>(AP4037/(N_1*AP$27))*SQRT('Valve Sizing'!$G$6/AP4041)</f>
        <v>#NUM!</v>
      </c>
      <c r="AQ4043" s="41"/>
      <c r="AR4043" s="73"/>
      <c r="AS4043" s="64" t="e">
        <f>(AS4037/(N_1*AS$27))*SQRT('Valve Sizing'!$G$6/AS4041)</f>
        <v>#NUM!</v>
      </c>
      <c r="AT4043" s="41"/>
      <c r="AU4043" s="73"/>
    </row>
    <row r="4044" spans="15:47" ht="13" x14ac:dyDescent="0.3">
      <c r="O4044" s="1" t="s">
        <v>72</v>
      </c>
      <c r="P4044" s="17">
        <v>7</v>
      </c>
      <c r="Q4044" s="65"/>
      <c r="R4044" s="53">
        <f>(R4037/(N_1*F_P_h))*SQRT('Valve Sizing'!$G$6/R4042)</f>
        <v>287.46808735213034</v>
      </c>
      <c r="S4044" s="56"/>
      <c r="T4044" s="72"/>
      <c r="U4044" s="85">
        <f>(U4037/(N_1*U$27))*SQRT('Valve Sizing'!$G$6/U4042)</f>
        <v>268.60791806719254</v>
      </c>
      <c r="V4044" s="44"/>
      <c r="W4044" s="72"/>
      <c r="X4044" s="85" t="e">
        <f>(X4037/(N_1*X$27))*SQRT('Valve Sizing'!$G$6/X4042)</f>
        <v>#NUM!</v>
      </c>
      <c r="Y4044" s="44"/>
      <c r="Z4044" s="72"/>
      <c r="AA4044" s="85" t="e">
        <f>(AA4037/(N_1*AA$27))*SQRT('Valve Sizing'!$G$6/AA4042)</f>
        <v>#NUM!</v>
      </c>
      <c r="AB4044" s="44"/>
      <c r="AC4044" s="72"/>
      <c r="AD4044" s="85" t="e">
        <f>(AD4037/(N_1*AD$27))*SQRT('Valve Sizing'!$G$6/AD4042)</f>
        <v>#NUM!</v>
      </c>
      <c r="AE4044" s="44"/>
      <c r="AF4044" s="72"/>
      <c r="AG4044" s="85" t="e">
        <f>(AG4037/(N_1*AG$27))*SQRT('Valve Sizing'!$G$6/AG4042)</f>
        <v>#NUM!</v>
      </c>
      <c r="AH4044" s="44"/>
      <c r="AI4044" s="72"/>
      <c r="AJ4044" s="85" t="e">
        <f>(AJ4037/(N_1*AJ$27))*SQRT('Valve Sizing'!$G$6/AJ4042)</f>
        <v>#NUM!</v>
      </c>
      <c r="AK4044" s="44"/>
      <c r="AL4044" s="72"/>
      <c r="AM4044" s="85" t="e">
        <f>(AM4037/(N_1*AM$27))*SQRT('Valve Sizing'!$G$6/AM4042)</f>
        <v>#NUM!</v>
      </c>
      <c r="AN4044" s="44"/>
      <c r="AO4044" s="72"/>
      <c r="AP4044" s="85" t="e">
        <f>(AP4037/(N_1*AP$27))*SQRT('Valve Sizing'!$G$6/AP4042)</f>
        <v>#NUM!</v>
      </c>
      <c r="AQ4044" s="44"/>
      <c r="AR4044" s="72"/>
      <c r="AS4044" s="85" t="e">
        <f>(AS4037/(N_1*AS$27))*SQRT('Valve Sizing'!$G$6/AS4042)</f>
        <v>#NUM!</v>
      </c>
      <c r="AT4044" s="44"/>
      <c r="AU4044" s="72"/>
    </row>
    <row r="4045" spans="15:47" x14ac:dyDescent="0.25">
      <c r="O4045" s="1" t="s">
        <v>246</v>
      </c>
      <c r="P4045" s="18"/>
      <c r="Q4045" s="65"/>
      <c r="R4045" s="53" t="e">
        <f>IF(R4041&lt;R4042,R4043,R4044)</f>
        <v>#NUM!</v>
      </c>
      <c r="S4045" s="49"/>
      <c r="T4045" s="72"/>
      <c r="U4045" s="64" t="e">
        <f>IF(U4041&lt;U4042,U4043,U4044)</f>
        <v>#NUM!</v>
      </c>
      <c r="V4045" s="44"/>
      <c r="W4045" s="72"/>
      <c r="X4045" s="64" t="e">
        <f>IF(X4041&lt;X4042,X4043,X4044)</f>
        <v>#NUM!</v>
      </c>
      <c r="Y4045" s="44"/>
      <c r="Z4045" s="72"/>
      <c r="AA4045" s="64" t="e">
        <f>IF(AA4041&lt;AA4042,AA4043,AA4044)</f>
        <v>#NUM!</v>
      </c>
      <c r="AB4045" s="44"/>
      <c r="AC4045" s="72"/>
      <c r="AD4045" s="64" t="e">
        <f>IF(AD4041&lt;AD4042,AD4043,AD4044)</f>
        <v>#NUM!</v>
      </c>
      <c r="AE4045" s="44"/>
      <c r="AF4045" s="72"/>
      <c r="AG4045" s="64" t="e">
        <f>IF(AG4041&lt;AG4042,AG4043,AG4044)</f>
        <v>#NUM!</v>
      </c>
      <c r="AH4045" s="44"/>
      <c r="AI4045" s="72"/>
      <c r="AJ4045" s="64" t="e">
        <f>IF(AJ4041&lt;AJ4042,AJ4043,AJ4044)</f>
        <v>#NUM!</v>
      </c>
      <c r="AK4045" s="44"/>
      <c r="AL4045" s="72"/>
      <c r="AM4045" s="64" t="e">
        <f>IF(AM4041&lt;AM4042,AM4043,AM4044)</f>
        <v>#NUM!</v>
      </c>
      <c r="AN4045" s="44"/>
      <c r="AO4045" s="72"/>
      <c r="AP4045" s="64" t="e">
        <f>IF(AP4041&lt;AP4042,AP4043,AP4044)</f>
        <v>#NUM!</v>
      </c>
      <c r="AQ4045" s="44"/>
      <c r="AR4045" s="72"/>
      <c r="AS4045" s="64" t="e">
        <f>IF(AS4041&lt;AS4042,AS4043,AS4044)</f>
        <v>#NUM!</v>
      </c>
      <c r="AT4045" s="44"/>
      <c r="AU4045" s="72"/>
    </row>
    <row r="4046" spans="15:47" ht="13" x14ac:dyDescent="0.3">
      <c r="O4046" s="7" t="s">
        <v>264</v>
      </c>
      <c r="Q4046" s="61"/>
      <c r="R4046" s="53"/>
      <c r="S4046" s="69">
        <f>IFERROR(ABS(C_h-R4045),Q_max*10)</f>
        <v>5500</v>
      </c>
      <c r="T4046" s="76">
        <f>R4037</f>
        <v>1080.3202289930034</v>
      </c>
      <c r="U4046" s="61"/>
      <c r="V4046" s="69">
        <f>IFERROR(ABS(U$23-U4045),Q_max*10)</f>
        <v>5500</v>
      </c>
      <c r="W4046" s="75">
        <f>U4037</f>
        <v>1057.0632175523108</v>
      </c>
      <c r="X4046" s="61"/>
      <c r="Y4046" s="69">
        <f>IFERROR(ABS(X$23-X4045),Q_max*10)</f>
        <v>5500</v>
      </c>
      <c r="Z4046" s="75">
        <f>X4037</f>
        <v>2537.3586252991308</v>
      </c>
      <c r="AA4046" s="61"/>
      <c r="AB4046" s="69">
        <f>IFERROR(ABS(AA$23-AA4045),Q_max*10)</f>
        <v>5500</v>
      </c>
      <c r="AC4046" s="75">
        <f>AA4037</f>
        <v>4844.7475276262976</v>
      </c>
      <c r="AD4046" s="61"/>
      <c r="AE4046" s="69">
        <f>IFERROR(ABS(AD$23-AD4045),Q_max*10)</f>
        <v>5500</v>
      </c>
      <c r="AF4046" s="75">
        <f>AD4037</f>
        <v>7967.8259527336832</v>
      </c>
      <c r="AG4046" s="61"/>
      <c r="AH4046" s="69">
        <f>IFERROR(ABS(AG$23-AG4045),Q_max*10)</f>
        <v>5500</v>
      </c>
      <c r="AI4046" s="75">
        <f>AG4037</f>
        <v>11863.007096568199</v>
      </c>
      <c r="AJ4046" s="61"/>
      <c r="AK4046" s="69">
        <f>IFERROR(ABS(AJ$23-AJ4045),Q_max*10)</f>
        <v>5500</v>
      </c>
      <c r="AL4046" s="75">
        <f>AJ4037</f>
        <v>15831.228958114867</v>
      </c>
      <c r="AM4046" s="61"/>
      <c r="AN4046" s="69">
        <f>IFERROR(ABS(AM$23-AM4045),Q_max*10)</f>
        <v>5500</v>
      </c>
      <c r="AO4046" s="75">
        <f>AM4037</f>
        <v>19317.107894827601</v>
      </c>
      <c r="AP4046" s="61"/>
      <c r="AQ4046" s="69">
        <f>IFERROR(ABS(AP$23-AP4045),Q_max*10)</f>
        <v>5500</v>
      </c>
      <c r="AR4046" s="75">
        <f>AP4037</f>
        <v>22426.562573427549</v>
      </c>
      <c r="AS4046" s="61"/>
      <c r="AT4046" s="69">
        <f>IFERROR(ABS(AS$23-AS4045),Q_max*10)</f>
        <v>5500</v>
      </c>
      <c r="AU4046" s="75">
        <f>AS4037</f>
        <v>25523.520168034596</v>
      </c>
    </row>
    <row r="4047" spans="15:47" ht="14.5" x14ac:dyDescent="0.35">
      <c r="O4047" s="8"/>
      <c r="P4047" s="6"/>
      <c r="Q4047" s="60"/>
      <c r="R4047" s="67"/>
      <c r="S4047" s="56"/>
      <c r="T4047" s="72"/>
      <c r="V4047" s="11"/>
      <c r="W4047" s="38"/>
      <c r="Y4047" s="11"/>
      <c r="Z4047" s="38"/>
      <c r="AB4047" s="11"/>
      <c r="AC4047" s="38"/>
      <c r="AE4047" s="11"/>
      <c r="AF4047" s="38"/>
      <c r="AH4047" s="11"/>
      <c r="AI4047" s="38"/>
      <c r="AK4047" s="11"/>
      <c r="AL4047" s="38"/>
      <c r="AN4047" s="11"/>
      <c r="AO4047" s="38"/>
      <c r="AQ4047" s="11"/>
      <c r="AR4047" s="38"/>
      <c r="AT4047" s="11"/>
      <c r="AU4047" s="38"/>
    </row>
    <row r="4048" spans="15:47" ht="14" x14ac:dyDescent="0.3">
      <c r="O4048" s="8" t="s">
        <v>235</v>
      </c>
      <c r="P4048" s="6"/>
      <c r="Q4048" s="60"/>
      <c r="R4048" s="53">
        <f>R4037*1.02</f>
        <v>1101.9266335728635</v>
      </c>
      <c r="S4048" s="58" t="s">
        <v>238</v>
      </c>
      <c r="T4048" s="73" t="s">
        <v>241</v>
      </c>
      <c r="U4048" s="84">
        <f>U4037*1.01</f>
        <v>1067.6338497278339</v>
      </c>
      <c r="V4048" s="58" t="s">
        <v>238</v>
      </c>
      <c r="W4048" s="73" t="s">
        <v>241</v>
      </c>
      <c r="X4048" s="84">
        <f>X4037*1.01</f>
        <v>2562.732211552122</v>
      </c>
      <c r="Y4048" s="58" t="s">
        <v>238</v>
      </c>
      <c r="Z4048" s="73" t="s">
        <v>241</v>
      </c>
      <c r="AA4048" s="84">
        <f>AA4037*1.01</f>
        <v>4893.1950029025602</v>
      </c>
      <c r="AB4048" s="58" t="s">
        <v>238</v>
      </c>
      <c r="AC4048" s="73" t="s">
        <v>241</v>
      </c>
      <c r="AD4048" s="84">
        <f>AD4037*1.01</f>
        <v>8047.5042122610203</v>
      </c>
      <c r="AE4048" s="58" t="s">
        <v>238</v>
      </c>
      <c r="AF4048" s="73" t="s">
        <v>241</v>
      </c>
      <c r="AG4048" s="84">
        <f>AG4037*1.01</f>
        <v>11981.637167533881</v>
      </c>
      <c r="AH4048" s="58" t="s">
        <v>238</v>
      </c>
      <c r="AI4048" s="73" t="s">
        <v>241</v>
      </c>
      <c r="AJ4048" s="84">
        <f>AJ4037*1.01</f>
        <v>15989.541247696015</v>
      </c>
      <c r="AK4048" s="58" t="s">
        <v>238</v>
      </c>
      <c r="AL4048" s="73" t="s">
        <v>241</v>
      </c>
      <c r="AM4048" s="84">
        <f>AM4037*1.01</f>
        <v>19510.278973775876</v>
      </c>
      <c r="AN4048" s="58" t="s">
        <v>238</v>
      </c>
      <c r="AO4048" s="73" t="s">
        <v>241</v>
      </c>
      <c r="AP4048" s="84">
        <f>AP4037*1.01</f>
        <v>22650.828199161824</v>
      </c>
      <c r="AQ4048" s="58" t="s">
        <v>238</v>
      </c>
      <c r="AR4048" s="73" t="s">
        <v>241</v>
      </c>
      <c r="AS4048" s="84">
        <f>AS4037*1.01</f>
        <v>25778.755369714941</v>
      </c>
      <c r="AT4048" s="58" t="s">
        <v>238</v>
      </c>
      <c r="AU4048" s="73" t="s">
        <v>241</v>
      </c>
    </row>
    <row r="4049" spans="15:47" ht="13" x14ac:dyDescent="0.25">
      <c r="O4049" s="6"/>
      <c r="P4049" s="6"/>
      <c r="Q4049" s="60"/>
      <c r="R4049" s="70"/>
      <c r="S4049" s="63" t="s">
        <v>250</v>
      </c>
      <c r="T4049" s="71" t="s">
        <v>242</v>
      </c>
      <c r="U4049" s="61"/>
      <c r="V4049" s="63" t="s">
        <v>250</v>
      </c>
      <c r="W4049" s="71" t="s">
        <v>242</v>
      </c>
      <c r="X4049" s="61"/>
      <c r="Y4049" s="63" t="s">
        <v>250</v>
      </c>
      <c r="Z4049" s="71" t="s">
        <v>242</v>
      </c>
      <c r="AA4049" s="61"/>
      <c r="AB4049" s="63" t="s">
        <v>250</v>
      </c>
      <c r="AC4049" s="71" t="s">
        <v>242</v>
      </c>
      <c r="AD4049" s="61"/>
      <c r="AE4049" s="63" t="s">
        <v>250</v>
      </c>
      <c r="AF4049" s="71" t="s">
        <v>242</v>
      </c>
      <c r="AG4049" s="61"/>
      <c r="AH4049" s="63" t="s">
        <v>250</v>
      </c>
      <c r="AI4049" s="71" t="s">
        <v>242</v>
      </c>
      <c r="AJ4049" s="61"/>
      <c r="AK4049" s="63" t="s">
        <v>250</v>
      </c>
      <c r="AL4049" s="71" t="s">
        <v>242</v>
      </c>
      <c r="AM4049" s="61"/>
      <c r="AN4049" s="63" t="s">
        <v>250</v>
      </c>
      <c r="AO4049" s="71" t="s">
        <v>242</v>
      </c>
      <c r="AP4049" s="61"/>
      <c r="AQ4049" s="63" t="s">
        <v>250</v>
      </c>
      <c r="AR4049" s="71" t="s">
        <v>242</v>
      </c>
      <c r="AS4049" s="61"/>
      <c r="AT4049" s="63" t="s">
        <v>250</v>
      </c>
      <c r="AU4049" s="71" t="s">
        <v>242</v>
      </c>
    </row>
    <row r="4050" spans="15:47" ht="13" x14ac:dyDescent="0.3">
      <c r="O4050" s="6" t="s">
        <v>231</v>
      </c>
      <c r="P4050" s="6"/>
      <c r="Q4050" s="60"/>
      <c r="R4050" s="85">
        <f>P_1_minQ-(R4048^2*R_up)+dpup_minQ</f>
        <v>15.908297677229864</v>
      </c>
      <c r="S4050" s="56"/>
      <c r="T4050" s="72"/>
      <c r="U4050" s="53">
        <f>P_1_minQ-(U4048^2*R_up)+dpup_minQ</f>
        <v>18.420971391939386</v>
      </c>
      <c r="V4050" s="44"/>
      <c r="W4050" s="72"/>
      <c r="X4050" s="53">
        <f>P_1_minQ-(X4048^2*R_up)+dpup_minQ</f>
        <v>-164.88717960576932</v>
      </c>
      <c r="Y4050" s="44"/>
      <c r="Z4050" s="72"/>
      <c r="AA4050" s="53">
        <f>P_1_minQ-(AA4048^2*R_up)+dpup_minQ</f>
        <v>-751.70788032524774</v>
      </c>
      <c r="AB4050" s="44"/>
      <c r="AC4050" s="72"/>
      <c r="AD4050" s="53">
        <f>P_1_minQ-(AD4048^2*R_up)+dpup_minQ</f>
        <v>-2130.2612984248185</v>
      </c>
      <c r="AE4050" s="44"/>
      <c r="AF4050" s="72"/>
      <c r="AG4050" s="53">
        <f>P_1_minQ-(AG4048^2*R_up)+dpup_minQ</f>
        <v>-4791.4333743474954</v>
      </c>
      <c r="AH4050" s="44"/>
      <c r="AI4050" s="72"/>
      <c r="AJ4050" s="53">
        <f>P_1_minQ-(AJ4048^2*R_up)+dpup_minQ</f>
        <v>-8577.5124049906208</v>
      </c>
      <c r="AK4050" s="44"/>
      <c r="AL4050" s="72"/>
      <c r="AM4050" s="53">
        <f>P_1_minQ-(AM4048^2*R_up)+dpup_minQ</f>
        <v>-12798.571382457314</v>
      </c>
      <c r="AN4050" s="44"/>
      <c r="AO4050" s="72"/>
      <c r="AP4050" s="53">
        <f>P_1_minQ-(AP4048^2*R_up)+dpup_minQ</f>
        <v>-17270.338774331121</v>
      </c>
      <c r="AQ4050" s="44"/>
      <c r="AR4050" s="72"/>
      <c r="AS4050" s="53">
        <f>P_1_minQ-(AS4048^2*R_up)+dpup_minQ</f>
        <v>-22386.320209780715</v>
      </c>
      <c r="AT4050" s="44"/>
      <c r="AU4050" s="72"/>
    </row>
    <row r="4051" spans="15:47" ht="13" x14ac:dyDescent="0.3">
      <c r="O4051" s="6" t="s">
        <v>233</v>
      </c>
      <c r="P4051" s="6"/>
      <c r="Q4051" s="60"/>
      <c r="R4051" s="85">
        <f>P_2_minQ+(R4048^2*R_dn)-dpdn_minQ</f>
        <v>32.858340464554033</v>
      </c>
      <c r="S4051" s="66"/>
      <c r="T4051" s="74"/>
      <c r="U4051" s="53">
        <f>P_2_minQ+(U4048^2*R_dn)-dpdn_minQ</f>
        <v>32.355805721612128</v>
      </c>
      <c r="V4051" s="45"/>
      <c r="W4051" s="74"/>
      <c r="X4051" s="53">
        <f>P_2_minQ+(X4048^2*R_dn)-dpdn_minQ</f>
        <v>69.017435921153861</v>
      </c>
      <c r="Y4051" s="45"/>
      <c r="Z4051" s="74"/>
      <c r="AA4051" s="53">
        <f>P_2_minQ+(AA4048^2*R_dn)-dpdn_minQ</f>
        <v>186.38157606504953</v>
      </c>
      <c r="AB4051" s="45"/>
      <c r="AC4051" s="74"/>
      <c r="AD4051" s="53">
        <f>P_2_minQ+(AD4048^2*R_dn)-dpdn_minQ</f>
        <v>462.09225968496355</v>
      </c>
      <c r="AE4051" s="45"/>
      <c r="AF4051" s="74"/>
      <c r="AG4051" s="53">
        <f>P_2_minQ+(AG4048^2*R_dn)-dpdn_minQ</f>
        <v>994.3266748694989</v>
      </c>
      <c r="AH4051" s="45"/>
      <c r="AI4051" s="74"/>
      <c r="AJ4051" s="53">
        <f>P_2_minQ+(AJ4048^2*R_dn)-dpdn_minQ</f>
        <v>1751.5424809981241</v>
      </c>
      <c r="AK4051" s="45"/>
      <c r="AL4051" s="74"/>
      <c r="AM4051" s="53">
        <f>P_2_minQ+(AM4048^2*R_dn)-dpdn_minQ</f>
        <v>2595.7542764914624</v>
      </c>
      <c r="AN4051" s="45"/>
      <c r="AO4051" s="74"/>
      <c r="AP4051" s="53">
        <f>P_2_minQ+(AP4048^2*R_dn)-dpdn_minQ</f>
        <v>3490.1077548662238</v>
      </c>
      <c r="AQ4051" s="45"/>
      <c r="AR4051" s="74"/>
      <c r="AS4051" s="53">
        <f>P_2_minQ+(AS4048^2*R_dn)-dpdn_minQ</f>
        <v>4513.3040419561421</v>
      </c>
      <c r="AT4051" s="45"/>
      <c r="AU4051" s="74"/>
    </row>
    <row r="4052" spans="15:47" x14ac:dyDescent="0.25">
      <c r="O4052" s="6" t="s">
        <v>243</v>
      </c>
      <c r="Q4052" s="60"/>
      <c r="R4052" s="53">
        <f>R4050-R4051</f>
        <v>-16.950042787324168</v>
      </c>
      <c r="S4052" s="56"/>
      <c r="T4052" s="72"/>
      <c r="U4052" s="64">
        <f>U4050-U4051</f>
        <v>-13.934834329672743</v>
      </c>
      <c r="V4052" s="44"/>
      <c r="W4052" s="72"/>
      <c r="X4052" s="64">
        <f>X4050-X4051</f>
        <v>-233.90461552692318</v>
      </c>
      <c r="Y4052" s="44"/>
      <c r="Z4052" s="72"/>
      <c r="AA4052" s="64">
        <f>AA4050-AA4051</f>
        <v>-938.0894563902973</v>
      </c>
      <c r="AB4052" s="44"/>
      <c r="AC4052" s="72"/>
      <c r="AD4052" s="64">
        <f>AD4050-AD4051</f>
        <v>-2592.3535581097822</v>
      </c>
      <c r="AE4052" s="44"/>
      <c r="AF4052" s="72"/>
      <c r="AG4052" s="64">
        <f>AG4050-AG4051</f>
        <v>-5785.760049216994</v>
      </c>
      <c r="AH4052" s="44"/>
      <c r="AI4052" s="72"/>
      <c r="AJ4052" s="64">
        <f>AJ4050-AJ4051</f>
        <v>-10329.054885988746</v>
      </c>
      <c r="AK4052" s="44"/>
      <c r="AL4052" s="72"/>
      <c r="AM4052" s="64">
        <f>AM4050-AM4051</f>
        <v>-15394.325658948776</v>
      </c>
      <c r="AN4052" s="44"/>
      <c r="AO4052" s="72"/>
      <c r="AP4052" s="64">
        <f>AP4050-AP4051</f>
        <v>-20760.446529197347</v>
      </c>
      <c r="AQ4052" s="44"/>
      <c r="AR4052" s="72"/>
      <c r="AS4052" s="64">
        <f>AS4050-AS4051</f>
        <v>-26899.624251736859</v>
      </c>
      <c r="AT4052" s="44"/>
      <c r="AU4052" s="72"/>
    </row>
    <row r="4053" spans="15:47" ht="13" x14ac:dyDescent="0.3">
      <c r="O4053" s="6" t="s">
        <v>75</v>
      </c>
      <c r="P4053" s="6">
        <v>3</v>
      </c>
      <c r="Q4053" s="65"/>
      <c r="R4053" s="85">
        <f>(F_LP_h/F_P_h)^2*(R4050-('Valve Sizing'!$V$4*'Valve Sizing'!$G$7))</f>
        <v>12.808514653817182</v>
      </c>
      <c r="S4053" s="58"/>
      <c r="T4053" s="73"/>
      <c r="U4053" s="53">
        <f>(U$29/U$27)^2*(U4050-('Valve Sizing'!$V$4*'Valve Sizing'!$G$7))</f>
        <v>14.885082215107161</v>
      </c>
      <c r="V4053" s="41"/>
      <c r="W4053" s="73"/>
      <c r="X4053" s="53">
        <f>(X$29/X$27)^2*(X4050-('Valve Sizing'!$V$4*'Valve Sizing'!$G$7))</f>
        <v>-133.77512341403346</v>
      </c>
      <c r="Y4053" s="41"/>
      <c r="Z4053" s="73"/>
      <c r="AA4053" s="53">
        <f>(AA$29/AA$27)^2*(AA4050-('Valve Sizing'!$V$4*'Valve Sizing'!$G$7))</f>
        <v>-581.25783652856808</v>
      </c>
      <c r="AB4053" s="41"/>
      <c r="AC4053" s="73"/>
      <c r="AD4053" s="53">
        <f>(AD$29/AD$27)^2*(AD4050-('Valve Sizing'!$V$4*'Valve Sizing'!$G$7))</f>
        <v>-1536.6349864669994</v>
      </c>
      <c r="AE4053" s="41"/>
      <c r="AF4053" s="73"/>
      <c r="AG4053" s="53">
        <f>(AG$29/AG$27)^2*(AG4050-('Valve Sizing'!$V$4*'Valve Sizing'!$G$7))</f>
        <v>-3086.1770987252016</v>
      </c>
      <c r="AH4053" s="41"/>
      <c r="AI4053" s="73"/>
      <c r="AJ4053" s="53">
        <f>(AJ$29/AJ$27)^2*(AJ4050-('Valve Sizing'!$V$4*'Valve Sizing'!$G$7))</f>
        <v>-4961.1817745260141</v>
      </c>
      <c r="AK4053" s="41"/>
      <c r="AL4053" s="73"/>
      <c r="AM4053" s="53">
        <f>(AM$29/AM$27)^2*(AM4050-('Valve Sizing'!$V$4*'Valve Sizing'!$G$7))</f>
        <v>-6123.9705127303441</v>
      </c>
      <c r="AN4053" s="41"/>
      <c r="AO4053" s="73"/>
      <c r="AP4053" s="53">
        <f>(AP$29/AP$27)^2*(AP4050-('Valve Sizing'!$V$4*'Valve Sizing'!$G$7))</f>
        <v>-6815.512656480797</v>
      </c>
      <c r="AQ4053" s="41"/>
      <c r="AR4053" s="73"/>
      <c r="AS4053" s="53">
        <f>(AS$29/AS$27)^2*(AS4050-('Valve Sizing'!$V$4*'Valve Sizing'!$G$7))</f>
        <v>-8420.5737844103533</v>
      </c>
      <c r="AT4053" s="41"/>
      <c r="AU4053" s="73"/>
    </row>
    <row r="4054" spans="15:47" ht="13" x14ac:dyDescent="0.25">
      <c r="O4054" s="1" t="s">
        <v>69</v>
      </c>
      <c r="P4054" s="17">
        <v>7</v>
      </c>
      <c r="Q4054" s="65"/>
      <c r="R4054" s="53" t="e">
        <f>(R4048/(N_1*F_P_h))*SQRT('Valve Sizing'!$G$6/R4052)</f>
        <v>#NUM!</v>
      </c>
      <c r="S4054" s="58"/>
      <c r="T4054" s="73"/>
      <c r="U4054" s="64" t="e">
        <f>(U4048/(N_1*U$27))*SQRT('Valve Sizing'!$G$6/U4052)</f>
        <v>#NUM!</v>
      </c>
      <c r="V4054" s="41"/>
      <c r="W4054" s="73"/>
      <c r="X4054" s="64" t="e">
        <f>(X4048/(N_1*X$27))*SQRT('Valve Sizing'!$G$6/X4052)</f>
        <v>#NUM!</v>
      </c>
      <c r="Y4054" s="41"/>
      <c r="Z4054" s="73"/>
      <c r="AA4054" s="64" t="e">
        <f>(AA4048/(N_1*AA$27))*SQRT('Valve Sizing'!$G$6/AA4052)</f>
        <v>#NUM!</v>
      </c>
      <c r="AB4054" s="41"/>
      <c r="AC4054" s="73"/>
      <c r="AD4054" s="64" t="e">
        <f>(AD4048/(N_1*AD$27))*SQRT('Valve Sizing'!$G$6/AD4052)</f>
        <v>#NUM!</v>
      </c>
      <c r="AE4054" s="41"/>
      <c r="AF4054" s="73"/>
      <c r="AG4054" s="64" t="e">
        <f>(AG4048/(N_1*AG$27))*SQRT('Valve Sizing'!$G$6/AG4052)</f>
        <v>#NUM!</v>
      </c>
      <c r="AH4054" s="41"/>
      <c r="AI4054" s="73"/>
      <c r="AJ4054" s="64" t="e">
        <f>(AJ4048/(N_1*AJ$27))*SQRT('Valve Sizing'!$G$6/AJ4052)</f>
        <v>#NUM!</v>
      </c>
      <c r="AK4054" s="41"/>
      <c r="AL4054" s="73"/>
      <c r="AM4054" s="64" t="e">
        <f>(AM4048/(N_1*AM$27))*SQRT('Valve Sizing'!$G$6/AM4052)</f>
        <v>#NUM!</v>
      </c>
      <c r="AN4054" s="41"/>
      <c r="AO4054" s="73"/>
      <c r="AP4054" s="64" t="e">
        <f>(AP4048/(N_1*AP$27))*SQRT('Valve Sizing'!$G$6/AP4052)</f>
        <v>#NUM!</v>
      </c>
      <c r="AQ4054" s="41"/>
      <c r="AR4054" s="73"/>
      <c r="AS4054" s="64" t="e">
        <f>(AS4048/(N_1*AS$27))*SQRT('Valve Sizing'!$G$6/AS4052)</f>
        <v>#NUM!</v>
      </c>
      <c r="AT4054" s="41"/>
      <c r="AU4054" s="73"/>
    </row>
    <row r="4055" spans="15:47" ht="13" x14ac:dyDescent="0.3">
      <c r="O4055" s="1" t="s">
        <v>72</v>
      </c>
      <c r="P4055" s="17">
        <v>7</v>
      </c>
      <c r="Q4055" s="65"/>
      <c r="R4055" s="53">
        <f>(R4048/(N_1*F_P_h))*SQRT('Valve Sizing'!$G$6/R4053)</f>
        <v>307.94050949837219</v>
      </c>
      <c r="S4055" s="56"/>
      <c r="T4055" s="72"/>
      <c r="U4055" s="85">
        <f>(U4048/(N_1*U$27))*SQRT('Valve Sizing'!$G$6/U4053)</f>
        <v>276.95702556595222</v>
      </c>
      <c r="V4055" s="44"/>
      <c r="W4055" s="72"/>
      <c r="X4055" s="85" t="e">
        <f>(X4048/(N_1*X$27))*SQRT('Valve Sizing'!$G$6/X4053)</f>
        <v>#NUM!</v>
      </c>
      <c r="Y4055" s="44"/>
      <c r="Z4055" s="72"/>
      <c r="AA4055" s="85" t="e">
        <f>(AA4048/(N_1*AA$27))*SQRT('Valve Sizing'!$G$6/AA4053)</f>
        <v>#NUM!</v>
      </c>
      <c r="AB4055" s="44"/>
      <c r="AC4055" s="72"/>
      <c r="AD4055" s="85" t="e">
        <f>(AD4048/(N_1*AD$27))*SQRT('Valve Sizing'!$G$6/AD4053)</f>
        <v>#NUM!</v>
      </c>
      <c r="AE4055" s="44"/>
      <c r="AF4055" s="72"/>
      <c r="AG4055" s="85" t="e">
        <f>(AG4048/(N_1*AG$27))*SQRT('Valve Sizing'!$G$6/AG4053)</f>
        <v>#NUM!</v>
      </c>
      <c r="AH4055" s="44"/>
      <c r="AI4055" s="72"/>
      <c r="AJ4055" s="85" t="e">
        <f>(AJ4048/(N_1*AJ$27))*SQRT('Valve Sizing'!$G$6/AJ4053)</f>
        <v>#NUM!</v>
      </c>
      <c r="AK4055" s="44"/>
      <c r="AL4055" s="72"/>
      <c r="AM4055" s="85" t="e">
        <f>(AM4048/(N_1*AM$27))*SQRT('Valve Sizing'!$G$6/AM4053)</f>
        <v>#NUM!</v>
      </c>
      <c r="AN4055" s="44"/>
      <c r="AO4055" s="72"/>
      <c r="AP4055" s="85" t="e">
        <f>(AP4048/(N_1*AP$27))*SQRT('Valve Sizing'!$G$6/AP4053)</f>
        <v>#NUM!</v>
      </c>
      <c r="AQ4055" s="44"/>
      <c r="AR4055" s="72"/>
      <c r="AS4055" s="85" t="e">
        <f>(AS4048/(N_1*AS$27))*SQRT('Valve Sizing'!$G$6/AS4053)</f>
        <v>#NUM!</v>
      </c>
      <c r="AT4055" s="44"/>
      <c r="AU4055" s="72"/>
    </row>
    <row r="4056" spans="15:47" x14ac:dyDescent="0.25">
      <c r="O4056" s="1" t="s">
        <v>246</v>
      </c>
      <c r="P4056" s="18"/>
      <c r="Q4056" s="65"/>
      <c r="R4056" s="53" t="e">
        <f>IF(R4052&lt;R4053,R4054,R4055)</f>
        <v>#NUM!</v>
      </c>
      <c r="S4056" s="49"/>
      <c r="T4056" s="72"/>
      <c r="U4056" s="64" t="e">
        <f>IF(U4052&lt;U4053,U4054,U4055)</f>
        <v>#NUM!</v>
      </c>
      <c r="V4056" s="44"/>
      <c r="W4056" s="72"/>
      <c r="X4056" s="64" t="e">
        <f>IF(X4052&lt;X4053,X4054,X4055)</f>
        <v>#NUM!</v>
      </c>
      <c r="Y4056" s="44"/>
      <c r="Z4056" s="72"/>
      <c r="AA4056" s="64" t="e">
        <f>IF(AA4052&lt;AA4053,AA4054,AA4055)</f>
        <v>#NUM!</v>
      </c>
      <c r="AB4056" s="44"/>
      <c r="AC4056" s="72"/>
      <c r="AD4056" s="64" t="e">
        <f>IF(AD4052&lt;AD4053,AD4054,AD4055)</f>
        <v>#NUM!</v>
      </c>
      <c r="AE4056" s="44"/>
      <c r="AF4056" s="72"/>
      <c r="AG4056" s="64" t="e">
        <f>IF(AG4052&lt;AG4053,AG4054,AG4055)</f>
        <v>#NUM!</v>
      </c>
      <c r="AH4056" s="44"/>
      <c r="AI4056" s="72"/>
      <c r="AJ4056" s="64" t="e">
        <f>IF(AJ4052&lt;AJ4053,AJ4054,AJ4055)</f>
        <v>#NUM!</v>
      </c>
      <c r="AK4056" s="44"/>
      <c r="AL4056" s="72"/>
      <c r="AM4056" s="64" t="e">
        <f>IF(AM4052&lt;AM4053,AM4054,AM4055)</f>
        <v>#NUM!</v>
      </c>
      <c r="AN4056" s="44"/>
      <c r="AO4056" s="72"/>
      <c r="AP4056" s="64" t="e">
        <f>IF(AP4052&lt;AP4053,AP4054,AP4055)</f>
        <v>#NUM!</v>
      </c>
      <c r="AQ4056" s="44"/>
      <c r="AR4056" s="72"/>
      <c r="AS4056" s="64" t="e">
        <f>IF(AS4052&lt;AS4053,AS4054,AS4055)</f>
        <v>#NUM!</v>
      </c>
      <c r="AT4056" s="44"/>
      <c r="AU4056" s="72"/>
    </row>
    <row r="4057" spans="15:47" ht="13" x14ac:dyDescent="0.3">
      <c r="O4057" s="7" t="s">
        <v>264</v>
      </c>
      <c r="Q4057" s="61"/>
      <c r="R4057" s="53"/>
      <c r="S4057" s="69">
        <f>IFERROR(ABS(C_h-R4056),Q_max*10)</f>
        <v>5500</v>
      </c>
      <c r="T4057" s="76">
        <f>R4048</f>
        <v>1101.9266335728635</v>
      </c>
      <c r="U4057" s="61"/>
      <c r="V4057" s="69">
        <f>IFERROR(ABS(U$23-U4056),Q_max*10)</f>
        <v>5500</v>
      </c>
      <c r="W4057" s="75">
        <f>U4048</f>
        <v>1067.6338497278339</v>
      </c>
      <c r="X4057" s="61"/>
      <c r="Y4057" s="69">
        <f>IFERROR(ABS(X$23-X4056),Q_max*10)</f>
        <v>5500</v>
      </c>
      <c r="Z4057" s="75">
        <f>X4048</f>
        <v>2562.732211552122</v>
      </c>
      <c r="AA4057" s="61"/>
      <c r="AB4057" s="69">
        <f>IFERROR(ABS(AA$23-AA4056),Q_max*10)</f>
        <v>5500</v>
      </c>
      <c r="AC4057" s="75">
        <f>AA4048</f>
        <v>4893.1950029025602</v>
      </c>
      <c r="AD4057" s="61"/>
      <c r="AE4057" s="69">
        <f>IFERROR(ABS(AD$23-AD4056),Q_max*10)</f>
        <v>5500</v>
      </c>
      <c r="AF4057" s="75">
        <f>AD4048</f>
        <v>8047.5042122610203</v>
      </c>
      <c r="AG4057" s="61"/>
      <c r="AH4057" s="69">
        <f>IFERROR(ABS(AG$23-AG4056),Q_max*10)</f>
        <v>5500</v>
      </c>
      <c r="AI4057" s="75">
        <f>AG4048</f>
        <v>11981.637167533881</v>
      </c>
      <c r="AJ4057" s="61"/>
      <c r="AK4057" s="69">
        <f>IFERROR(ABS(AJ$23-AJ4056),Q_max*10)</f>
        <v>5500</v>
      </c>
      <c r="AL4057" s="75">
        <f>AJ4048</f>
        <v>15989.541247696015</v>
      </c>
      <c r="AM4057" s="61"/>
      <c r="AN4057" s="69">
        <f>IFERROR(ABS(AM$23-AM4056),Q_max*10)</f>
        <v>5500</v>
      </c>
      <c r="AO4057" s="75">
        <f>AM4048</f>
        <v>19510.278973775876</v>
      </c>
      <c r="AP4057" s="61"/>
      <c r="AQ4057" s="69">
        <f>IFERROR(ABS(AP$23-AP4056),Q_max*10)</f>
        <v>5500</v>
      </c>
      <c r="AR4057" s="75">
        <f>AP4048</f>
        <v>22650.828199161824</v>
      </c>
      <c r="AS4057" s="61"/>
      <c r="AT4057" s="69">
        <f>IFERROR(ABS(AS$23-AS4056),Q_max*10)</f>
        <v>5500</v>
      </c>
      <c r="AU4057" s="75">
        <f>AS4048</f>
        <v>25778.755369714941</v>
      </c>
    </row>
    <row r="4058" spans="15:47" ht="14.5" x14ac:dyDescent="0.35">
      <c r="O4058" s="6"/>
      <c r="P4058" s="6"/>
      <c r="Q4058" s="60"/>
      <c r="R4058" s="67"/>
      <c r="S4058" s="56"/>
      <c r="T4058" s="72"/>
      <c r="V4058" s="11"/>
      <c r="W4058" s="38"/>
      <c r="Y4058" s="11"/>
      <c r="Z4058" s="38"/>
      <c r="AB4058" s="11"/>
      <c r="AC4058" s="38"/>
      <c r="AE4058" s="11"/>
      <c r="AF4058" s="38"/>
      <c r="AH4058" s="11"/>
      <c r="AI4058" s="38"/>
      <c r="AK4058" s="11"/>
      <c r="AL4058" s="38"/>
      <c r="AN4058" s="11"/>
      <c r="AO4058" s="38"/>
      <c r="AQ4058" s="11"/>
      <c r="AR4058" s="38"/>
      <c r="AT4058" s="11"/>
      <c r="AU4058" s="38"/>
    </row>
    <row r="4059" spans="15:47" ht="14" x14ac:dyDescent="0.3">
      <c r="O4059" s="8" t="s">
        <v>235</v>
      </c>
      <c r="P4059" s="6"/>
      <c r="Q4059" s="60"/>
      <c r="R4059" s="53">
        <f>R4048*1.02</f>
        <v>1123.9651662443207</v>
      </c>
      <c r="S4059" s="58" t="s">
        <v>238</v>
      </c>
      <c r="T4059" s="73" t="s">
        <v>241</v>
      </c>
      <c r="U4059" s="84">
        <f>U4048*1.01</f>
        <v>1078.3101882251121</v>
      </c>
      <c r="V4059" s="58" t="s">
        <v>238</v>
      </c>
      <c r="W4059" s="73" t="s">
        <v>241</v>
      </c>
      <c r="X4059" s="84">
        <f>X4048*1.01</f>
        <v>2588.3595336676431</v>
      </c>
      <c r="Y4059" s="58" t="s">
        <v>238</v>
      </c>
      <c r="Z4059" s="73" t="s">
        <v>241</v>
      </c>
      <c r="AA4059" s="84">
        <f>AA4048*1.01</f>
        <v>4942.1269529315859</v>
      </c>
      <c r="AB4059" s="58" t="s">
        <v>238</v>
      </c>
      <c r="AC4059" s="73" t="s">
        <v>241</v>
      </c>
      <c r="AD4059" s="84">
        <f>AD4048*1.01</f>
        <v>8127.9792543836302</v>
      </c>
      <c r="AE4059" s="58" t="s">
        <v>238</v>
      </c>
      <c r="AF4059" s="73" t="s">
        <v>241</v>
      </c>
      <c r="AG4059" s="84">
        <f>AG4048*1.01</f>
        <v>12101.45353920922</v>
      </c>
      <c r="AH4059" s="58" t="s">
        <v>238</v>
      </c>
      <c r="AI4059" s="73" t="s">
        <v>241</v>
      </c>
      <c r="AJ4059" s="84">
        <f>AJ4048*1.01</f>
        <v>16149.436660172976</v>
      </c>
      <c r="AK4059" s="58" t="s">
        <v>238</v>
      </c>
      <c r="AL4059" s="73" t="s">
        <v>241</v>
      </c>
      <c r="AM4059" s="84">
        <f>AM4048*1.01</f>
        <v>19705.381763513633</v>
      </c>
      <c r="AN4059" s="58" t="s">
        <v>238</v>
      </c>
      <c r="AO4059" s="73" t="s">
        <v>241</v>
      </c>
      <c r="AP4059" s="84">
        <f>AP4048*1.01</f>
        <v>22877.336481153441</v>
      </c>
      <c r="AQ4059" s="58" t="s">
        <v>238</v>
      </c>
      <c r="AR4059" s="73" t="s">
        <v>241</v>
      </c>
      <c r="AS4059" s="84">
        <f>AS4048*1.01</f>
        <v>26036.542923412093</v>
      </c>
      <c r="AT4059" s="58" t="s">
        <v>238</v>
      </c>
      <c r="AU4059" s="73" t="s">
        <v>241</v>
      </c>
    </row>
    <row r="4060" spans="15:47" ht="13" x14ac:dyDescent="0.25">
      <c r="O4060" s="6"/>
      <c r="P4060" s="6"/>
      <c r="Q4060" s="60"/>
      <c r="R4060" s="70"/>
      <c r="S4060" s="63" t="s">
        <v>250</v>
      </c>
      <c r="T4060" s="71" t="s">
        <v>242</v>
      </c>
      <c r="U4060" s="61"/>
      <c r="V4060" s="63" t="s">
        <v>250</v>
      </c>
      <c r="W4060" s="71" t="s">
        <v>242</v>
      </c>
      <c r="X4060" s="61"/>
      <c r="Y4060" s="63" t="s">
        <v>250</v>
      </c>
      <c r="Z4060" s="71" t="s">
        <v>242</v>
      </c>
      <c r="AA4060" s="61"/>
      <c r="AB4060" s="63" t="s">
        <v>250</v>
      </c>
      <c r="AC4060" s="71" t="s">
        <v>242</v>
      </c>
      <c r="AD4060" s="61"/>
      <c r="AE4060" s="63" t="s">
        <v>250</v>
      </c>
      <c r="AF4060" s="71" t="s">
        <v>242</v>
      </c>
      <c r="AG4060" s="61"/>
      <c r="AH4060" s="63" t="s">
        <v>250</v>
      </c>
      <c r="AI4060" s="71" t="s">
        <v>242</v>
      </c>
      <c r="AJ4060" s="61"/>
      <c r="AK4060" s="63" t="s">
        <v>250</v>
      </c>
      <c r="AL4060" s="71" t="s">
        <v>242</v>
      </c>
      <c r="AM4060" s="61"/>
      <c r="AN4060" s="63" t="s">
        <v>250</v>
      </c>
      <c r="AO4060" s="71" t="s">
        <v>242</v>
      </c>
      <c r="AP4060" s="61"/>
      <c r="AQ4060" s="63" t="s">
        <v>250</v>
      </c>
      <c r="AR4060" s="71" t="s">
        <v>242</v>
      </c>
      <c r="AS4060" s="61"/>
      <c r="AT4060" s="63" t="s">
        <v>250</v>
      </c>
      <c r="AU4060" s="71" t="s">
        <v>242</v>
      </c>
    </row>
    <row r="4061" spans="15:47" ht="13" x14ac:dyDescent="0.3">
      <c r="O4061" s="6" t="s">
        <v>231</v>
      </c>
      <c r="P4061" s="6"/>
      <c r="Q4061" s="60"/>
      <c r="R4061" s="85">
        <f>P_1_minQ-(R4059^2*R_up)+dpup_minQ</f>
        <v>14.251580718317346</v>
      </c>
      <c r="S4061" s="56"/>
      <c r="T4061" s="72"/>
      <c r="U4061" s="53">
        <f>P_1_minQ-(U4059^2*R_up)+dpup_minQ</f>
        <v>17.647218438700545</v>
      </c>
      <c r="V4061" s="44"/>
      <c r="W4061" s="72"/>
      <c r="X4061" s="53">
        <f>P_1_minQ-(X4059^2*R_up)+dpup_minQ</f>
        <v>-169.34542639406212</v>
      </c>
      <c r="Y4061" s="44"/>
      <c r="Z4061" s="72"/>
      <c r="AA4061" s="53">
        <f>P_1_minQ-(AA4059^2*R_up)+dpup_minQ</f>
        <v>-767.96122319800213</v>
      </c>
      <c r="AB4061" s="44"/>
      <c r="AC4061" s="72"/>
      <c r="AD4061" s="53">
        <f>P_1_minQ-(AD4059^2*R_up)+dpup_minQ</f>
        <v>-2174.223565001374</v>
      </c>
      <c r="AE4061" s="44"/>
      <c r="AF4061" s="72"/>
      <c r="AG4061" s="53">
        <f>P_1_minQ-(AG4059^2*R_up)+dpup_minQ</f>
        <v>-4888.8851996500971</v>
      </c>
      <c r="AH4061" s="44"/>
      <c r="AI4061" s="72"/>
      <c r="AJ4061" s="53">
        <f>P_1_minQ-(AJ4059^2*R_up)+dpup_minQ</f>
        <v>-8751.0644188091483</v>
      </c>
      <c r="AK4061" s="44"/>
      <c r="AL4061" s="72"/>
      <c r="AM4061" s="53">
        <f>P_1_minQ-(AM4059^2*R_up)+dpup_minQ</f>
        <v>-13056.966681722921</v>
      </c>
      <c r="AN4061" s="44"/>
      <c r="AO4061" s="72"/>
      <c r="AP4061" s="53">
        <f>P_1_minQ-(AP4059^2*R_up)+dpup_minQ</f>
        <v>-17618.616598173394</v>
      </c>
      <c r="AQ4061" s="44"/>
      <c r="AR4061" s="72"/>
      <c r="AS4061" s="53">
        <f>P_1_minQ-(AS4059^2*R_up)+dpup_minQ</f>
        <v>-22837.429260475525</v>
      </c>
      <c r="AT4061" s="44"/>
      <c r="AU4061" s="72"/>
    </row>
    <row r="4062" spans="15:47" ht="13" x14ac:dyDescent="0.3">
      <c r="O4062" s="6" t="s">
        <v>233</v>
      </c>
      <c r="P4062" s="6"/>
      <c r="Q4062" s="60"/>
      <c r="R4062" s="85">
        <f>P_2_minQ+(R4059^2*R_dn)-dpdn_minQ</f>
        <v>33.189683856336536</v>
      </c>
      <c r="S4062" s="66"/>
      <c r="T4062" s="74"/>
      <c r="U4062" s="53">
        <f>P_2_minQ+(U4059^2*R_dn)-dpdn_minQ</f>
        <v>32.510556312259894</v>
      </c>
      <c r="V4062" s="45"/>
      <c r="W4062" s="74"/>
      <c r="X4062" s="53">
        <f>P_2_minQ+(X4059^2*R_dn)-dpdn_minQ</f>
        <v>69.909085278812427</v>
      </c>
      <c r="Y4062" s="45"/>
      <c r="Z4062" s="74"/>
      <c r="AA4062" s="53">
        <f>P_2_minQ+(AA4059^2*R_dn)-dpdn_minQ</f>
        <v>189.63224463960043</v>
      </c>
      <c r="AB4062" s="45"/>
      <c r="AC4062" s="74"/>
      <c r="AD4062" s="53">
        <f>P_2_minQ+(AD4059^2*R_dn)-dpdn_minQ</f>
        <v>470.88471300027464</v>
      </c>
      <c r="AE4062" s="45"/>
      <c r="AF4062" s="74"/>
      <c r="AG4062" s="53">
        <f>P_2_minQ+(AG4059^2*R_dn)-dpdn_minQ</f>
        <v>1013.8170399300193</v>
      </c>
      <c r="AH4062" s="45"/>
      <c r="AI4062" s="74"/>
      <c r="AJ4062" s="53">
        <f>P_2_minQ+(AJ4059^2*R_dn)-dpdn_minQ</f>
        <v>1786.2528837618297</v>
      </c>
      <c r="AK4062" s="45"/>
      <c r="AL4062" s="74"/>
      <c r="AM4062" s="53">
        <f>P_2_minQ+(AM4059^2*R_dn)-dpdn_minQ</f>
        <v>2647.4333363445839</v>
      </c>
      <c r="AN4062" s="45"/>
      <c r="AO4062" s="74"/>
      <c r="AP4062" s="53">
        <f>P_2_minQ+(AP4059^2*R_dn)-dpdn_minQ</f>
        <v>3559.7633196346778</v>
      </c>
      <c r="AQ4062" s="45"/>
      <c r="AR4062" s="74"/>
      <c r="AS4062" s="53">
        <f>P_2_minQ+(AS4059^2*R_dn)-dpdn_minQ</f>
        <v>4603.5258520951047</v>
      </c>
      <c r="AT4062" s="45"/>
      <c r="AU4062" s="74"/>
    </row>
    <row r="4063" spans="15:47" x14ac:dyDescent="0.25">
      <c r="O4063" s="6" t="s">
        <v>243</v>
      </c>
      <c r="Q4063" s="60"/>
      <c r="R4063" s="53">
        <f>R4061-R4062</f>
        <v>-18.938103138019191</v>
      </c>
      <c r="S4063" s="56"/>
      <c r="T4063" s="72"/>
      <c r="U4063" s="64">
        <f>U4061-U4062</f>
        <v>-14.863337873559349</v>
      </c>
      <c r="V4063" s="44"/>
      <c r="W4063" s="72"/>
      <c r="X4063" s="64">
        <f>X4061-X4062</f>
        <v>-239.25451167287454</v>
      </c>
      <c r="Y4063" s="44"/>
      <c r="Z4063" s="72"/>
      <c r="AA4063" s="64">
        <f>AA4061-AA4062</f>
        <v>-957.59346783760259</v>
      </c>
      <c r="AB4063" s="44"/>
      <c r="AC4063" s="72"/>
      <c r="AD4063" s="64">
        <f>AD4061-AD4062</f>
        <v>-2645.1082780016486</v>
      </c>
      <c r="AE4063" s="44"/>
      <c r="AF4063" s="72"/>
      <c r="AG4063" s="64">
        <f>AG4061-AG4062</f>
        <v>-5902.7022395801159</v>
      </c>
      <c r="AH4063" s="44"/>
      <c r="AI4063" s="72"/>
      <c r="AJ4063" s="64">
        <f>AJ4061-AJ4062</f>
        <v>-10537.317302570978</v>
      </c>
      <c r="AK4063" s="44"/>
      <c r="AL4063" s="72"/>
      <c r="AM4063" s="64">
        <f>AM4061-AM4062</f>
        <v>-15704.400018067505</v>
      </c>
      <c r="AN4063" s="44"/>
      <c r="AO4063" s="72"/>
      <c r="AP4063" s="64">
        <f>AP4061-AP4062</f>
        <v>-21178.379917808074</v>
      </c>
      <c r="AQ4063" s="44"/>
      <c r="AR4063" s="72"/>
      <c r="AS4063" s="64">
        <f>AS4061-AS4062</f>
        <v>-27440.955112570628</v>
      </c>
      <c r="AT4063" s="44"/>
      <c r="AU4063" s="72"/>
    </row>
    <row r="4064" spans="15:47" ht="13" x14ac:dyDescent="0.3">
      <c r="O4064" s="6" t="s">
        <v>75</v>
      </c>
      <c r="P4064" s="6">
        <v>3</v>
      </c>
      <c r="Q4064" s="65"/>
      <c r="R4064" s="85">
        <f>(F_LP_h/F_P_h)^2*(R4061-('Valve Sizing'!$V$4*'Valve Sizing'!$G$7))</f>
        <v>11.436666050866023</v>
      </c>
      <c r="S4064" s="58"/>
      <c r="T4064" s="73"/>
      <c r="U4064" s="53">
        <f>(U$29/U$27)^2*(U4061-('Valve Sizing'!$V$4*'Valve Sizing'!$G$7))</f>
        <v>14.244548786128913</v>
      </c>
      <c r="V4064" s="41"/>
      <c r="W4064" s="73"/>
      <c r="X4064" s="53">
        <f>(X$29/X$27)^2*(X4061-('Valve Sizing'!$V$4*'Valve Sizing'!$G$7))</f>
        <v>-137.38252969593378</v>
      </c>
      <c r="Y4064" s="41"/>
      <c r="Z4064" s="73"/>
      <c r="AA4064" s="53">
        <f>(AA$29/AA$27)^2*(AA4061-('Valve Sizing'!$V$4*'Valve Sizing'!$G$7))</f>
        <v>-593.81837473833582</v>
      </c>
      <c r="AB4064" s="41"/>
      <c r="AC4064" s="73"/>
      <c r="AD4064" s="53">
        <f>(AD$29/AD$27)^2*(AD4061-('Valve Sizing'!$V$4*'Valve Sizing'!$G$7))</f>
        <v>-1568.3400195129118</v>
      </c>
      <c r="AE4064" s="41"/>
      <c r="AF4064" s="73"/>
      <c r="AG4064" s="53">
        <f>(AG$29/AG$27)^2*(AG4061-('Valve Sizing'!$V$4*'Valve Sizing'!$G$7))</f>
        <v>-3148.9403573430945</v>
      </c>
      <c r="AH4064" s="41"/>
      <c r="AI4064" s="73"/>
      <c r="AJ4064" s="53">
        <f>(AJ$29/AJ$27)^2*(AJ4061-('Valve Sizing'!$V$4*'Valve Sizing'!$G$7))</f>
        <v>-5061.5580696426932</v>
      </c>
      <c r="AK4064" s="41"/>
      <c r="AL4064" s="73"/>
      <c r="AM4064" s="53">
        <f>(AM$29/AM$27)^2*(AM4061-('Valve Sizing'!$V$4*'Valve Sizing'!$G$7))</f>
        <v>-6247.6054669401437</v>
      </c>
      <c r="AN4064" s="41"/>
      <c r="AO4064" s="73"/>
      <c r="AP4064" s="53">
        <f>(AP$29/AP$27)^2*(AP4061-('Valve Sizing'!$V$4*'Valve Sizing'!$G$7))</f>
        <v>-6952.9524291429607</v>
      </c>
      <c r="AQ4064" s="41"/>
      <c r="AR4064" s="73"/>
      <c r="AS4064" s="53">
        <f>(AS$29/AS$27)^2*(AS4061-('Valve Sizing'!$V$4*'Valve Sizing'!$G$7))</f>
        <v>-8590.2543009661204</v>
      </c>
      <c r="AT4064" s="41"/>
      <c r="AU4064" s="73"/>
    </row>
    <row r="4065" spans="15:47" ht="13" x14ac:dyDescent="0.25">
      <c r="O4065" s="1" t="s">
        <v>69</v>
      </c>
      <c r="P4065" s="17">
        <v>7</v>
      </c>
      <c r="Q4065" s="65"/>
      <c r="R4065" s="53" t="e">
        <f>(R4059/(N_1*F_P_h))*SQRT('Valve Sizing'!$G$6/R4063)</f>
        <v>#NUM!</v>
      </c>
      <c r="S4065" s="58"/>
      <c r="T4065" s="73"/>
      <c r="U4065" s="64" t="e">
        <f>(U4059/(N_1*U$27))*SQRT('Valve Sizing'!$G$6/U4063)</f>
        <v>#NUM!</v>
      </c>
      <c r="V4065" s="41"/>
      <c r="W4065" s="73"/>
      <c r="X4065" s="64" t="e">
        <f>(X4059/(N_1*X$27))*SQRT('Valve Sizing'!$G$6/X4063)</f>
        <v>#NUM!</v>
      </c>
      <c r="Y4065" s="41"/>
      <c r="Z4065" s="73"/>
      <c r="AA4065" s="64" t="e">
        <f>(AA4059/(N_1*AA$27))*SQRT('Valve Sizing'!$G$6/AA4063)</f>
        <v>#NUM!</v>
      </c>
      <c r="AB4065" s="41"/>
      <c r="AC4065" s="73"/>
      <c r="AD4065" s="64" t="e">
        <f>(AD4059/(N_1*AD$27))*SQRT('Valve Sizing'!$G$6/AD4063)</f>
        <v>#NUM!</v>
      </c>
      <c r="AE4065" s="41"/>
      <c r="AF4065" s="73"/>
      <c r="AG4065" s="64" t="e">
        <f>(AG4059/(N_1*AG$27))*SQRT('Valve Sizing'!$G$6/AG4063)</f>
        <v>#NUM!</v>
      </c>
      <c r="AH4065" s="41"/>
      <c r="AI4065" s="73"/>
      <c r="AJ4065" s="64" t="e">
        <f>(AJ4059/(N_1*AJ$27))*SQRT('Valve Sizing'!$G$6/AJ4063)</f>
        <v>#NUM!</v>
      </c>
      <c r="AK4065" s="41"/>
      <c r="AL4065" s="73"/>
      <c r="AM4065" s="64" t="e">
        <f>(AM4059/(N_1*AM$27))*SQRT('Valve Sizing'!$G$6/AM4063)</f>
        <v>#NUM!</v>
      </c>
      <c r="AN4065" s="41"/>
      <c r="AO4065" s="73"/>
      <c r="AP4065" s="64" t="e">
        <f>(AP4059/(N_1*AP$27))*SQRT('Valve Sizing'!$G$6/AP4063)</f>
        <v>#NUM!</v>
      </c>
      <c r="AQ4065" s="41"/>
      <c r="AR4065" s="73"/>
      <c r="AS4065" s="64" t="e">
        <f>(AS4059/(N_1*AS$27))*SQRT('Valve Sizing'!$G$6/AS4063)</f>
        <v>#NUM!</v>
      </c>
      <c r="AT4065" s="41"/>
      <c r="AU4065" s="73"/>
    </row>
    <row r="4066" spans="15:47" ht="13" x14ac:dyDescent="0.3">
      <c r="O4066" s="1" t="s">
        <v>72</v>
      </c>
      <c r="P4066" s="17">
        <v>7</v>
      </c>
      <c r="Q4066" s="65"/>
      <c r="R4066" s="53">
        <f>(R4059/(N_1*F_P_h))*SQRT('Valve Sizing'!$G$6/R4064)</f>
        <v>332.40432090417261</v>
      </c>
      <c r="S4066" s="56"/>
      <c r="T4066" s="72"/>
      <c r="U4066" s="85">
        <f>(U4059/(N_1*U$27))*SQRT('Valve Sizing'!$G$6/U4064)</f>
        <v>285.94666157710259</v>
      </c>
      <c r="V4066" s="44"/>
      <c r="W4066" s="72"/>
      <c r="X4066" s="85" t="e">
        <f>(X4059/(N_1*X$27))*SQRT('Valve Sizing'!$G$6/X4064)</f>
        <v>#NUM!</v>
      </c>
      <c r="Y4066" s="44"/>
      <c r="Z4066" s="72"/>
      <c r="AA4066" s="85" t="e">
        <f>(AA4059/(N_1*AA$27))*SQRT('Valve Sizing'!$G$6/AA4064)</f>
        <v>#NUM!</v>
      </c>
      <c r="AB4066" s="44"/>
      <c r="AC4066" s="72"/>
      <c r="AD4066" s="85" t="e">
        <f>(AD4059/(N_1*AD$27))*SQRT('Valve Sizing'!$G$6/AD4064)</f>
        <v>#NUM!</v>
      </c>
      <c r="AE4066" s="44"/>
      <c r="AF4066" s="72"/>
      <c r="AG4066" s="85" t="e">
        <f>(AG4059/(N_1*AG$27))*SQRT('Valve Sizing'!$G$6/AG4064)</f>
        <v>#NUM!</v>
      </c>
      <c r="AH4066" s="44"/>
      <c r="AI4066" s="72"/>
      <c r="AJ4066" s="85" t="e">
        <f>(AJ4059/(N_1*AJ$27))*SQRT('Valve Sizing'!$G$6/AJ4064)</f>
        <v>#NUM!</v>
      </c>
      <c r="AK4066" s="44"/>
      <c r="AL4066" s="72"/>
      <c r="AM4066" s="85" t="e">
        <f>(AM4059/(N_1*AM$27))*SQRT('Valve Sizing'!$G$6/AM4064)</f>
        <v>#NUM!</v>
      </c>
      <c r="AN4066" s="44"/>
      <c r="AO4066" s="72"/>
      <c r="AP4066" s="85" t="e">
        <f>(AP4059/(N_1*AP$27))*SQRT('Valve Sizing'!$G$6/AP4064)</f>
        <v>#NUM!</v>
      </c>
      <c r="AQ4066" s="44"/>
      <c r="AR4066" s="72"/>
      <c r="AS4066" s="85" t="e">
        <f>(AS4059/(N_1*AS$27))*SQRT('Valve Sizing'!$G$6/AS4064)</f>
        <v>#NUM!</v>
      </c>
      <c r="AT4066" s="44"/>
      <c r="AU4066" s="72"/>
    </row>
    <row r="4067" spans="15:47" x14ac:dyDescent="0.25">
      <c r="O4067" s="1" t="s">
        <v>246</v>
      </c>
      <c r="P4067" s="18"/>
      <c r="Q4067" s="65"/>
      <c r="R4067" s="53" t="e">
        <f>IF(R4063&lt;R4064,R4065,R4066)</f>
        <v>#NUM!</v>
      </c>
      <c r="S4067" s="49"/>
      <c r="T4067" s="72"/>
      <c r="U4067" s="64" t="e">
        <f>IF(U4063&lt;U4064,U4065,U4066)</f>
        <v>#NUM!</v>
      </c>
      <c r="V4067" s="44"/>
      <c r="W4067" s="72"/>
      <c r="X4067" s="64" t="e">
        <f>IF(X4063&lt;X4064,X4065,X4066)</f>
        <v>#NUM!</v>
      </c>
      <c r="Y4067" s="44"/>
      <c r="Z4067" s="72"/>
      <c r="AA4067" s="64" t="e">
        <f>IF(AA4063&lt;AA4064,AA4065,AA4066)</f>
        <v>#NUM!</v>
      </c>
      <c r="AB4067" s="44"/>
      <c r="AC4067" s="72"/>
      <c r="AD4067" s="64" t="e">
        <f>IF(AD4063&lt;AD4064,AD4065,AD4066)</f>
        <v>#NUM!</v>
      </c>
      <c r="AE4067" s="44"/>
      <c r="AF4067" s="72"/>
      <c r="AG4067" s="64" t="e">
        <f>IF(AG4063&lt;AG4064,AG4065,AG4066)</f>
        <v>#NUM!</v>
      </c>
      <c r="AH4067" s="44"/>
      <c r="AI4067" s="72"/>
      <c r="AJ4067" s="64" t="e">
        <f>IF(AJ4063&lt;AJ4064,AJ4065,AJ4066)</f>
        <v>#NUM!</v>
      </c>
      <c r="AK4067" s="44"/>
      <c r="AL4067" s="72"/>
      <c r="AM4067" s="64" t="e">
        <f>IF(AM4063&lt;AM4064,AM4065,AM4066)</f>
        <v>#NUM!</v>
      </c>
      <c r="AN4067" s="44"/>
      <c r="AO4067" s="72"/>
      <c r="AP4067" s="64" t="e">
        <f>IF(AP4063&lt;AP4064,AP4065,AP4066)</f>
        <v>#NUM!</v>
      </c>
      <c r="AQ4067" s="44"/>
      <c r="AR4067" s="72"/>
      <c r="AS4067" s="64" t="e">
        <f>IF(AS4063&lt;AS4064,AS4065,AS4066)</f>
        <v>#NUM!</v>
      </c>
      <c r="AT4067" s="44"/>
      <c r="AU4067" s="72"/>
    </row>
    <row r="4068" spans="15:47" ht="13" x14ac:dyDescent="0.3">
      <c r="O4068" s="7" t="s">
        <v>264</v>
      </c>
      <c r="Q4068" s="61"/>
      <c r="R4068" s="53"/>
      <c r="S4068" s="69">
        <f>IFERROR(ABS(C_h-R4067),Q_max*10)</f>
        <v>5500</v>
      </c>
      <c r="T4068" s="76">
        <f>R4059</f>
        <v>1123.9651662443207</v>
      </c>
      <c r="U4068" s="61"/>
      <c r="V4068" s="69">
        <f>IFERROR(ABS(U$23-U4067),Q_max*10)</f>
        <v>5500</v>
      </c>
      <c r="W4068" s="75">
        <f>U4059</f>
        <v>1078.3101882251121</v>
      </c>
      <c r="X4068" s="61"/>
      <c r="Y4068" s="69">
        <f>IFERROR(ABS(X$23-X4067),Q_max*10)</f>
        <v>5500</v>
      </c>
      <c r="Z4068" s="75">
        <f>X4059</f>
        <v>2588.3595336676431</v>
      </c>
      <c r="AA4068" s="61"/>
      <c r="AB4068" s="69">
        <f>IFERROR(ABS(AA$23-AA4067),Q_max*10)</f>
        <v>5500</v>
      </c>
      <c r="AC4068" s="75">
        <f>AA4059</f>
        <v>4942.1269529315859</v>
      </c>
      <c r="AD4068" s="61"/>
      <c r="AE4068" s="69">
        <f>IFERROR(ABS(AD$23-AD4067),Q_max*10)</f>
        <v>5500</v>
      </c>
      <c r="AF4068" s="75">
        <f>AD4059</f>
        <v>8127.9792543836302</v>
      </c>
      <c r="AG4068" s="61"/>
      <c r="AH4068" s="69">
        <f>IFERROR(ABS(AG$23-AG4067),Q_max*10)</f>
        <v>5500</v>
      </c>
      <c r="AI4068" s="75">
        <f>AG4059</f>
        <v>12101.45353920922</v>
      </c>
      <c r="AJ4068" s="61"/>
      <c r="AK4068" s="69">
        <f>IFERROR(ABS(AJ$23-AJ4067),Q_max*10)</f>
        <v>5500</v>
      </c>
      <c r="AL4068" s="75">
        <f>AJ4059</f>
        <v>16149.436660172976</v>
      </c>
      <c r="AM4068" s="61"/>
      <c r="AN4068" s="69">
        <f>IFERROR(ABS(AM$23-AM4067),Q_max*10)</f>
        <v>5500</v>
      </c>
      <c r="AO4068" s="75">
        <f>AM4059</f>
        <v>19705.381763513633</v>
      </c>
      <c r="AP4068" s="61"/>
      <c r="AQ4068" s="69">
        <f>IFERROR(ABS(AP$23-AP4067),Q_max*10)</f>
        <v>5500</v>
      </c>
      <c r="AR4068" s="75">
        <f>AP4059</f>
        <v>22877.336481153441</v>
      </c>
      <c r="AS4068" s="61"/>
      <c r="AT4068" s="69">
        <f>IFERROR(ABS(AS$23-AS4067),Q_max*10)</f>
        <v>5500</v>
      </c>
      <c r="AU4068" s="75">
        <f>AS4059</f>
        <v>26036.542923412093</v>
      </c>
    </row>
    <row r="4069" spans="15:47" ht="14.5" x14ac:dyDescent="0.35">
      <c r="O4069" s="6"/>
      <c r="P4069" s="6"/>
      <c r="Q4069" s="60"/>
      <c r="R4069" s="67"/>
      <c r="S4069" s="56"/>
      <c r="T4069" s="72"/>
      <c r="V4069" s="11"/>
      <c r="W4069" s="38"/>
      <c r="Y4069" s="11"/>
      <c r="Z4069" s="38"/>
      <c r="AB4069" s="11"/>
      <c r="AC4069" s="38"/>
      <c r="AE4069" s="11"/>
      <c r="AF4069" s="38"/>
      <c r="AH4069" s="11"/>
      <c r="AI4069" s="38"/>
      <c r="AK4069" s="11"/>
      <c r="AL4069" s="38"/>
      <c r="AN4069" s="11"/>
      <c r="AO4069" s="38"/>
      <c r="AQ4069" s="11"/>
      <c r="AR4069" s="38"/>
      <c r="AT4069" s="11"/>
      <c r="AU4069" s="38"/>
    </row>
    <row r="4070" spans="15:47" ht="14" x14ac:dyDescent="0.3">
      <c r="O4070" s="8" t="s">
        <v>235</v>
      </c>
      <c r="P4070" s="6"/>
      <c r="Q4070" s="60"/>
      <c r="R4070" s="53">
        <f>R4059*1.02</f>
        <v>1146.4444695692071</v>
      </c>
      <c r="S4070" s="58" t="s">
        <v>238</v>
      </c>
      <c r="T4070" s="73" t="s">
        <v>241</v>
      </c>
      <c r="U4070" s="84">
        <f>U4059*1.01</f>
        <v>1089.0932901073634</v>
      </c>
      <c r="V4070" s="58" t="s">
        <v>238</v>
      </c>
      <c r="W4070" s="73" t="s">
        <v>241</v>
      </c>
      <c r="X4070" s="84">
        <f>X4059*1.01</f>
        <v>2614.2431290043196</v>
      </c>
      <c r="Y4070" s="58" t="s">
        <v>238</v>
      </c>
      <c r="Z4070" s="73" t="s">
        <v>241</v>
      </c>
      <c r="AA4070" s="84">
        <f>AA4059*1.01</f>
        <v>4991.5482224609023</v>
      </c>
      <c r="AB4070" s="58" t="s">
        <v>238</v>
      </c>
      <c r="AC4070" s="73" t="s">
        <v>241</v>
      </c>
      <c r="AD4070" s="84">
        <f>AD4059*1.01</f>
        <v>8209.2590469274674</v>
      </c>
      <c r="AE4070" s="58" t="s">
        <v>238</v>
      </c>
      <c r="AF4070" s="73" t="s">
        <v>241</v>
      </c>
      <c r="AG4070" s="84">
        <f>AG4059*1.01</f>
        <v>12222.468074601313</v>
      </c>
      <c r="AH4070" s="58" t="s">
        <v>238</v>
      </c>
      <c r="AI4070" s="73" t="s">
        <v>241</v>
      </c>
      <c r="AJ4070" s="84">
        <f>AJ4059*1.01</f>
        <v>16310.931026774706</v>
      </c>
      <c r="AK4070" s="58" t="s">
        <v>238</v>
      </c>
      <c r="AL4070" s="73" t="s">
        <v>241</v>
      </c>
      <c r="AM4070" s="84">
        <f>AM4059*1.01</f>
        <v>19902.435581148769</v>
      </c>
      <c r="AN4070" s="58" t="s">
        <v>238</v>
      </c>
      <c r="AO4070" s="73" t="s">
        <v>241</v>
      </c>
      <c r="AP4070" s="84">
        <f>AP4059*1.01</f>
        <v>23106.109845964977</v>
      </c>
      <c r="AQ4070" s="58" t="s">
        <v>238</v>
      </c>
      <c r="AR4070" s="73" t="s">
        <v>241</v>
      </c>
      <c r="AS4070" s="84">
        <f>AS4059*1.01</f>
        <v>26296.908352646213</v>
      </c>
      <c r="AT4070" s="58" t="s">
        <v>238</v>
      </c>
      <c r="AU4070" s="73" t="s">
        <v>241</v>
      </c>
    </row>
    <row r="4071" spans="15:47" ht="13" x14ac:dyDescent="0.25">
      <c r="O4071" s="6"/>
      <c r="P4071" s="6"/>
      <c r="Q4071" s="60"/>
      <c r="R4071" s="70"/>
      <c r="S4071" s="63" t="s">
        <v>250</v>
      </c>
      <c r="T4071" s="71" t="s">
        <v>242</v>
      </c>
      <c r="U4071" s="61"/>
      <c r="V4071" s="63" t="s">
        <v>250</v>
      </c>
      <c r="W4071" s="71" t="s">
        <v>242</v>
      </c>
      <c r="X4071" s="61"/>
      <c r="Y4071" s="63" t="s">
        <v>250</v>
      </c>
      <c r="Z4071" s="71" t="s">
        <v>242</v>
      </c>
      <c r="AA4071" s="61"/>
      <c r="AB4071" s="63" t="s">
        <v>250</v>
      </c>
      <c r="AC4071" s="71" t="s">
        <v>242</v>
      </c>
      <c r="AD4071" s="61"/>
      <c r="AE4071" s="63" t="s">
        <v>250</v>
      </c>
      <c r="AF4071" s="71" t="s">
        <v>242</v>
      </c>
      <c r="AG4071" s="61"/>
      <c r="AH4071" s="63" t="s">
        <v>250</v>
      </c>
      <c r="AI4071" s="71" t="s">
        <v>242</v>
      </c>
      <c r="AJ4071" s="61"/>
      <c r="AK4071" s="63" t="s">
        <v>250</v>
      </c>
      <c r="AL4071" s="71" t="s">
        <v>242</v>
      </c>
      <c r="AM4071" s="61"/>
      <c r="AN4071" s="63" t="s">
        <v>250</v>
      </c>
      <c r="AO4071" s="71" t="s">
        <v>242</v>
      </c>
      <c r="AP4071" s="61"/>
      <c r="AQ4071" s="63" t="s">
        <v>250</v>
      </c>
      <c r="AR4071" s="71" t="s">
        <v>242</v>
      </c>
      <c r="AS4071" s="61"/>
      <c r="AT4071" s="63" t="s">
        <v>250</v>
      </c>
      <c r="AU4071" s="71" t="s">
        <v>242</v>
      </c>
    </row>
    <row r="4072" spans="15:47" ht="13" x14ac:dyDescent="0.3">
      <c r="O4072" s="6" t="s">
        <v>231</v>
      </c>
      <c r="P4072" s="6"/>
      <c r="Q4072" s="60"/>
      <c r="R4072" s="85">
        <f>P_1_minQ-(R4070^2*R_up)+dpup_minQ</f>
        <v>12.527932394264763</v>
      </c>
      <c r="S4072" s="56"/>
      <c r="T4072" s="72"/>
      <c r="U4072" s="53">
        <f>P_1_minQ-(U4070^2*R_up)+dpup_minQ</f>
        <v>16.857913051101601</v>
      </c>
      <c r="V4072" s="44"/>
      <c r="W4072" s="72"/>
      <c r="X4072" s="53">
        <f>P_1_minQ-(X4070^2*R_up)+dpup_minQ</f>
        <v>-173.89328394279957</v>
      </c>
      <c r="Y4072" s="44"/>
      <c r="Z4072" s="72"/>
      <c r="AA4072" s="53">
        <f>P_1_minQ-(AA4070^2*R_up)+dpup_minQ</f>
        <v>-784.5412582624989</v>
      </c>
      <c r="AB4072" s="44"/>
      <c r="AC4072" s="72"/>
      <c r="AD4072" s="53">
        <f>P_1_minQ-(AD4070^2*R_up)+dpup_minQ</f>
        <v>-2219.0694731361186</v>
      </c>
      <c r="AE4072" s="44"/>
      <c r="AF4072" s="72"/>
      <c r="AG4072" s="53">
        <f>P_1_minQ-(AG4070^2*R_up)+dpup_minQ</f>
        <v>-4988.2958066412812</v>
      </c>
      <c r="AH4072" s="44"/>
      <c r="AI4072" s="72"/>
      <c r="AJ4072" s="53">
        <f>P_1_minQ-(AJ4070^2*R_up)+dpup_minQ</f>
        <v>-8928.10482810543</v>
      </c>
      <c r="AK4072" s="44"/>
      <c r="AL4072" s="72"/>
      <c r="AM4072" s="53">
        <f>P_1_minQ-(AM4070^2*R_up)+dpup_minQ</f>
        <v>-13320.55572650377</v>
      </c>
      <c r="AN4072" s="44"/>
      <c r="AO4072" s="72"/>
      <c r="AP4072" s="53">
        <f>P_1_minQ-(AP4070^2*R_up)+dpup_minQ</f>
        <v>-17973.894806274897</v>
      </c>
      <c r="AQ4072" s="44"/>
      <c r="AR4072" s="72"/>
      <c r="AS4072" s="53">
        <f>P_1_minQ-(AS4070^2*R_up)+dpup_minQ</f>
        <v>-23297.605603089301</v>
      </c>
      <c r="AT4072" s="44"/>
      <c r="AU4072" s="72"/>
    </row>
    <row r="4073" spans="15:47" ht="13" x14ac:dyDescent="0.3">
      <c r="O4073" s="6" t="s">
        <v>233</v>
      </c>
      <c r="P4073" s="6"/>
      <c r="Q4073" s="60"/>
      <c r="R4073" s="85">
        <f>P_2_minQ+(R4070^2*R_dn)-dpdn_minQ</f>
        <v>33.534413521147052</v>
      </c>
      <c r="S4073" s="66"/>
      <c r="T4073" s="74"/>
      <c r="U4073" s="53">
        <f>P_2_minQ+(U4070^2*R_dn)-dpdn_minQ</f>
        <v>32.668417389779684</v>
      </c>
      <c r="V4073" s="45"/>
      <c r="W4073" s="74"/>
      <c r="X4073" s="53">
        <f>P_2_minQ+(X4070^2*R_dn)-dpdn_minQ</f>
        <v>70.81865678855992</v>
      </c>
      <c r="Y4073" s="45"/>
      <c r="Z4073" s="74"/>
      <c r="AA4073" s="53">
        <f>P_2_minQ+(AA4070^2*R_dn)-dpdn_minQ</f>
        <v>192.94825165249981</v>
      </c>
      <c r="AB4073" s="45"/>
      <c r="AC4073" s="74"/>
      <c r="AD4073" s="53">
        <f>P_2_minQ+(AD4070^2*R_dn)-dpdn_minQ</f>
        <v>479.85389462722367</v>
      </c>
      <c r="AE4073" s="45"/>
      <c r="AF4073" s="74"/>
      <c r="AG4073" s="53">
        <f>P_2_minQ+(AG4070^2*R_dn)-dpdn_minQ</f>
        <v>1033.6991613282562</v>
      </c>
      <c r="AH4073" s="45"/>
      <c r="AI4073" s="74"/>
      <c r="AJ4073" s="53">
        <f>P_2_minQ+(AJ4070^2*R_dn)-dpdn_minQ</f>
        <v>1821.660965621086</v>
      </c>
      <c r="AK4073" s="45"/>
      <c r="AL4073" s="74"/>
      <c r="AM4073" s="53">
        <f>P_2_minQ+(AM4070^2*R_dn)-dpdn_minQ</f>
        <v>2700.1511453007533</v>
      </c>
      <c r="AN4073" s="45"/>
      <c r="AO4073" s="74"/>
      <c r="AP4073" s="53">
        <f>P_2_minQ+(AP4070^2*R_dn)-dpdn_minQ</f>
        <v>3630.8189612549791</v>
      </c>
      <c r="AQ4073" s="45"/>
      <c r="AR4073" s="74"/>
      <c r="AS4073" s="53">
        <f>P_2_minQ+(AS4070^2*R_dn)-dpdn_minQ</f>
        <v>4695.5611206178601</v>
      </c>
      <c r="AT4073" s="45"/>
      <c r="AU4073" s="74"/>
    </row>
    <row r="4074" spans="15:47" x14ac:dyDescent="0.25">
      <c r="O4074" s="6" t="s">
        <v>243</v>
      </c>
      <c r="Q4074" s="60"/>
      <c r="R4074" s="53">
        <f>R4072-R4073</f>
        <v>-21.006481126882289</v>
      </c>
      <c r="S4074" s="56"/>
      <c r="T4074" s="72"/>
      <c r="U4074" s="64">
        <f>U4072-U4073</f>
        <v>-15.810504338678083</v>
      </c>
      <c r="V4074" s="44"/>
      <c r="W4074" s="72"/>
      <c r="X4074" s="64">
        <f>X4072-X4073</f>
        <v>-244.7119407313595</v>
      </c>
      <c r="Y4074" s="44"/>
      <c r="Z4074" s="72"/>
      <c r="AA4074" s="64">
        <f>AA4072-AA4073</f>
        <v>-977.48950991499873</v>
      </c>
      <c r="AB4074" s="44"/>
      <c r="AC4074" s="72"/>
      <c r="AD4074" s="64">
        <f>AD4072-AD4073</f>
        <v>-2698.9233677633424</v>
      </c>
      <c r="AE4074" s="44"/>
      <c r="AF4074" s="72"/>
      <c r="AG4074" s="64">
        <f>AG4072-AG4073</f>
        <v>-6021.9949679695374</v>
      </c>
      <c r="AH4074" s="44"/>
      <c r="AI4074" s="72"/>
      <c r="AJ4074" s="64">
        <f>AJ4072-AJ4073</f>
        <v>-10749.765793726516</v>
      </c>
      <c r="AK4074" s="44"/>
      <c r="AL4074" s="72"/>
      <c r="AM4074" s="64">
        <f>AM4072-AM4073</f>
        <v>-16020.706871804523</v>
      </c>
      <c r="AN4074" s="44"/>
      <c r="AO4074" s="72"/>
      <c r="AP4074" s="64">
        <f>AP4072-AP4073</f>
        <v>-21604.713767529876</v>
      </c>
      <c r="AQ4074" s="44"/>
      <c r="AR4074" s="72"/>
      <c r="AS4074" s="64">
        <f>AS4072-AS4073</f>
        <v>-27993.16672370716</v>
      </c>
      <c r="AT4074" s="44"/>
      <c r="AU4074" s="72"/>
    </row>
    <row r="4075" spans="15:47" ht="13" x14ac:dyDescent="0.3">
      <c r="O4075" s="6" t="s">
        <v>75</v>
      </c>
      <c r="P4075" s="6">
        <v>3</v>
      </c>
      <c r="Q4075" s="65"/>
      <c r="R4075" s="85">
        <f>(F_LP_h/F_P_h)^2*(R4072-('Valve Sizing'!$V$4*'Valve Sizing'!$G$7))</f>
        <v>10.00939476435564</v>
      </c>
      <c r="S4075" s="58"/>
      <c r="T4075" s="73"/>
      <c r="U4075" s="53">
        <f>(U$29/U$27)^2*(U4072-('Valve Sizing'!$V$4*'Valve Sizing'!$G$7))</f>
        <v>13.591140635228202</v>
      </c>
      <c r="V4075" s="41"/>
      <c r="W4075" s="73"/>
      <c r="X4075" s="53">
        <f>(X$29/X$27)^2*(X4072-('Valve Sizing'!$V$4*'Valve Sizing'!$G$7))</f>
        <v>-141.06244484410033</v>
      </c>
      <c r="Y4075" s="41"/>
      <c r="Z4075" s="73"/>
      <c r="AA4075" s="53">
        <f>(AA$29/AA$27)^2*(AA4072-('Valve Sizing'!$V$4*'Valve Sizing'!$G$7))</f>
        <v>-606.63137976611984</v>
      </c>
      <c r="AB4075" s="41"/>
      <c r="AC4075" s="73"/>
      <c r="AD4075" s="53">
        <f>(AD$29/AD$27)^2*(AD4072-('Valve Sizing'!$V$4*'Valve Sizing'!$G$7))</f>
        <v>-1600.6823237230476</v>
      </c>
      <c r="AE4075" s="41"/>
      <c r="AF4075" s="73"/>
      <c r="AG4075" s="53">
        <f>(AG$29/AG$27)^2*(AG4072-('Valve Sizing'!$V$4*'Valve Sizing'!$G$7))</f>
        <v>-3212.9651574592071</v>
      </c>
      <c r="AH4075" s="41"/>
      <c r="AI4075" s="73"/>
      <c r="AJ4075" s="53">
        <f>(AJ$29/AJ$27)^2*(AJ4072-('Valve Sizing'!$V$4*'Valve Sizing'!$G$7))</f>
        <v>-5163.9519282912197</v>
      </c>
      <c r="AK4075" s="41"/>
      <c r="AL4075" s="73"/>
      <c r="AM4075" s="53">
        <f>(AM$29/AM$27)^2*(AM4072-('Valve Sizing'!$V$4*'Valve Sizing'!$G$7))</f>
        <v>-6373.7254837295613</v>
      </c>
      <c r="AN4075" s="41"/>
      <c r="AO4075" s="73"/>
      <c r="AP4075" s="53">
        <f>(AP$29/AP$27)^2*(AP4072-('Valve Sizing'!$V$4*'Valve Sizing'!$G$7))</f>
        <v>-7093.154741235634</v>
      </c>
      <c r="AQ4075" s="41"/>
      <c r="AR4075" s="73"/>
      <c r="AS4075" s="53">
        <f>(AS$29/AS$27)^2*(AS4072-('Valve Sizing'!$V$4*'Valve Sizing'!$G$7))</f>
        <v>-8763.3453959046565</v>
      </c>
      <c r="AT4075" s="41"/>
      <c r="AU4075" s="73"/>
    </row>
    <row r="4076" spans="15:47" ht="13" x14ac:dyDescent="0.25">
      <c r="O4076" s="1" t="s">
        <v>69</v>
      </c>
      <c r="P4076" s="17">
        <v>7</v>
      </c>
      <c r="Q4076" s="65"/>
      <c r="R4076" s="53" t="e">
        <f>(R4070/(N_1*F_P_h))*SQRT('Valve Sizing'!$G$6/R4074)</f>
        <v>#NUM!</v>
      </c>
      <c r="S4076" s="58"/>
      <c r="T4076" s="73"/>
      <c r="U4076" s="64" t="e">
        <f>(U4070/(N_1*U$27))*SQRT('Valve Sizing'!$G$6/U4074)</f>
        <v>#NUM!</v>
      </c>
      <c r="V4076" s="41"/>
      <c r="W4076" s="73"/>
      <c r="X4076" s="64" t="e">
        <f>(X4070/(N_1*X$27))*SQRT('Valve Sizing'!$G$6/X4074)</f>
        <v>#NUM!</v>
      </c>
      <c r="Y4076" s="41"/>
      <c r="Z4076" s="73"/>
      <c r="AA4076" s="64" t="e">
        <f>(AA4070/(N_1*AA$27))*SQRT('Valve Sizing'!$G$6/AA4074)</f>
        <v>#NUM!</v>
      </c>
      <c r="AB4076" s="41"/>
      <c r="AC4076" s="73"/>
      <c r="AD4076" s="64" t="e">
        <f>(AD4070/(N_1*AD$27))*SQRT('Valve Sizing'!$G$6/AD4074)</f>
        <v>#NUM!</v>
      </c>
      <c r="AE4076" s="41"/>
      <c r="AF4076" s="73"/>
      <c r="AG4076" s="64" t="e">
        <f>(AG4070/(N_1*AG$27))*SQRT('Valve Sizing'!$G$6/AG4074)</f>
        <v>#NUM!</v>
      </c>
      <c r="AH4076" s="41"/>
      <c r="AI4076" s="73"/>
      <c r="AJ4076" s="64" t="e">
        <f>(AJ4070/(N_1*AJ$27))*SQRT('Valve Sizing'!$G$6/AJ4074)</f>
        <v>#NUM!</v>
      </c>
      <c r="AK4076" s="41"/>
      <c r="AL4076" s="73"/>
      <c r="AM4076" s="64" t="e">
        <f>(AM4070/(N_1*AM$27))*SQRT('Valve Sizing'!$G$6/AM4074)</f>
        <v>#NUM!</v>
      </c>
      <c r="AN4076" s="41"/>
      <c r="AO4076" s="73"/>
      <c r="AP4076" s="64" t="e">
        <f>(AP4070/(N_1*AP$27))*SQRT('Valve Sizing'!$G$6/AP4074)</f>
        <v>#NUM!</v>
      </c>
      <c r="AQ4076" s="41"/>
      <c r="AR4076" s="73"/>
      <c r="AS4076" s="64" t="e">
        <f>(AS4070/(N_1*AS$27))*SQRT('Valve Sizing'!$G$6/AS4074)</f>
        <v>#NUM!</v>
      </c>
      <c r="AT4076" s="41"/>
      <c r="AU4076" s="73"/>
    </row>
    <row r="4077" spans="15:47" ht="13" x14ac:dyDescent="0.3">
      <c r="O4077" s="1" t="s">
        <v>72</v>
      </c>
      <c r="P4077" s="17">
        <v>7</v>
      </c>
      <c r="Q4077" s="65"/>
      <c r="R4077" s="53">
        <f>(R4070/(N_1*F_P_h))*SQRT('Valve Sizing'!$G$6/R4075)</f>
        <v>362.42040663510596</v>
      </c>
      <c r="S4077" s="56"/>
      <c r="T4077" s="72"/>
      <c r="U4077" s="85">
        <f>(U4070/(N_1*U$27))*SQRT('Valve Sizing'!$G$6/U4075)</f>
        <v>295.66696246989227</v>
      </c>
      <c r="V4077" s="44"/>
      <c r="W4077" s="72"/>
      <c r="X4077" s="85" t="e">
        <f>(X4070/(N_1*X$27))*SQRT('Valve Sizing'!$G$6/X4075)</f>
        <v>#NUM!</v>
      </c>
      <c r="Y4077" s="44"/>
      <c r="Z4077" s="72"/>
      <c r="AA4077" s="85" t="e">
        <f>(AA4070/(N_1*AA$27))*SQRT('Valve Sizing'!$G$6/AA4075)</f>
        <v>#NUM!</v>
      </c>
      <c r="AB4077" s="44"/>
      <c r="AC4077" s="72"/>
      <c r="AD4077" s="85" t="e">
        <f>(AD4070/(N_1*AD$27))*SQRT('Valve Sizing'!$G$6/AD4075)</f>
        <v>#NUM!</v>
      </c>
      <c r="AE4077" s="44"/>
      <c r="AF4077" s="72"/>
      <c r="AG4077" s="85" t="e">
        <f>(AG4070/(N_1*AG$27))*SQRT('Valve Sizing'!$G$6/AG4075)</f>
        <v>#NUM!</v>
      </c>
      <c r="AH4077" s="44"/>
      <c r="AI4077" s="72"/>
      <c r="AJ4077" s="85" t="e">
        <f>(AJ4070/(N_1*AJ$27))*SQRT('Valve Sizing'!$G$6/AJ4075)</f>
        <v>#NUM!</v>
      </c>
      <c r="AK4077" s="44"/>
      <c r="AL4077" s="72"/>
      <c r="AM4077" s="85" t="e">
        <f>(AM4070/(N_1*AM$27))*SQRT('Valve Sizing'!$G$6/AM4075)</f>
        <v>#NUM!</v>
      </c>
      <c r="AN4077" s="44"/>
      <c r="AO4077" s="72"/>
      <c r="AP4077" s="85" t="e">
        <f>(AP4070/(N_1*AP$27))*SQRT('Valve Sizing'!$G$6/AP4075)</f>
        <v>#NUM!</v>
      </c>
      <c r="AQ4077" s="44"/>
      <c r="AR4077" s="72"/>
      <c r="AS4077" s="85" t="e">
        <f>(AS4070/(N_1*AS$27))*SQRT('Valve Sizing'!$G$6/AS4075)</f>
        <v>#NUM!</v>
      </c>
      <c r="AT4077" s="44"/>
      <c r="AU4077" s="72"/>
    </row>
    <row r="4078" spans="15:47" x14ac:dyDescent="0.25">
      <c r="O4078" s="1" t="s">
        <v>246</v>
      </c>
      <c r="P4078" s="18"/>
      <c r="Q4078" s="65"/>
      <c r="R4078" s="53" t="e">
        <f>IF(R4074&lt;R4075,R4076,R4077)</f>
        <v>#NUM!</v>
      </c>
      <c r="S4078" s="49"/>
      <c r="T4078" s="72"/>
      <c r="U4078" s="64" t="e">
        <f>IF(U4074&lt;U4075,U4076,U4077)</f>
        <v>#NUM!</v>
      </c>
      <c r="V4078" s="44"/>
      <c r="W4078" s="72"/>
      <c r="X4078" s="64" t="e">
        <f>IF(X4074&lt;X4075,X4076,X4077)</f>
        <v>#NUM!</v>
      </c>
      <c r="Y4078" s="44"/>
      <c r="Z4078" s="72"/>
      <c r="AA4078" s="64" t="e">
        <f>IF(AA4074&lt;AA4075,AA4076,AA4077)</f>
        <v>#NUM!</v>
      </c>
      <c r="AB4078" s="44"/>
      <c r="AC4078" s="72"/>
      <c r="AD4078" s="64" t="e">
        <f>IF(AD4074&lt;AD4075,AD4076,AD4077)</f>
        <v>#NUM!</v>
      </c>
      <c r="AE4078" s="44"/>
      <c r="AF4078" s="72"/>
      <c r="AG4078" s="64" t="e">
        <f>IF(AG4074&lt;AG4075,AG4076,AG4077)</f>
        <v>#NUM!</v>
      </c>
      <c r="AH4078" s="44"/>
      <c r="AI4078" s="72"/>
      <c r="AJ4078" s="64" t="e">
        <f>IF(AJ4074&lt;AJ4075,AJ4076,AJ4077)</f>
        <v>#NUM!</v>
      </c>
      <c r="AK4078" s="44"/>
      <c r="AL4078" s="72"/>
      <c r="AM4078" s="64" t="e">
        <f>IF(AM4074&lt;AM4075,AM4076,AM4077)</f>
        <v>#NUM!</v>
      </c>
      <c r="AN4078" s="44"/>
      <c r="AO4078" s="72"/>
      <c r="AP4078" s="64" t="e">
        <f>IF(AP4074&lt;AP4075,AP4076,AP4077)</f>
        <v>#NUM!</v>
      </c>
      <c r="AQ4078" s="44"/>
      <c r="AR4078" s="72"/>
      <c r="AS4078" s="64" t="e">
        <f>IF(AS4074&lt;AS4075,AS4076,AS4077)</f>
        <v>#NUM!</v>
      </c>
      <c r="AT4078" s="44"/>
      <c r="AU4078" s="72"/>
    </row>
    <row r="4079" spans="15:47" ht="13" x14ac:dyDescent="0.3">
      <c r="O4079" s="7" t="s">
        <v>264</v>
      </c>
      <c r="Q4079" s="61"/>
      <c r="R4079" s="53"/>
      <c r="S4079" s="69">
        <f>IFERROR(ABS(C_h-R4078),Q_max*10)</f>
        <v>5500</v>
      </c>
      <c r="T4079" s="76">
        <f>R4070</f>
        <v>1146.4444695692071</v>
      </c>
      <c r="U4079" s="61"/>
      <c r="V4079" s="69">
        <f>IFERROR(ABS(U$23-U4078),Q_max*10)</f>
        <v>5500</v>
      </c>
      <c r="W4079" s="75">
        <f>U4070</f>
        <v>1089.0932901073634</v>
      </c>
      <c r="X4079" s="61"/>
      <c r="Y4079" s="69">
        <f>IFERROR(ABS(X$23-X4078),Q_max*10)</f>
        <v>5500</v>
      </c>
      <c r="Z4079" s="75">
        <f>X4070</f>
        <v>2614.2431290043196</v>
      </c>
      <c r="AA4079" s="61"/>
      <c r="AB4079" s="69">
        <f>IFERROR(ABS(AA$23-AA4078),Q_max*10)</f>
        <v>5500</v>
      </c>
      <c r="AC4079" s="75">
        <f>AA4070</f>
        <v>4991.5482224609023</v>
      </c>
      <c r="AD4079" s="61"/>
      <c r="AE4079" s="69">
        <f>IFERROR(ABS(AD$23-AD4078),Q_max*10)</f>
        <v>5500</v>
      </c>
      <c r="AF4079" s="75">
        <f>AD4070</f>
        <v>8209.2590469274674</v>
      </c>
      <c r="AG4079" s="61"/>
      <c r="AH4079" s="69">
        <f>IFERROR(ABS(AG$23-AG4078),Q_max*10)</f>
        <v>5500</v>
      </c>
      <c r="AI4079" s="75">
        <f>AG4070</f>
        <v>12222.468074601313</v>
      </c>
      <c r="AJ4079" s="61"/>
      <c r="AK4079" s="69">
        <f>IFERROR(ABS(AJ$23-AJ4078),Q_max*10)</f>
        <v>5500</v>
      </c>
      <c r="AL4079" s="75">
        <f>AJ4070</f>
        <v>16310.931026774706</v>
      </c>
      <c r="AM4079" s="61"/>
      <c r="AN4079" s="69">
        <f>IFERROR(ABS(AM$23-AM4078),Q_max*10)</f>
        <v>5500</v>
      </c>
      <c r="AO4079" s="75">
        <f>AM4070</f>
        <v>19902.435581148769</v>
      </c>
      <c r="AP4079" s="61"/>
      <c r="AQ4079" s="69">
        <f>IFERROR(ABS(AP$23-AP4078),Q_max*10)</f>
        <v>5500</v>
      </c>
      <c r="AR4079" s="75">
        <f>AP4070</f>
        <v>23106.109845964977</v>
      </c>
      <c r="AS4079" s="61"/>
      <c r="AT4079" s="69">
        <f>IFERROR(ABS(AS$23-AS4078),Q_max*10)</f>
        <v>5500</v>
      </c>
      <c r="AU4079" s="75">
        <f>AS4070</f>
        <v>26296.908352646213</v>
      </c>
    </row>
    <row r="4080" spans="15:47" ht="14.5" x14ac:dyDescent="0.35">
      <c r="O4080" s="6"/>
      <c r="P4080" s="6"/>
      <c r="Q4080" s="60"/>
      <c r="R4080" s="67"/>
      <c r="S4080" s="58"/>
      <c r="T4080" s="73"/>
      <c r="V4080" s="11"/>
      <c r="W4080" s="38"/>
      <c r="Y4080" s="11"/>
      <c r="Z4080" s="38"/>
      <c r="AB4080" s="11"/>
      <c r="AC4080" s="38"/>
      <c r="AE4080" s="11"/>
      <c r="AF4080" s="38"/>
      <c r="AH4080" s="11"/>
      <c r="AI4080" s="38"/>
      <c r="AK4080" s="11"/>
      <c r="AL4080" s="38"/>
      <c r="AN4080" s="11"/>
      <c r="AO4080" s="38"/>
      <c r="AQ4080" s="11"/>
      <c r="AR4080" s="38"/>
      <c r="AT4080" s="11"/>
      <c r="AU4080" s="38"/>
    </row>
    <row r="4081" spans="15:47" ht="14" x14ac:dyDescent="0.3">
      <c r="O4081" s="8" t="s">
        <v>235</v>
      </c>
      <c r="P4081" s="6"/>
      <c r="Q4081" s="60"/>
      <c r="R4081" s="53">
        <f>R4070*1.02</f>
        <v>1169.3733589605913</v>
      </c>
      <c r="S4081" s="58" t="s">
        <v>238</v>
      </c>
      <c r="T4081" s="73" t="s">
        <v>241</v>
      </c>
      <c r="U4081" s="84">
        <f>U4070*1.01</f>
        <v>1099.9842230084371</v>
      </c>
      <c r="V4081" s="58" t="s">
        <v>238</v>
      </c>
      <c r="W4081" s="73" t="s">
        <v>241</v>
      </c>
      <c r="X4081" s="84">
        <f>X4070*1.01</f>
        <v>2640.3855602943627</v>
      </c>
      <c r="Y4081" s="58" t="s">
        <v>238</v>
      </c>
      <c r="Z4081" s="73" t="s">
        <v>241</v>
      </c>
      <c r="AA4081" s="84">
        <f>AA4070*1.01</f>
        <v>5041.4637046855114</v>
      </c>
      <c r="AB4081" s="58" t="s">
        <v>238</v>
      </c>
      <c r="AC4081" s="73" t="s">
        <v>241</v>
      </c>
      <c r="AD4081" s="84">
        <f>AD4070*1.01</f>
        <v>8291.3516373967414</v>
      </c>
      <c r="AE4081" s="58" t="s">
        <v>238</v>
      </c>
      <c r="AF4081" s="73" t="s">
        <v>241</v>
      </c>
      <c r="AG4081" s="84">
        <f>AG4070*1.01</f>
        <v>12344.692755347325</v>
      </c>
      <c r="AH4081" s="58" t="s">
        <v>238</v>
      </c>
      <c r="AI4081" s="73" t="s">
        <v>241</v>
      </c>
      <c r="AJ4081" s="84">
        <f>AJ4070*1.01</f>
        <v>16474.040337042454</v>
      </c>
      <c r="AK4081" s="58" t="s">
        <v>238</v>
      </c>
      <c r="AL4081" s="73" t="s">
        <v>241</v>
      </c>
      <c r="AM4081" s="84">
        <f>AM4070*1.01</f>
        <v>20101.459936960258</v>
      </c>
      <c r="AN4081" s="58" t="s">
        <v>238</v>
      </c>
      <c r="AO4081" s="73" t="s">
        <v>241</v>
      </c>
      <c r="AP4081" s="84">
        <f>AP4070*1.01</f>
        <v>23337.170944424626</v>
      </c>
      <c r="AQ4081" s="58" t="s">
        <v>238</v>
      </c>
      <c r="AR4081" s="73" t="s">
        <v>241</v>
      </c>
      <c r="AS4081" s="84">
        <f>AS4070*1.01</f>
        <v>26559.877436172676</v>
      </c>
      <c r="AT4081" s="58" t="s">
        <v>238</v>
      </c>
      <c r="AU4081" s="73" t="s">
        <v>241</v>
      </c>
    </row>
    <row r="4082" spans="15:47" ht="13" x14ac:dyDescent="0.25">
      <c r="O4082" s="6"/>
      <c r="P4082" s="6"/>
      <c r="Q4082" s="60"/>
      <c r="R4082" s="70"/>
      <c r="S4082" s="63" t="s">
        <v>250</v>
      </c>
      <c r="T4082" s="71" t="s">
        <v>242</v>
      </c>
      <c r="U4082" s="61"/>
      <c r="V4082" s="63" t="s">
        <v>250</v>
      </c>
      <c r="W4082" s="71" t="s">
        <v>242</v>
      </c>
      <c r="X4082" s="61"/>
      <c r="Y4082" s="63" t="s">
        <v>250</v>
      </c>
      <c r="Z4082" s="71" t="s">
        <v>242</v>
      </c>
      <c r="AA4082" s="61"/>
      <c r="AB4082" s="63" t="s">
        <v>250</v>
      </c>
      <c r="AC4082" s="71" t="s">
        <v>242</v>
      </c>
      <c r="AD4082" s="61"/>
      <c r="AE4082" s="63" t="s">
        <v>250</v>
      </c>
      <c r="AF4082" s="71" t="s">
        <v>242</v>
      </c>
      <c r="AG4082" s="61"/>
      <c r="AH4082" s="63" t="s">
        <v>250</v>
      </c>
      <c r="AI4082" s="71" t="s">
        <v>242</v>
      </c>
      <c r="AJ4082" s="61"/>
      <c r="AK4082" s="63" t="s">
        <v>250</v>
      </c>
      <c r="AL4082" s="71" t="s">
        <v>242</v>
      </c>
      <c r="AM4082" s="61"/>
      <c r="AN4082" s="63" t="s">
        <v>250</v>
      </c>
      <c r="AO4082" s="71" t="s">
        <v>242</v>
      </c>
      <c r="AP4082" s="61"/>
      <c r="AQ4082" s="63" t="s">
        <v>250</v>
      </c>
      <c r="AR4082" s="71" t="s">
        <v>242</v>
      </c>
      <c r="AS4082" s="61"/>
      <c r="AT4082" s="63" t="s">
        <v>250</v>
      </c>
      <c r="AU4082" s="71" t="s">
        <v>242</v>
      </c>
    </row>
    <row r="4083" spans="15:47" ht="13" x14ac:dyDescent="0.3">
      <c r="O4083" s="6" t="s">
        <v>231</v>
      </c>
      <c r="P4083" s="6"/>
      <c r="Q4083" s="60"/>
      <c r="R4083" s="85">
        <f>P_1_minQ-(R4081^2*R_up)+dpup_minQ</f>
        <v>10.734648677920436</v>
      </c>
      <c r="S4083" s="56"/>
      <c r="T4083" s="72"/>
      <c r="U4083" s="53">
        <f>P_1_minQ-(U4081^2*R_up)+dpup_minQ</f>
        <v>16.052742625211916</v>
      </c>
      <c r="V4083" s="44"/>
      <c r="W4083" s="72"/>
      <c r="X4083" s="53">
        <f>P_1_minQ-(X4081^2*R_up)+dpup_minQ</f>
        <v>-178.53255342826665</v>
      </c>
      <c r="Y4083" s="44"/>
      <c r="Z4083" s="72"/>
      <c r="AA4083" s="53">
        <f>P_1_minQ-(AA4081^2*R_up)+dpup_minQ</f>
        <v>-801.45455203179199</v>
      </c>
      <c r="AB4083" s="44"/>
      <c r="AC4083" s="72"/>
      <c r="AD4083" s="53">
        <f>P_1_minQ-(AD4081^2*R_up)+dpup_minQ</f>
        <v>-2264.8167840243714</v>
      </c>
      <c r="AE4083" s="44"/>
      <c r="AF4083" s="72"/>
      <c r="AG4083" s="53">
        <f>P_1_minQ-(AG4081^2*R_up)+dpup_minQ</f>
        <v>-5089.7045668329874</v>
      </c>
      <c r="AH4083" s="44"/>
      <c r="AI4083" s="72"/>
      <c r="AJ4083" s="53">
        <f>P_1_minQ-(AJ4081^2*R_up)+dpup_minQ</f>
        <v>-9108.7037496285666</v>
      </c>
      <c r="AK4083" s="44"/>
      <c r="AL4083" s="72"/>
      <c r="AM4083" s="53">
        <f>P_1_minQ-(AM4081^2*R_up)+dpup_minQ</f>
        <v>-13589.442911084712</v>
      </c>
      <c r="AN4083" s="44"/>
      <c r="AO4083" s="72"/>
      <c r="AP4083" s="53">
        <f>P_1_minQ-(AP4081^2*R_up)+dpup_minQ</f>
        <v>-18336.314106359237</v>
      </c>
      <c r="AQ4083" s="44"/>
      <c r="AR4083" s="72"/>
      <c r="AS4083" s="53">
        <f>P_1_minQ-(AS4081^2*R_up)+dpup_minQ</f>
        <v>-23767.031490189613</v>
      </c>
      <c r="AT4083" s="44"/>
      <c r="AU4083" s="72"/>
    </row>
    <row r="4084" spans="15:47" ht="13" x14ac:dyDescent="0.3">
      <c r="O4084" s="6" t="s">
        <v>233</v>
      </c>
      <c r="P4084" s="6"/>
      <c r="Q4084" s="60"/>
      <c r="R4084" s="85">
        <f>P_2_minQ+(R4081^2*R_dn)-dpdn_minQ</f>
        <v>33.893070264415918</v>
      </c>
      <c r="S4084" s="66"/>
      <c r="T4084" s="74"/>
      <c r="U4084" s="53">
        <f>P_2_minQ+(U4081^2*R_dn)-dpdn_minQ</f>
        <v>32.829451474957622</v>
      </c>
      <c r="V4084" s="45"/>
      <c r="W4084" s="74"/>
      <c r="X4084" s="53">
        <f>P_2_minQ+(X4081^2*R_dn)-dpdn_minQ</f>
        <v>71.746510685653334</v>
      </c>
      <c r="Y4084" s="45"/>
      <c r="Z4084" s="74"/>
      <c r="AA4084" s="53">
        <f>P_2_minQ+(AA4081^2*R_dn)-dpdn_minQ</f>
        <v>196.33091040635841</v>
      </c>
      <c r="AB4084" s="45"/>
      <c r="AC4084" s="74"/>
      <c r="AD4084" s="53">
        <f>P_2_minQ+(AD4081^2*R_dn)-dpdn_minQ</f>
        <v>489.00335680487416</v>
      </c>
      <c r="AE4084" s="45"/>
      <c r="AF4084" s="74"/>
      <c r="AG4084" s="53">
        <f>P_2_minQ+(AG4081^2*R_dn)-dpdn_minQ</f>
        <v>1053.9809133665974</v>
      </c>
      <c r="AH4084" s="45"/>
      <c r="AI4084" s="74"/>
      <c r="AJ4084" s="53">
        <f>P_2_minQ+(AJ4081^2*R_dn)-dpdn_minQ</f>
        <v>1857.7807499257133</v>
      </c>
      <c r="AK4084" s="45"/>
      <c r="AL4084" s="74"/>
      <c r="AM4084" s="53">
        <f>P_2_minQ+(AM4081^2*R_dn)-dpdn_minQ</f>
        <v>2753.9285822169422</v>
      </c>
      <c r="AN4084" s="45"/>
      <c r="AO4084" s="74"/>
      <c r="AP4084" s="53">
        <f>P_2_minQ+(AP4081^2*R_dn)-dpdn_minQ</f>
        <v>3703.3028212718468</v>
      </c>
      <c r="AQ4084" s="45"/>
      <c r="AR4084" s="74"/>
      <c r="AS4084" s="53">
        <f>P_2_minQ+(AS4081^2*R_dn)-dpdn_minQ</f>
        <v>4789.4462980379221</v>
      </c>
      <c r="AT4084" s="45"/>
      <c r="AU4084" s="74"/>
    </row>
    <row r="4085" spans="15:47" x14ac:dyDescent="0.25">
      <c r="O4085" s="6" t="s">
        <v>243</v>
      </c>
      <c r="Q4085" s="60"/>
      <c r="R4085" s="53">
        <f>R4083-R4084</f>
        <v>-23.158421586495482</v>
      </c>
      <c r="S4085" s="56"/>
      <c r="T4085" s="72"/>
      <c r="U4085" s="64">
        <f>U4083-U4084</f>
        <v>-16.776708849745706</v>
      </c>
      <c r="V4085" s="44"/>
      <c r="W4085" s="72"/>
      <c r="X4085" s="64">
        <f>X4083-X4084</f>
        <v>-250.27906411391999</v>
      </c>
      <c r="Y4085" s="44"/>
      <c r="Z4085" s="72"/>
      <c r="AA4085" s="64">
        <f>AA4083-AA4084</f>
        <v>-997.78546243815038</v>
      </c>
      <c r="AB4085" s="44"/>
      <c r="AC4085" s="72"/>
      <c r="AD4085" s="64">
        <f>AD4083-AD4084</f>
        <v>-2753.8201408292457</v>
      </c>
      <c r="AE4085" s="44"/>
      <c r="AF4085" s="72"/>
      <c r="AG4085" s="64">
        <f>AG4083-AG4084</f>
        <v>-6143.6854801995851</v>
      </c>
      <c r="AH4085" s="44"/>
      <c r="AI4085" s="72"/>
      <c r="AJ4085" s="64">
        <f>AJ4083-AJ4084</f>
        <v>-10966.484499554281</v>
      </c>
      <c r="AK4085" s="44"/>
      <c r="AL4085" s="72"/>
      <c r="AM4085" s="64">
        <f>AM4083-AM4084</f>
        <v>-16343.371493301654</v>
      </c>
      <c r="AN4085" s="44"/>
      <c r="AO4085" s="72"/>
      <c r="AP4085" s="64">
        <f>AP4083-AP4084</f>
        <v>-22039.616927631083</v>
      </c>
      <c r="AQ4085" s="44"/>
      <c r="AR4085" s="72"/>
      <c r="AS4085" s="64">
        <f>AS4083-AS4084</f>
        <v>-28556.477788227534</v>
      </c>
      <c r="AT4085" s="44"/>
      <c r="AU4085" s="72"/>
    </row>
    <row r="4086" spans="15:47" ht="13" x14ac:dyDescent="0.3">
      <c r="O4086" s="6" t="s">
        <v>75</v>
      </c>
      <c r="P4086" s="6">
        <v>3</v>
      </c>
      <c r="Q4086" s="65"/>
      <c r="R4086" s="85">
        <f>(F_LP_h/F_P_h)^2*(R4083-('Valve Sizing'!$V$4*'Valve Sizing'!$G$7))</f>
        <v>8.5244617178702207</v>
      </c>
      <c r="S4086" s="58"/>
      <c r="T4086" s="73"/>
      <c r="U4086" s="53">
        <f>(U$29/U$27)^2*(U4083-('Valve Sizing'!$V$4*'Valve Sizing'!$G$7))</f>
        <v>12.924598980494384</v>
      </c>
      <c r="V4086" s="41"/>
      <c r="W4086" s="73"/>
      <c r="X4086" s="53">
        <f>(X$29/X$27)^2*(X4083-('Valve Sizing'!$V$4*'Valve Sizing'!$G$7))</f>
        <v>-144.81632628674498</v>
      </c>
      <c r="Y4086" s="41"/>
      <c r="Z4086" s="73"/>
      <c r="AA4086" s="53">
        <f>(AA$29/AA$27)^2*(AA4083-('Valve Sizing'!$V$4*'Valve Sizing'!$G$7))</f>
        <v>-619.70192619496231</v>
      </c>
      <c r="AB4086" s="41"/>
      <c r="AC4086" s="73"/>
      <c r="AD4086" s="53">
        <f>(AD$29/AD$27)^2*(AD4083-('Valve Sizing'!$V$4*'Valve Sizing'!$G$7))</f>
        <v>-1633.6747082478068</v>
      </c>
      <c r="AE4086" s="41"/>
      <c r="AF4086" s="73"/>
      <c r="AG4086" s="53">
        <f>(AG$29/AG$27)^2*(AG4083-('Valve Sizing'!$V$4*'Valve Sizing'!$G$7))</f>
        <v>-3278.2768560576528</v>
      </c>
      <c r="AH4086" s="41"/>
      <c r="AI4086" s="73"/>
      <c r="AJ4086" s="53">
        <f>(AJ$29/AJ$27)^2*(AJ4083-('Valve Sizing'!$V$4*'Valve Sizing'!$G$7))</f>
        <v>-5268.4039034985799</v>
      </c>
      <c r="AK4086" s="41"/>
      <c r="AL4086" s="73"/>
      <c r="AM4086" s="53">
        <f>(AM$29/AM$27)^2*(AM4083-('Valve Sizing'!$V$4*'Valve Sizing'!$G$7))</f>
        <v>-6502.3805128564463</v>
      </c>
      <c r="AN4086" s="41"/>
      <c r="AO4086" s="73"/>
      <c r="AP4086" s="53">
        <f>(AP$29/AP$27)^2*(AP4083-('Valve Sizing'!$V$4*'Valve Sizing'!$G$7))</f>
        <v>-7236.175119801369</v>
      </c>
      <c r="AQ4086" s="41"/>
      <c r="AR4086" s="73"/>
      <c r="AS4086" s="53">
        <f>(AS$29/AS$27)^2*(AS4083-('Valve Sizing'!$V$4*'Valve Sizing'!$G$7))</f>
        <v>-8939.9156218514581</v>
      </c>
      <c r="AT4086" s="41"/>
      <c r="AU4086" s="73"/>
    </row>
    <row r="4087" spans="15:47" ht="13" x14ac:dyDescent="0.25">
      <c r="O4087" s="1" t="s">
        <v>69</v>
      </c>
      <c r="P4087" s="17">
        <v>7</v>
      </c>
      <c r="Q4087" s="65"/>
      <c r="R4087" s="53" t="e">
        <f>(R4081/(N_1*F_P_h))*SQRT('Valve Sizing'!$G$6/R4085)</f>
        <v>#NUM!</v>
      </c>
      <c r="S4087" s="58"/>
      <c r="T4087" s="73"/>
      <c r="U4087" s="64" t="e">
        <f>(U4081/(N_1*U$27))*SQRT('Valve Sizing'!$G$6/U4085)</f>
        <v>#NUM!</v>
      </c>
      <c r="V4087" s="41"/>
      <c r="W4087" s="73"/>
      <c r="X4087" s="64" t="e">
        <f>(X4081/(N_1*X$27))*SQRT('Valve Sizing'!$G$6/X4085)</f>
        <v>#NUM!</v>
      </c>
      <c r="Y4087" s="41"/>
      <c r="Z4087" s="73"/>
      <c r="AA4087" s="64" t="e">
        <f>(AA4081/(N_1*AA$27))*SQRT('Valve Sizing'!$G$6/AA4085)</f>
        <v>#NUM!</v>
      </c>
      <c r="AB4087" s="41"/>
      <c r="AC4087" s="73"/>
      <c r="AD4087" s="64" t="e">
        <f>(AD4081/(N_1*AD$27))*SQRT('Valve Sizing'!$G$6/AD4085)</f>
        <v>#NUM!</v>
      </c>
      <c r="AE4087" s="41"/>
      <c r="AF4087" s="73"/>
      <c r="AG4087" s="64" t="e">
        <f>(AG4081/(N_1*AG$27))*SQRT('Valve Sizing'!$G$6/AG4085)</f>
        <v>#NUM!</v>
      </c>
      <c r="AH4087" s="41"/>
      <c r="AI4087" s="73"/>
      <c r="AJ4087" s="64" t="e">
        <f>(AJ4081/(N_1*AJ$27))*SQRT('Valve Sizing'!$G$6/AJ4085)</f>
        <v>#NUM!</v>
      </c>
      <c r="AK4087" s="41"/>
      <c r="AL4087" s="73"/>
      <c r="AM4087" s="64" t="e">
        <f>(AM4081/(N_1*AM$27))*SQRT('Valve Sizing'!$G$6/AM4085)</f>
        <v>#NUM!</v>
      </c>
      <c r="AN4087" s="41"/>
      <c r="AO4087" s="73"/>
      <c r="AP4087" s="64" t="e">
        <f>(AP4081/(N_1*AP$27))*SQRT('Valve Sizing'!$G$6/AP4085)</f>
        <v>#NUM!</v>
      </c>
      <c r="AQ4087" s="41"/>
      <c r="AR4087" s="73"/>
      <c r="AS4087" s="64" t="e">
        <f>(AS4081/(N_1*AS$27))*SQRT('Valve Sizing'!$G$6/AS4085)</f>
        <v>#NUM!</v>
      </c>
      <c r="AT4087" s="41"/>
      <c r="AU4087" s="73"/>
    </row>
    <row r="4088" spans="15:47" ht="13" x14ac:dyDescent="0.3">
      <c r="O4088" s="1" t="s">
        <v>72</v>
      </c>
      <c r="P4088" s="17">
        <v>7</v>
      </c>
      <c r="Q4088" s="65"/>
      <c r="R4088" s="53">
        <f>(R4081/(N_1*F_P_h))*SQRT('Valve Sizing'!$G$6/R4086)</f>
        <v>400.57444684457386</v>
      </c>
      <c r="S4088" s="56"/>
      <c r="T4088" s="72"/>
      <c r="U4088" s="85">
        <f>(U4081/(N_1*U$27))*SQRT('Valve Sizing'!$G$6/U4086)</f>
        <v>306.22707644198886</v>
      </c>
      <c r="V4088" s="44"/>
      <c r="W4088" s="72"/>
      <c r="X4088" s="85" t="e">
        <f>(X4081/(N_1*X$27))*SQRT('Valve Sizing'!$G$6/X4086)</f>
        <v>#NUM!</v>
      </c>
      <c r="Y4088" s="44"/>
      <c r="Z4088" s="72"/>
      <c r="AA4088" s="85" t="e">
        <f>(AA4081/(N_1*AA$27))*SQRT('Valve Sizing'!$G$6/AA4086)</f>
        <v>#NUM!</v>
      </c>
      <c r="AB4088" s="44"/>
      <c r="AC4088" s="72"/>
      <c r="AD4088" s="85" t="e">
        <f>(AD4081/(N_1*AD$27))*SQRT('Valve Sizing'!$G$6/AD4086)</f>
        <v>#NUM!</v>
      </c>
      <c r="AE4088" s="44"/>
      <c r="AF4088" s="72"/>
      <c r="AG4088" s="85" t="e">
        <f>(AG4081/(N_1*AG$27))*SQRT('Valve Sizing'!$G$6/AG4086)</f>
        <v>#NUM!</v>
      </c>
      <c r="AH4088" s="44"/>
      <c r="AI4088" s="72"/>
      <c r="AJ4088" s="85" t="e">
        <f>(AJ4081/(N_1*AJ$27))*SQRT('Valve Sizing'!$G$6/AJ4086)</f>
        <v>#NUM!</v>
      </c>
      <c r="AK4088" s="44"/>
      <c r="AL4088" s="72"/>
      <c r="AM4088" s="85" t="e">
        <f>(AM4081/(N_1*AM$27))*SQRT('Valve Sizing'!$G$6/AM4086)</f>
        <v>#NUM!</v>
      </c>
      <c r="AN4088" s="44"/>
      <c r="AO4088" s="72"/>
      <c r="AP4088" s="85" t="e">
        <f>(AP4081/(N_1*AP$27))*SQRT('Valve Sizing'!$G$6/AP4086)</f>
        <v>#NUM!</v>
      </c>
      <c r="AQ4088" s="44"/>
      <c r="AR4088" s="72"/>
      <c r="AS4088" s="85" t="e">
        <f>(AS4081/(N_1*AS$27))*SQRT('Valve Sizing'!$G$6/AS4086)</f>
        <v>#NUM!</v>
      </c>
      <c r="AT4088" s="44"/>
      <c r="AU4088" s="72"/>
    </row>
    <row r="4089" spans="15:47" x14ac:dyDescent="0.25">
      <c r="O4089" s="1" t="s">
        <v>246</v>
      </c>
      <c r="P4089" s="18"/>
      <c r="Q4089" s="65"/>
      <c r="R4089" s="53" t="e">
        <f>IF(R4085&lt;R4086,R4087,R4088)</f>
        <v>#NUM!</v>
      </c>
      <c r="S4089" s="49"/>
      <c r="T4089" s="72"/>
      <c r="U4089" s="64" t="e">
        <f>IF(U4085&lt;U4086,U4087,U4088)</f>
        <v>#NUM!</v>
      </c>
      <c r="V4089" s="44"/>
      <c r="W4089" s="72"/>
      <c r="X4089" s="64" t="e">
        <f>IF(X4085&lt;X4086,X4087,X4088)</f>
        <v>#NUM!</v>
      </c>
      <c r="Y4089" s="44"/>
      <c r="Z4089" s="72"/>
      <c r="AA4089" s="64" t="e">
        <f>IF(AA4085&lt;AA4086,AA4087,AA4088)</f>
        <v>#NUM!</v>
      </c>
      <c r="AB4089" s="44"/>
      <c r="AC4089" s="72"/>
      <c r="AD4089" s="64" t="e">
        <f>IF(AD4085&lt;AD4086,AD4087,AD4088)</f>
        <v>#NUM!</v>
      </c>
      <c r="AE4089" s="44"/>
      <c r="AF4089" s="72"/>
      <c r="AG4089" s="64" t="e">
        <f>IF(AG4085&lt;AG4086,AG4087,AG4088)</f>
        <v>#NUM!</v>
      </c>
      <c r="AH4089" s="44"/>
      <c r="AI4089" s="72"/>
      <c r="AJ4089" s="64" t="e">
        <f>IF(AJ4085&lt;AJ4086,AJ4087,AJ4088)</f>
        <v>#NUM!</v>
      </c>
      <c r="AK4089" s="44"/>
      <c r="AL4089" s="72"/>
      <c r="AM4089" s="64" t="e">
        <f>IF(AM4085&lt;AM4086,AM4087,AM4088)</f>
        <v>#NUM!</v>
      </c>
      <c r="AN4089" s="44"/>
      <c r="AO4089" s="72"/>
      <c r="AP4089" s="64" t="e">
        <f>IF(AP4085&lt;AP4086,AP4087,AP4088)</f>
        <v>#NUM!</v>
      </c>
      <c r="AQ4089" s="44"/>
      <c r="AR4089" s="72"/>
      <c r="AS4089" s="64" t="e">
        <f>IF(AS4085&lt;AS4086,AS4087,AS4088)</f>
        <v>#NUM!</v>
      </c>
      <c r="AT4089" s="44"/>
      <c r="AU4089" s="72"/>
    </row>
    <row r="4090" spans="15:47" ht="13" x14ac:dyDescent="0.3">
      <c r="O4090" s="7" t="s">
        <v>264</v>
      </c>
      <c r="Q4090" s="61"/>
      <c r="R4090" s="53"/>
      <c r="S4090" s="69">
        <f>IFERROR(ABS(C_h-R4089),Q_max*10)</f>
        <v>5500</v>
      </c>
      <c r="T4090" s="76">
        <f>R4081</f>
        <v>1169.3733589605913</v>
      </c>
      <c r="U4090" s="61"/>
      <c r="V4090" s="69">
        <f>IFERROR(ABS(U$23-U4089),Q_max*10)</f>
        <v>5500</v>
      </c>
      <c r="W4090" s="75">
        <f>U4081</f>
        <v>1099.9842230084371</v>
      </c>
      <c r="X4090" s="61"/>
      <c r="Y4090" s="69">
        <f>IFERROR(ABS(X$23-X4089),Q_max*10)</f>
        <v>5500</v>
      </c>
      <c r="Z4090" s="75">
        <f>X4081</f>
        <v>2640.3855602943627</v>
      </c>
      <c r="AA4090" s="61"/>
      <c r="AB4090" s="69">
        <f>IFERROR(ABS(AA$23-AA4089),Q_max*10)</f>
        <v>5500</v>
      </c>
      <c r="AC4090" s="75">
        <f>AA4081</f>
        <v>5041.4637046855114</v>
      </c>
      <c r="AD4090" s="61"/>
      <c r="AE4090" s="69">
        <f>IFERROR(ABS(AD$23-AD4089),Q_max*10)</f>
        <v>5500</v>
      </c>
      <c r="AF4090" s="75">
        <f>AD4081</f>
        <v>8291.3516373967414</v>
      </c>
      <c r="AG4090" s="61"/>
      <c r="AH4090" s="69">
        <f>IFERROR(ABS(AG$23-AG4089),Q_max*10)</f>
        <v>5500</v>
      </c>
      <c r="AI4090" s="75">
        <f>AG4081</f>
        <v>12344.692755347325</v>
      </c>
      <c r="AJ4090" s="61"/>
      <c r="AK4090" s="69">
        <f>IFERROR(ABS(AJ$23-AJ4089),Q_max*10)</f>
        <v>5500</v>
      </c>
      <c r="AL4090" s="75">
        <f>AJ4081</f>
        <v>16474.040337042454</v>
      </c>
      <c r="AM4090" s="61"/>
      <c r="AN4090" s="69">
        <f>IFERROR(ABS(AM$23-AM4089),Q_max*10)</f>
        <v>5500</v>
      </c>
      <c r="AO4090" s="75">
        <f>AM4081</f>
        <v>20101.459936960258</v>
      </c>
      <c r="AP4090" s="61"/>
      <c r="AQ4090" s="69">
        <f>IFERROR(ABS(AP$23-AP4089),Q_max*10)</f>
        <v>5500</v>
      </c>
      <c r="AR4090" s="75">
        <f>AP4081</f>
        <v>23337.170944424626</v>
      </c>
      <c r="AS4090" s="61"/>
      <c r="AT4090" s="69">
        <f>IFERROR(ABS(AS$23-AS4089),Q_max*10)</f>
        <v>5500</v>
      </c>
      <c r="AU4090" s="75">
        <f>AS4081</f>
        <v>26559.877436172676</v>
      </c>
    </row>
    <row r="4091" spans="15:47" ht="14.5" x14ac:dyDescent="0.35">
      <c r="O4091" s="8"/>
      <c r="P4091" s="6"/>
      <c r="Q4091" s="60"/>
      <c r="R4091" s="67"/>
      <c r="S4091" s="56"/>
      <c r="T4091" s="72"/>
      <c r="V4091" s="11"/>
      <c r="W4091" s="38"/>
      <c r="Y4091" s="11"/>
      <c r="Z4091" s="38"/>
      <c r="AB4091" s="11"/>
      <c r="AC4091" s="38"/>
      <c r="AE4091" s="11"/>
      <c r="AF4091" s="38"/>
      <c r="AH4091" s="11"/>
      <c r="AI4091" s="38"/>
      <c r="AK4091" s="11"/>
      <c r="AL4091" s="38"/>
      <c r="AN4091" s="11"/>
      <c r="AO4091" s="38"/>
      <c r="AQ4091" s="11"/>
      <c r="AR4091" s="38"/>
      <c r="AT4091" s="11"/>
      <c r="AU4091" s="38"/>
    </row>
    <row r="4092" spans="15:47" ht="14" x14ac:dyDescent="0.3">
      <c r="O4092" s="8" t="s">
        <v>235</v>
      </c>
      <c r="P4092" s="6"/>
      <c r="Q4092" s="60"/>
      <c r="R4092" s="53">
        <f>R4081*1.02</f>
        <v>1192.7608261398032</v>
      </c>
      <c r="S4092" s="58" t="s">
        <v>238</v>
      </c>
      <c r="T4092" s="73" t="s">
        <v>241</v>
      </c>
      <c r="U4092" s="84">
        <f>U4081*1.01</f>
        <v>1110.9840652385215</v>
      </c>
      <c r="V4092" s="58" t="s">
        <v>238</v>
      </c>
      <c r="W4092" s="73" t="s">
        <v>241</v>
      </c>
      <c r="X4092" s="84">
        <f>X4081*1.01</f>
        <v>2666.7894158973063</v>
      </c>
      <c r="Y4092" s="58" t="s">
        <v>238</v>
      </c>
      <c r="Z4092" s="73" t="s">
        <v>241</v>
      </c>
      <c r="AA4092" s="84">
        <f>AA4081*1.01</f>
        <v>5091.8783417323666</v>
      </c>
      <c r="AB4092" s="58" t="s">
        <v>238</v>
      </c>
      <c r="AC4092" s="73" t="s">
        <v>241</v>
      </c>
      <c r="AD4092" s="84">
        <f>AD4081*1.01</f>
        <v>8374.2651537707097</v>
      </c>
      <c r="AE4092" s="58" t="s">
        <v>238</v>
      </c>
      <c r="AF4092" s="73" t="s">
        <v>241</v>
      </c>
      <c r="AG4092" s="84">
        <f>AG4081*1.01</f>
        <v>12468.139682900799</v>
      </c>
      <c r="AH4092" s="58" t="s">
        <v>238</v>
      </c>
      <c r="AI4092" s="73" t="s">
        <v>241</v>
      </c>
      <c r="AJ4092" s="84">
        <f>AJ4081*1.01</f>
        <v>16638.78074041288</v>
      </c>
      <c r="AK4092" s="58" t="s">
        <v>238</v>
      </c>
      <c r="AL4092" s="73" t="s">
        <v>241</v>
      </c>
      <c r="AM4092" s="84">
        <f>AM4081*1.01</f>
        <v>20302.474536329861</v>
      </c>
      <c r="AN4092" s="58" t="s">
        <v>238</v>
      </c>
      <c r="AO4092" s="73" t="s">
        <v>241</v>
      </c>
      <c r="AP4092" s="84">
        <f>AP4081*1.01</f>
        <v>23570.542653868873</v>
      </c>
      <c r="AQ4092" s="58" t="s">
        <v>238</v>
      </c>
      <c r="AR4092" s="73" t="s">
        <v>241</v>
      </c>
      <c r="AS4092" s="84">
        <f>AS4081*1.01</f>
        <v>26825.476210534402</v>
      </c>
      <c r="AT4092" s="58" t="s">
        <v>238</v>
      </c>
      <c r="AU4092" s="73" t="s">
        <v>241</v>
      </c>
    </row>
    <row r="4093" spans="15:47" ht="13" x14ac:dyDescent="0.25">
      <c r="O4093" s="6"/>
      <c r="P4093" s="6"/>
      <c r="Q4093" s="60"/>
      <c r="R4093" s="70"/>
      <c r="S4093" s="63" t="s">
        <v>250</v>
      </c>
      <c r="T4093" s="71" t="s">
        <v>242</v>
      </c>
      <c r="U4093" s="61"/>
      <c r="V4093" s="63" t="s">
        <v>250</v>
      </c>
      <c r="W4093" s="71" t="s">
        <v>242</v>
      </c>
      <c r="X4093" s="61"/>
      <c r="Y4093" s="63" t="s">
        <v>250</v>
      </c>
      <c r="Z4093" s="71" t="s">
        <v>242</v>
      </c>
      <c r="AA4093" s="61"/>
      <c r="AB4093" s="63" t="s">
        <v>250</v>
      </c>
      <c r="AC4093" s="71" t="s">
        <v>242</v>
      </c>
      <c r="AD4093" s="61"/>
      <c r="AE4093" s="63" t="s">
        <v>250</v>
      </c>
      <c r="AF4093" s="71" t="s">
        <v>242</v>
      </c>
      <c r="AG4093" s="61"/>
      <c r="AH4093" s="63" t="s">
        <v>250</v>
      </c>
      <c r="AI4093" s="71" t="s">
        <v>242</v>
      </c>
      <c r="AJ4093" s="61"/>
      <c r="AK4093" s="63" t="s">
        <v>250</v>
      </c>
      <c r="AL4093" s="71" t="s">
        <v>242</v>
      </c>
      <c r="AM4093" s="61"/>
      <c r="AN4093" s="63" t="s">
        <v>250</v>
      </c>
      <c r="AO4093" s="71" t="s">
        <v>242</v>
      </c>
      <c r="AP4093" s="61"/>
      <c r="AQ4093" s="63" t="s">
        <v>250</v>
      </c>
      <c r="AR4093" s="71" t="s">
        <v>242</v>
      </c>
      <c r="AS4093" s="61"/>
      <c r="AT4093" s="63" t="s">
        <v>250</v>
      </c>
      <c r="AU4093" s="71" t="s">
        <v>242</v>
      </c>
    </row>
    <row r="4094" spans="15:47" ht="13" x14ac:dyDescent="0.3">
      <c r="O4094" s="6" t="s">
        <v>231</v>
      </c>
      <c r="P4094" s="6"/>
      <c r="Q4094" s="60"/>
      <c r="R4094" s="85">
        <f>P_1_minQ-(R4092^2*R_up)+dpup_minQ</f>
        <v>8.8689162994358064</v>
      </c>
      <c r="S4094" s="56"/>
      <c r="T4094" s="72"/>
      <c r="U4094" s="53">
        <f>P_1_minQ-(U4092^2*R_up)+dpup_minQ</f>
        <v>15.231388273761855</v>
      </c>
      <c r="V4094" s="44"/>
      <c r="W4094" s="72"/>
      <c r="X4094" s="53">
        <f>P_1_minQ-(X4092^2*R_up)+dpup_minQ</f>
        <v>-183.26507223039167</v>
      </c>
      <c r="Y4094" s="44"/>
      <c r="Z4094" s="72"/>
      <c r="AA4094" s="53">
        <f>P_1_minQ-(AA4092^2*R_up)+dpup_minQ</f>
        <v>-818.70780300584795</v>
      </c>
      <c r="AB4094" s="44"/>
      <c r="AC4094" s="72"/>
      <c r="AD4094" s="53">
        <f>P_1_minQ-(AD4092^2*R_up)+dpup_minQ</f>
        <v>-2311.4836158614785</v>
      </c>
      <c r="AE4094" s="44"/>
      <c r="AF4094" s="72"/>
      <c r="AG4094" s="53">
        <f>P_1_minQ-(AG4092^2*R_up)+dpup_minQ</f>
        <v>-5193.1516431045475</v>
      </c>
      <c r="AH4094" s="44"/>
      <c r="AI4094" s="72"/>
      <c r="AJ4094" s="53">
        <f>P_1_minQ-(AJ4092^2*R_up)+dpup_minQ</f>
        <v>-9292.9327094743203</v>
      </c>
      <c r="AK4094" s="44"/>
      <c r="AL4094" s="72"/>
      <c r="AM4094" s="53">
        <f>P_1_minQ-(AM4092^2*R_up)+dpup_minQ</f>
        <v>-13863.734728075731</v>
      </c>
      <c r="AN4094" s="44"/>
      <c r="AO4094" s="72"/>
      <c r="AP4094" s="53">
        <f>P_1_minQ-(AP4092^2*R_up)+dpup_minQ</f>
        <v>-18706.01803437528</v>
      </c>
      <c r="AQ4094" s="44"/>
      <c r="AR4094" s="72"/>
      <c r="AS4094" s="53">
        <f>P_1_minQ-(AS4092^2*R_up)+dpup_minQ</f>
        <v>-24245.892837620639</v>
      </c>
      <c r="AT4094" s="44"/>
      <c r="AU4094" s="72"/>
    </row>
    <row r="4095" spans="15:47" ht="13" x14ac:dyDescent="0.3">
      <c r="O4095" s="6" t="s">
        <v>233</v>
      </c>
      <c r="P4095" s="6"/>
      <c r="Q4095" s="60"/>
      <c r="R4095" s="85">
        <f>P_2_minQ+(R4092^2*R_dn)-dpdn_minQ</f>
        <v>34.266216740112846</v>
      </c>
      <c r="S4095" s="66"/>
      <c r="T4095" s="74"/>
      <c r="U4095" s="53">
        <f>P_2_minQ+(U4092^2*R_dn)-dpdn_minQ</f>
        <v>32.993722345247633</v>
      </c>
      <c r="V4095" s="45"/>
      <c r="W4095" s="74"/>
      <c r="X4095" s="53">
        <f>P_2_minQ+(X4092^2*R_dn)-dpdn_minQ</f>
        <v>72.693014446078337</v>
      </c>
      <c r="Y4095" s="45"/>
      <c r="Z4095" s="74"/>
      <c r="AA4095" s="53">
        <f>P_2_minQ+(AA4092^2*R_dn)-dpdn_minQ</f>
        <v>199.78156060116956</v>
      </c>
      <c r="AB4095" s="45"/>
      <c r="AC4095" s="74"/>
      <c r="AD4095" s="53">
        <f>P_2_minQ+(AD4092^2*R_dn)-dpdn_minQ</f>
        <v>498.33672317229559</v>
      </c>
      <c r="AE4095" s="45"/>
      <c r="AF4095" s="74"/>
      <c r="AG4095" s="53">
        <f>P_2_minQ+(AG4092^2*R_dn)-dpdn_minQ</f>
        <v>1074.6703286209095</v>
      </c>
      <c r="AH4095" s="45"/>
      <c r="AI4095" s="74"/>
      <c r="AJ4095" s="53">
        <f>P_2_minQ+(AJ4092^2*R_dn)-dpdn_minQ</f>
        <v>1894.626541894864</v>
      </c>
      <c r="AK4095" s="45"/>
      <c r="AL4095" s="74"/>
      <c r="AM4095" s="53">
        <f>P_2_minQ+(AM4092^2*R_dn)-dpdn_minQ</f>
        <v>2808.7869456151461</v>
      </c>
      <c r="AN4095" s="45"/>
      <c r="AO4095" s="74"/>
      <c r="AP4095" s="53">
        <f>P_2_minQ+(AP4092^2*R_dn)-dpdn_minQ</f>
        <v>3777.2436068750553</v>
      </c>
      <c r="AQ4095" s="45"/>
      <c r="AR4095" s="74"/>
      <c r="AS4095" s="53">
        <f>P_2_minQ+(AS4092^2*R_dn)-dpdn_minQ</f>
        <v>4885.2185675241271</v>
      </c>
      <c r="AT4095" s="45"/>
      <c r="AU4095" s="74"/>
    </row>
    <row r="4096" spans="15:47" x14ac:dyDescent="0.25">
      <c r="O4096" s="6" t="s">
        <v>243</v>
      </c>
      <c r="Q4096" s="60"/>
      <c r="R4096" s="53">
        <f>R4094-R4095</f>
        <v>-25.397300440677039</v>
      </c>
      <c r="S4096" s="56"/>
      <c r="T4096" s="72"/>
      <c r="U4096" s="64">
        <f>U4094-U4095</f>
        <v>-17.762334071485778</v>
      </c>
      <c r="V4096" s="44"/>
      <c r="W4096" s="72"/>
      <c r="X4096" s="64">
        <f>X4094-X4095</f>
        <v>-255.95808667647</v>
      </c>
      <c r="Y4096" s="44"/>
      <c r="Z4096" s="72"/>
      <c r="AA4096" s="64">
        <f>AA4094-AA4095</f>
        <v>-1018.4893636070175</v>
      </c>
      <c r="AB4096" s="44"/>
      <c r="AC4096" s="72"/>
      <c r="AD4096" s="64">
        <f>AD4094-AD4095</f>
        <v>-2809.820339033774</v>
      </c>
      <c r="AE4096" s="44"/>
      <c r="AF4096" s="72"/>
      <c r="AG4096" s="64">
        <f>AG4094-AG4095</f>
        <v>-6267.8219717254569</v>
      </c>
      <c r="AH4096" s="44"/>
      <c r="AI4096" s="72"/>
      <c r="AJ4096" s="64">
        <f>AJ4094-AJ4095</f>
        <v>-11187.559251369184</v>
      </c>
      <c r="AK4096" s="44"/>
      <c r="AL4096" s="72"/>
      <c r="AM4096" s="64">
        <f>AM4094-AM4095</f>
        <v>-16672.521673690877</v>
      </c>
      <c r="AN4096" s="44"/>
      <c r="AO4096" s="72"/>
      <c r="AP4096" s="64">
        <f>AP4094-AP4095</f>
        <v>-22483.261641250334</v>
      </c>
      <c r="AQ4096" s="44"/>
      <c r="AR4096" s="72"/>
      <c r="AS4096" s="64">
        <f>AS4094-AS4095</f>
        <v>-29131.111405144766</v>
      </c>
      <c r="AT4096" s="44"/>
      <c r="AU4096" s="72"/>
    </row>
    <row r="4097" spans="15:47" ht="13" x14ac:dyDescent="0.3">
      <c r="O4097" s="6" t="s">
        <v>75</v>
      </c>
      <c r="P4097" s="6">
        <v>3</v>
      </c>
      <c r="Q4097" s="65"/>
      <c r="R4097" s="85">
        <f>(F_LP_h/F_P_h)^2*(R4094-('Valve Sizing'!$V$4*'Valve Sizing'!$G$7))</f>
        <v>6.979537376306796</v>
      </c>
      <c r="S4097" s="58"/>
      <c r="T4097" s="73"/>
      <c r="U4097" s="53">
        <f>(U$29/U$27)^2*(U4094-('Valve Sizing'!$V$4*'Valve Sizing'!$G$7))</f>
        <v>12.244659838500422</v>
      </c>
      <c r="V4097" s="41"/>
      <c r="W4097" s="73"/>
      <c r="X4097" s="53">
        <f>(X$29/X$27)^2*(X4094-('Valve Sizing'!$V$4*'Valve Sizing'!$G$7))</f>
        <v>-148.64566074638685</v>
      </c>
      <c r="Y4097" s="41"/>
      <c r="Z4097" s="73"/>
      <c r="AA4097" s="53">
        <f>(AA$29/AA$27)^2*(AA4094-('Valve Sizing'!$V$4*'Valve Sizing'!$G$7))</f>
        <v>-633.03519060702456</v>
      </c>
      <c r="AB4097" s="41"/>
      <c r="AC4097" s="73"/>
      <c r="AD4097" s="53">
        <f>(AD$29/AD$27)^2*(AD4094-('Valve Sizing'!$V$4*'Valve Sizing'!$G$7))</f>
        <v>-1667.3302397015141</v>
      </c>
      <c r="AE4097" s="41"/>
      <c r="AF4097" s="73"/>
      <c r="AG4097" s="53">
        <f>(AG$29/AG$27)^2*(AG4094-('Valve Sizing'!$V$4*'Valve Sizing'!$G$7))</f>
        <v>-3344.901319797928</v>
      </c>
      <c r="AH4097" s="41"/>
      <c r="AI4097" s="73"/>
      <c r="AJ4097" s="53">
        <f>(AJ$29/AJ$27)^2*(AJ4094-('Valve Sizing'!$V$4*'Valve Sizing'!$G$7))</f>
        <v>-5374.9553634076101</v>
      </c>
      <c r="AK4097" s="41"/>
      <c r="AL4097" s="73"/>
      <c r="AM4097" s="53">
        <f>(AM$29/AM$27)^2*(AM4094-('Valve Sizing'!$V$4*'Valve Sizing'!$G$7))</f>
        <v>-6633.6215080687807</v>
      </c>
      <c r="AN4097" s="41"/>
      <c r="AO4097" s="73"/>
      <c r="AP4097" s="53">
        <f>(AP$29/AP$27)^2*(AP4094-('Valve Sizing'!$V$4*'Valve Sizing'!$G$7))</f>
        <v>-7382.0702079762777</v>
      </c>
      <c r="AQ4097" s="41"/>
      <c r="AR4097" s="73"/>
      <c r="AS4097" s="53">
        <f>(AS$29/AS$27)^2*(AS4094-('Valve Sizing'!$V$4*'Valve Sizing'!$G$7))</f>
        <v>-9120.034909339789</v>
      </c>
      <c r="AT4097" s="41"/>
      <c r="AU4097" s="73"/>
    </row>
    <row r="4098" spans="15:47" ht="13" x14ac:dyDescent="0.25">
      <c r="O4098" s="1" t="s">
        <v>69</v>
      </c>
      <c r="P4098" s="17">
        <v>7</v>
      </c>
      <c r="Q4098" s="65"/>
      <c r="R4098" s="53" t="e">
        <f>(R4092/(N_1*F_P_h))*SQRT('Valve Sizing'!$G$6/R4096)</f>
        <v>#NUM!</v>
      </c>
      <c r="S4098" s="58"/>
      <c r="T4098" s="73"/>
      <c r="U4098" s="64" t="e">
        <f>(U4092/(N_1*U$27))*SQRT('Valve Sizing'!$G$6/U4096)</f>
        <v>#NUM!</v>
      </c>
      <c r="V4098" s="41"/>
      <c r="W4098" s="73"/>
      <c r="X4098" s="64" t="e">
        <f>(X4092/(N_1*X$27))*SQRT('Valve Sizing'!$G$6/X4096)</f>
        <v>#NUM!</v>
      </c>
      <c r="Y4098" s="41"/>
      <c r="Z4098" s="73"/>
      <c r="AA4098" s="64" t="e">
        <f>(AA4092/(N_1*AA$27))*SQRT('Valve Sizing'!$G$6/AA4096)</f>
        <v>#NUM!</v>
      </c>
      <c r="AB4098" s="41"/>
      <c r="AC4098" s="73"/>
      <c r="AD4098" s="64" t="e">
        <f>(AD4092/(N_1*AD$27))*SQRT('Valve Sizing'!$G$6/AD4096)</f>
        <v>#NUM!</v>
      </c>
      <c r="AE4098" s="41"/>
      <c r="AF4098" s="73"/>
      <c r="AG4098" s="64" t="e">
        <f>(AG4092/(N_1*AG$27))*SQRT('Valve Sizing'!$G$6/AG4096)</f>
        <v>#NUM!</v>
      </c>
      <c r="AH4098" s="41"/>
      <c r="AI4098" s="73"/>
      <c r="AJ4098" s="64" t="e">
        <f>(AJ4092/(N_1*AJ$27))*SQRT('Valve Sizing'!$G$6/AJ4096)</f>
        <v>#NUM!</v>
      </c>
      <c r="AK4098" s="41"/>
      <c r="AL4098" s="73"/>
      <c r="AM4098" s="64" t="e">
        <f>(AM4092/(N_1*AM$27))*SQRT('Valve Sizing'!$G$6/AM4096)</f>
        <v>#NUM!</v>
      </c>
      <c r="AN4098" s="41"/>
      <c r="AO4098" s="73"/>
      <c r="AP4098" s="64" t="e">
        <f>(AP4092/(N_1*AP$27))*SQRT('Valve Sizing'!$G$6/AP4096)</f>
        <v>#NUM!</v>
      </c>
      <c r="AQ4098" s="41"/>
      <c r="AR4098" s="73"/>
      <c r="AS4098" s="64" t="e">
        <f>(AS4092/(N_1*AS$27))*SQRT('Valve Sizing'!$G$6/AS4096)</f>
        <v>#NUM!</v>
      </c>
      <c r="AT4098" s="41"/>
      <c r="AU4098" s="73"/>
    </row>
    <row r="4099" spans="15:47" ht="13" x14ac:dyDescent="0.3">
      <c r="O4099" s="1" t="s">
        <v>72</v>
      </c>
      <c r="P4099" s="17">
        <v>7</v>
      </c>
      <c r="Q4099" s="65"/>
      <c r="R4099" s="53">
        <f>(R4092/(N_1*F_P_h))*SQRT('Valve Sizing'!$G$6/R4097)</f>
        <v>451.54764035109844</v>
      </c>
      <c r="S4099" s="56"/>
      <c r="T4099" s="72"/>
      <c r="U4099" s="85">
        <f>(U4092/(N_1*U$27))*SQRT('Valve Sizing'!$G$6/U4097)</f>
        <v>317.76066667766548</v>
      </c>
      <c r="V4099" s="44"/>
      <c r="W4099" s="72"/>
      <c r="X4099" s="85" t="e">
        <f>(X4092/(N_1*X$27))*SQRT('Valve Sizing'!$G$6/X4097)</f>
        <v>#NUM!</v>
      </c>
      <c r="Y4099" s="44"/>
      <c r="Z4099" s="72"/>
      <c r="AA4099" s="85" t="e">
        <f>(AA4092/(N_1*AA$27))*SQRT('Valve Sizing'!$G$6/AA4097)</f>
        <v>#NUM!</v>
      </c>
      <c r="AB4099" s="44"/>
      <c r="AC4099" s="72"/>
      <c r="AD4099" s="85" t="e">
        <f>(AD4092/(N_1*AD$27))*SQRT('Valve Sizing'!$G$6/AD4097)</f>
        <v>#NUM!</v>
      </c>
      <c r="AE4099" s="44"/>
      <c r="AF4099" s="72"/>
      <c r="AG4099" s="85" t="e">
        <f>(AG4092/(N_1*AG$27))*SQRT('Valve Sizing'!$G$6/AG4097)</f>
        <v>#NUM!</v>
      </c>
      <c r="AH4099" s="44"/>
      <c r="AI4099" s="72"/>
      <c r="AJ4099" s="85" t="e">
        <f>(AJ4092/(N_1*AJ$27))*SQRT('Valve Sizing'!$G$6/AJ4097)</f>
        <v>#NUM!</v>
      </c>
      <c r="AK4099" s="44"/>
      <c r="AL4099" s="72"/>
      <c r="AM4099" s="85" t="e">
        <f>(AM4092/(N_1*AM$27))*SQRT('Valve Sizing'!$G$6/AM4097)</f>
        <v>#NUM!</v>
      </c>
      <c r="AN4099" s="44"/>
      <c r="AO4099" s="72"/>
      <c r="AP4099" s="85" t="e">
        <f>(AP4092/(N_1*AP$27))*SQRT('Valve Sizing'!$G$6/AP4097)</f>
        <v>#NUM!</v>
      </c>
      <c r="AQ4099" s="44"/>
      <c r="AR4099" s="72"/>
      <c r="AS4099" s="85" t="e">
        <f>(AS4092/(N_1*AS$27))*SQRT('Valve Sizing'!$G$6/AS4097)</f>
        <v>#NUM!</v>
      </c>
      <c r="AT4099" s="44"/>
      <c r="AU4099" s="72"/>
    </row>
    <row r="4100" spans="15:47" x14ac:dyDescent="0.25">
      <c r="O4100" s="1" t="s">
        <v>246</v>
      </c>
      <c r="P4100" s="18"/>
      <c r="Q4100" s="65"/>
      <c r="R4100" s="53" t="e">
        <f>IF(R4096&lt;R4097,R4098,R4099)</f>
        <v>#NUM!</v>
      </c>
      <c r="S4100" s="49"/>
      <c r="T4100" s="72"/>
      <c r="U4100" s="64" t="e">
        <f>IF(U4096&lt;U4097,U4098,U4099)</f>
        <v>#NUM!</v>
      </c>
      <c r="V4100" s="44"/>
      <c r="W4100" s="72"/>
      <c r="X4100" s="64" t="e">
        <f>IF(X4096&lt;X4097,X4098,X4099)</f>
        <v>#NUM!</v>
      </c>
      <c r="Y4100" s="44"/>
      <c r="Z4100" s="72"/>
      <c r="AA4100" s="64" t="e">
        <f>IF(AA4096&lt;AA4097,AA4098,AA4099)</f>
        <v>#NUM!</v>
      </c>
      <c r="AB4100" s="44"/>
      <c r="AC4100" s="72"/>
      <c r="AD4100" s="64" t="e">
        <f>IF(AD4096&lt;AD4097,AD4098,AD4099)</f>
        <v>#NUM!</v>
      </c>
      <c r="AE4100" s="44"/>
      <c r="AF4100" s="72"/>
      <c r="AG4100" s="64" t="e">
        <f>IF(AG4096&lt;AG4097,AG4098,AG4099)</f>
        <v>#NUM!</v>
      </c>
      <c r="AH4100" s="44"/>
      <c r="AI4100" s="72"/>
      <c r="AJ4100" s="64" t="e">
        <f>IF(AJ4096&lt;AJ4097,AJ4098,AJ4099)</f>
        <v>#NUM!</v>
      </c>
      <c r="AK4100" s="44"/>
      <c r="AL4100" s="72"/>
      <c r="AM4100" s="64" t="e">
        <f>IF(AM4096&lt;AM4097,AM4098,AM4099)</f>
        <v>#NUM!</v>
      </c>
      <c r="AN4100" s="44"/>
      <c r="AO4100" s="72"/>
      <c r="AP4100" s="64" t="e">
        <f>IF(AP4096&lt;AP4097,AP4098,AP4099)</f>
        <v>#NUM!</v>
      </c>
      <c r="AQ4100" s="44"/>
      <c r="AR4100" s="72"/>
      <c r="AS4100" s="64" t="e">
        <f>IF(AS4096&lt;AS4097,AS4098,AS4099)</f>
        <v>#NUM!</v>
      </c>
      <c r="AT4100" s="44"/>
      <c r="AU4100" s="72"/>
    </row>
    <row r="4101" spans="15:47" ht="13" x14ac:dyDescent="0.3">
      <c r="O4101" s="7" t="s">
        <v>264</v>
      </c>
      <c r="Q4101" s="61"/>
      <c r="R4101" s="53"/>
      <c r="S4101" s="69">
        <f>IFERROR(ABS(C_h-R4100),Q_max*10)</f>
        <v>5500</v>
      </c>
      <c r="T4101" s="76">
        <f>R4092</f>
        <v>1192.7608261398032</v>
      </c>
      <c r="U4101" s="61"/>
      <c r="V4101" s="69">
        <f>IFERROR(ABS(U$23-U4100),Q_max*10)</f>
        <v>5500</v>
      </c>
      <c r="W4101" s="75">
        <f>U4092</f>
        <v>1110.9840652385215</v>
      </c>
      <c r="X4101" s="61"/>
      <c r="Y4101" s="69">
        <f>IFERROR(ABS(X$23-X4100),Q_max*10)</f>
        <v>5500</v>
      </c>
      <c r="Z4101" s="75">
        <f>X4092</f>
        <v>2666.7894158973063</v>
      </c>
      <c r="AA4101" s="61"/>
      <c r="AB4101" s="69">
        <f>IFERROR(ABS(AA$23-AA4100),Q_max*10)</f>
        <v>5500</v>
      </c>
      <c r="AC4101" s="75">
        <f>AA4092</f>
        <v>5091.8783417323666</v>
      </c>
      <c r="AD4101" s="61"/>
      <c r="AE4101" s="69">
        <f>IFERROR(ABS(AD$23-AD4100),Q_max*10)</f>
        <v>5500</v>
      </c>
      <c r="AF4101" s="75">
        <f>AD4092</f>
        <v>8374.2651537707097</v>
      </c>
      <c r="AG4101" s="61"/>
      <c r="AH4101" s="69">
        <f>IFERROR(ABS(AG$23-AG4100),Q_max*10)</f>
        <v>5500</v>
      </c>
      <c r="AI4101" s="75">
        <f>AG4092</f>
        <v>12468.139682900799</v>
      </c>
      <c r="AJ4101" s="61"/>
      <c r="AK4101" s="69">
        <f>IFERROR(ABS(AJ$23-AJ4100),Q_max*10)</f>
        <v>5500</v>
      </c>
      <c r="AL4101" s="75">
        <f>AJ4092</f>
        <v>16638.78074041288</v>
      </c>
      <c r="AM4101" s="61"/>
      <c r="AN4101" s="69">
        <f>IFERROR(ABS(AM$23-AM4100),Q_max*10)</f>
        <v>5500</v>
      </c>
      <c r="AO4101" s="75">
        <f>AM4092</f>
        <v>20302.474536329861</v>
      </c>
      <c r="AP4101" s="61"/>
      <c r="AQ4101" s="69">
        <f>IFERROR(ABS(AP$23-AP4100),Q_max*10)</f>
        <v>5500</v>
      </c>
      <c r="AR4101" s="75">
        <f>AP4092</f>
        <v>23570.542653868873</v>
      </c>
      <c r="AS4101" s="61"/>
      <c r="AT4101" s="69">
        <f>IFERROR(ABS(AS$23-AS4100),Q_max*10)</f>
        <v>5500</v>
      </c>
      <c r="AU4101" s="75">
        <f>AS4092</f>
        <v>26825.476210534402</v>
      </c>
    </row>
    <row r="4102" spans="15:47" ht="14.5" x14ac:dyDescent="0.35">
      <c r="O4102" s="6"/>
      <c r="P4102" s="6"/>
      <c r="Q4102" s="60"/>
      <c r="R4102" s="67"/>
      <c r="S4102" s="66"/>
      <c r="T4102" s="74"/>
      <c r="V4102" s="11"/>
      <c r="W4102" s="38"/>
      <c r="Y4102" s="11"/>
      <c r="Z4102" s="38"/>
      <c r="AB4102" s="11"/>
      <c r="AC4102" s="38"/>
      <c r="AE4102" s="11"/>
      <c r="AF4102" s="38"/>
      <c r="AH4102" s="11"/>
      <c r="AI4102" s="38"/>
      <c r="AK4102" s="11"/>
      <c r="AL4102" s="38"/>
      <c r="AN4102" s="11"/>
      <c r="AO4102" s="38"/>
      <c r="AQ4102" s="11"/>
      <c r="AR4102" s="38"/>
      <c r="AT4102" s="11"/>
      <c r="AU4102" s="38"/>
    </row>
    <row r="4103" spans="15:47" ht="14" x14ac:dyDescent="0.3">
      <c r="O4103" s="8" t="s">
        <v>235</v>
      </c>
      <c r="P4103" s="6"/>
      <c r="Q4103" s="60"/>
      <c r="R4103" s="53">
        <f>R4092*1.02</f>
        <v>1216.6160426625993</v>
      </c>
      <c r="S4103" s="58" t="s">
        <v>238</v>
      </c>
      <c r="T4103" s="73" t="s">
        <v>241</v>
      </c>
      <c r="U4103" s="84">
        <f>U4092*1.01</f>
        <v>1122.0939058909066</v>
      </c>
      <c r="V4103" s="58" t="s">
        <v>238</v>
      </c>
      <c r="W4103" s="73" t="s">
        <v>241</v>
      </c>
      <c r="X4103" s="84">
        <f>X4092*1.01</f>
        <v>2693.4573100562793</v>
      </c>
      <c r="Y4103" s="58" t="s">
        <v>238</v>
      </c>
      <c r="Z4103" s="73" t="s">
        <v>241</v>
      </c>
      <c r="AA4103" s="84">
        <f>AA4092*1.01</f>
        <v>5142.7971251496901</v>
      </c>
      <c r="AB4103" s="58" t="s">
        <v>238</v>
      </c>
      <c r="AC4103" s="73" t="s">
        <v>241</v>
      </c>
      <c r="AD4103" s="84">
        <f>AD4092*1.01</f>
        <v>8458.0078053084162</v>
      </c>
      <c r="AE4103" s="58" t="s">
        <v>238</v>
      </c>
      <c r="AF4103" s="73" t="s">
        <v>241</v>
      </c>
      <c r="AG4103" s="84">
        <f>AG4092*1.01</f>
        <v>12592.821079729807</v>
      </c>
      <c r="AH4103" s="58" t="s">
        <v>238</v>
      </c>
      <c r="AI4103" s="73" t="s">
        <v>241</v>
      </c>
      <c r="AJ4103" s="84">
        <f>AJ4092*1.01</f>
        <v>16805.168547817007</v>
      </c>
      <c r="AK4103" s="58" t="s">
        <v>238</v>
      </c>
      <c r="AL4103" s="73" t="s">
        <v>241</v>
      </c>
      <c r="AM4103" s="84">
        <f>AM4092*1.01</f>
        <v>20505.499281693159</v>
      </c>
      <c r="AN4103" s="58" t="s">
        <v>238</v>
      </c>
      <c r="AO4103" s="73" t="s">
        <v>241</v>
      </c>
      <c r="AP4103" s="84">
        <f>AP4092*1.01</f>
        <v>23806.248080407564</v>
      </c>
      <c r="AQ4103" s="58" t="s">
        <v>238</v>
      </c>
      <c r="AR4103" s="73" t="s">
        <v>241</v>
      </c>
      <c r="AS4103" s="84">
        <f>AS4092*1.01</f>
        <v>27093.730972639747</v>
      </c>
      <c r="AT4103" s="58" t="s">
        <v>238</v>
      </c>
      <c r="AU4103" s="73" t="s">
        <v>241</v>
      </c>
    </row>
    <row r="4104" spans="15:47" ht="13" x14ac:dyDescent="0.25">
      <c r="O4104" s="6"/>
      <c r="P4104" s="6"/>
      <c r="Q4104" s="60"/>
      <c r="R4104" s="70"/>
      <c r="S4104" s="63" t="s">
        <v>250</v>
      </c>
      <c r="T4104" s="71" t="s">
        <v>242</v>
      </c>
      <c r="U4104" s="61"/>
      <c r="V4104" s="63" t="s">
        <v>250</v>
      </c>
      <c r="W4104" s="71" t="s">
        <v>242</v>
      </c>
      <c r="X4104" s="61"/>
      <c r="Y4104" s="63" t="s">
        <v>250</v>
      </c>
      <c r="Z4104" s="71" t="s">
        <v>242</v>
      </c>
      <c r="AA4104" s="61"/>
      <c r="AB4104" s="63" t="s">
        <v>250</v>
      </c>
      <c r="AC4104" s="71" t="s">
        <v>242</v>
      </c>
      <c r="AD4104" s="61"/>
      <c r="AE4104" s="63" t="s">
        <v>250</v>
      </c>
      <c r="AF4104" s="71" t="s">
        <v>242</v>
      </c>
      <c r="AG4104" s="61"/>
      <c r="AH4104" s="63" t="s">
        <v>250</v>
      </c>
      <c r="AI4104" s="71" t="s">
        <v>242</v>
      </c>
      <c r="AJ4104" s="61"/>
      <c r="AK4104" s="63" t="s">
        <v>250</v>
      </c>
      <c r="AL4104" s="71" t="s">
        <v>242</v>
      </c>
      <c r="AM4104" s="61"/>
      <c r="AN4104" s="63" t="s">
        <v>250</v>
      </c>
      <c r="AO4104" s="71" t="s">
        <v>242</v>
      </c>
      <c r="AP4104" s="61"/>
      <c r="AQ4104" s="63" t="s">
        <v>250</v>
      </c>
      <c r="AR4104" s="71" t="s">
        <v>242</v>
      </c>
      <c r="AS4104" s="61"/>
      <c r="AT4104" s="63" t="s">
        <v>250</v>
      </c>
      <c r="AU4104" s="71" t="s">
        <v>242</v>
      </c>
    </row>
    <row r="4105" spans="15:47" ht="13" x14ac:dyDescent="0.3">
      <c r="O4105" s="6" t="s">
        <v>231</v>
      </c>
      <c r="P4105" s="6"/>
      <c r="Q4105" s="60"/>
      <c r="R4105" s="85">
        <f>P_1_minQ-(R4103^2*R_up)+dpup_minQ</f>
        <v>6.9278083328603968</v>
      </c>
      <c r="S4105" s="56"/>
      <c r="T4105" s="72"/>
      <c r="U4105" s="53">
        <f>P_1_minQ-(U4103^2*R_up)+dpup_minQ</f>
        <v>14.393524699847664</v>
      </c>
      <c r="V4105" s="44"/>
      <c r="W4105" s="72"/>
      <c r="X4105" s="53">
        <f>P_1_minQ-(X4103^2*R_up)+dpup_minQ</f>
        <v>-188.09271466043933</v>
      </c>
      <c r="Y4105" s="44"/>
      <c r="Z4105" s="72"/>
      <c r="AA4105" s="53">
        <f>P_1_minQ-(AA4103^2*R_up)+dpup_minQ</f>
        <v>-836.30784432448218</v>
      </c>
      <c r="AB4105" s="44"/>
      <c r="AC4105" s="72"/>
      <c r="AD4105" s="53">
        <f>P_1_minQ-(AD4103^2*R_up)+dpup_minQ</f>
        <v>-2359.0884510185106</v>
      </c>
      <c r="AE4105" s="44"/>
      <c r="AF4105" s="72"/>
      <c r="AG4105" s="53">
        <f>P_1_minQ-(AG4103^2*R_up)+dpup_minQ</f>
        <v>-5298.6780056091657</v>
      </c>
      <c r="AH4105" s="44"/>
      <c r="AI4105" s="72"/>
      <c r="AJ4105" s="53">
        <f>P_1_minQ-(AJ4103^2*R_up)+dpup_minQ</f>
        <v>-9480.86467141297</v>
      </c>
      <c r="AK4105" s="44"/>
      <c r="AL4105" s="72"/>
      <c r="AM4105" s="53">
        <f>P_1_minQ-(AM4103^2*R_up)+dpup_minQ</f>
        <v>-14143.53981058827</v>
      </c>
      <c r="AN4105" s="44"/>
      <c r="AO4105" s="72"/>
      <c r="AP4105" s="53">
        <f>P_1_minQ-(AP4103^2*R_up)+dpup_minQ</f>
        <v>-19083.153011344439</v>
      </c>
      <c r="AQ4105" s="44"/>
      <c r="AR4105" s="72"/>
      <c r="AS4105" s="53">
        <f>P_1_minQ-(AS4103^2*R_up)+dpup_minQ</f>
        <v>-24734.379298135034</v>
      </c>
      <c r="AT4105" s="44"/>
      <c r="AU4105" s="72"/>
    </row>
    <row r="4106" spans="15:47" ht="13" x14ac:dyDescent="0.3">
      <c r="O4106" s="6" t="s">
        <v>233</v>
      </c>
      <c r="P4106" s="6"/>
      <c r="Q4106" s="60"/>
      <c r="R4106" s="85">
        <f>P_2_minQ+(R4103^2*R_dn)-dpdn_minQ</f>
        <v>34.654438333427926</v>
      </c>
      <c r="S4106" s="66"/>
      <c r="T4106" s="74"/>
      <c r="U4106" s="53">
        <f>P_2_minQ+(U4103^2*R_dn)-dpdn_minQ</f>
        <v>33.161295060030469</v>
      </c>
      <c r="V4106" s="45"/>
      <c r="W4106" s="74"/>
      <c r="X4106" s="53">
        <f>P_2_minQ+(X4103^2*R_dn)-dpdn_minQ</f>
        <v>73.658542932087869</v>
      </c>
      <c r="Y4106" s="45"/>
      <c r="Z4106" s="74"/>
      <c r="AA4106" s="53">
        <f>P_2_minQ+(AA4103^2*R_dn)-dpdn_minQ</f>
        <v>203.30156886489644</v>
      </c>
      <c r="AB4106" s="45"/>
      <c r="AC4106" s="74"/>
      <c r="AD4106" s="53">
        <f>P_2_minQ+(AD4103^2*R_dn)-dpdn_minQ</f>
        <v>507.85769020370202</v>
      </c>
      <c r="AE4106" s="45"/>
      <c r="AF4106" s="74"/>
      <c r="AG4106" s="53">
        <f>P_2_minQ+(AG4103^2*R_dn)-dpdn_minQ</f>
        <v>1095.775601121833</v>
      </c>
      <c r="AH4106" s="45"/>
      <c r="AI4106" s="74"/>
      <c r="AJ4106" s="53">
        <f>P_2_minQ+(AJ4103^2*R_dn)-dpdn_minQ</f>
        <v>1932.2129342825938</v>
      </c>
      <c r="AK4106" s="45"/>
      <c r="AL4106" s="74"/>
      <c r="AM4106" s="53">
        <f>P_2_minQ+(AM4103^2*R_dn)-dpdn_minQ</f>
        <v>2864.747962117654</v>
      </c>
      <c r="AN4106" s="45"/>
      <c r="AO4106" s="74"/>
      <c r="AP4106" s="53">
        <f>P_2_minQ+(AP4103^2*R_dn)-dpdn_minQ</f>
        <v>3852.6706022688873</v>
      </c>
      <c r="AQ4106" s="45"/>
      <c r="AR4106" s="74"/>
      <c r="AS4106" s="53">
        <f>P_2_minQ+(AS4103^2*R_dn)-dpdn_minQ</f>
        <v>4982.9158596270063</v>
      </c>
      <c r="AT4106" s="45"/>
      <c r="AU4106" s="74"/>
    </row>
    <row r="4107" spans="15:47" x14ac:dyDescent="0.25">
      <c r="O4107" s="6" t="s">
        <v>243</v>
      </c>
      <c r="Q4107" s="60"/>
      <c r="R4107" s="53">
        <f>R4105-R4106</f>
        <v>-27.726630000567528</v>
      </c>
      <c r="S4107" s="56"/>
      <c r="T4107" s="72"/>
      <c r="U4107" s="64">
        <f>U4105-U4106</f>
        <v>-18.767770360182805</v>
      </c>
      <c r="V4107" s="44"/>
      <c r="W4107" s="72"/>
      <c r="X4107" s="64">
        <f>X4105-X4106</f>
        <v>-261.75125759252717</v>
      </c>
      <c r="Y4107" s="44"/>
      <c r="Z4107" s="72"/>
      <c r="AA4107" s="64">
        <f>AA4105-AA4106</f>
        <v>-1039.6094131893785</v>
      </c>
      <c r="AB4107" s="44"/>
      <c r="AC4107" s="72"/>
      <c r="AD4107" s="64">
        <f>AD4105-AD4106</f>
        <v>-2866.9461412222126</v>
      </c>
      <c r="AE4107" s="44"/>
      <c r="AF4107" s="72"/>
      <c r="AG4107" s="64">
        <f>AG4105-AG4106</f>
        <v>-6394.4536067309982</v>
      </c>
      <c r="AH4107" s="44"/>
      <c r="AI4107" s="72"/>
      <c r="AJ4107" s="64">
        <f>AJ4105-AJ4106</f>
        <v>-11413.077605695564</v>
      </c>
      <c r="AK4107" s="44"/>
      <c r="AL4107" s="72"/>
      <c r="AM4107" s="64">
        <f>AM4105-AM4106</f>
        <v>-17008.287772705924</v>
      </c>
      <c r="AN4107" s="44"/>
      <c r="AO4107" s="72"/>
      <c r="AP4107" s="64">
        <f>AP4105-AP4106</f>
        <v>-22935.823613613327</v>
      </c>
      <c r="AQ4107" s="44"/>
      <c r="AR4107" s="72"/>
      <c r="AS4107" s="64">
        <f>AS4105-AS4106</f>
        <v>-29717.295157762041</v>
      </c>
      <c r="AT4107" s="44"/>
      <c r="AU4107" s="72"/>
    </row>
    <row r="4108" spans="15:47" ht="13" x14ac:dyDescent="0.3">
      <c r="O4108" s="6" t="s">
        <v>75</v>
      </c>
      <c r="P4108" s="6">
        <v>3</v>
      </c>
      <c r="Q4108" s="65"/>
      <c r="R4108" s="85">
        <f>(F_LP_h/F_P_h)^2*(R4105-('Valve Sizing'!$V$4*'Valve Sizing'!$G$7))</f>
        <v>5.3721980913442078</v>
      </c>
      <c r="S4108" s="58"/>
      <c r="T4108" s="73"/>
      <c r="U4108" s="53">
        <f>(U$29/U$27)^2*(U4105-('Valve Sizing'!$V$4*'Valve Sizing'!$G$7))</f>
        <v>11.551053919752393</v>
      </c>
      <c r="V4108" s="41"/>
      <c r="W4108" s="73"/>
      <c r="X4108" s="53">
        <f>(X$29/X$27)^2*(X4105-('Valve Sizing'!$V$4*'Valve Sizing'!$G$7))</f>
        <v>-152.55196482866748</v>
      </c>
      <c r="Y4108" s="41"/>
      <c r="Z4108" s="73"/>
      <c r="AA4108" s="53">
        <f>(AA$29/AA$27)^2*(AA4105-('Valve Sizing'!$V$4*'Valve Sizing'!$G$7))</f>
        <v>-646.63645363376907</v>
      </c>
      <c r="AB4108" s="41"/>
      <c r="AC4108" s="73"/>
      <c r="AD4108" s="53">
        <f>(AD$29/AD$27)^2*(AD4105-('Valve Sizing'!$V$4*'Valve Sizing'!$G$7))</f>
        <v>-1701.66224733744</v>
      </c>
      <c r="AE4108" s="41"/>
      <c r="AF4108" s="73"/>
      <c r="AG4108" s="53">
        <f>(AG$29/AG$27)^2*(AG4105-('Valve Sizing'!$V$4*'Valve Sizing'!$G$7))</f>
        <v>-3412.8649352593825</v>
      </c>
      <c r="AH4108" s="41"/>
      <c r="AI4108" s="73"/>
      <c r="AJ4108" s="53">
        <f>(AJ$29/AJ$27)^2*(AJ4105-('Valve Sizing'!$V$4*'Valve Sizing'!$G$7))</f>
        <v>-5483.6485076608096</v>
      </c>
      <c r="AK4108" s="41"/>
      <c r="AL4108" s="73"/>
      <c r="AM4108" s="53">
        <f>(AM$29/AM$27)^2*(AM4105-('Valve Sizing'!$V$4*'Valve Sizing'!$G$7))</f>
        <v>-6767.5004472848841</v>
      </c>
      <c r="AN4108" s="41"/>
      <c r="AO4108" s="73"/>
      <c r="AP4108" s="53">
        <f>(AP$29/AP$27)^2*(AP4105-('Valve Sizing'!$V$4*'Valve Sizing'!$G$7))</f>
        <v>-7530.8977874234997</v>
      </c>
      <c r="AQ4108" s="41"/>
      <c r="AR4108" s="73"/>
      <c r="AS4108" s="53">
        <f>(AS$29/AS$27)^2*(AS4105-('Valve Sizing'!$V$4*'Valve Sizing'!$G$7))</f>
        <v>-9303.7745945066381</v>
      </c>
      <c r="AT4108" s="41"/>
      <c r="AU4108" s="73"/>
    </row>
    <row r="4109" spans="15:47" ht="13" x14ac:dyDescent="0.25">
      <c r="O4109" s="1" t="s">
        <v>69</v>
      </c>
      <c r="P4109" s="17">
        <v>7</v>
      </c>
      <c r="Q4109" s="65"/>
      <c r="R4109" s="53" t="e">
        <f>(R4103/(N_1*F_P_h))*SQRT('Valve Sizing'!$G$6/R4107)</f>
        <v>#NUM!</v>
      </c>
      <c r="S4109" s="58"/>
      <c r="T4109" s="73"/>
      <c r="U4109" s="64" t="e">
        <f>(U4103/(N_1*U$27))*SQRT('Valve Sizing'!$G$6/U4107)</f>
        <v>#NUM!</v>
      </c>
      <c r="V4109" s="41"/>
      <c r="W4109" s="73"/>
      <c r="X4109" s="64" t="e">
        <f>(X4103/(N_1*X$27))*SQRT('Valve Sizing'!$G$6/X4107)</f>
        <v>#NUM!</v>
      </c>
      <c r="Y4109" s="41"/>
      <c r="Z4109" s="73"/>
      <c r="AA4109" s="64" t="e">
        <f>(AA4103/(N_1*AA$27))*SQRT('Valve Sizing'!$G$6/AA4107)</f>
        <v>#NUM!</v>
      </c>
      <c r="AB4109" s="41"/>
      <c r="AC4109" s="73"/>
      <c r="AD4109" s="64" t="e">
        <f>(AD4103/(N_1*AD$27))*SQRT('Valve Sizing'!$G$6/AD4107)</f>
        <v>#NUM!</v>
      </c>
      <c r="AE4109" s="41"/>
      <c r="AF4109" s="73"/>
      <c r="AG4109" s="64" t="e">
        <f>(AG4103/(N_1*AG$27))*SQRT('Valve Sizing'!$G$6/AG4107)</f>
        <v>#NUM!</v>
      </c>
      <c r="AH4109" s="41"/>
      <c r="AI4109" s="73"/>
      <c r="AJ4109" s="64" t="e">
        <f>(AJ4103/(N_1*AJ$27))*SQRT('Valve Sizing'!$G$6/AJ4107)</f>
        <v>#NUM!</v>
      </c>
      <c r="AK4109" s="41"/>
      <c r="AL4109" s="73"/>
      <c r="AM4109" s="64" t="e">
        <f>(AM4103/(N_1*AM$27))*SQRT('Valve Sizing'!$G$6/AM4107)</f>
        <v>#NUM!</v>
      </c>
      <c r="AN4109" s="41"/>
      <c r="AO4109" s="73"/>
      <c r="AP4109" s="64" t="e">
        <f>(AP4103/(N_1*AP$27))*SQRT('Valve Sizing'!$G$6/AP4107)</f>
        <v>#NUM!</v>
      </c>
      <c r="AQ4109" s="41"/>
      <c r="AR4109" s="73"/>
      <c r="AS4109" s="64" t="e">
        <f>(AS4103/(N_1*AS$27))*SQRT('Valve Sizing'!$G$6/AS4107)</f>
        <v>#NUM!</v>
      </c>
      <c r="AT4109" s="41"/>
      <c r="AU4109" s="73"/>
    </row>
    <row r="4110" spans="15:47" ht="13" x14ac:dyDescent="0.3">
      <c r="O4110" s="1" t="s">
        <v>72</v>
      </c>
      <c r="P4110" s="17">
        <v>7</v>
      </c>
      <c r="Q4110" s="65"/>
      <c r="R4110" s="53">
        <f>(R4103/(N_1*F_P_h))*SQRT('Valve Sizing'!$G$6/R4108)</f>
        <v>524.97794489609907</v>
      </c>
      <c r="S4110" s="56"/>
      <c r="T4110" s="72"/>
      <c r="U4110" s="85">
        <f>(U4103/(N_1*U$27))*SQRT('Valve Sizing'!$G$6/U4108)</f>
        <v>330.43349853482079</v>
      </c>
      <c r="V4110" s="44"/>
      <c r="W4110" s="72"/>
      <c r="X4110" s="85" t="e">
        <f>(X4103/(N_1*X$27))*SQRT('Valve Sizing'!$G$6/X4108)</f>
        <v>#NUM!</v>
      </c>
      <c r="Y4110" s="44"/>
      <c r="Z4110" s="72"/>
      <c r="AA4110" s="85" t="e">
        <f>(AA4103/(N_1*AA$27))*SQRT('Valve Sizing'!$G$6/AA4108)</f>
        <v>#NUM!</v>
      </c>
      <c r="AB4110" s="44"/>
      <c r="AC4110" s="72"/>
      <c r="AD4110" s="85" t="e">
        <f>(AD4103/(N_1*AD$27))*SQRT('Valve Sizing'!$G$6/AD4108)</f>
        <v>#NUM!</v>
      </c>
      <c r="AE4110" s="44"/>
      <c r="AF4110" s="72"/>
      <c r="AG4110" s="85" t="e">
        <f>(AG4103/(N_1*AG$27))*SQRT('Valve Sizing'!$G$6/AG4108)</f>
        <v>#NUM!</v>
      </c>
      <c r="AH4110" s="44"/>
      <c r="AI4110" s="72"/>
      <c r="AJ4110" s="85" t="e">
        <f>(AJ4103/(N_1*AJ$27))*SQRT('Valve Sizing'!$G$6/AJ4108)</f>
        <v>#NUM!</v>
      </c>
      <c r="AK4110" s="44"/>
      <c r="AL4110" s="72"/>
      <c r="AM4110" s="85" t="e">
        <f>(AM4103/(N_1*AM$27))*SQRT('Valve Sizing'!$G$6/AM4108)</f>
        <v>#NUM!</v>
      </c>
      <c r="AN4110" s="44"/>
      <c r="AO4110" s="72"/>
      <c r="AP4110" s="85" t="e">
        <f>(AP4103/(N_1*AP$27))*SQRT('Valve Sizing'!$G$6/AP4108)</f>
        <v>#NUM!</v>
      </c>
      <c r="AQ4110" s="44"/>
      <c r="AR4110" s="72"/>
      <c r="AS4110" s="85" t="e">
        <f>(AS4103/(N_1*AS$27))*SQRT('Valve Sizing'!$G$6/AS4108)</f>
        <v>#NUM!</v>
      </c>
      <c r="AT4110" s="44"/>
      <c r="AU4110" s="72"/>
    </row>
    <row r="4111" spans="15:47" x14ac:dyDescent="0.25">
      <c r="O4111" s="1" t="s">
        <v>246</v>
      </c>
      <c r="P4111" s="18"/>
      <c r="Q4111" s="65"/>
      <c r="R4111" s="53" t="e">
        <f>IF(R4107&lt;R4108,R4109,R4110)</f>
        <v>#NUM!</v>
      </c>
      <c r="S4111" s="49"/>
      <c r="T4111" s="72"/>
      <c r="U4111" s="64" t="e">
        <f>IF(U4107&lt;U4108,U4109,U4110)</f>
        <v>#NUM!</v>
      </c>
      <c r="V4111" s="44"/>
      <c r="W4111" s="72"/>
      <c r="X4111" s="64" t="e">
        <f>IF(X4107&lt;X4108,X4109,X4110)</f>
        <v>#NUM!</v>
      </c>
      <c r="Y4111" s="44"/>
      <c r="Z4111" s="72"/>
      <c r="AA4111" s="64" t="e">
        <f>IF(AA4107&lt;AA4108,AA4109,AA4110)</f>
        <v>#NUM!</v>
      </c>
      <c r="AB4111" s="44"/>
      <c r="AC4111" s="72"/>
      <c r="AD4111" s="64" t="e">
        <f>IF(AD4107&lt;AD4108,AD4109,AD4110)</f>
        <v>#NUM!</v>
      </c>
      <c r="AE4111" s="44"/>
      <c r="AF4111" s="72"/>
      <c r="AG4111" s="64" t="e">
        <f>IF(AG4107&lt;AG4108,AG4109,AG4110)</f>
        <v>#NUM!</v>
      </c>
      <c r="AH4111" s="44"/>
      <c r="AI4111" s="72"/>
      <c r="AJ4111" s="64" t="e">
        <f>IF(AJ4107&lt;AJ4108,AJ4109,AJ4110)</f>
        <v>#NUM!</v>
      </c>
      <c r="AK4111" s="44"/>
      <c r="AL4111" s="72"/>
      <c r="AM4111" s="64" t="e">
        <f>IF(AM4107&lt;AM4108,AM4109,AM4110)</f>
        <v>#NUM!</v>
      </c>
      <c r="AN4111" s="44"/>
      <c r="AO4111" s="72"/>
      <c r="AP4111" s="64" t="e">
        <f>IF(AP4107&lt;AP4108,AP4109,AP4110)</f>
        <v>#NUM!</v>
      </c>
      <c r="AQ4111" s="44"/>
      <c r="AR4111" s="72"/>
      <c r="AS4111" s="64" t="e">
        <f>IF(AS4107&lt;AS4108,AS4109,AS4110)</f>
        <v>#NUM!</v>
      </c>
      <c r="AT4111" s="44"/>
      <c r="AU4111" s="72"/>
    </row>
    <row r="4112" spans="15:47" ht="13" x14ac:dyDescent="0.3">
      <c r="O4112" s="7" t="s">
        <v>264</v>
      </c>
      <c r="Q4112" s="61"/>
      <c r="R4112" s="53"/>
      <c r="S4112" s="69">
        <f>IFERROR(ABS(C_h-R4111),Q_max*10)</f>
        <v>5500</v>
      </c>
      <c r="T4112" s="76">
        <f>R4103</f>
        <v>1216.6160426625993</v>
      </c>
      <c r="U4112" s="61"/>
      <c r="V4112" s="69">
        <f>IFERROR(ABS(U$23-U4111),Q_max*10)</f>
        <v>5500</v>
      </c>
      <c r="W4112" s="75">
        <f>U4103</f>
        <v>1122.0939058909066</v>
      </c>
      <c r="X4112" s="61"/>
      <c r="Y4112" s="69">
        <f>IFERROR(ABS(X$23-X4111),Q_max*10)</f>
        <v>5500</v>
      </c>
      <c r="Z4112" s="75">
        <f>X4103</f>
        <v>2693.4573100562793</v>
      </c>
      <c r="AA4112" s="61"/>
      <c r="AB4112" s="69">
        <f>IFERROR(ABS(AA$23-AA4111),Q_max*10)</f>
        <v>5500</v>
      </c>
      <c r="AC4112" s="75">
        <f>AA4103</f>
        <v>5142.7971251496901</v>
      </c>
      <c r="AD4112" s="61"/>
      <c r="AE4112" s="69">
        <f>IFERROR(ABS(AD$23-AD4111),Q_max*10)</f>
        <v>5500</v>
      </c>
      <c r="AF4112" s="75">
        <f>AD4103</f>
        <v>8458.0078053084162</v>
      </c>
      <c r="AG4112" s="61"/>
      <c r="AH4112" s="69">
        <f>IFERROR(ABS(AG$23-AG4111),Q_max*10)</f>
        <v>5500</v>
      </c>
      <c r="AI4112" s="75">
        <f>AG4103</f>
        <v>12592.821079729807</v>
      </c>
      <c r="AJ4112" s="61"/>
      <c r="AK4112" s="69">
        <f>IFERROR(ABS(AJ$23-AJ4111),Q_max*10)</f>
        <v>5500</v>
      </c>
      <c r="AL4112" s="75">
        <f>AJ4103</f>
        <v>16805.168547817007</v>
      </c>
      <c r="AM4112" s="61"/>
      <c r="AN4112" s="69">
        <f>IFERROR(ABS(AM$23-AM4111),Q_max*10)</f>
        <v>5500</v>
      </c>
      <c r="AO4112" s="75">
        <f>AM4103</f>
        <v>20505.499281693159</v>
      </c>
      <c r="AP4112" s="61"/>
      <c r="AQ4112" s="69">
        <f>IFERROR(ABS(AP$23-AP4111),Q_max*10)</f>
        <v>5500</v>
      </c>
      <c r="AR4112" s="75">
        <f>AP4103</f>
        <v>23806.248080407564</v>
      </c>
      <c r="AS4112" s="61"/>
      <c r="AT4112" s="69">
        <f>IFERROR(ABS(AS$23-AS4111),Q_max*10)</f>
        <v>5500</v>
      </c>
      <c r="AU4112" s="75">
        <f>AS4103</f>
        <v>27093.730972639747</v>
      </c>
    </row>
    <row r="4113" spans="15:47" ht="14.5" x14ac:dyDescent="0.35">
      <c r="O4113" s="8"/>
      <c r="P4113" s="6"/>
      <c r="Q4113" s="60"/>
      <c r="R4113" s="67"/>
      <c r="S4113" s="56"/>
      <c r="T4113" s="72"/>
      <c r="V4113" s="11"/>
      <c r="W4113" s="38"/>
      <c r="Y4113" s="11"/>
      <c r="Z4113" s="38"/>
      <c r="AB4113" s="11"/>
      <c r="AC4113" s="38"/>
      <c r="AE4113" s="11"/>
      <c r="AF4113" s="38"/>
      <c r="AH4113" s="11"/>
      <c r="AI4113" s="38"/>
      <c r="AK4113" s="11"/>
      <c r="AL4113" s="38"/>
      <c r="AN4113" s="11"/>
      <c r="AO4113" s="38"/>
      <c r="AQ4113" s="11"/>
      <c r="AR4113" s="38"/>
      <c r="AT4113" s="11"/>
      <c r="AU4113" s="38"/>
    </row>
    <row r="4114" spans="15:47" ht="14" x14ac:dyDescent="0.3">
      <c r="O4114" s="8" t="s">
        <v>235</v>
      </c>
      <c r="P4114" s="6"/>
      <c r="Q4114" s="60"/>
      <c r="R4114" s="53">
        <f>R4103*1.02</f>
        <v>1240.9483635158513</v>
      </c>
      <c r="S4114" s="58" t="s">
        <v>238</v>
      </c>
      <c r="T4114" s="73" t="s">
        <v>241</v>
      </c>
      <c r="U4114" s="84">
        <f>U4103*1.01</f>
        <v>1133.3148449498158</v>
      </c>
      <c r="V4114" s="58" t="s">
        <v>238</v>
      </c>
      <c r="W4114" s="73" t="s">
        <v>241</v>
      </c>
      <c r="X4114" s="84">
        <f>X4103*1.01</f>
        <v>2720.3918831568421</v>
      </c>
      <c r="Y4114" s="58" t="s">
        <v>238</v>
      </c>
      <c r="Z4114" s="73" t="s">
        <v>241</v>
      </c>
      <c r="AA4114" s="84">
        <f>AA4103*1.01</f>
        <v>5194.2250964011873</v>
      </c>
      <c r="AB4114" s="58" t="s">
        <v>238</v>
      </c>
      <c r="AC4114" s="73" t="s">
        <v>241</v>
      </c>
      <c r="AD4114" s="84">
        <f>AD4103*1.01</f>
        <v>8542.5878833615006</v>
      </c>
      <c r="AE4114" s="58" t="s">
        <v>238</v>
      </c>
      <c r="AF4114" s="73" t="s">
        <v>241</v>
      </c>
      <c r="AG4114" s="84">
        <f>AG4103*1.01</f>
        <v>12718.749290527105</v>
      </c>
      <c r="AH4114" s="58" t="s">
        <v>238</v>
      </c>
      <c r="AI4114" s="73" t="s">
        <v>241</v>
      </c>
      <c r="AJ4114" s="84">
        <f>AJ4103*1.01</f>
        <v>16973.220233295178</v>
      </c>
      <c r="AK4114" s="58" t="s">
        <v>238</v>
      </c>
      <c r="AL4114" s="73" t="s">
        <v>241</v>
      </c>
      <c r="AM4114" s="84">
        <f>AM4103*1.01</f>
        <v>20710.55427451009</v>
      </c>
      <c r="AN4114" s="58" t="s">
        <v>238</v>
      </c>
      <c r="AO4114" s="73" t="s">
        <v>241</v>
      </c>
      <c r="AP4114" s="84">
        <f>AP4103*1.01</f>
        <v>24044.310561211641</v>
      </c>
      <c r="AQ4114" s="58" t="s">
        <v>238</v>
      </c>
      <c r="AR4114" s="73" t="s">
        <v>241</v>
      </c>
      <c r="AS4114" s="84">
        <f>AS4103*1.01</f>
        <v>27364.668282366143</v>
      </c>
      <c r="AT4114" s="58" t="s">
        <v>238</v>
      </c>
      <c r="AU4114" s="73" t="s">
        <v>241</v>
      </c>
    </row>
    <row r="4115" spans="15:47" ht="13" x14ac:dyDescent="0.25">
      <c r="O4115" s="6"/>
      <c r="P4115" s="6"/>
      <c r="Q4115" s="60"/>
      <c r="R4115" s="70"/>
      <c r="S4115" s="63" t="s">
        <v>250</v>
      </c>
      <c r="T4115" s="71" t="s">
        <v>242</v>
      </c>
      <c r="U4115" s="61"/>
      <c r="V4115" s="63" t="s">
        <v>250</v>
      </c>
      <c r="W4115" s="71" t="s">
        <v>242</v>
      </c>
      <c r="X4115" s="61"/>
      <c r="Y4115" s="63" t="s">
        <v>250</v>
      </c>
      <c r="Z4115" s="71" t="s">
        <v>242</v>
      </c>
      <c r="AA4115" s="61"/>
      <c r="AB4115" s="63" t="s">
        <v>250</v>
      </c>
      <c r="AC4115" s="71" t="s">
        <v>242</v>
      </c>
      <c r="AD4115" s="61"/>
      <c r="AE4115" s="63" t="s">
        <v>250</v>
      </c>
      <c r="AF4115" s="71" t="s">
        <v>242</v>
      </c>
      <c r="AG4115" s="61"/>
      <c r="AH4115" s="63" t="s">
        <v>250</v>
      </c>
      <c r="AI4115" s="71" t="s">
        <v>242</v>
      </c>
      <c r="AJ4115" s="61"/>
      <c r="AK4115" s="63" t="s">
        <v>250</v>
      </c>
      <c r="AL4115" s="71" t="s">
        <v>242</v>
      </c>
      <c r="AM4115" s="61"/>
      <c r="AN4115" s="63" t="s">
        <v>250</v>
      </c>
      <c r="AO4115" s="71" t="s">
        <v>242</v>
      </c>
      <c r="AP4115" s="61"/>
      <c r="AQ4115" s="63" t="s">
        <v>250</v>
      </c>
      <c r="AR4115" s="71" t="s">
        <v>242</v>
      </c>
      <c r="AS4115" s="61"/>
      <c r="AT4115" s="63" t="s">
        <v>250</v>
      </c>
      <c r="AU4115" s="71" t="s">
        <v>242</v>
      </c>
    </row>
    <row r="4116" spans="15:47" ht="13" x14ac:dyDescent="0.3">
      <c r="O4116" s="6" t="s">
        <v>231</v>
      </c>
      <c r="P4116" s="6"/>
      <c r="Q4116" s="60"/>
      <c r="R4116" s="85">
        <f>P_1_minQ-(R4114^2*R_up)+dpup_minQ</f>
        <v>4.9082796044353456</v>
      </c>
      <c r="S4116" s="56"/>
      <c r="T4116" s="72"/>
      <c r="U4116" s="53">
        <f>P_1_minQ-(U4114^2*R_up)+dpup_minQ</f>
        <v>13.538820068097767</v>
      </c>
      <c r="V4116" s="44"/>
      <c r="W4116" s="72"/>
      <c r="X4116" s="53">
        <f>P_1_minQ-(X4114^2*R_up)+dpup_minQ</f>
        <v>-193.01739270333101</v>
      </c>
      <c r="Y4116" s="44"/>
      <c r="Z4116" s="72"/>
      <c r="AA4116" s="53">
        <f>P_1_minQ-(AA4114^2*R_up)+dpup_minQ</f>
        <v>-854.26164647362123</v>
      </c>
      <c r="AB4116" s="44"/>
      <c r="AC4116" s="72"/>
      <c r="AD4116" s="53">
        <f>P_1_minQ-(AD4114^2*R_up)+dpup_minQ</f>
        <v>-2407.6501433621997</v>
      </c>
      <c r="AE4116" s="44"/>
      <c r="AF4116" s="72"/>
      <c r="AG4116" s="53">
        <f>P_1_minQ-(AG4114^2*R_up)+dpup_minQ</f>
        <v>-5406.3254480001269</v>
      </c>
      <c r="AH4116" s="44"/>
      <c r="AI4116" s="72"/>
      <c r="AJ4116" s="53">
        <f>P_1_minQ-(AJ4114^2*R_up)+dpup_minQ</f>
        <v>-9672.5740657865863</v>
      </c>
      <c r="AK4116" s="44"/>
      <c r="AL4116" s="72"/>
      <c r="AM4116" s="53">
        <f>P_1_minQ-(AM4114^2*R_up)+dpup_minQ</f>
        <v>-14428.968975259311</v>
      </c>
      <c r="AN4116" s="44"/>
      <c r="AO4116" s="72"/>
      <c r="AP4116" s="53">
        <f>P_1_minQ-(AP4114^2*R_up)+dpup_minQ</f>
        <v>-19467.868401350683</v>
      </c>
      <c r="AQ4116" s="44"/>
      <c r="AR4116" s="72"/>
      <c r="AS4116" s="53">
        <f>P_1_minQ-(AS4114^2*R_up)+dpup_minQ</f>
        <v>-25232.684336505765</v>
      </c>
      <c r="AT4116" s="44"/>
      <c r="AU4116" s="72"/>
    </row>
    <row r="4117" spans="15:47" ht="13" x14ac:dyDescent="0.3">
      <c r="O4117" s="6" t="s">
        <v>233</v>
      </c>
      <c r="P4117" s="6"/>
      <c r="Q4117" s="60"/>
      <c r="R4117" s="85">
        <f>P_2_minQ+(R4114^2*R_dn)-dpdn_minQ</f>
        <v>35.058344079112935</v>
      </c>
      <c r="S4117" s="66"/>
      <c r="T4117" s="74"/>
      <c r="U4117" s="53">
        <f>P_2_minQ+(U4114^2*R_dn)-dpdn_minQ</f>
        <v>33.332235986380454</v>
      </c>
      <c r="V4117" s="45"/>
      <c r="W4117" s="74"/>
      <c r="X4117" s="53">
        <f>P_2_minQ+(X4114^2*R_dn)-dpdn_minQ</f>
        <v>74.643478540666194</v>
      </c>
      <c r="Y4117" s="45"/>
      <c r="Z4117" s="74"/>
      <c r="AA4117" s="53">
        <f>P_2_minQ+(AA4114^2*R_dn)-dpdn_minQ</f>
        <v>206.89232929472425</v>
      </c>
      <c r="AB4117" s="45"/>
      <c r="AC4117" s="74"/>
      <c r="AD4117" s="53">
        <f>P_2_minQ+(AD4114^2*R_dn)-dpdn_minQ</f>
        <v>517.57002867243978</v>
      </c>
      <c r="AE4117" s="45"/>
      <c r="AF4117" s="74"/>
      <c r="AG4117" s="53">
        <f>P_2_minQ+(AG4114^2*R_dn)-dpdn_minQ</f>
        <v>1117.3050896000252</v>
      </c>
      <c r="AH4117" s="45"/>
      <c r="AI4117" s="74"/>
      <c r="AJ4117" s="53">
        <f>P_2_minQ+(AJ4114^2*R_dn)-dpdn_minQ</f>
        <v>1970.5548131573173</v>
      </c>
      <c r="AK4117" s="45"/>
      <c r="AL4117" s="74"/>
      <c r="AM4117" s="53">
        <f>P_2_minQ+(AM4114^2*R_dn)-dpdn_minQ</f>
        <v>2921.8337950518621</v>
      </c>
      <c r="AN4117" s="45"/>
      <c r="AO4117" s="74"/>
      <c r="AP4117" s="53">
        <f>P_2_minQ+(AP4114^2*R_dn)-dpdn_minQ</f>
        <v>3929.6136802701358</v>
      </c>
      <c r="AQ4117" s="45"/>
      <c r="AR4117" s="74"/>
      <c r="AS4117" s="53">
        <f>P_2_minQ+(AS4114^2*R_dn)-dpdn_minQ</f>
        <v>5082.5768673011526</v>
      </c>
      <c r="AT4117" s="45"/>
      <c r="AU4117" s="74"/>
    </row>
    <row r="4118" spans="15:47" x14ac:dyDescent="0.25">
      <c r="O4118" s="6" t="s">
        <v>243</v>
      </c>
      <c r="Q4118" s="60"/>
      <c r="R4118" s="53">
        <f>R4116-R4117</f>
        <v>-30.150064474677588</v>
      </c>
      <c r="S4118" s="56"/>
      <c r="T4118" s="72"/>
      <c r="U4118" s="64">
        <f>U4116-U4117</f>
        <v>-19.793415918282687</v>
      </c>
      <c r="V4118" s="44"/>
      <c r="W4118" s="72"/>
      <c r="X4118" s="64">
        <f>X4116-X4117</f>
        <v>-267.66087124399724</v>
      </c>
      <c r="Y4118" s="44"/>
      <c r="Z4118" s="72"/>
      <c r="AA4118" s="64">
        <f>AA4116-AA4117</f>
        <v>-1061.1539757683454</v>
      </c>
      <c r="AB4118" s="44"/>
      <c r="AC4118" s="72"/>
      <c r="AD4118" s="64">
        <f>AD4116-AD4117</f>
        <v>-2925.2201720346393</v>
      </c>
      <c r="AE4118" s="44"/>
      <c r="AF4118" s="72"/>
      <c r="AG4118" s="64">
        <f>AG4116-AG4117</f>
        <v>-6523.6305376001519</v>
      </c>
      <c r="AH4118" s="44"/>
      <c r="AI4118" s="72"/>
      <c r="AJ4118" s="64">
        <f>AJ4116-AJ4117</f>
        <v>-11643.128878943904</v>
      </c>
      <c r="AK4118" s="44"/>
      <c r="AL4118" s="72"/>
      <c r="AM4118" s="64">
        <f>AM4116-AM4117</f>
        <v>-17350.802770311173</v>
      </c>
      <c r="AN4118" s="44"/>
      <c r="AO4118" s="72"/>
      <c r="AP4118" s="64">
        <f>AP4116-AP4117</f>
        <v>-23397.482081620819</v>
      </c>
      <c r="AQ4118" s="44"/>
      <c r="AR4118" s="72"/>
      <c r="AS4118" s="64">
        <f>AS4116-AS4117</f>
        <v>-30315.261203806916</v>
      </c>
      <c r="AT4118" s="44"/>
      <c r="AU4118" s="72"/>
    </row>
    <row r="4119" spans="15:47" ht="13" x14ac:dyDescent="0.3">
      <c r="O4119" s="6" t="s">
        <v>75</v>
      </c>
      <c r="P4119" s="6">
        <v>3</v>
      </c>
      <c r="Q4119" s="65"/>
      <c r="R4119" s="85">
        <f>(F_LP_h/F_P_h)^2*(R4116-('Valve Sizing'!$V$4*'Valve Sizing'!$G$7))</f>
        <v>3.6999222992691365</v>
      </c>
      <c r="S4119" s="58"/>
      <c r="T4119" s="73"/>
      <c r="U4119" s="53">
        <f>(U$29/U$27)^2*(U4116-('Valve Sizing'!$V$4*'Valve Sizing'!$G$7))</f>
        <v>10.843506522037503</v>
      </c>
      <c r="V4119" s="41"/>
      <c r="W4119" s="73"/>
      <c r="X4119" s="53">
        <f>(X$29/X$27)^2*(X4116-('Valve Sizing'!$V$4*'Valve Sizing'!$G$7))</f>
        <v>-156.53678562300198</v>
      </c>
      <c r="Y4119" s="41"/>
      <c r="Z4119" s="73"/>
      <c r="AA4119" s="53">
        <f>(AA$29/AA$27)^2*(AA4116-('Valve Sizing'!$V$4*'Valve Sizing'!$G$7))</f>
        <v>-660.51110204735141</v>
      </c>
      <c r="AB4119" s="41"/>
      <c r="AC4119" s="73"/>
      <c r="AD4119" s="53">
        <f>(AD$29/AD$27)^2*(AD4116-('Valve Sizing'!$V$4*'Valve Sizing'!$G$7))</f>
        <v>-1736.6843283268488</v>
      </c>
      <c r="AE4119" s="41"/>
      <c r="AF4119" s="73"/>
      <c r="AG4119" s="53">
        <f>(AG$29/AG$27)^2*(AG4116-('Valve Sizing'!$V$4*'Valve Sizing'!$G$7))</f>
        <v>-3482.1946193916124</v>
      </c>
      <c r="AH4119" s="41"/>
      <c r="AI4119" s="73"/>
      <c r="AJ4119" s="53">
        <f>(AJ$29/AJ$27)^2*(AJ4116-('Valve Sizing'!$V$4*'Valve Sizing'!$G$7))</f>
        <v>-5594.5263841134984</v>
      </c>
      <c r="AK4119" s="41"/>
      <c r="AL4119" s="73"/>
      <c r="AM4119" s="53">
        <f>(AM$29/AM$27)^2*(AM4116-('Valve Sizing'!$V$4*'Valve Sizing'!$G$7))</f>
        <v>-6904.0703531792296</v>
      </c>
      <c r="AN4119" s="41"/>
      <c r="AO4119" s="73"/>
      <c r="AP4119" s="53">
        <f>(AP$29/AP$27)^2*(AP4116-('Valve Sizing'!$V$4*'Valve Sizing'!$G$7))</f>
        <v>-7682.7168012176135</v>
      </c>
      <c r="AQ4119" s="41"/>
      <c r="AR4119" s="73"/>
      <c r="AS4119" s="53">
        <f>(AS$29/AS$27)^2*(AS4116-('Valve Sizing'!$V$4*'Valve Sizing'!$G$7))</f>
        <v>-9491.2074473453395</v>
      </c>
      <c r="AT4119" s="41"/>
      <c r="AU4119" s="73"/>
    </row>
    <row r="4120" spans="15:47" ht="13" x14ac:dyDescent="0.25">
      <c r="O4120" s="1" t="s">
        <v>69</v>
      </c>
      <c r="P4120" s="17">
        <v>7</v>
      </c>
      <c r="Q4120" s="65"/>
      <c r="R4120" s="53" t="e">
        <f>(R4114/(N_1*F_P_h))*SQRT('Valve Sizing'!$G$6/R4118)</f>
        <v>#NUM!</v>
      </c>
      <c r="S4120" s="58"/>
      <c r="T4120" s="73"/>
      <c r="U4120" s="64" t="e">
        <f>(U4114/(N_1*U$27))*SQRT('Valve Sizing'!$G$6/U4118)</f>
        <v>#NUM!</v>
      </c>
      <c r="V4120" s="41"/>
      <c r="W4120" s="73"/>
      <c r="X4120" s="64" t="e">
        <f>(X4114/(N_1*X$27))*SQRT('Valve Sizing'!$G$6/X4118)</f>
        <v>#NUM!</v>
      </c>
      <c r="Y4120" s="41"/>
      <c r="Z4120" s="73"/>
      <c r="AA4120" s="64" t="e">
        <f>(AA4114/(N_1*AA$27))*SQRT('Valve Sizing'!$G$6/AA4118)</f>
        <v>#NUM!</v>
      </c>
      <c r="AB4120" s="41"/>
      <c r="AC4120" s="73"/>
      <c r="AD4120" s="64" t="e">
        <f>(AD4114/(N_1*AD$27))*SQRT('Valve Sizing'!$G$6/AD4118)</f>
        <v>#NUM!</v>
      </c>
      <c r="AE4120" s="41"/>
      <c r="AF4120" s="73"/>
      <c r="AG4120" s="64" t="e">
        <f>(AG4114/(N_1*AG$27))*SQRT('Valve Sizing'!$G$6/AG4118)</f>
        <v>#NUM!</v>
      </c>
      <c r="AH4120" s="41"/>
      <c r="AI4120" s="73"/>
      <c r="AJ4120" s="64" t="e">
        <f>(AJ4114/(N_1*AJ$27))*SQRT('Valve Sizing'!$G$6/AJ4118)</f>
        <v>#NUM!</v>
      </c>
      <c r="AK4120" s="41"/>
      <c r="AL4120" s="73"/>
      <c r="AM4120" s="64" t="e">
        <f>(AM4114/(N_1*AM$27))*SQRT('Valve Sizing'!$G$6/AM4118)</f>
        <v>#NUM!</v>
      </c>
      <c r="AN4120" s="41"/>
      <c r="AO4120" s="73"/>
      <c r="AP4120" s="64" t="e">
        <f>(AP4114/(N_1*AP$27))*SQRT('Valve Sizing'!$G$6/AP4118)</f>
        <v>#NUM!</v>
      </c>
      <c r="AQ4120" s="41"/>
      <c r="AR4120" s="73"/>
      <c r="AS4120" s="64" t="e">
        <f>(AS4114/(N_1*AS$27))*SQRT('Valve Sizing'!$G$6/AS4118)</f>
        <v>#NUM!</v>
      </c>
      <c r="AT4120" s="41"/>
      <c r="AU4120" s="73"/>
    </row>
    <row r="4121" spans="15:47" ht="13" x14ac:dyDescent="0.3">
      <c r="O4121" s="1" t="s">
        <v>72</v>
      </c>
      <c r="P4121" s="17">
        <v>7</v>
      </c>
      <c r="Q4121" s="65"/>
      <c r="R4121" s="53">
        <f>(R4114/(N_1*F_P_h))*SQRT('Valve Sizing'!$G$6/R4119)</f>
        <v>645.23948731894677</v>
      </c>
      <c r="S4121" s="56"/>
      <c r="T4121" s="72"/>
      <c r="U4121" s="85">
        <f>(U4114/(N_1*U$27))*SQRT('Valve Sizing'!$G$6/U4119)</f>
        <v>344.45411343779716</v>
      </c>
      <c r="V4121" s="44"/>
      <c r="W4121" s="72"/>
      <c r="X4121" s="85" t="e">
        <f>(X4114/(N_1*X$27))*SQRT('Valve Sizing'!$G$6/X4119)</f>
        <v>#NUM!</v>
      </c>
      <c r="Y4121" s="44"/>
      <c r="Z4121" s="72"/>
      <c r="AA4121" s="85" t="e">
        <f>(AA4114/(N_1*AA$27))*SQRT('Valve Sizing'!$G$6/AA4119)</f>
        <v>#NUM!</v>
      </c>
      <c r="AB4121" s="44"/>
      <c r="AC4121" s="72"/>
      <c r="AD4121" s="85" t="e">
        <f>(AD4114/(N_1*AD$27))*SQRT('Valve Sizing'!$G$6/AD4119)</f>
        <v>#NUM!</v>
      </c>
      <c r="AE4121" s="44"/>
      <c r="AF4121" s="72"/>
      <c r="AG4121" s="85" t="e">
        <f>(AG4114/(N_1*AG$27))*SQRT('Valve Sizing'!$G$6/AG4119)</f>
        <v>#NUM!</v>
      </c>
      <c r="AH4121" s="44"/>
      <c r="AI4121" s="72"/>
      <c r="AJ4121" s="85" t="e">
        <f>(AJ4114/(N_1*AJ$27))*SQRT('Valve Sizing'!$G$6/AJ4119)</f>
        <v>#NUM!</v>
      </c>
      <c r="AK4121" s="44"/>
      <c r="AL4121" s="72"/>
      <c r="AM4121" s="85" t="e">
        <f>(AM4114/(N_1*AM$27))*SQRT('Valve Sizing'!$G$6/AM4119)</f>
        <v>#NUM!</v>
      </c>
      <c r="AN4121" s="44"/>
      <c r="AO4121" s="72"/>
      <c r="AP4121" s="85" t="e">
        <f>(AP4114/(N_1*AP$27))*SQRT('Valve Sizing'!$G$6/AP4119)</f>
        <v>#NUM!</v>
      </c>
      <c r="AQ4121" s="44"/>
      <c r="AR4121" s="72"/>
      <c r="AS4121" s="85" t="e">
        <f>(AS4114/(N_1*AS$27))*SQRT('Valve Sizing'!$G$6/AS4119)</f>
        <v>#NUM!</v>
      </c>
      <c r="AT4121" s="44"/>
      <c r="AU4121" s="72"/>
    </row>
    <row r="4122" spans="15:47" x14ac:dyDescent="0.25">
      <c r="O4122" s="1" t="s">
        <v>246</v>
      </c>
      <c r="P4122" s="18"/>
      <c r="Q4122" s="65"/>
      <c r="R4122" s="53" t="e">
        <f>IF(R4118&lt;R4119,R4120,R4121)</f>
        <v>#NUM!</v>
      </c>
      <c r="S4122" s="49"/>
      <c r="T4122" s="72"/>
      <c r="U4122" s="64" t="e">
        <f>IF(U4118&lt;U4119,U4120,U4121)</f>
        <v>#NUM!</v>
      </c>
      <c r="V4122" s="44"/>
      <c r="W4122" s="72"/>
      <c r="X4122" s="64" t="e">
        <f>IF(X4118&lt;X4119,X4120,X4121)</f>
        <v>#NUM!</v>
      </c>
      <c r="Y4122" s="44"/>
      <c r="Z4122" s="72"/>
      <c r="AA4122" s="64" t="e">
        <f>IF(AA4118&lt;AA4119,AA4120,AA4121)</f>
        <v>#NUM!</v>
      </c>
      <c r="AB4122" s="44"/>
      <c r="AC4122" s="72"/>
      <c r="AD4122" s="64" t="e">
        <f>IF(AD4118&lt;AD4119,AD4120,AD4121)</f>
        <v>#NUM!</v>
      </c>
      <c r="AE4122" s="44"/>
      <c r="AF4122" s="72"/>
      <c r="AG4122" s="64" t="e">
        <f>IF(AG4118&lt;AG4119,AG4120,AG4121)</f>
        <v>#NUM!</v>
      </c>
      <c r="AH4122" s="44"/>
      <c r="AI4122" s="72"/>
      <c r="AJ4122" s="64" t="e">
        <f>IF(AJ4118&lt;AJ4119,AJ4120,AJ4121)</f>
        <v>#NUM!</v>
      </c>
      <c r="AK4122" s="44"/>
      <c r="AL4122" s="72"/>
      <c r="AM4122" s="64" t="e">
        <f>IF(AM4118&lt;AM4119,AM4120,AM4121)</f>
        <v>#NUM!</v>
      </c>
      <c r="AN4122" s="44"/>
      <c r="AO4122" s="72"/>
      <c r="AP4122" s="64" t="e">
        <f>IF(AP4118&lt;AP4119,AP4120,AP4121)</f>
        <v>#NUM!</v>
      </c>
      <c r="AQ4122" s="44"/>
      <c r="AR4122" s="72"/>
      <c r="AS4122" s="64" t="e">
        <f>IF(AS4118&lt;AS4119,AS4120,AS4121)</f>
        <v>#NUM!</v>
      </c>
      <c r="AT4122" s="44"/>
      <c r="AU4122" s="72"/>
    </row>
    <row r="4123" spans="15:47" ht="13" x14ac:dyDescent="0.3">
      <c r="O4123" s="7" t="s">
        <v>264</v>
      </c>
      <c r="Q4123" s="61"/>
      <c r="R4123" s="53"/>
      <c r="S4123" s="69">
        <f>IFERROR(ABS(C_h-R4122),Q_max*10)</f>
        <v>5500</v>
      </c>
      <c r="T4123" s="76">
        <f>R4114</f>
        <v>1240.9483635158513</v>
      </c>
      <c r="U4123" s="61"/>
      <c r="V4123" s="69">
        <f>IFERROR(ABS(U$23-U4122),Q_max*10)</f>
        <v>5500</v>
      </c>
      <c r="W4123" s="75">
        <f>U4114</f>
        <v>1133.3148449498158</v>
      </c>
      <c r="X4123" s="61"/>
      <c r="Y4123" s="69">
        <f>IFERROR(ABS(X$23-X4122),Q_max*10)</f>
        <v>5500</v>
      </c>
      <c r="Z4123" s="75">
        <f>X4114</f>
        <v>2720.3918831568421</v>
      </c>
      <c r="AA4123" s="61"/>
      <c r="AB4123" s="69">
        <f>IFERROR(ABS(AA$23-AA4122),Q_max*10)</f>
        <v>5500</v>
      </c>
      <c r="AC4123" s="75">
        <f>AA4114</f>
        <v>5194.2250964011873</v>
      </c>
      <c r="AD4123" s="61"/>
      <c r="AE4123" s="69">
        <f>IFERROR(ABS(AD$23-AD4122),Q_max*10)</f>
        <v>5500</v>
      </c>
      <c r="AF4123" s="75">
        <f>AD4114</f>
        <v>8542.5878833615006</v>
      </c>
      <c r="AG4123" s="61"/>
      <c r="AH4123" s="69">
        <f>IFERROR(ABS(AG$23-AG4122),Q_max*10)</f>
        <v>5500</v>
      </c>
      <c r="AI4123" s="75">
        <f>AG4114</f>
        <v>12718.749290527105</v>
      </c>
      <c r="AJ4123" s="61"/>
      <c r="AK4123" s="69">
        <f>IFERROR(ABS(AJ$23-AJ4122),Q_max*10)</f>
        <v>5500</v>
      </c>
      <c r="AL4123" s="75">
        <f>AJ4114</f>
        <v>16973.220233295178</v>
      </c>
      <c r="AM4123" s="61"/>
      <c r="AN4123" s="69">
        <f>IFERROR(ABS(AM$23-AM4122),Q_max*10)</f>
        <v>5500</v>
      </c>
      <c r="AO4123" s="75">
        <f>AM4114</f>
        <v>20710.55427451009</v>
      </c>
      <c r="AP4123" s="61"/>
      <c r="AQ4123" s="69">
        <f>IFERROR(ABS(AP$23-AP4122),Q_max*10)</f>
        <v>5500</v>
      </c>
      <c r="AR4123" s="75">
        <f>AP4114</f>
        <v>24044.310561211641</v>
      </c>
      <c r="AS4123" s="61"/>
      <c r="AT4123" s="69">
        <f>IFERROR(ABS(AS$23-AS4122),Q_max*10)</f>
        <v>5500</v>
      </c>
      <c r="AU4123" s="75">
        <f>AS4114</f>
        <v>27364.668282366143</v>
      </c>
    </row>
    <row r="4124" spans="15:47" ht="14.5" x14ac:dyDescent="0.35">
      <c r="O4124" s="6"/>
      <c r="P4124" s="6"/>
      <c r="Q4124" s="60"/>
      <c r="R4124" s="67"/>
      <c r="S4124" s="58"/>
      <c r="T4124" s="73"/>
      <c r="V4124" s="11"/>
      <c r="W4124" s="38"/>
      <c r="Y4124" s="11"/>
      <c r="Z4124" s="38"/>
      <c r="AB4124" s="11"/>
      <c r="AC4124" s="38"/>
      <c r="AE4124" s="11"/>
      <c r="AF4124" s="38"/>
      <c r="AH4124" s="11"/>
      <c r="AI4124" s="38"/>
      <c r="AK4124" s="11"/>
      <c r="AL4124" s="38"/>
      <c r="AN4124" s="11"/>
      <c r="AO4124" s="38"/>
      <c r="AQ4124" s="11"/>
      <c r="AR4124" s="38"/>
      <c r="AT4124" s="11"/>
      <c r="AU4124" s="38"/>
    </row>
    <row r="4125" spans="15:47" ht="14" x14ac:dyDescent="0.3">
      <c r="O4125" s="8" t="s">
        <v>235</v>
      </c>
      <c r="P4125" s="6"/>
      <c r="Q4125" s="60"/>
      <c r="R4125" s="53">
        <f>R4114*1.02</f>
        <v>1265.7673307861683</v>
      </c>
      <c r="S4125" s="58" t="s">
        <v>238</v>
      </c>
      <c r="T4125" s="73" t="s">
        <v>241</v>
      </c>
      <c r="U4125" s="84">
        <f>U4114*1.01</f>
        <v>1144.6479933993139</v>
      </c>
      <c r="V4125" s="58" t="s">
        <v>238</v>
      </c>
      <c r="W4125" s="73" t="s">
        <v>241</v>
      </c>
      <c r="X4125" s="84">
        <f>X4114*1.01</f>
        <v>2747.5958019884106</v>
      </c>
      <c r="Y4125" s="58" t="s">
        <v>238</v>
      </c>
      <c r="Z4125" s="73" t="s">
        <v>241</v>
      </c>
      <c r="AA4125" s="84">
        <f>AA4114*1.01</f>
        <v>5246.167347365199</v>
      </c>
      <c r="AB4125" s="58" t="s">
        <v>238</v>
      </c>
      <c r="AC4125" s="73" t="s">
        <v>241</v>
      </c>
      <c r="AD4125" s="84">
        <f>AD4114*1.01</f>
        <v>8628.0137621951162</v>
      </c>
      <c r="AE4125" s="58" t="s">
        <v>238</v>
      </c>
      <c r="AF4125" s="73" t="s">
        <v>241</v>
      </c>
      <c r="AG4125" s="84">
        <f>AG4114*1.01</f>
        <v>12845.936783432377</v>
      </c>
      <c r="AH4125" s="58" t="s">
        <v>238</v>
      </c>
      <c r="AI4125" s="73" t="s">
        <v>241</v>
      </c>
      <c r="AJ4125" s="84">
        <f>AJ4114*1.01</f>
        <v>17142.952435628129</v>
      </c>
      <c r="AK4125" s="58" t="s">
        <v>238</v>
      </c>
      <c r="AL4125" s="73" t="s">
        <v>241</v>
      </c>
      <c r="AM4125" s="84">
        <f>AM4114*1.01</f>
        <v>20917.659817255193</v>
      </c>
      <c r="AN4125" s="58" t="s">
        <v>238</v>
      </c>
      <c r="AO4125" s="73" t="s">
        <v>241</v>
      </c>
      <c r="AP4125" s="84">
        <f>AP4114*1.01</f>
        <v>24284.753666823759</v>
      </c>
      <c r="AQ4125" s="58" t="s">
        <v>238</v>
      </c>
      <c r="AR4125" s="73" t="s">
        <v>241</v>
      </c>
      <c r="AS4125" s="84">
        <f>AS4114*1.01</f>
        <v>27638.314965189806</v>
      </c>
      <c r="AT4125" s="58" t="s">
        <v>238</v>
      </c>
      <c r="AU4125" s="73" t="s">
        <v>241</v>
      </c>
    </row>
    <row r="4126" spans="15:47" ht="13" x14ac:dyDescent="0.25">
      <c r="O4126" s="6"/>
      <c r="P4126" s="6"/>
      <c r="Q4126" s="60"/>
      <c r="R4126" s="70"/>
      <c r="S4126" s="63" t="s">
        <v>250</v>
      </c>
      <c r="T4126" s="71" t="s">
        <v>242</v>
      </c>
      <c r="U4126" s="61"/>
      <c r="V4126" s="63" t="s">
        <v>250</v>
      </c>
      <c r="W4126" s="71" t="s">
        <v>242</v>
      </c>
      <c r="X4126" s="61"/>
      <c r="Y4126" s="63" t="s">
        <v>250</v>
      </c>
      <c r="Z4126" s="71" t="s">
        <v>242</v>
      </c>
      <c r="AA4126" s="61"/>
      <c r="AB4126" s="63" t="s">
        <v>250</v>
      </c>
      <c r="AC4126" s="71" t="s">
        <v>242</v>
      </c>
      <c r="AD4126" s="61"/>
      <c r="AE4126" s="63" t="s">
        <v>250</v>
      </c>
      <c r="AF4126" s="71" t="s">
        <v>242</v>
      </c>
      <c r="AG4126" s="61"/>
      <c r="AH4126" s="63" t="s">
        <v>250</v>
      </c>
      <c r="AI4126" s="71" t="s">
        <v>242</v>
      </c>
      <c r="AJ4126" s="61"/>
      <c r="AK4126" s="63" t="s">
        <v>250</v>
      </c>
      <c r="AL4126" s="71" t="s">
        <v>242</v>
      </c>
      <c r="AM4126" s="61"/>
      <c r="AN4126" s="63" t="s">
        <v>250</v>
      </c>
      <c r="AO4126" s="71" t="s">
        <v>242</v>
      </c>
      <c r="AP4126" s="61"/>
      <c r="AQ4126" s="63" t="s">
        <v>250</v>
      </c>
      <c r="AR4126" s="71" t="s">
        <v>242</v>
      </c>
      <c r="AS4126" s="61"/>
      <c r="AT4126" s="63" t="s">
        <v>250</v>
      </c>
      <c r="AU4126" s="71" t="s">
        <v>242</v>
      </c>
    </row>
    <row r="4127" spans="15:47" ht="13" x14ac:dyDescent="0.3">
      <c r="O4127" s="6" t="s">
        <v>231</v>
      </c>
      <c r="P4127" s="6"/>
      <c r="Q4127" s="60"/>
      <c r="R4127" s="85">
        <f>P_1_minQ-(R4125^2*R_up)+dpup_minQ</f>
        <v>2.8071619153819283</v>
      </c>
      <c r="S4127" s="56"/>
      <c r="T4127" s="72"/>
      <c r="U4127" s="53">
        <f>P_1_minQ-(U4125^2*R_up)+dpup_minQ</f>
        <v>12.666935873249717</v>
      </c>
      <c r="V4127" s="44"/>
      <c r="W4127" s="72"/>
      <c r="X4127" s="53">
        <f>P_1_minQ-(X4125^2*R_up)+dpup_minQ</f>
        <v>-198.04105677488477</v>
      </c>
      <c r="Y4127" s="44"/>
      <c r="Z4127" s="72"/>
      <c r="AA4127" s="53">
        <f>P_1_minQ-(AA4125^2*R_up)+dpup_minQ</f>
        <v>-872.57632004595769</v>
      </c>
      <c r="AB4127" s="44"/>
      <c r="AC4127" s="72"/>
      <c r="AD4127" s="53">
        <f>P_1_minQ-(AD4125^2*R_up)+dpup_minQ</f>
        <v>-2457.1879257219971</v>
      </c>
      <c r="AE4127" s="44"/>
      <c r="AF4127" s="72"/>
      <c r="AG4127" s="53">
        <f>P_1_minQ-(AG4125^2*R_up)+dpup_minQ</f>
        <v>-5516.1366039831464</v>
      </c>
      <c r="AH4127" s="44"/>
      <c r="AI4127" s="72"/>
      <c r="AJ4127" s="53">
        <f>P_1_minQ-(AJ4125^2*R_up)+dpup_minQ</f>
        <v>-9868.1368189871137</v>
      </c>
      <c r="AK4127" s="44"/>
      <c r="AL4127" s="72"/>
      <c r="AM4127" s="53">
        <f>P_1_minQ-(AM4125^2*R_up)+dpup_minQ</f>
        <v>-14720.135266140242</v>
      </c>
      <c r="AN4127" s="44"/>
      <c r="AO4127" s="72"/>
      <c r="AP4127" s="53">
        <f>P_1_minQ-(AP4125^2*R_up)+dpup_minQ</f>
        <v>-19860.31657069605</v>
      </c>
      <c r="AQ4127" s="44"/>
      <c r="AR4127" s="72"/>
      <c r="AS4127" s="53">
        <f>P_1_minQ-(AS4125^2*R_up)+dpup_minQ</f>
        <v>-25741.005306147748</v>
      </c>
      <c r="AT4127" s="44"/>
      <c r="AU4127" s="72"/>
    </row>
    <row r="4128" spans="15:47" ht="13" x14ac:dyDescent="0.3">
      <c r="O4128" s="6" t="s">
        <v>233</v>
      </c>
      <c r="P4128" s="6"/>
      <c r="Q4128" s="60"/>
      <c r="R4128" s="85">
        <f>P_2_minQ+(R4125^2*R_dn)-dpdn_minQ</f>
        <v>35.47856761692362</v>
      </c>
      <c r="S4128" s="66"/>
      <c r="T4128" s="74"/>
      <c r="U4128" s="53">
        <f>P_2_minQ+(U4125^2*R_dn)-dpdn_minQ</f>
        <v>33.506612825350061</v>
      </c>
      <c r="V4128" s="45"/>
      <c r="W4128" s="74"/>
      <c r="X4128" s="53">
        <f>P_2_minQ+(X4125^2*R_dn)-dpdn_minQ</f>
        <v>75.648211354976951</v>
      </c>
      <c r="Y4128" s="45"/>
      <c r="Z4128" s="74"/>
      <c r="AA4128" s="53">
        <f>P_2_minQ+(AA4125^2*R_dn)-dpdn_minQ</f>
        <v>210.55526400919152</v>
      </c>
      <c r="AB4128" s="45"/>
      <c r="AC4128" s="74"/>
      <c r="AD4128" s="53">
        <f>P_2_minQ+(AD4125^2*R_dn)-dpdn_minQ</f>
        <v>527.47758514439931</v>
      </c>
      <c r="AE4128" s="45"/>
      <c r="AF4128" s="74"/>
      <c r="AG4128" s="53">
        <f>P_2_minQ+(AG4125^2*R_dn)-dpdn_minQ</f>
        <v>1139.2673207966293</v>
      </c>
      <c r="AH4128" s="45"/>
      <c r="AI4128" s="74"/>
      <c r="AJ4128" s="53">
        <f>P_2_minQ+(AJ4125^2*R_dn)-dpdn_minQ</f>
        <v>2009.6673637974227</v>
      </c>
      <c r="AK4128" s="45"/>
      <c r="AL4128" s="74"/>
      <c r="AM4128" s="53">
        <f>P_2_minQ+(AM4125^2*R_dn)-dpdn_minQ</f>
        <v>2980.0670532280483</v>
      </c>
      <c r="AN4128" s="45"/>
      <c r="AO4128" s="74"/>
      <c r="AP4128" s="53">
        <f>P_2_minQ+(AP4125^2*R_dn)-dpdn_minQ</f>
        <v>4008.1033141392099</v>
      </c>
      <c r="AQ4128" s="45"/>
      <c r="AR4128" s="74"/>
      <c r="AS4128" s="53">
        <f>P_2_minQ+(AS4125^2*R_dn)-dpdn_minQ</f>
        <v>5184.2410612295489</v>
      </c>
      <c r="AT4128" s="45"/>
      <c r="AU4128" s="74"/>
    </row>
    <row r="4129" spans="15:47" x14ac:dyDescent="0.25">
      <c r="O4129" s="6" t="s">
        <v>243</v>
      </c>
      <c r="Q4129" s="60"/>
      <c r="R4129" s="53">
        <f>R4127-R4128</f>
        <v>-32.671405701541694</v>
      </c>
      <c r="S4129" s="56"/>
      <c r="T4129" s="72"/>
      <c r="U4129" s="64">
        <f>U4127-U4128</f>
        <v>-20.839676952100344</v>
      </c>
      <c r="V4129" s="44"/>
      <c r="W4129" s="72"/>
      <c r="X4129" s="64">
        <f>X4127-X4128</f>
        <v>-273.68926812986172</v>
      </c>
      <c r="Y4129" s="44"/>
      <c r="Z4129" s="72"/>
      <c r="AA4129" s="64">
        <f>AA4127-AA4128</f>
        <v>-1083.1315840551492</v>
      </c>
      <c r="AB4129" s="44"/>
      <c r="AC4129" s="72"/>
      <c r="AD4129" s="64">
        <f>AD4127-AD4128</f>
        <v>-2984.6655108663963</v>
      </c>
      <c r="AE4129" s="44"/>
      <c r="AF4129" s="72"/>
      <c r="AG4129" s="64">
        <f>AG4127-AG4128</f>
        <v>-6655.4039247797755</v>
      </c>
      <c r="AH4129" s="44"/>
      <c r="AI4129" s="72"/>
      <c r="AJ4129" s="64">
        <f>AJ4127-AJ4128</f>
        <v>-11877.804182784537</v>
      </c>
      <c r="AK4129" s="44"/>
      <c r="AL4129" s="72"/>
      <c r="AM4129" s="64">
        <f>AM4127-AM4128</f>
        <v>-17700.202319368291</v>
      </c>
      <c r="AN4129" s="44"/>
      <c r="AO4129" s="72"/>
      <c r="AP4129" s="64">
        <f>AP4127-AP4128</f>
        <v>-23868.419884835261</v>
      </c>
      <c r="AQ4129" s="44"/>
      <c r="AR4129" s="72"/>
      <c r="AS4129" s="64">
        <f>AS4127-AS4128</f>
        <v>-30925.246367377298</v>
      </c>
      <c r="AT4129" s="44"/>
      <c r="AU4129" s="72"/>
    </row>
    <row r="4130" spans="15:47" ht="13" x14ac:dyDescent="0.3">
      <c r="O4130" s="6" t="s">
        <v>75</v>
      </c>
      <c r="P4130" s="6">
        <v>3</v>
      </c>
      <c r="Q4130" s="65"/>
      <c r="R4130" s="85">
        <f>(F_LP_h/F_P_h)^2*(R4127-('Valve Sizing'!$V$4*'Valve Sizing'!$G$7))</f>
        <v>1.9600865651942374</v>
      </c>
      <c r="S4130" s="58"/>
      <c r="T4130" s="73"/>
      <c r="U4130" s="53">
        <f>(U$29/U$27)^2*(U4127-('Valve Sizing'!$V$4*'Valve Sizing'!$G$7))</f>
        <v>10.121737421628561</v>
      </c>
      <c r="V4130" s="41"/>
      <c r="W4130" s="73"/>
      <c r="X4130" s="53">
        <f>(X$29/X$27)^2*(X4127-('Valve Sizing'!$V$4*'Valve Sizing'!$G$7))</f>
        <v>-160.60170131530256</v>
      </c>
      <c r="Y4130" s="41"/>
      <c r="Z4130" s="73"/>
      <c r="AA4130" s="53">
        <f>(AA$29/AA$27)^2*(AA4127-('Valve Sizing'!$V$4*'Valve Sizing'!$G$7))</f>
        <v>-674.66463089404647</v>
      </c>
      <c r="AB4130" s="41"/>
      <c r="AC4130" s="73"/>
      <c r="AD4130" s="53">
        <f>(AD$29/AD$27)^2*(AD4127-('Valve Sizing'!$V$4*'Valve Sizing'!$G$7))</f>
        <v>-1772.4103531441449</v>
      </c>
      <c r="AE4130" s="41"/>
      <c r="AF4130" s="73"/>
      <c r="AG4130" s="53">
        <f>(AG$29/AG$27)^2*(AG4127-('Valve Sizing'!$V$4*'Valve Sizing'!$G$7))</f>
        <v>-3552.9178301749002</v>
      </c>
      <c r="AH4130" s="41"/>
      <c r="AI4130" s="73"/>
      <c r="AJ4130" s="53">
        <f>(AJ$29/AJ$27)^2*(AJ4127-('Valve Sizing'!$V$4*'Valve Sizing'!$G$7))</f>
        <v>-5707.6329058828869</v>
      </c>
      <c r="AK4130" s="41"/>
      <c r="AL4130" s="73"/>
      <c r="AM4130" s="53">
        <f>(AM$29/AM$27)^2*(AM4127-('Valve Sizing'!$V$4*'Valve Sizing'!$G$7))</f>
        <v>-7043.3853141820537</v>
      </c>
      <c r="AN4130" s="41"/>
      <c r="AO4130" s="73"/>
      <c r="AP4130" s="53">
        <f>(AP$29/AP$27)^2*(AP4127-('Valve Sizing'!$V$4*'Valve Sizing'!$G$7))</f>
        <v>-7837.5873771889874</v>
      </c>
      <c r="AQ4130" s="41"/>
      <c r="AR4130" s="73"/>
      <c r="AS4130" s="53">
        <f>(AS$29/AS$27)^2*(AS4127-('Valve Sizing'!$V$4*'Valve Sizing'!$G$7))</f>
        <v>-9682.407700526097</v>
      </c>
      <c r="AT4130" s="41"/>
      <c r="AU4130" s="73"/>
    </row>
    <row r="4131" spans="15:47" ht="13" x14ac:dyDescent="0.25">
      <c r="O4131" s="1" t="s">
        <v>69</v>
      </c>
      <c r="P4131" s="17">
        <v>7</v>
      </c>
      <c r="Q4131" s="65"/>
      <c r="R4131" s="53" t="e">
        <f>(R4125/(N_1*F_P_h))*SQRT('Valve Sizing'!$G$6/R4129)</f>
        <v>#NUM!</v>
      </c>
      <c r="S4131" s="58"/>
      <c r="T4131" s="73"/>
      <c r="U4131" s="64" t="e">
        <f>(U4125/(N_1*U$27))*SQRT('Valve Sizing'!$G$6/U4129)</f>
        <v>#NUM!</v>
      </c>
      <c r="V4131" s="41"/>
      <c r="W4131" s="73"/>
      <c r="X4131" s="64" t="e">
        <f>(X4125/(N_1*X$27))*SQRT('Valve Sizing'!$G$6/X4129)</f>
        <v>#NUM!</v>
      </c>
      <c r="Y4131" s="41"/>
      <c r="Z4131" s="73"/>
      <c r="AA4131" s="64" t="e">
        <f>(AA4125/(N_1*AA$27))*SQRT('Valve Sizing'!$G$6/AA4129)</f>
        <v>#NUM!</v>
      </c>
      <c r="AB4131" s="41"/>
      <c r="AC4131" s="73"/>
      <c r="AD4131" s="64" t="e">
        <f>(AD4125/(N_1*AD$27))*SQRT('Valve Sizing'!$G$6/AD4129)</f>
        <v>#NUM!</v>
      </c>
      <c r="AE4131" s="41"/>
      <c r="AF4131" s="73"/>
      <c r="AG4131" s="64" t="e">
        <f>(AG4125/(N_1*AG$27))*SQRT('Valve Sizing'!$G$6/AG4129)</f>
        <v>#NUM!</v>
      </c>
      <c r="AH4131" s="41"/>
      <c r="AI4131" s="73"/>
      <c r="AJ4131" s="64" t="e">
        <f>(AJ4125/(N_1*AJ$27))*SQRT('Valve Sizing'!$G$6/AJ4129)</f>
        <v>#NUM!</v>
      </c>
      <c r="AK4131" s="41"/>
      <c r="AL4131" s="73"/>
      <c r="AM4131" s="64" t="e">
        <f>(AM4125/(N_1*AM$27))*SQRT('Valve Sizing'!$G$6/AM4129)</f>
        <v>#NUM!</v>
      </c>
      <c r="AN4131" s="41"/>
      <c r="AO4131" s="73"/>
      <c r="AP4131" s="64" t="e">
        <f>(AP4125/(N_1*AP$27))*SQRT('Valve Sizing'!$G$6/AP4129)</f>
        <v>#NUM!</v>
      </c>
      <c r="AQ4131" s="41"/>
      <c r="AR4131" s="73"/>
      <c r="AS4131" s="64" t="e">
        <f>(AS4125/(N_1*AS$27))*SQRT('Valve Sizing'!$G$6/AS4129)</f>
        <v>#NUM!</v>
      </c>
      <c r="AT4131" s="41"/>
      <c r="AU4131" s="73"/>
    </row>
    <row r="4132" spans="15:47" ht="13" x14ac:dyDescent="0.3">
      <c r="O4132" s="1" t="s">
        <v>72</v>
      </c>
      <c r="P4132" s="17">
        <v>7</v>
      </c>
      <c r="Q4132" s="65"/>
      <c r="R4132" s="53">
        <f>(R4125/(N_1*F_P_h))*SQRT('Valve Sizing'!$G$6/R4130)</f>
        <v>904.23181846360592</v>
      </c>
      <c r="S4132" s="56"/>
      <c r="T4132" s="72"/>
      <c r="U4132" s="85">
        <f>(U4125/(N_1*U$27))*SQRT('Valve Sizing'!$G$6/U4130)</f>
        <v>360.08919372642083</v>
      </c>
      <c r="V4132" s="44"/>
      <c r="W4132" s="72"/>
      <c r="X4132" s="85" t="e">
        <f>(X4125/(N_1*X$27))*SQRT('Valve Sizing'!$G$6/X4130)</f>
        <v>#NUM!</v>
      </c>
      <c r="Y4132" s="44"/>
      <c r="Z4132" s="72"/>
      <c r="AA4132" s="85" t="e">
        <f>(AA4125/(N_1*AA$27))*SQRT('Valve Sizing'!$G$6/AA4130)</f>
        <v>#NUM!</v>
      </c>
      <c r="AB4132" s="44"/>
      <c r="AC4132" s="72"/>
      <c r="AD4132" s="85" t="e">
        <f>(AD4125/(N_1*AD$27))*SQRT('Valve Sizing'!$G$6/AD4130)</f>
        <v>#NUM!</v>
      </c>
      <c r="AE4132" s="44"/>
      <c r="AF4132" s="72"/>
      <c r="AG4132" s="85" t="e">
        <f>(AG4125/(N_1*AG$27))*SQRT('Valve Sizing'!$G$6/AG4130)</f>
        <v>#NUM!</v>
      </c>
      <c r="AH4132" s="44"/>
      <c r="AI4132" s="72"/>
      <c r="AJ4132" s="85" t="e">
        <f>(AJ4125/(N_1*AJ$27))*SQRT('Valve Sizing'!$G$6/AJ4130)</f>
        <v>#NUM!</v>
      </c>
      <c r="AK4132" s="44"/>
      <c r="AL4132" s="72"/>
      <c r="AM4132" s="85" t="e">
        <f>(AM4125/(N_1*AM$27))*SQRT('Valve Sizing'!$G$6/AM4130)</f>
        <v>#NUM!</v>
      </c>
      <c r="AN4132" s="44"/>
      <c r="AO4132" s="72"/>
      <c r="AP4132" s="85" t="e">
        <f>(AP4125/(N_1*AP$27))*SQRT('Valve Sizing'!$G$6/AP4130)</f>
        <v>#NUM!</v>
      </c>
      <c r="AQ4132" s="44"/>
      <c r="AR4132" s="72"/>
      <c r="AS4132" s="85" t="e">
        <f>(AS4125/(N_1*AS$27))*SQRT('Valve Sizing'!$G$6/AS4130)</f>
        <v>#NUM!</v>
      </c>
      <c r="AT4132" s="44"/>
      <c r="AU4132" s="72"/>
    </row>
    <row r="4133" spans="15:47" x14ac:dyDescent="0.25">
      <c r="O4133" s="1" t="s">
        <v>246</v>
      </c>
      <c r="P4133" s="18"/>
      <c r="Q4133" s="65"/>
      <c r="R4133" s="53" t="e">
        <f>IF(R4129&lt;R4130,R4131,R4132)</f>
        <v>#NUM!</v>
      </c>
      <c r="S4133" s="49"/>
      <c r="T4133" s="72"/>
      <c r="U4133" s="64" t="e">
        <f>IF(U4129&lt;U4130,U4131,U4132)</f>
        <v>#NUM!</v>
      </c>
      <c r="V4133" s="44"/>
      <c r="W4133" s="72"/>
      <c r="X4133" s="64" t="e">
        <f>IF(X4129&lt;X4130,X4131,X4132)</f>
        <v>#NUM!</v>
      </c>
      <c r="Y4133" s="44"/>
      <c r="Z4133" s="72"/>
      <c r="AA4133" s="64" t="e">
        <f>IF(AA4129&lt;AA4130,AA4131,AA4132)</f>
        <v>#NUM!</v>
      </c>
      <c r="AB4133" s="44"/>
      <c r="AC4133" s="72"/>
      <c r="AD4133" s="64" t="e">
        <f>IF(AD4129&lt;AD4130,AD4131,AD4132)</f>
        <v>#NUM!</v>
      </c>
      <c r="AE4133" s="44"/>
      <c r="AF4133" s="72"/>
      <c r="AG4133" s="64" t="e">
        <f>IF(AG4129&lt;AG4130,AG4131,AG4132)</f>
        <v>#NUM!</v>
      </c>
      <c r="AH4133" s="44"/>
      <c r="AI4133" s="72"/>
      <c r="AJ4133" s="64" t="e">
        <f>IF(AJ4129&lt;AJ4130,AJ4131,AJ4132)</f>
        <v>#NUM!</v>
      </c>
      <c r="AK4133" s="44"/>
      <c r="AL4133" s="72"/>
      <c r="AM4133" s="64" t="e">
        <f>IF(AM4129&lt;AM4130,AM4131,AM4132)</f>
        <v>#NUM!</v>
      </c>
      <c r="AN4133" s="44"/>
      <c r="AO4133" s="72"/>
      <c r="AP4133" s="64" t="e">
        <f>IF(AP4129&lt;AP4130,AP4131,AP4132)</f>
        <v>#NUM!</v>
      </c>
      <c r="AQ4133" s="44"/>
      <c r="AR4133" s="72"/>
      <c r="AS4133" s="64" t="e">
        <f>IF(AS4129&lt;AS4130,AS4131,AS4132)</f>
        <v>#NUM!</v>
      </c>
      <c r="AT4133" s="44"/>
      <c r="AU4133" s="72"/>
    </row>
    <row r="4134" spans="15:47" ht="13" x14ac:dyDescent="0.3">
      <c r="O4134" s="7" t="s">
        <v>264</v>
      </c>
      <c r="Q4134" s="61"/>
      <c r="R4134" s="53"/>
      <c r="S4134" s="69">
        <f>IFERROR(ABS(C_h-R4133),Q_max*10)</f>
        <v>5500</v>
      </c>
      <c r="T4134" s="76">
        <f>R4125</f>
        <v>1265.7673307861683</v>
      </c>
      <c r="U4134" s="61"/>
      <c r="V4134" s="69">
        <f>IFERROR(ABS(U$23-U4133),Q_max*10)</f>
        <v>5500</v>
      </c>
      <c r="W4134" s="75">
        <f>U4125</f>
        <v>1144.6479933993139</v>
      </c>
      <c r="X4134" s="61"/>
      <c r="Y4134" s="69">
        <f>IFERROR(ABS(X$23-X4133),Q_max*10)</f>
        <v>5500</v>
      </c>
      <c r="Z4134" s="75">
        <f>X4125</f>
        <v>2747.5958019884106</v>
      </c>
      <c r="AA4134" s="61"/>
      <c r="AB4134" s="69">
        <f>IFERROR(ABS(AA$23-AA4133),Q_max*10)</f>
        <v>5500</v>
      </c>
      <c r="AC4134" s="75">
        <f>AA4125</f>
        <v>5246.167347365199</v>
      </c>
      <c r="AD4134" s="61"/>
      <c r="AE4134" s="69">
        <f>IFERROR(ABS(AD$23-AD4133),Q_max*10)</f>
        <v>5500</v>
      </c>
      <c r="AF4134" s="75">
        <f>AD4125</f>
        <v>8628.0137621951162</v>
      </c>
      <c r="AG4134" s="61"/>
      <c r="AH4134" s="69">
        <f>IFERROR(ABS(AG$23-AG4133),Q_max*10)</f>
        <v>5500</v>
      </c>
      <c r="AI4134" s="75">
        <f>AG4125</f>
        <v>12845.936783432377</v>
      </c>
      <c r="AJ4134" s="61"/>
      <c r="AK4134" s="69">
        <f>IFERROR(ABS(AJ$23-AJ4133),Q_max*10)</f>
        <v>5500</v>
      </c>
      <c r="AL4134" s="75">
        <f>AJ4125</f>
        <v>17142.952435628129</v>
      </c>
      <c r="AM4134" s="61"/>
      <c r="AN4134" s="69">
        <f>IFERROR(ABS(AM$23-AM4133),Q_max*10)</f>
        <v>5500</v>
      </c>
      <c r="AO4134" s="75">
        <f>AM4125</f>
        <v>20917.659817255193</v>
      </c>
      <c r="AP4134" s="61"/>
      <c r="AQ4134" s="69">
        <f>IFERROR(ABS(AP$23-AP4133),Q_max*10)</f>
        <v>5500</v>
      </c>
      <c r="AR4134" s="75">
        <f>AP4125</f>
        <v>24284.753666823759</v>
      </c>
      <c r="AS4134" s="61"/>
      <c r="AT4134" s="69">
        <f>IFERROR(ABS(AS$23-AS4133),Q_max*10)</f>
        <v>5500</v>
      </c>
      <c r="AU4134" s="75">
        <f>AS4125</f>
        <v>27638.314965189806</v>
      </c>
    </row>
    <row r="4135" spans="15:47" ht="14.5" x14ac:dyDescent="0.35">
      <c r="O4135" s="8"/>
      <c r="P4135" s="6"/>
      <c r="Q4135" s="60"/>
      <c r="R4135" s="67"/>
      <c r="S4135" s="56"/>
      <c r="T4135" s="72"/>
      <c r="V4135" s="11"/>
      <c r="W4135" s="38"/>
      <c r="Y4135" s="11"/>
      <c r="Z4135" s="38"/>
      <c r="AB4135" s="11"/>
      <c r="AC4135" s="38"/>
      <c r="AE4135" s="11"/>
      <c r="AF4135" s="38"/>
      <c r="AH4135" s="11"/>
      <c r="AI4135" s="38"/>
      <c r="AK4135" s="11"/>
      <c r="AL4135" s="38"/>
      <c r="AN4135" s="11"/>
      <c r="AO4135" s="38"/>
      <c r="AQ4135" s="11"/>
      <c r="AR4135" s="38"/>
      <c r="AT4135" s="11"/>
      <c r="AU4135" s="38"/>
    </row>
    <row r="4136" spans="15:47" ht="14" x14ac:dyDescent="0.3">
      <c r="O4136" s="8" t="s">
        <v>235</v>
      </c>
      <c r="P4136" s="6"/>
      <c r="Q4136" s="60"/>
      <c r="R4136" s="53">
        <f>R4125*1.02</f>
        <v>1291.0826774018917</v>
      </c>
      <c r="S4136" s="58" t="s">
        <v>238</v>
      </c>
      <c r="T4136" s="73" t="s">
        <v>241</v>
      </c>
      <c r="U4136" s="84">
        <f>U4125*1.01</f>
        <v>1156.0944733333072</v>
      </c>
      <c r="V4136" s="58" t="s">
        <v>238</v>
      </c>
      <c r="W4136" s="73" t="s">
        <v>241</v>
      </c>
      <c r="X4136" s="84">
        <f>X4125*1.01</f>
        <v>2775.0717600082949</v>
      </c>
      <c r="Y4136" s="58" t="s">
        <v>238</v>
      </c>
      <c r="Z4136" s="73" t="s">
        <v>241</v>
      </c>
      <c r="AA4136" s="84">
        <f>AA4125*1.01</f>
        <v>5298.6290208388509</v>
      </c>
      <c r="AB4136" s="58" t="s">
        <v>238</v>
      </c>
      <c r="AC4136" s="73" t="s">
        <v>241</v>
      </c>
      <c r="AD4136" s="84">
        <f>AD4125*1.01</f>
        <v>8714.2938998170666</v>
      </c>
      <c r="AE4136" s="58" t="s">
        <v>238</v>
      </c>
      <c r="AF4136" s="73" t="s">
        <v>241</v>
      </c>
      <c r="AG4136" s="84">
        <f>AG4125*1.01</f>
        <v>12974.396151266701</v>
      </c>
      <c r="AH4136" s="58" t="s">
        <v>238</v>
      </c>
      <c r="AI4136" s="73" t="s">
        <v>241</v>
      </c>
      <c r="AJ4136" s="84">
        <f>AJ4125*1.01</f>
        <v>17314.38195998441</v>
      </c>
      <c r="AK4136" s="58" t="s">
        <v>238</v>
      </c>
      <c r="AL4136" s="73" t="s">
        <v>241</v>
      </c>
      <c r="AM4136" s="84">
        <f>AM4125*1.01</f>
        <v>21126.836415427744</v>
      </c>
      <c r="AN4136" s="58" t="s">
        <v>238</v>
      </c>
      <c r="AO4136" s="73" t="s">
        <v>241</v>
      </c>
      <c r="AP4136" s="84">
        <f>AP4125*1.01</f>
        <v>24527.601203491995</v>
      </c>
      <c r="AQ4136" s="58" t="s">
        <v>238</v>
      </c>
      <c r="AR4136" s="73" t="s">
        <v>241</v>
      </c>
      <c r="AS4136" s="84">
        <f>AS4125*1.01</f>
        <v>27914.698114841704</v>
      </c>
      <c r="AT4136" s="58" t="s">
        <v>238</v>
      </c>
      <c r="AU4136" s="73" t="s">
        <v>241</v>
      </c>
    </row>
    <row r="4137" spans="15:47" ht="13" x14ac:dyDescent="0.25">
      <c r="O4137" s="6"/>
      <c r="P4137" s="6"/>
      <c r="Q4137" s="60"/>
      <c r="R4137" s="70"/>
      <c r="S4137" s="63" t="s">
        <v>250</v>
      </c>
      <c r="T4137" s="71" t="s">
        <v>242</v>
      </c>
      <c r="U4137" s="61"/>
      <c r="V4137" s="63" t="s">
        <v>250</v>
      </c>
      <c r="W4137" s="71" t="s">
        <v>242</v>
      </c>
      <c r="X4137" s="61"/>
      <c r="Y4137" s="63" t="s">
        <v>250</v>
      </c>
      <c r="Z4137" s="71" t="s">
        <v>242</v>
      </c>
      <c r="AA4137" s="61"/>
      <c r="AB4137" s="63" t="s">
        <v>250</v>
      </c>
      <c r="AC4137" s="71" t="s">
        <v>242</v>
      </c>
      <c r="AD4137" s="61"/>
      <c r="AE4137" s="63" t="s">
        <v>250</v>
      </c>
      <c r="AF4137" s="71" t="s">
        <v>242</v>
      </c>
      <c r="AG4137" s="61"/>
      <c r="AH4137" s="63" t="s">
        <v>250</v>
      </c>
      <c r="AI4137" s="71" t="s">
        <v>242</v>
      </c>
      <c r="AJ4137" s="61"/>
      <c r="AK4137" s="63" t="s">
        <v>250</v>
      </c>
      <c r="AL4137" s="71" t="s">
        <v>242</v>
      </c>
      <c r="AM4137" s="61"/>
      <c r="AN4137" s="63" t="s">
        <v>250</v>
      </c>
      <c r="AO4137" s="71" t="s">
        <v>242</v>
      </c>
      <c r="AP4137" s="61"/>
      <c r="AQ4137" s="63" t="s">
        <v>250</v>
      </c>
      <c r="AR4137" s="71" t="s">
        <v>242</v>
      </c>
      <c r="AS4137" s="61"/>
      <c r="AT4137" s="63" t="s">
        <v>250</v>
      </c>
      <c r="AU4137" s="71" t="s">
        <v>242</v>
      </c>
    </row>
    <row r="4138" spans="15:47" ht="13" x14ac:dyDescent="0.3">
      <c r="O4138" s="6" t="s">
        <v>231</v>
      </c>
      <c r="P4138" s="6"/>
      <c r="Q4138" s="60"/>
      <c r="R4138" s="85">
        <f>P_1_minQ-(R4136^2*R_up)+dpup_minQ</f>
        <v>0.62115907169073659</v>
      </c>
      <c r="S4138" s="56"/>
      <c r="T4138" s="72"/>
      <c r="U4138" s="53">
        <f>P_1_minQ-(U4136^2*R_up)+dpup_minQ</f>
        <v>11.777526806085216</v>
      </c>
      <c r="V4138" s="44"/>
      <c r="W4138" s="72"/>
      <c r="X4138" s="53">
        <f>P_1_minQ-(X4136^2*R_up)+dpup_minQ</f>
        <v>-203.16569649427683</v>
      </c>
      <c r="Y4138" s="44"/>
      <c r="Z4138" s="72"/>
      <c r="AA4138" s="53">
        <f>P_1_minQ-(AA4136^2*R_up)+dpup_minQ</f>
        <v>-891.25911855709819</v>
      </c>
      <c r="AB4138" s="44"/>
      <c r="AC4138" s="72"/>
      <c r="AD4138" s="53">
        <f>P_1_minQ-(AD4136^2*R_up)+dpup_minQ</f>
        <v>-2507.7214175072259</v>
      </c>
      <c r="AE4138" s="44"/>
      <c r="AF4138" s="72"/>
      <c r="AG4138" s="53">
        <f>P_1_minQ-(AG4136^2*R_up)+dpup_minQ</f>
        <v>-5628.1549642014252</v>
      </c>
      <c r="AH4138" s="44"/>
      <c r="AI4138" s="72"/>
      <c r="AJ4138" s="53">
        <f>P_1_minQ-(AJ4136^2*R_up)+dpup_minQ</f>
        <v>-10067.630383526972</v>
      </c>
      <c r="AK4138" s="44"/>
      <c r="AL4138" s="72"/>
      <c r="AM4138" s="53">
        <f>P_1_minQ-(AM4136^2*R_up)+dpup_minQ</f>
        <v>-15017.153999467877</v>
      </c>
      <c r="AN4138" s="44"/>
      <c r="AO4138" s="72"/>
      <c r="AP4138" s="53">
        <f>P_1_minQ-(AP4136^2*R_up)+dpup_minQ</f>
        <v>-20260.652948245257</v>
      </c>
      <c r="AQ4138" s="44"/>
      <c r="AR4138" s="72"/>
      <c r="AS4138" s="53">
        <f>P_1_minQ-(AS4136^2*R_up)+dpup_minQ</f>
        <v>-26259.543527279533</v>
      </c>
      <c r="AT4138" s="44"/>
      <c r="AU4138" s="72"/>
    </row>
    <row r="4139" spans="15:47" ht="13" x14ac:dyDescent="0.3">
      <c r="O4139" s="6" t="s">
        <v>233</v>
      </c>
      <c r="P4139" s="6"/>
      <c r="Q4139" s="60"/>
      <c r="R4139" s="85">
        <f>P_2_minQ+(R4136^2*R_dn)-dpdn_minQ</f>
        <v>35.915768185661861</v>
      </c>
      <c r="S4139" s="66"/>
      <c r="T4139" s="74"/>
      <c r="U4139" s="53">
        <f>P_2_minQ+(U4136^2*R_dn)-dpdn_minQ</f>
        <v>33.684494638782965</v>
      </c>
      <c r="V4139" s="45"/>
      <c r="W4139" s="74"/>
      <c r="X4139" s="53">
        <f>P_2_minQ+(X4136^2*R_dn)-dpdn_minQ</f>
        <v>76.673139298855347</v>
      </c>
      <c r="Y4139" s="45"/>
      <c r="Z4139" s="74"/>
      <c r="AA4139" s="53">
        <f>P_2_minQ+(AA4136^2*R_dn)-dpdn_minQ</f>
        <v>214.29182371141965</v>
      </c>
      <c r="AB4139" s="45"/>
      <c r="AC4139" s="74"/>
      <c r="AD4139" s="53">
        <f>P_2_minQ+(AD4136^2*R_dn)-dpdn_minQ</f>
        <v>537.58428350144504</v>
      </c>
      <c r="AE4139" s="45"/>
      <c r="AF4139" s="74"/>
      <c r="AG4139" s="53">
        <f>P_2_minQ+(AG4136^2*R_dn)-dpdn_minQ</f>
        <v>1161.670992840285</v>
      </c>
      <c r="AH4139" s="45"/>
      <c r="AI4139" s="74"/>
      <c r="AJ4139" s="53">
        <f>P_2_minQ+(AJ4136^2*R_dn)-dpdn_minQ</f>
        <v>2049.5660767053942</v>
      </c>
      <c r="AK4139" s="45"/>
      <c r="AL4139" s="74"/>
      <c r="AM4139" s="53">
        <f>P_2_minQ+(AM4136^2*R_dn)-dpdn_minQ</f>
        <v>3039.4707998935751</v>
      </c>
      <c r="AN4139" s="45"/>
      <c r="AO4139" s="74"/>
      <c r="AP4139" s="53">
        <f>P_2_minQ+(AP4136^2*R_dn)-dpdn_minQ</f>
        <v>4088.1705896490507</v>
      </c>
      <c r="AQ4139" s="45"/>
      <c r="AR4139" s="74"/>
      <c r="AS4139" s="53">
        <f>P_2_minQ+(AS4136^2*R_dn)-dpdn_minQ</f>
        <v>5287.9487054559067</v>
      </c>
      <c r="AT4139" s="45"/>
      <c r="AU4139" s="74"/>
    </row>
    <row r="4140" spans="15:47" x14ac:dyDescent="0.25">
      <c r="O4140" s="6" t="s">
        <v>243</v>
      </c>
      <c r="Q4140" s="60"/>
      <c r="R4140" s="53">
        <f>R4138-R4139</f>
        <v>-35.294609113971127</v>
      </c>
      <c r="S4140" s="56"/>
      <c r="T4140" s="72"/>
      <c r="U4140" s="64">
        <f>U4138-U4139</f>
        <v>-21.906967832697749</v>
      </c>
      <c r="V4140" s="44"/>
      <c r="W4140" s="72"/>
      <c r="X4140" s="64">
        <f>X4138-X4139</f>
        <v>-279.83883579313215</v>
      </c>
      <c r="Y4140" s="44"/>
      <c r="Z4140" s="72"/>
      <c r="AA4140" s="64">
        <f>AA4138-AA4139</f>
        <v>-1105.5509422685179</v>
      </c>
      <c r="AB4140" s="44"/>
      <c r="AC4140" s="72"/>
      <c r="AD4140" s="64">
        <f>AD4138-AD4139</f>
        <v>-3045.3057010086709</v>
      </c>
      <c r="AE4140" s="44"/>
      <c r="AF4140" s="72"/>
      <c r="AG4140" s="64">
        <f>AG4138-AG4139</f>
        <v>-6789.8259570417104</v>
      </c>
      <c r="AH4140" s="44"/>
      <c r="AI4140" s="72"/>
      <c r="AJ4140" s="64">
        <f>AJ4138-AJ4139</f>
        <v>-12117.196460232366</v>
      </c>
      <c r="AK4140" s="44"/>
      <c r="AL4140" s="72"/>
      <c r="AM4140" s="64">
        <f>AM4138-AM4139</f>
        <v>-18056.624799361452</v>
      </c>
      <c r="AN4140" s="44"/>
      <c r="AO4140" s="72"/>
      <c r="AP4140" s="64">
        <f>AP4138-AP4139</f>
        <v>-24348.823537894306</v>
      </c>
      <c r="AQ4140" s="44"/>
      <c r="AR4140" s="72"/>
      <c r="AS4140" s="64">
        <f>AS4138-AS4139</f>
        <v>-31547.49223273544</v>
      </c>
      <c r="AT4140" s="44"/>
      <c r="AU4140" s="72"/>
    </row>
    <row r="4141" spans="15:47" ht="13" x14ac:dyDescent="0.3">
      <c r="O4141" s="6" t="s">
        <v>75</v>
      </c>
      <c r="P4141" s="6">
        <v>3</v>
      </c>
      <c r="Q4141" s="65"/>
      <c r="R4141" s="85">
        <f>(F_LP_h/F_P_h)^2*(R4138-('Valve Sizing'!$V$4*'Valve Sizing'!$G$7))</f>
        <v>0.14996146746269839</v>
      </c>
      <c r="S4141" s="58"/>
      <c r="T4141" s="73"/>
      <c r="U4141" s="53">
        <f>(U$29/U$27)^2*(U4138-('Valve Sizing'!$V$4*'Valve Sizing'!$G$7))</f>
        <v>9.3854607623013955</v>
      </c>
      <c r="V4141" s="41"/>
      <c r="W4141" s="73"/>
      <c r="X4141" s="53">
        <f>(X$29/X$27)^2*(X4138-('Valve Sizing'!$V$4*'Valve Sizing'!$G$7))</f>
        <v>-164.74832181301846</v>
      </c>
      <c r="Y4141" s="41"/>
      <c r="Z4141" s="73"/>
      <c r="AA4141" s="53">
        <f>(AA$29/AA$27)^2*(AA4138-('Valve Sizing'!$V$4*'Valve Sizing'!$G$7))</f>
        <v>-689.10264567056015</v>
      </c>
      <c r="AB4141" s="41"/>
      <c r="AC4141" s="73"/>
      <c r="AD4141" s="53">
        <f>(AD$29/AD$27)^2*(AD4138-('Valve Sizing'!$V$4*'Valve Sizing'!$G$7))</f>
        <v>-1808.854471060268</v>
      </c>
      <c r="AE4141" s="41"/>
      <c r="AF4141" s="73"/>
      <c r="AG4141" s="53">
        <f>(AG$29/AG$27)^2*(AG4138-('Valve Sizing'!$V$4*'Valve Sizing'!$G$7))</f>
        <v>-3625.0625774949322</v>
      </c>
      <c r="AH4141" s="41"/>
      <c r="AI4141" s="73"/>
      <c r="AJ4141" s="53">
        <f>(AJ$29/AJ$27)^2*(AJ4138-('Valve Sizing'!$V$4*'Valve Sizing'!$G$7))</f>
        <v>-5823.0128687398401</v>
      </c>
      <c r="AK4141" s="41"/>
      <c r="AL4141" s="73"/>
      <c r="AM4141" s="53">
        <f>(AM$29/AM$27)^2*(AM4138-('Valve Sizing'!$V$4*'Valve Sizing'!$G$7))</f>
        <v>-7185.5005059010327</v>
      </c>
      <c r="AN4141" s="41"/>
      <c r="AO4141" s="73"/>
      <c r="AP4141" s="53">
        <f>(AP$29/AP$27)^2*(AP4138-('Valve Sizing'!$V$4*'Valve Sizing'!$G$7))</f>
        <v>-7995.570851737386</v>
      </c>
      <c r="AQ4141" s="41"/>
      <c r="AR4141" s="73"/>
      <c r="AS4141" s="53">
        <f>(AS$29/AS$27)^2*(AS4138-('Valve Sizing'!$V$4*'Valve Sizing'!$G$7))</f>
        <v>-9877.4510787957897</v>
      </c>
      <c r="AT4141" s="41"/>
      <c r="AU4141" s="73"/>
    </row>
    <row r="4142" spans="15:47" ht="13" x14ac:dyDescent="0.25">
      <c r="O4142" s="1" t="s">
        <v>69</v>
      </c>
      <c r="P4142" s="17">
        <v>7</v>
      </c>
      <c r="Q4142" s="65"/>
      <c r="R4142" s="53" t="e">
        <f>(R4136/(N_1*F_P_h))*SQRT('Valve Sizing'!$G$6/R4140)</f>
        <v>#NUM!</v>
      </c>
      <c r="S4142" s="58"/>
      <c r="T4142" s="73"/>
      <c r="U4142" s="64" t="e">
        <f>(U4136/(N_1*U$27))*SQRT('Valve Sizing'!$G$6/U4140)</f>
        <v>#NUM!</v>
      </c>
      <c r="V4142" s="41"/>
      <c r="W4142" s="73"/>
      <c r="X4142" s="64" t="e">
        <f>(X4136/(N_1*X$27))*SQRT('Valve Sizing'!$G$6/X4140)</f>
        <v>#NUM!</v>
      </c>
      <c r="Y4142" s="41"/>
      <c r="Z4142" s="73"/>
      <c r="AA4142" s="64" t="e">
        <f>(AA4136/(N_1*AA$27))*SQRT('Valve Sizing'!$G$6/AA4140)</f>
        <v>#NUM!</v>
      </c>
      <c r="AB4142" s="41"/>
      <c r="AC4142" s="73"/>
      <c r="AD4142" s="64" t="e">
        <f>(AD4136/(N_1*AD$27))*SQRT('Valve Sizing'!$G$6/AD4140)</f>
        <v>#NUM!</v>
      </c>
      <c r="AE4142" s="41"/>
      <c r="AF4142" s="73"/>
      <c r="AG4142" s="64" t="e">
        <f>(AG4136/(N_1*AG$27))*SQRT('Valve Sizing'!$G$6/AG4140)</f>
        <v>#NUM!</v>
      </c>
      <c r="AH4142" s="41"/>
      <c r="AI4142" s="73"/>
      <c r="AJ4142" s="64" t="e">
        <f>(AJ4136/(N_1*AJ$27))*SQRT('Valve Sizing'!$G$6/AJ4140)</f>
        <v>#NUM!</v>
      </c>
      <c r="AK4142" s="41"/>
      <c r="AL4142" s="73"/>
      <c r="AM4142" s="64" t="e">
        <f>(AM4136/(N_1*AM$27))*SQRT('Valve Sizing'!$G$6/AM4140)</f>
        <v>#NUM!</v>
      </c>
      <c r="AN4142" s="41"/>
      <c r="AO4142" s="73"/>
      <c r="AP4142" s="64" t="e">
        <f>(AP4136/(N_1*AP$27))*SQRT('Valve Sizing'!$G$6/AP4140)</f>
        <v>#NUM!</v>
      </c>
      <c r="AQ4142" s="41"/>
      <c r="AR4142" s="73"/>
      <c r="AS4142" s="64" t="e">
        <f>(AS4136/(N_1*AS$27))*SQRT('Valve Sizing'!$G$6/AS4140)</f>
        <v>#NUM!</v>
      </c>
      <c r="AT4142" s="41"/>
      <c r="AU4142" s="73"/>
    </row>
    <row r="4143" spans="15:47" ht="13" x14ac:dyDescent="0.3">
      <c r="O4143" s="1" t="s">
        <v>72</v>
      </c>
      <c r="P4143" s="17">
        <v>7</v>
      </c>
      <c r="Q4143" s="65"/>
      <c r="R4143" s="53">
        <f>(R4136/(N_1*F_P_h))*SQRT('Valve Sizing'!$G$6/R4141)</f>
        <v>3334.4771218095898</v>
      </c>
      <c r="S4143" s="56"/>
      <c r="T4143" s="72"/>
      <c r="U4143" s="85">
        <f>(U4136/(N_1*U$27))*SQRT('Valve Sizing'!$G$6/U4141)</f>
        <v>377.68626918447268</v>
      </c>
      <c r="V4143" s="44"/>
      <c r="W4143" s="72"/>
      <c r="X4143" s="85" t="e">
        <f>(X4136/(N_1*X$27))*SQRT('Valve Sizing'!$G$6/X4141)</f>
        <v>#NUM!</v>
      </c>
      <c r="Y4143" s="44"/>
      <c r="Z4143" s="72"/>
      <c r="AA4143" s="85" t="e">
        <f>(AA4136/(N_1*AA$27))*SQRT('Valve Sizing'!$G$6/AA4141)</f>
        <v>#NUM!</v>
      </c>
      <c r="AB4143" s="44"/>
      <c r="AC4143" s="72"/>
      <c r="AD4143" s="85" t="e">
        <f>(AD4136/(N_1*AD$27))*SQRT('Valve Sizing'!$G$6/AD4141)</f>
        <v>#NUM!</v>
      </c>
      <c r="AE4143" s="44"/>
      <c r="AF4143" s="72"/>
      <c r="AG4143" s="85" t="e">
        <f>(AG4136/(N_1*AG$27))*SQRT('Valve Sizing'!$G$6/AG4141)</f>
        <v>#NUM!</v>
      </c>
      <c r="AH4143" s="44"/>
      <c r="AI4143" s="72"/>
      <c r="AJ4143" s="85" t="e">
        <f>(AJ4136/(N_1*AJ$27))*SQRT('Valve Sizing'!$G$6/AJ4141)</f>
        <v>#NUM!</v>
      </c>
      <c r="AK4143" s="44"/>
      <c r="AL4143" s="72"/>
      <c r="AM4143" s="85" t="e">
        <f>(AM4136/(N_1*AM$27))*SQRT('Valve Sizing'!$G$6/AM4141)</f>
        <v>#NUM!</v>
      </c>
      <c r="AN4143" s="44"/>
      <c r="AO4143" s="72"/>
      <c r="AP4143" s="85" t="e">
        <f>(AP4136/(N_1*AP$27))*SQRT('Valve Sizing'!$G$6/AP4141)</f>
        <v>#NUM!</v>
      </c>
      <c r="AQ4143" s="44"/>
      <c r="AR4143" s="72"/>
      <c r="AS4143" s="85" t="e">
        <f>(AS4136/(N_1*AS$27))*SQRT('Valve Sizing'!$G$6/AS4141)</f>
        <v>#NUM!</v>
      </c>
      <c r="AT4143" s="44"/>
      <c r="AU4143" s="72"/>
    </row>
    <row r="4144" spans="15:47" x14ac:dyDescent="0.25">
      <c r="O4144" s="1" t="s">
        <v>246</v>
      </c>
      <c r="P4144" s="18"/>
      <c r="Q4144" s="65"/>
      <c r="R4144" s="53" t="e">
        <f>IF(R4140&lt;R4141,R4142,R4143)</f>
        <v>#NUM!</v>
      </c>
      <c r="S4144" s="49"/>
      <c r="T4144" s="72"/>
      <c r="U4144" s="64" t="e">
        <f>IF(U4140&lt;U4141,U4142,U4143)</f>
        <v>#NUM!</v>
      </c>
      <c r="V4144" s="44"/>
      <c r="W4144" s="72"/>
      <c r="X4144" s="64" t="e">
        <f>IF(X4140&lt;X4141,X4142,X4143)</f>
        <v>#NUM!</v>
      </c>
      <c r="Y4144" s="44"/>
      <c r="Z4144" s="72"/>
      <c r="AA4144" s="64" t="e">
        <f>IF(AA4140&lt;AA4141,AA4142,AA4143)</f>
        <v>#NUM!</v>
      </c>
      <c r="AB4144" s="44"/>
      <c r="AC4144" s="72"/>
      <c r="AD4144" s="64" t="e">
        <f>IF(AD4140&lt;AD4141,AD4142,AD4143)</f>
        <v>#NUM!</v>
      </c>
      <c r="AE4144" s="44"/>
      <c r="AF4144" s="72"/>
      <c r="AG4144" s="64" t="e">
        <f>IF(AG4140&lt;AG4141,AG4142,AG4143)</f>
        <v>#NUM!</v>
      </c>
      <c r="AH4144" s="44"/>
      <c r="AI4144" s="72"/>
      <c r="AJ4144" s="64" t="e">
        <f>IF(AJ4140&lt;AJ4141,AJ4142,AJ4143)</f>
        <v>#NUM!</v>
      </c>
      <c r="AK4144" s="44"/>
      <c r="AL4144" s="72"/>
      <c r="AM4144" s="64" t="e">
        <f>IF(AM4140&lt;AM4141,AM4142,AM4143)</f>
        <v>#NUM!</v>
      </c>
      <c r="AN4144" s="44"/>
      <c r="AO4144" s="72"/>
      <c r="AP4144" s="64" t="e">
        <f>IF(AP4140&lt;AP4141,AP4142,AP4143)</f>
        <v>#NUM!</v>
      </c>
      <c r="AQ4144" s="44"/>
      <c r="AR4144" s="72"/>
      <c r="AS4144" s="64" t="e">
        <f>IF(AS4140&lt;AS4141,AS4142,AS4143)</f>
        <v>#NUM!</v>
      </c>
      <c r="AT4144" s="44"/>
      <c r="AU4144" s="72"/>
    </row>
    <row r="4145" spans="15:47" ht="13" x14ac:dyDescent="0.3">
      <c r="O4145" s="7" t="s">
        <v>264</v>
      </c>
      <c r="Q4145" s="61"/>
      <c r="R4145" s="53"/>
      <c r="S4145" s="69">
        <f>IFERROR(ABS(C_h-R4144),Q_max*10)</f>
        <v>5500</v>
      </c>
      <c r="T4145" s="76">
        <f>R4136</f>
        <v>1291.0826774018917</v>
      </c>
      <c r="U4145" s="61"/>
      <c r="V4145" s="69">
        <f>IFERROR(ABS(U$23-U4144),Q_max*10)</f>
        <v>5500</v>
      </c>
      <c r="W4145" s="75">
        <f>U4136</f>
        <v>1156.0944733333072</v>
      </c>
      <c r="X4145" s="61"/>
      <c r="Y4145" s="69">
        <f>IFERROR(ABS(X$23-X4144),Q_max*10)</f>
        <v>5500</v>
      </c>
      <c r="Z4145" s="75">
        <f>X4136</f>
        <v>2775.0717600082949</v>
      </c>
      <c r="AA4145" s="61"/>
      <c r="AB4145" s="69">
        <f>IFERROR(ABS(AA$23-AA4144),Q_max*10)</f>
        <v>5500</v>
      </c>
      <c r="AC4145" s="75">
        <f>AA4136</f>
        <v>5298.6290208388509</v>
      </c>
      <c r="AD4145" s="61"/>
      <c r="AE4145" s="69">
        <f>IFERROR(ABS(AD$23-AD4144),Q_max*10)</f>
        <v>5500</v>
      </c>
      <c r="AF4145" s="75">
        <f>AD4136</f>
        <v>8714.2938998170666</v>
      </c>
      <c r="AG4145" s="61"/>
      <c r="AH4145" s="69">
        <f>IFERROR(ABS(AG$23-AG4144),Q_max*10)</f>
        <v>5500</v>
      </c>
      <c r="AI4145" s="75">
        <f>AG4136</f>
        <v>12974.396151266701</v>
      </c>
      <c r="AJ4145" s="61"/>
      <c r="AK4145" s="69">
        <f>IFERROR(ABS(AJ$23-AJ4144),Q_max*10)</f>
        <v>5500</v>
      </c>
      <c r="AL4145" s="75">
        <f>AJ4136</f>
        <v>17314.38195998441</v>
      </c>
      <c r="AM4145" s="61"/>
      <c r="AN4145" s="69">
        <f>IFERROR(ABS(AM$23-AM4144),Q_max*10)</f>
        <v>5500</v>
      </c>
      <c r="AO4145" s="75">
        <f>AM4136</f>
        <v>21126.836415427744</v>
      </c>
      <c r="AP4145" s="61"/>
      <c r="AQ4145" s="69">
        <f>IFERROR(ABS(AP$23-AP4144),Q_max*10)</f>
        <v>5500</v>
      </c>
      <c r="AR4145" s="75">
        <f>AP4136</f>
        <v>24527.601203491995</v>
      </c>
      <c r="AS4145" s="61"/>
      <c r="AT4145" s="69">
        <f>IFERROR(ABS(AS$23-AS4144),Q_max*10)</f>
        <v>5500</v>
      </c>
      <c r="AU4145" s="75">
        <f>AS4136</f>
        <v>27914.698114841704</v>
      </c>
    </row>
    <row r="4146" spans="15:47" ht="14.5" x14ac:dyDescent="0.35">
      <c r="O4146" s="6"/>
      <c r="P4146" s="6"/>
      <c r="Q4146" s="60"/>
      <c r="R4146" s="67"/>
      <c r="S4146" s="56"/>
      <c r="T4146" s="72"/>
      <c r="V4146" s="11"/>
      <c r="W4146" s="38"/>
      <c r="Y4146" s="11"/>
      <c r="Z4146" s="38"/>
      <c r="AB4146" s="11"/>
      <c r="AC4146" s="38"/>
      <c r="AE4146" s="11"/>
      <c r="AF4146" s="38"/>
      <c r="AH4146" s="11"/>
      <c r="AI4146" s="38"/>
      <c r="AK4146" s="11"/>
      <c r="AL4146" s="38"/>
      <c r="AN4146" s="11"/>
      <c r="AO4146" s="38"/>
      <c r="AQ4146" s="11"/>
      <c r="AR4146" s="38"/>
      <c r="AT4146" s="11"/>
      <c r="AU4146" s="38"/>
    </row>
    <row r="4147" spans="15:47" ht="14" x14ac:dyDescent="0.3">
      <c r="O4147" s="8" t="s">
        <v>235</v>
      </c>
      <c r="P4147" s="6"/>
      <c r="Q4147" s="60"/>
      <c r="R4147" s="53">
        <f>R4136*1.02</f>
        <v>1316.9043309499295</v>
      </c>
      <c r="S4147" s="58" t="s">
        <v>238</v>
      </c>
      <c r="T4147" s="73" t="s">
        <v>241</v>
      </c>
      <c r="U4147" s="84">
        <f>U4136*1.01</f>
        <v>1167.6554180666403</v>
      </c>
      <c r="V4147" s="58" t="s">
        <v>238</v>
      </c>
      <c r="W4147" s="73" t="s">
        <v>241</v>
      </c>
      <c r="X4147" s="84">
        <f>X4136*1.01</f>
        <v>2802.822477608378</v>
      </c>
      <c r="Y4147" s="58" t="s">
        <v>238</v>
      </c>
      <c r="Z4147" s="73" t="s">
        <v>241</v>
      </c>
      <c r="AA4147" s="84">
        <f>AA4136*1.01</f>
        <v>5351.6153110472396</v>
      </c>
      <c r="AB4147" s="58" t="s">
        <v>238</v>
      </c>
      <c r="AC4147" s="73" t="s">
        <v>241</v>
      </c>
      <c r="AD4147" s="84">
        <f>AD4136*1.01</f>
        <v>8801.4368388152379</v>
      </c>
      <c r="AE4147" s="58" t="s">
        <v>238</v>
      </c>
      <c r="AF4147" s="73" t="s">
        <v>241</v>
      </c>
      <c r="AG4147" s="84">
        <f>AG4136*1.01</f>
        <v>13104.140112779369</v>
      </c>
      <c r="AH4147" s="58" t="s">
        <v>238</v>
      </c>
      <c r="AI4147" s="73" t="s">
        <v>241</v>
      </c>
      <c r="AJ4147" s="84">
        <f>AJ4136*1.01</f>
        <v>17487.525779584255</v>
      </c>
      <c r="AK4147" s="58" t="s">
        <v>238</v>
      </c>
      <c r="AL4147" s="73" t="s">
        <v>241</v>
      </c>
      <c r="AM4147" s="84">
        <f>AM4136*1.01</f>
        <v>21338.104779582023</v>
      </c>
      <c r="AN4147" s="58" t="s">
        <v>238</v>
      </c>
      <c r="AO4147" s="73" t="s">
        <v>241</v>
      </c>
      <c r="AP4147" s="84">
        <f>AP4136*1.01</f>
        <v>24772.877215526914</v>
      </c>
      <c r="AQ4147" s="58" t="s">
        <v>238</v>
      </c>
      <c r="AR4147" s="73" t="s">
        <v>241</v>
      </c>
      <c r="AS4147" s="84">
        <f>AS4136*1.01</f>
        <v>28193.84509599012</v>
      </c>
      <c r="AT4147" s="58" t="s">
        <v>238</v>
      </c>
      <c r="AU4147" s="73" t="s">
        <v>241</v>
      </c>
    </row>
    <row r="4148" spans="15:47" ht="13" x14ac:dyDescent="0.25">
      <c r="O4148" s="6"/>
      <c r="P4148" s="6"/>
      <c r="Q4148" s="60"/>
      <c r="R4148" s="70"/>
      <c r="S4148" s="63" t="s">
        <v>250</v>
      </c>
      <c r="T4148" s="71" t="s">
        <v>242</v>
      </c>
      <c r="U4148" s="61"/>
      <c r="V4148" s="63" t="s">
        <v>250</v>
      </c>
      <c r="W4148" s="71" t="s">
        <v>242</v>
      </c>
      <c r="X4148" s="61"/>
      <c r="Y4148" s="63" t="s">
        <v>250</v>
      </c>
      <c r="Z4148" s="71" t="s">
        <v>242</v>
      </c>
      <c r="AA4148" s="61"/>
      <c r="AB4148" s="63" t="s">
        <v>250</v>
      </c>
      <c r="AC4148" s="71" t="s">
        <v>242</v>
      </c>
      <c r="AD4148" s="61"/>
      <c r="AE4148" s="63" t="s">
        <v>250</v>
      </c>
      <c r="AF4148" s="71" t="s">
        <v>242</v>
      </c>
      <c r="AG4148" s="61"/>
      <c r="AH4148" s="63" t="s">
        <v>250</v>
      </c>
      <c r="AI4148" s="71" t="s">
        <v>242</v>
      </c>
      <c r="AJ4148" s="61"/>
      <c r="AK4148" s="63" t="s">
        <v>250</v>
      </c>
      <c r="AL4148" s="71" t="s">
        <v>242</v>
      </c>
      <c r="AM4148" s="61"/>
      <c r="AN4148" s="63" t="s">
        <v>250</v>
      </c>
      <c r="AO4148" s="71" t="s">
        <v>242</v>
      </c>
      <c r="AP4148" s="61"/>
      <c r="AQ4148" s="63" t="s">
        <v>250</v>
      </c>
      <c r="AR4148" s="71" t="s">
        <v>242</v>
      </c>
      <c r="AS4148" s="61"/>
      <c r="AT4148" s="63" t="s">
        <v>250</v>
      </c>
      <c r="AU4148" s="71" t="s">
        <v>242</v>
      </c>
    </row>
    <row r="4149" spans="15:47" ht="13" x14ac:dyDescent="0.3">
      <c r="O4149" s="6" t="s">
        <v>231</v>
      </c>
      <c r="P4149" s="6"/>
      <c r="Q4149" s="60"/>
      <c r="R4149" s="85">
        <f>P_1_minQ-(R4147^2*R_up)+dpup_minQ</f>
        <v>-1.653158286885561</v>
      </c>
      <c r="S4149" s="56"/>
      <c r="T4149" s="72"/>
      <c r="U4149" s="53">
        <f>P_1_minQ-(U4147^2*R_up)+dpup_minQ</f>
        <v>10.870240616670703</v>
      </c>
      <c r="V4149" s="44"/>
      <c r="W4149" s="72"/>
      <c r="X4149" s="53">
        <f>P_1_minQ-(X4147^2*R_up)+dpup_minQ</f>
        <v>-208.39334147202865</v>
      </c>
      <c r="Y4149" s="44"/>
      <c r="Z4149" s="72"/>
      <c r="AA4149" s="53">
        <f>P_1_minQ-(AA4147^2*R_up)+dpup_minQ</f>
        <v>-910.31744131831283</v>
      </c>
      <c r="AB4149" s="44"/>
      <c r="AC4149" s="72"/>
      <c r="AD4149" s="53">
        <f>P_1_minQ-(AD4147^2*R_up)+dpup_minQ</f>
        <v>-2559.270632477338</v>
      </c>
      <c r="AE4149" s="44"/>
      <c r="AF4149" s="72"/>
      <c r="AG4149" s="53">
        <f>P_1_minQ-(AG4147^2*R_up)+dpup_minQ</f>
        <v>-5742.424893460091</v>
      </c>
      <c r="AH4149" s="44"/>
      <c r="AI4149" s="72"/>
      <c r="AJ4149" s="53">
        <f>P_1_minQ-(AJ4147^2*R_up)+dpup_minQ</f>
        <v>-10271.13376871408</v>
      </c>
      <c r="AK4149" s="44"/>
      <c r="AL4149" s="72"/>
      <c r="AM4149" s="53">
        <f>P_1_minQ-(AM4147^2*R_up)+dpup_minQ</f>
        <v>-15320.142809335399</v>
      </c>
      <c r="AN4149" s="44"/>
      <c r="AO4149" s="72"/>
      <c r="AP4149" s="53">
        <f>P_1_minQ-(AP4147^2*R_up)+dpup_minQ</f>
        <v>-20669.0360869832</v>
      </c>
      <c r="AQ4149" s="44"/>
      <c r="AR4149" s="72"/>
      <c r="AS4149" s="53">
        <f>P_1_minQ-(AS4147^2*R_up)+dpup_minQ</f>
        <v>-26788.50436665607</v>
      </c>
      <c r="AT4149" s="44"/>
      <c r="AU4149" s="72"/>
    </row>
    <row r="4150" spans="15:47" ht="13" x14ac:dyDescent="0.3">
      <c r="O4150" s="6" t="s">
        <v>233</v>
      </c>
      <c r="P4150" s="6"/>
      <c r="Q4150" s="60"/>
      <c r="R4150" s="85">
        <f>P_2_minQ+(R4147^2*R_dn)-dpdn_minQ</f>
        <v>36.370631657377118</v>
      </c>
      <c r="S4150" s="66"/>
      <c r="T4150" s="74"/>
      <c r="U4150" s="53">
        <f>P_2_minQ+(U4147^2*R_dn)-dpdn_minQ</f>
        <v>33.865951876665861</v>
      </c>
      <c r="V4150" s="45"/>
      <c r="W4150" s="74"/>
      <c r="X4150" s="53">
        <f>P_2_minQ+(X4147^2*R_dn)-dpdn_minQ</f>
        <v>77.718668294405717</v>
      </c>
      <c r="Y4150" s="45"/>
      <c r="Z4150" s="74"/>
      <c r="AA4150" s="53">
        <f>P_2_minQ+(AA4147^2*R_dn)-dpdn_minQ</f>
        <v>218.10348826366257</v>
      </c>
      <c r="AB4150" s="45"/>
      <c r="AC4150" s="74"/>
      <c r="AD4150" s="53">
        <f>P_2_minQ+(AD4147^2*R_dn)-dpdn_minQ</f>
        <v>547.8941264954675</v>
      </c>
      <c r="AE4150" s="45"/>
      <c r="AF4150" s="74"/>
      <c r="AG4150" s="53">
        <f>P_2_minQ+(AG4147^2*R_dn)-dpdn_minQ</f>
        <v>1184.5249786920181</v>
      </c>
      <c r="AH4150" s="45"/>
      <c r="AI4150" s="74"/>
      <c r="AJ4150" s="53">
        <f>P_2_minQ+(AJ4147^2*R_dn)-dpdn_minQ</f>
        <v>2090.266753742816</v>
      </c>
      <c r="AK4150" s="45"/>
      <c r="AL4150" s="74"/>
      <c r="AM4150" s="53">
        <f>P_2_minQ+(AM4147^2*R_dn)-dpdn_minQ</f>
        <v>3100.0685618670796</v>
      </c>
      <c r="AN4150" s="45"/>
      <c r="AO4150" s="74"/>
      <c r="AP4150" s="53">
        <f>P_2_minQ+(AP4147^2*R_dn)-dpdn_minQ</f>
        <v>4169.8472173966393</v>
      </c>
      <c r="AQ4150" s="45"/>
      <c r="AR4150" s="74"/>
      <c r="AS4150" s="53">
        <f>P_2_minQ+(AS4147^2*R_dn)-dpdn_minQ</f>
        <v>5393.7408733312132</v>
      </c>
      <c r="AT4150" s="45"/>
      <c r="AU4150" s="74"/>
    </row>
    <row r="4151" spans="15:47" x14ac:dyDescent="0.25">
      <c r="O4151" s="6" t="s">
        <v>243</v>
      </c>
      <c r="Q4151" s="60"/>
      <c r="R4151" s="53">
        <f>R4149-R4150</f>
        <v>-38.023789944262681</v>
      </c>
      <c r="S4151" s="56"/>
      <c r="T4151" s="72"/>
      <c r="U4151" s="64">
        <f>U4149-U4150</f>
        <v>-22.995711259995158</v>
      </c>
      <c r="V4151" s="44"/>
      <c r="W4151" s="72"/>
      <c r="X4151" s="64">
        <f>X4149-X4150</f>
        <v>-286.11200976643437</v>
      </c>
      <c r="Y4151" s="44"/>
      <c r="Z4151" s="72"/>
      <c r="AA4151" s="64">
        <f>AA4149-AA4150</f>
        <v>-1128.4209295819753</v>
      </c>
      <c r="AB4151" s="44"/>
      <c r="AC4151" s="72"/>
      <c r="AD4151" s="64">
        <f>AD4149-AD4150</f>
        <v>-3107.1647589728054</v>
      </c>
      <c r="AE4151" s="44"/>
      <c r="AF4151" s="72"/>
      <c r="AG4151" s="64">
        <f>AG4149-AG4150</f>
        <v>-6926.9498721521086</v>
      </c>
      <c r="AH4151" s="44"/>
      <c r="AI4151" s="72"/>
      <c r="AJ4151" s="64">
        <f>AJ4149-AJ4150</f>
        <v>-12361.400522456897</v>
      </c>
      <c r="AK4151" s="44"/>
      <c r="AL4151" s="72"/>
      <c r="AM4151" s="64">
        <f>AM4149-AM4150</f>
        <v>-18420.21137120248</v>
      </c>
      <c r="AN4151" s="44"/>
      <c r="AO4151" s="72"/>
      <c r="AP4151" s="64">
        <f>AP4149-AP4150</f>
        <v>-24838.88330437984</v>
      </c>
      <c r="AQ4151" s="44"/>
      <c r="AR4151" s="72"/>
      <c r="AS4151" s="64">
        <f>AS4149-AS4150</f>
        <v>-32182.245239987285</v>
      </c>
      <c r="AT4151" s="44"/>
      <c r="AU4151" s="72"/>
    </row>
    <row r="4152" spans="15:47" ht="13" x14ac:dyDescent="0.3">
      <c r="O4152" s="6" t="s">
        <v>75</v>
      </c>
      <c r="P4152" s="6">
        <v>3</v>
      </c>
      <c r="Q4152" s="65"/>
      <c r="R4152" s="85">
        <f>(F_LP_h/F_P_h)^2*(R4149-('Valve Sizing'!$V$4*'Valve Sizing'!$G$7))</f>
        <v>-1.7332926842171794</v>
      </c>
      <c r="S4152" s="58"/>
      <c r="T4152" s="73"/>
      <c r="U4152" s="53">
        <f>(U$29/U$27)^2*(U4149-('Valve Sizing'!$V$4*'Valve Sizing'!$G$7))</f>
        <v>8.6343849421217485</v>
      </c>
      <c r="V4152" s="41"/>
      <c r="W4152" s="73"/>
      <c r="X4152" s="53">
        <f>(X$29/X$27)^2*(X4149-('Valve Sizing'!$V$4*'Valve Sizing'!$G$7))</f>
        <v>-168.97828938273841</v>
      </c>
      <c r="Y4152" s="41"/>
      <c r="Z4152" s="73"/>
      <c r="AA4152" s="53">
        <f>(AA$29/AA$27)^2*(AA4149-('Valve Sizing'!$V$4*'Valve Sizing'!$G$7))</f>
        <v>-703.83086454408192</v>
      </c>
      <c r="AB4152" s="41"/>
      <c r="AC4152" s="73"/>
      <c r="AD4152" s="53">
        <f>(AD$29/AD$27)^2*(AD4149-('Valve Sizing'!$V$4*'Valve Sizing'!$G$7))</f>
        <v>-1846.0311157465055</v>
      </c>
      <c r="AE4152" s="41"/>
      <c r="AF4152" s="73"/>
      <c r="AG4152" s="53">
        <f>(AG$29/AG$27)^2*(AG4149-('Valve Sizing'!$V$4*'Valve Sizing'!$G$7))</f>
        <v>-3698.6574342360968</v>
      </c>
      <c r="AH4152" s="41"/>
      <c r="AI4152" s="73"/>
      <c r="AJ4152" s="53">
        <f>(AJ$29/AJ$27)^2*(AJ4149-('Valve Sizing'!$V$4*'Valve Sizing'!$G$7))</f>
        <v>-5940.711968850218</v>
      </c>
      <c r="AK4152" s="41"/>
      <c r="AL4152" s="73"/>
      <c r="AM4152" s="53">
        <f>(AM$29/AM$27)^2*(AM4149-('Valve Sizing'!$V$4*'Valve Sizing'!$G$7))</f>
        <v>-7330.4722129735646</v>
      </c>
      <c r="AN4152" s="41"/>
      <c r="AO4152" s="73"/>
      <c r="AP4152" s="53">
        <f>(AP$29/AP$27)^2*(AP4149-('Valve Sizing'!$V$4*'Valve Sizing'!$G$7))</f>
        <v>-8156.729794124205</v>
      </c>
      <c r="AQ4152" s="41"/>
      <c r="AR4152" s="73"/>
      <c r="AS4152" s="53">
        <f>(AS$29/AS$27)^2*(AS4149-('Valve Sizing'!$V$4*'Valve Sizing'!$G$7))</f>
        <v>-10076.414828968704</v>
      </c>
      <c r="AT4152" s="41"/>
      <c r="AU4152" s="73"/>
    </row>
    <row r="4153" spans="15:47" ht="13" x14ac:dyDescent="0.25">
      <c r="O4153" s="1" t="s">
        <v>69</v>
      </c>
      <c r="P4153" s="17">
        <v>7</v>
      </c>
      <c r="Q4153" s="65"/>
      <c r="R4153" s="53" t="e">
        <f>(R4147/(N_1*F_P_h))*SQRT('Valve Sizing'!$G$6/R4151)</f>
        <v>#NUM!</v>
      </c>
      <c r="S4153" s="58"/>
      <c r="T4153" s="73"/>
      <c r="U4153" s="64" t="e">
        <f>(U4147/(N_1*U$27))*SQRT('Valve Sizing'!$G$6/U4151)</f>
        <v>#NUM!</v>
      </c>
      <c r="V4153" s="41"/>
      <c r="W4153" s="73"/>
      <c r="X4153" s="64" t="e">
        <f>(X4147/(N_1*X$27))*SQRT('Valve Sizing'!$G$6/X4151)</f>
        <v>#NUM!</v>
      </c>
      <c r="Y4153" s="41"/>
      <c r="Z4153" s="73"/>
      <c r="AA4153" s="64" t="e">
        <f>(AA4147/(N_1*AA$27))*SQRT('Valve Sizing'!$G$6/AA4151)</f>
        <v>#NUM!</v>
      </c>
      <c r="AB4153" s="41"/>
      <c r="AC4153" s="73"/>
      <c r="AD4153" s="64" t="e">
        <f>(AD4147/(N_1*AD$27))*SQRT('Valve Sizing'!$G$6/AD4151)</f>
        <v>#NUM!</v>
      </c>
      <c r="AE4153" s="41"/>
      <c r="AF4153" s="73"/>
      <c r="AG4153" s="64" t="e">
        <f>(AG4147/(N_1*AG$27))*SQRT('Valve Sizing'!$G$6/AG4151)</f>
        <v>#NUM!</v>
      </c>
      <c r="AH4153" s="41"/>
      <c r="AI4153" s="73"/>
      <c r="AJ4153" s="64" t="e">
        <f>(AJ4147/(N_1*AJ$27))*SQRT('Valve Sizing'!$G$6/AJ4151)</f>
        <v>#NUM!</v>
      </c>
      <c r="AK4153" s="41"/>
      <c r="AL4153" s="73"/>
      <c r="AM4153" s="64" t="e">
        <f>(AM4147/(N_1*AM$27))*SQRT('Valve Sizing'!$G$6/AM4151)</f>
        <v>#NUM!</v>
      </c>
      <c r="AN4153" s="41"/>
      <c r="AO4153" s="73"/>
      <c r="AP4153" s="64" t="e">
        <f>(AP4147/(N_1*AP$27))*SQRT('Valve Sizing'!$G$6/AP4151)</f>
        <v>#NUM!</v>
      </c>
      <c r="AQ4153" s="41"/>
      <c r="AR4153" s="73"/>
      <c r="AS4153" s="64" t="e">
        <f>(AS4147/(N_1*AS$27))*SQRT('Valve Sizing'!$G$6/AS4151)</f>
        <v>#NUM!</v>
      </c>
      <c r="AT4153" s="41"/>
      <c r="AU4153" s="73"/>
    </row>
    <row r="4154" spans="15:47" ht="13" x14ac:dyDescent="0.3">
      <c r="O4154" s="1" t="s">
        <v>72</v>
      </c>
      <c r="P4154" s="17">
        <v>7</v>
      </c>
      <c r="Q4154" s="65"/>
      <c r="R4154" s="53" t="e">
        <f>(R4147/(N_1*F_P_h))*SQRT('Valve Sizing'!$G$6/R4152)</f>
        <v>#NUM!</v>
      </c>
      <c r="S4154" s="56"/>
      <c r="T4154" s="72"/>
      <c r="U4154" s="85">
        <f>(U4147/(N_1*U$27))*SQRT('Valve Sizing'!$G$6/U4152)</f>
        <v>397.70831037205312</v>
      </c>
      <c r="V4154" s="44"/>
      <c r="W4154" s="72"/>
      <c r="X4154" s="85" t="e">
        <f>(X4147/(N_1*X$27))*SQRT('Valve Sizing'!$G$6/X4152)</f>
        <v>#NUM!</v>
      </c>
      <c r="Y4154" s="44"/>
      <c r="Z4154" s="72"/>
      <c r="AA4154" s="85" t="e">
        <f>(AA4147/(N_1*AA$27))*SQRT('Valve Sizing'!$G$6/AA4152)</f>
        <v>#NUM!</v>
      </c>
      <c r="AB4154" s="44"/>
      <c r="AC4154" s="72"/>
      <c r="AD4154" s="85" t="e">
        <f>(AD4147/(N_1*AD$27))*SQRT('Valve Sizing'!$G$6/AD4152)</f>
        <v>#NUM!</v>
      </c>
      <c r="AE4154" s="44"/>
      <c r="AF4154" s="72"/>
      <c r="AG4154" s="85" t="e">
        <f>(AG4147/(N_1*AG$27))*SQRT('Valve Sizing'!$G$6/AG4152)</f>
        <v>#NUM!</v>
      </c>
      <c r="AH4154" s="44"/>
      <c r="AI4154" s="72"/>
      <c r="AJ4154" s="85" t="e">
        <f>(AJ4147/(N_1*AJ$27))*SQRT('Valve Sizing'!$G$6/AJ4152)</f>
        <v>#NUM!</v>
      </c>
      <c r="AK4154" s="44"/>
      <c r="AL4154" s="72"/>
      <c r="AM4154" s="85" t="e">
        <f>(AM4147/(N_1*AM$27))*SQRT('Valve Sizing'!$G$6/AM4152)</f>
        <v>#NUM!</v>
      </c>
      <c r="AN4154" s="44"/>
      <c r="AO4154" s="72"/>
      <c r="AP4154" s="85" t="e">
        <f>(AP4147/(N_1*AP$27))*SQRT('Valve Sizing'!$G$6/AP4152)</f>
        <v>#NUM!</v>
      </c>
      <c r="AQ4154" s="44"/>
      <c r="AR4154" s="72"/>
      <c r="AS4154" s="85" t="e">
        <f>(AS4147/(N_1*AS$27))*SQRT('Valve Sizing'!$G$6/AS4152)</f>
        <v>#NUM!</v>
      </c>
      <c r="AT4154" s="44"/>
      <c r="AU4154" s="72"/>
    </row>
    <row r="4155" spans="15:47" x14ac:dyDescent="0.25">
      <c r="O4155" s="1" t="s">
        <v>246</v>
      </c>
      <c r="P4155" s="18"/>
      <c r="Q4155" s="65"/>
      <c r="R4155" s="53" t="e">
        <f>IF(R4151&lt;R4152,R4153,R4154)</f>
        <v>#NUM!</v>
      </c>
      <c r="S4155" s="49"/>
      <c r="T4155" s="72"/>
      <c r="U4155" s="64" t="e">
        <f>IF(U4151&lt;U4152,U4153,U4154)</f>
        <v>#NUM!</v>
      </c>
      <c r="V4155" s="44"/>
      <c r="W4155" s="72"/>
      <c r="X4155" s="64" t="e">
        <f>IF(X4151&lt;X4152,X4153,X4154)</f>
        <v>#NUM!</v>
      </c>
      <c r="Y4155" s="44"/>
      <c r="Z4155" s="72"/>
      <c r="AA4155" s="64" t="e">
        <f>IF(AA4151&lt;AA4152,AA4153,AA4154)</f>
        <v>#NUM!</v>
      </c>
      <c r="AB4155" s="44"/>
      <c r="AC4155" s="72"/>
      <c r="AD4155" s="64" t="e">
        <f>IF(AD4151&lt;AD4152,AD4153,AD4154)</f>
        <v>#NUM!</v>
      </c>
      <c r="AE4155" s="44"/>
      <c r="AF4155" s="72"/>
      <c r="AG4155" s="64" t="e">
        <f>IF(AG4151&lt;AG4152,AG4153,AG4154)</f>
        <v>#NUM!</v>
      </c>
      <c r="AH4155" s="44"/>
      <c r="AI4155" s="72"/>
      <c r="AJ4155" s="64" t="e">
        <f>IF(AJ4151&lt;AJ4152,AJ4153,AJ4154)</f>
        <v>#NUM!</v>
      </c>
      <c r="AK4155" s="44"/>
      <c r="AL4155" s="72"/>
      <c r="AM4155" s="64" t="e">
        <f>IF(AM4151&lt;AM4152,AM4153,AM4154)</f>
        <v>#NUM!</v>
      </c>
      <c r="AN4155" s="44"/>
      <c r="AO4155" s="72"/>
      <c r="AP4155" s="64" t="e">
        <f>IF(AP4151&lt;AP4152,AP4153,AP4154)</f>
        <v>#NUM!</v>
      </c>
      <c r="AQ4155" s="44"/>
      <c r="AR4155" s="72"/>
      <c r="AS4155" s="64" t="e">
        <f>IF(AS4151&lt;AS4152,AS4153,AS4154)</f>
        <v>#NUM!</v>
      </c>
      <c r="AT4155" s="44"/>
      <c r="AU4155" s="72"/>
    </row>
    <row r="4156" spans="15:47" ht="13" x14ac:dyDescent="0.3">
      <c r="O4156" s="7" t="s">
        <v>264</v>
      </c>
      <c r="Q4156" s="61"/>
      <c r="R4156" s="53"/>
      <c r="S4156" s="69">
        <f>IFERROR(ABS(C_h-R4155),Q_max*10)</f>
        <v>5500</v>
      </c>
      <c r="T4156" s="76">
        <f>R4147</f>
        <v>1316.9043309499295</v>
      </c>
      <c r="U4156" s="61"/>
      <c r="V4156" s="69">
        <f>IFERROR(ABS(U$23-U4155),Q_max*10)</f>
        <v>5500</v>
      </c>
      <c r="W4156" s="75">
        <f>U4147</f>
        <v>1167.6554180666403</v>
      </c>
      <c r="X4156" s="61"/>
      <c r="Y4156" s="69">
        <f>IFERROR(ABS(X$23-X4155),Q_max*10)</f>
        <v>5500</v>
      </c>
      <c r="Z4156" s="75">
        <f>X4147</f>
        <v>2802.822477608378</v>
      </c>
      <c r="AA4156" s="61"/>
      <c r="AB4156" s="69">
        <f>IFERROR(ABS(AA$23-AA4155),Q_max*10)</f>
        <v>5500</v>
      </c>
      <c r="AC4156" s="75">
        <f>AA4147</f>
        <v>5351.6153110472396</v>
      </c>
      <c r="AD4156" s="61"/>
      <c r="AE4156" s="69">
        <f>IFERROR(ABS(AD$23-AD4155),Q_max*10)</f>
        <v>5500</v>
      </c>
      <c r="AF4156" s="75">
        <f>AD4147</f>
        <v>8801.4368388152379</v>
      </c>
      <c r="AG4156" s="61"/>
      <c r="AH4156" s="69">
        <f>IFERROR(ABS(AG$23-AG4155),Q_max*10)</f>
        <v>5500</v>
      </c>
      <c r="AI4156" s="75">
        <f>AG4147</f>
        <v>13104.140112779369</v>
      </c>
      <c r="AJ4156" s="61"/>
      <c r="AK4156" s="69">
        <f>IFERROR(ABS(AJ$23-AJ4155),Q_max*10)</f>
        <v>5500</v>
      </c>
      <c r="AL4156" s="75">
        <f>AJ4147</f>
        <v>17487.525779584255</v>
      </c>
      <c r="AM4156" s="61"/>
      <c r="AN4156" s="69">
        <f>IFERROR(ABS(AM$23-AM4155),Q_max*10)</f>
        <v>5500</v>
      </c>
      <c r="AO4156" s="75">
        <f>AM4147</f>
        <v>21338.104779582023</v>
      </c>
      <c r="AP4156" s="61"/>
      <c r="AQ4156" s="69">
        <f>IFERROR(ABS(AP$23-AP4155),Q_max*10)</f>
        <v>5500</v>
      </c>
      <c r="AR4156" s="75">
        <f>AP4147</f>
        <v>24772.877215526914</v>
      </c>
      <c r="AS4156" s="61"/>
      <c r="AT4156" s="69">
        <f>IFERROR(ABS(AS$23-AS4155),Q_max*10)</f>
        <v>5500</v>
      </c>
      <c r="AU4156" s="75">
        <f>AS4147</f>
        <v>28193.84509599012</v>
      </c>
    </row>
    <row r="4157" spans="15:47" ht="14.5" x14ac:dyDescent="0.35">
      <c r="O4157" s="6"/>
      <c r="P4157" s="6"/>
      <c r="Q4157" s="60"/>
      <c r="R4157" s="67"/>
      <c r="S4157" s="58"/>
      <c r="T4157" s="73"/>
      <c r="V4157" s="11"/>
      <c r="W4157" s="38"/>
      <c r="Y4157" s="11"/>
      <c r="Z4157" s="38"/>
      <c r="AB4157" s="11"/>
      <c r="AC4157" s="38"/>
      <c r="AE4157" s="11"/>
      <c r="AF4157" s="38"/>
      <c r="AH4157" s="11"/>
      <c r="AI4157" s="38"/>
      <c r="AK4157" s="11"/>
      <c r="AL4157" s="38"/>
      <c r="AN4157" s="11"/>
      <c r="AO4157" s="38"/>
      <c r="AQ4157" s="11"/>
      <c r="AR4157" s="38"/>
      <c r="AT4157" s="11"/>
      <c r="AU4157" s="38"/>
    </row>
    <row r="4158" spans="15:47" ht="14" x14ac:dyDescent="0.3">
      <c r="O4158" s="8" t="s">
        <v>235</v>
      </c>
      <c r="P4158" s="6"/>
      <c r="Q4158" s="60"/>
      <c r="R4158" s="53">
        <f>R4147*1.02</f>
        <v>1343.2424175689282</v>
      </c>
      <c r="S4158" s="58" t="s">
        <v>238</v>
      </c>
      <c r="T4158" s="73" t="s">
        <v>241</v>
      </c>
      <c r="U4158" s="84">
        <f>U4147*1.01</f>
        <v>1179.3319722473068</v>
      </c>
      <c r="V4158" s="58" t="s">
        <v>238</v>
      </c>
      <c r="W4158" s="73" t="s">
        <v>241</v>
      </c>
      <c r="X4158" s="84">
        <f>X4147*1.01</f>
        <v>2830.8507023844618</v>
      </c>
      <c r="Y4158" s="58" t="s">
        <v>238</v>
      </c>
      <c r="Z4158" s="73" t="s">
        <v>241</v>
      </c>
      <c r="AA4158" s="84">
        <f>AA4147*1.01</f>
        <v>5405.1314641577119</v>
      </c>
      <c r="AB4158" s="58" t="s">
        <v>238</v>
      </c>
      <c r="AC4158" s="73" t="s">
        <v>241</v>
      </c>
      <c r="AD4158" s="84">
        <f>AD4147*1.01</f>
        <v>8889.4512072033904</v>
      </c>
      <c r="AE4158" s="58" t="s">
        <v>238</v>
      </c>
      <c r="AF4158" s="73" t="s">
        <v>241</v>
      </c>
      <c r="AG4158" s="84">
        <f>AG4147*1.01</f>
        <v>13235.181513907162</v>
      </c>
      <c r="AH4158" s="58" t="s">
        <v>238</v>
      </c>
      <c r="AI4158" s="73" t="s">
        <v>241</v>
      </c>
      <c r="AJ4158" s="84">
        <f>AJ4147*1.01</f>
        <v>17662.401037380099</v>
      </c>
      <c r="AK4158" s="58" t="s">
        <v>238</v>
      </c>
      <c r="AL4158" s="73" t="s">
        <v>241</v>
      </c>
      <c r="AM4158" s="84">
        <f>AM4147*1.01</f>
        <v>21551.485827377845</v>
      </c>
      <c r="AN4158" s="58" t="s">
        <v>238</v>
      </c>
      <c r="AO4158" s="73" t="s">
        <v>241</v>
      </c>
      <c r="AP4158" s="84">
        <f>AP4147*1.01</f>
        <v>25020.605987682186</v>
      </c>
      <c r="AQ4158" s="58" t="s">
        <v>238</v>
      </c>
      <c r="AR4158" s="73" t="s">
        <v>241</v>
      </c>
      <c r="AS4158" s="84">
        <f>AS4147*1.01</f>
        <v>28475.783546950021</v>
      </c>
      <c r="AT4158" s="58" t="s">
        <v>238</v>
      </c>
      <c r="AU4158" s="73" t="s">
        <v>241</v>
      </c>
    </row>
    <row r="4159" spans="15:47" ht="13" x14ac:dyDescent="0.25">
      <c r="O4159" s="6"/>
      <c r="P4159" s="6"/>
      <c r="Q4159" s="60"/>
      <c r="R4159" s="70"/>
      <c r="S4159" s="63" t="s">
        <v>250</v>
      </c>
      <c r="T4159" s="71" t="s">
        <v>242</v>
      </c>
      <c r="U4159" s="61"/>
      <c r="V4159" s="63" t="s">
        <v>250</v>
      </c>
      <c r="W4159" s="71" t="s">
        <v>242</v>
      </c>
      <c r="X4159" s="61"/>
      <c r="Y4159" s="63" t="s">
        <v>250</v>
      </c>
      <c r="Z4159" s="71" t="s">
        <v>242</v>
      </c>
      <c r="AA4159" s="61"/>
      <c r="AB4159" s="63" t="s">
        <v>250</v>
      </c>
      <c r="AC4159" s="71" t="s">
        <v>242</v>
      </c>
      <c r="AD4159" s="61"/>
      <c r="AE4159" s="63" t="s">
        <v>250</v>
      </c>
      <c r="AF4159" s="71" t="s">
        <v>242</v>
      </c>
      <c r="AG4159" s="61"/>
      <c r="AH4159" s="63" t="s">
        <v>250</v>
      </c>
      <c r="AI4159" s="71" t="s">
        <v>242</v>
      </c>
      <c r="AJ4159" s="61"/>
      <c r="AK4159" s="63" t="s">
        <v>250</v>
      </c>
      <c r="AL4159" s="71" t="s">
        <v>242</v>
      </c>
      <c r="AM4159" s="61"/>
      <c r="AN4159" s="63" t="s">
        <v>250</v>
      </c>
      <c r="AO4159" s="71" t="s">
        <v>242</v>
      </c>
      <c r="AP4159" s="61"/>
      <c r="AQ4159" s="63" t="s">
        <v>250</v>
      </c>
      <c r="AR4159" s="71" t="s">
        <v>242</v>
      </c>
      <c r="AS4159" s="61"/>
      <c r="AT4159" s="63" t="s">
        <v>250</v>
      </c>
      <c r="AU4159" s="71" t="s">
        <v>242</v>
      </c>
    </row>
    <row r="4160" spans="15:47" ht="13" x14ac:dyDescent="0.3">
      <c r="O4160" s="6" t="s">
        <v>231</v>
      </c>
      <c r="P4160" s="6"/>
      <c r="Q4160" s="60"/>
      <c r="R4160" s="85">
        <f>P_1_minQ-(R4158^2*R_up)+dpup_minQ</f>
        <v>-4.0193580667483575</v>
      </c>
      <c r="S4160" s="56"/>
      <c r="T4160" s="72"/>
      <c r="U4160" s="53">
        <f>P_1_minQ-(U4158^2*R_up)+dpup_minQ</f>
        <v>9.9447179748489596</v>
      </c>
      <c r="V4160" s="44"/>
      <c r="W4160" s="72"/>
      <c r="X4160" s="53">
        <f>P_1_minQ-(X4158^2*R_up)+dpup_minQ</f>
        <v>-213.72606211383325</v>
      </c>
      <c r="Y4160" s="44"/>
      <c r="Z4160" s="72"/>
      <c r="AA4160" s="53">
        <f>P_1_minQ-(AA4158^2*R_up)+dpup_minQ</f>
        <v>-929.7588363670277</v>
      </c>
      <c r="AB4160" s="44"/>
      <c r="AC4160" s="72"/>
      <c r="AD4160" s="53">
        <f>P_1_minQ-(AD4158^2*R_up)+dpup_minQ</f>
        <v>-2611.8559866683495</v>
      </c>
      <c r="AE4160" s="44"/>
      <c r="AF4160" s="72"/>
      <c r="AG4160" s="53">
        <f>P_1_minQ-(AG4158^2*R_up)+dpup_minQ</f>
        <v>-5858.9916482968565</v>
      </c>
      <c r="AH4160" s="44"/>
      <c r="AI4160" s="72"/>
      <c r="AJ4160" s="53">
        <f>P_1_minQ-(AJ4158^2*R_up)+dpup_minQ</f>
        <v>-10478.727571943453</v>
      </c>
      <c r="AK4160" s="44"/>
      <c r="AL4160" s="72"/>
      <c r="AM4160" s="53">
        <f>P_1_minQ-(AM4158^2*R_up)+dpup_minQ</f>
        <v>-15629.221694281261</v>
      </c>
      <c r="AN4160" s="44"/>
      <c r="AO4160" s="72"/>
      <c r="AP4160" s="53">
        <f>P_1_minQ-(AP4158^2*R_up)+dpup_minQ</f>
        <v>-21085.627726809784</v>
      </c>
      <c r="AQ4160" s="44"/>
      <c r="AR4160" s="72"/>
      <c r="AS4160" s="53">
        <f>P_1_minQ-(AS4158^2*R_up)+dpup_minQ</f>
        <v>-27328.097318904071</v>
      </c>
      <c r="AT4160" s="44"/>
      <c r="AU4160" s="72"/>
    </row>
    <row r="4161" spans="15:47" ht="13" x14ac:dyDescent="0.3">
      <c r="O4161" s="6" t="s">
        <v>233</v>
      </c>
      <c r="P4161" s="6"/>
      <c r="Q4161" s="60"/>
      <c r="R4161" s="85">
        <f>P_2_minQ+(R4158^2*R_dn)-dpdn_minQ</f>
        <v>36.843871613349677</v>
      </c>
      <c r="S4161" s="66"/>
      <c r="T4161" s="74"/>
      <c r="U4161" s="53">
        <f>P_2_minQ+(U4158^2*R_dn)-dpdn_minQ</f>
        <v>34.051056405030209</v>
      </c>
      <c r="V4161" s="45"/>
      <c r="W4161" s="74"/>
      <c r="X4161" s="53">
        <f>P_2_minQ+(X4158^2*R_dn)-dpdn_minQ</f>
        <v>78.785212422766648</v>
      </c>
      <c r="Y4161" s="45"/>
      <c r="Z4161" s="74"/>
      <c r="AA4161" s="53">
        <f>P_2_minQ+(AA4158^2*R_dn)-dpdn_minQ</f>
        <v>221.99176727340554</v>
      </c>
      <c r="AB4161" s="45"/>
      <c r="AC4161" s="74"/>
      <c r="AD4161" s="53">
        <f>P_2_minQ+(AD4158^2*R_dn)-dpdn_minQ</f>
        <v>558.41119733366986</v>
      </c>
      <c r="AE4161" s="45"/>
      <c r="AF4161" s="74"/>
      <c r="AG4161" s="53">
        <f>P_2_minQ+(AG4158^2*R_dn)-dpdn_minQ</f>
        <v>1207.8383296593711</v>
      </c>
      <c r="AH4161" s="45"/>
      <c r="AI4161" s="74"/>
      <c r="AJ4161" s="53">
        <f>P_2_minQ+(AJ4158^2*R_dn)-dpdn_minQ</f>
        <v>2131.78551438869</v>
      </c>
      <c r="AK4161" s="45"/>
      <c r="AL4161" s="74"/>
      <c r="AM4161" s="53">
        <f>P_2_minQ+(AM4158^2*R_dn)-dpdn_minQ</f>
        <v>3161.8843388562518</v>
      </c>
      <c r="AN4161" s="45"/>
      <c r="AO4161" s="74"/>
      <c r="AP4161" s="53">
        <f>P_2_minQ+(AP4158^2*R_dn)-dpdn_minQ</f>
        <v>4253.1655453619569</v>
      </c>
      <c r="AQ4161" s="45"/>
      <c r="AR4161" s="74"/>
      <c r="AS4161" s="53">
        <f>P_2_minQ+(AS4158^2*R_dn)-dpdn_minQ</f>
        <v>5501.659463780813</v>
      </c>
      <c r="AT4161" s="45"/>
      <c r="AU4161" s="74"/>
    </row>
    <row r="4162" spans="15:47" x14ac:dyDescent="0.25">
      <c r="O4162" s="6" t="s">
        <v>243</v>
      </c>
      <c r="Q4162" s="60"/>
      <c r="R4162" s="53">
        <f>R4160-R4161</f>
        <v>-40.863229680098037</v>
      </c>
      <c r="S4162" s="56"/>
      <c r="T4162" s="72"/>
      <c r="U4162" s="64">
        <f>U4160-U4161</f>
        <v>-24.10633843018125</v>
      </c>
      <c r="V4162" s="44"/>
      <c r="W4162" s="72"/>
      <c r="X4162" s="64">
        <f>X4160-X4161</f>
        <v>-292.5112745365999</v>
      </c>
      <c r="Y4162" s="44"/>
      <c r="Z4162" s="72"/>
      <c r="AA4162" s="64">
        <f>AA4160-AA4161</f>
        <v>-1151.7506036404332</v>
      </c>
      <c r="AB4162" s="44"/>
      <c r="AC4162" s="72"/>
      <c r="AD4162" s="64">
        <f>AD4160-AD4161</f>
        <v>-3170.2671840020193</v>
      </c>
      <c r="AE4162" s="44"/>
      <c r="AF4162" s="72"/>
      <c r="AG4162" s="64">
        <f>AG4160-AG4161</f>
        <v>-7066.8299779562276</v>
      </c>
      <c r="AH4162" s="44"/>
      <c r="AI4162" s="72"/>
      <c r="AJ4162" s="64">
        <f>AJ4160-AJ4161</f>
        <v>-12610.513086332143</v>
      </c>
      <c r="AK4162" s="44"/>
      <c r="AL4162" s="72"/>
      <c r="AM4162" s="64">
        <f>AM4160-AM4161</f>
        <v>-18791.106033137512</v>
      </c>
      <c r="AN4162" s="44"/>
      <c r="AO4162" s="72"/>
      <c r="AP4162" s="64">
        <f>AP4160-AP4161</f>
        <v>-25338.793272171741</v>
      </c>
      <c r="AQ4162" s="44"/>
      <c r="AR4162" s="72"/>
      <c r="AS4162" s="64">
        <f>AS4160-AS4161</f>
        <v>-32829.756782684883</v>
      </c>
      <c r="AT4162" s="44"/>
      <c r="AU4162" s="72"/>
    </row>
    <row r="4163" spans="15:47" ht="13" x14ac:dyDescent="0.3">
      <c r="O4163" s="6" t="s">
        <v>75</v>
      </c>
      <c r="P4163" s="6">
        <v>3</v>
      </c>
      <c r="Q4163" s="65"/>
      <c r="R4163" s="85">
        <f>(F_LP_h/F_P_h)^2*(R4160-('Valve Sizing'!$V$4*'Valve Sizing'!$G$7))</f>
        <v>-3.6926303036249384</v>
      </c>
      <c r="S4163" s="58"/>
      <c r="T4163" s="73"/>
      <c r="U4163" s="53">
        <f>(U$29/U$27)^2*(U4160-('Valve Sizing'!$V$4*'Valve Sizing'!$G$7))</f>
        <v>7.8682124979564927</v>
      </c>
      <c r="V4163" s="41"/>
      <c r="W4163" s="73"/>
      <c r="X4163" s="53">
        <f>(X$29/X$27)^2*(X4160-('Valve Sizing'!$V$4*'Valve Sizing'!$G$7))</f>
        <v>-173.29327930060973</v>
      </c>
      <c r="Y4163" s="41"/>
      <c r="Z4163" s="73"/>
      <c r="AA4163" s="53">
        <f>(AA$29/AA$27)^2*(AA4160-('Valve Sizing'!$V$4*'Valve Sizing'!$G$7))</f>
        <v>-718.85512061696136</v>
      </c>
      <c r="AB4163" s="41"/>
      <c r="AC4163" s="73"/>
      <c r="AD4163" s="53">
        <f>(AD$29/AD$27)^2*(AD4160-('Valve Sizing'!$V$4*'Valve Sizing'!$G$7))</f>
        <v>-1883.9550109909362</v>
      </c>
      <c r="AE4163" s="41"/>
      <c r="AF4163" s="73"/>
      <c r="AG4163" s="53">
        <f>(AG$29/AG$27)^2*(AG4160-('Valve Sizing'!$V$4*'Valve Sizing'!$G$7))</f>
        <v>-3773.7315475977589</v>
      </c>
      <c r="AH4163" s="41"/>
      <c r="AI4163" s="73"/>
      <c r="AJ4163" s="53">
        <f>(AJ$29/AJ$27)^2*(AJ4160-('Valve Sizing'!$V$4*'Valve Sizing'!$G$7))</f>
        <v>-6060.7768208728157</v>
      </c>
      <c r="AK4163" s="41"/>
      <c r="AL4163" s="73"/>
      <c r="AM4163" s="53">
        <f>(AM$29/AM$27)^2*(AM4160-('Valve Sizing'!$V$4*'Valve Sizing'!$G$7))</f>
        <v>-7478.3578513582552</v>
      </c>
      <c r="AN4163" s="41"/>
      <c r="AO4163" s="73"/>
      <c r="AP4163" s="53">
        <f>(AP$29/AP$27)^2*(AP4160-('Valve Sizing'!$V$4*'Valve Sizing'!$G$7))</f>
        <v>-8321.1280312530034</v>
      </c>
      <c r="AQ4163" s="41"/>
      <c r="AR4163" s="73"/>
      <c r="AS4163" s="53">
        <f>(AS$29/AS$27)^2*(AS4160-('Valve Sizing'!$V$4*'Valve Sizing'!$G$7))</f>
        <v>-10279.377750520091</v>
      </c>
      <c r="AT4163" s="41"/>
      <c r="AU4163" s="73"/>
    </row>
    <row r="4164" spans="15:47" ht="13" x14ac:dyDescent="0.25">
      <c r="O4164" s="1" t="s">
        <v>69</v>
      </c>
      <c r="P4164" s="17">
        <v>7</v>
      </c>
      <c r="Q4164" s="65"/>
      <c r="R4164" s="53" t="e">
        <f>(R4158/(N_1*F_P_h))*SQRT('Valve Sizing'!$G$6/R4162)</f>
        <v>#NUM!</v>
      </c>
      <c r="S4164" s="58"/>
      <c r="T4164" s="73"/>
      <c r="U4164" s="64" t="e">
        <f>(U4158/(N_1*U$27))*SQRT('Valve Sizing'!$G$6/U4162)</f>
        <v>#NUM!</v>
      </c>
      <c r="V4164" s="41"/>
      <c r="W4164" s="73"/>
      <c r="X4164" s="64" t="e">
        <f>(X4158/(N_1*X$27))*SQRT('Valve Sizing'!$G$6/X4162)</f>
        <v>#NUM!</v>
      </c>
      <c r="Y4164" s="41"/>
      <c r="Z4164" s="73"/>
      <c r="AA4164" s="64" t="e">
        <f>(AA4158/(N_1*AA$27))*SQRT('Valve Sizing'!$G$6/AA4162)</f>
        <v>#NUM!</v>
      </c>
      <c r="AB4164" s="41"/>
      <c r="AC4164" s="73"/>
      <c r="AD4164" s="64" t="e">
        <f>(AD4158/(N_1*AD$27))*SQRT('Valve Sizing'!$G$6/AD4162)</f>
        <v>#NUM!</v>
      </c>
      <c r="AE4164" s="41"/>
      <c r="AF4164" s="73"/>
      <c r="AG4164" s="64" t="e">
        <f>(AG4158/(N_1*AG$27))*SQRT('Valve Sizing'!$G$6/AG4162)</f>
        <v>#NUM!</v>
      </c>
      <c r="AH4164" s="41"/>
      <c r="AI4164" s="73"/>
      <c r="AJ4164" s="64" t="e">
        <f>(AJ4158/(N_1*AJ$27))*SQRT('Valve Sizing'!$G$6/AJ4162)</f>
        <v>#NUM!</v>
      </c>
      <c r="AK4164" s="41"/>
      <c r="AL4164" s="73"/>
      <c r="AM4164" s="64" t="e">
        <f>(AM4158/(N_1*AM$27))*SQRT('Valve Sizing'!$G$6/AM4162)</f>
        <v>#NUM!</v>
      </c>
      <c r="AN4164" s="41"/>
      <c r="AO4164" s="73"/>
      <c r="AP4164" s="64" t="e">
        <f>(AP4158/(N_1*AP$27))*SQRT('Valve Sizing'!$G$6/AP4162)</f>
        <v>#NUM!</v>
      </c>
      <c r="AQ4164" s="41"/>
      <c r="AR4164" s="73"/>
      <c r="AS4164" s="64" t="e">
        <f>(AS4158/(N_1*AS$27))*SQRT('Valve Sizing'!$G$6/AS4162)</f>
        <v>#NUM!</v>
      </c>
      <c r="AT4164" s="41"/>
      <c r="AU4164" s="73"/>
    </row>
    <row r="4165" spans="15:47" ht="13" x14ac:dyDescent="0.3">
      <c r="O4165" s="1" t="s">
        <v>72</v>
      </c>
      <c r="P4165" s="17">
        <v>7</v>
      </c>
      <c r="Q4165" s="65"/>
      <c r="R4165" s="53" t="e">
        <f>(R4158/(N_1*F_P_h))*SQRT('Valve Sizing'!$G$6/R4163)</f>
        <v>#NUM!</v>
      </c>
      <c r="S4165" s="56"/>
      <c r="T4165" s="72"/>
      <c r="U4165" s="85">
        <f>(U4158/(N_1*U$27))*SQRT('Valve Sizing'!$G$6/U4163)</f>
        <v>420.78834559322991</v>
      </c>
      <c r="V4165" s="44"/>
      <c r="W4165" s="72"/>
      <c r="X4165" s="85" t="e">
        <f>(X4158/(N_1*X$27))*SQRT('Valve Sizing'!$G$6/X4163)</f>
        <v>#NUM!</v>
      </c>
      <c r="Y4165" s="44"/>
      <c r="Z4165" s="72"/>
      <c r="AA4165" s="85" t="e">
        <f>(AA4158/(N_1*AA$27))*SQRT('Valve Sizing'!$G$6/AA4163)</f>
        <v>#NUM!</v>
      </c>
      <c r="AB4165" s="44"/>
      <c r="AC4165" s="72"/>
      <c r="AD4165" s="85" t="e">
        <f>(AD4158/(N_1*AD$27))*SQRT('Valve Sizing'!$G$6/AD4163)</f>
        <v>#NUM!</v>
      </c>
      <c r="AE4165" s="44"/>
      <c r="AF4165" s="72"/>
      <c r="AG4165" s="85" t="e">
        <f>(AG4158/(N_1*AG$27))*SQRT('Valve Sizing'!$G$6/AG4163)</f>
        <v>#NUM!</v>
      </c>
      <c r="AH4165" s="44"/>
      <c r="AI4165" s="72"/>
      <c r="AJ4165" s="85" t="e">
        <f>(AJ4158/(N_1*AJ$27))*SQRT('Valve Sizing'!$G$6/AJ4163)</f>
        <v>#NUM!</v>
      </c>
      <c r="AK4165" s="44"/>
      <c r="AL4165" s="72"/>
      <c r="AM4165" s="85" t="e">
        <f>(AM4158/(N_1*AM$27))*SQRT('Valve Sizing'!$G$6/AM4163)</f>
        <v>#NUM!</v>
      </c>
      <c r="AN4165" s="44"/>
      <c r="AO4165" s="72"/>
      <c r="AP4165" s="85" t="e">
        <f>(AP4158/(N_1*AP$27))*SQRT('Valve Sizing'!$G$6/AP4163)</f>
        <v>#NUM!</v>
      </c>
      <c r="AQ4165" s="44"/>
      <c r="AR4165" s="72"/>
      <c r="AS4165" s="85" t="e">
        <f>(AS4158/(N_1*AS$27))*SQRT('Valve Sizing'!$G$6/AS4163)</f>
        <v>#NUM!</v>
      </c>
      <c r="AT4165" s="44"/>
      <c r="AU4165" s="72"/>
    </row>
    <row r="4166" spans="15:47" x14ac:dyDescent="0.25">
      <c r="O4166" s="1" t="s">
        <v>246</v>
      </c>
      <c r="P4166" s="18"/>
      <c r="Q4166" s="65"/>
      <c r="R4166" s="53" t="e">
        <f>IF(R4162&lt;R4163,R4164,R4165)</f>
        <v>#NUM!</v>
      </c>
      <c r="S4166" s="49"/>
      <c r="T4166" s="72"/>
      <c r="U4166" s="64" t="e">
        <f>IF(U4162&lt;U4163,U4164,U4165)</f>
        <v>#NUM!</v>
      </c>
      <c r="V4166" s="44"/>
      <c r="W4166" s="72"/>
      <c r="X4166" s="64" t="e">
        <f>IF(X4162&lt;X4163,X4164,X4165)</f>
        <v>#NUM!</v>
      </c>
      <c r="Y4166" s="44"/>
      <c r="Z4166" s="72"/>
      <c r="AA4166" s="64" t="e">
        <f>IF(AA4162&lt;AA4163,AA4164,AA4165)</f>
        <v>#NUM!</v>
      </c>
      <c r="AB4166" s="44"/>
      <c r="AC4166" s="72"/>
      <c r="AD4166" s="64" t="e">
        <f>IF(AD4162&lt;AD4163,AD4164,AD4165)</f>
        <v>#NUM!</v>
      </c>
      <c r="AE4166" s="44"/>
      <c r="AF4166" s="72"/>
      <c r="AG4166" s="64" t="e">
        <f>IF(AG4162&lt;AG4163,AG4164,AG4165)</f>
        <v>#NUM!</v>
      </c>
      <c r="AH4166" s="44"/>
      <c r="AI4166" s="72"/>
      <c r="AJ4166" s="64" t="e">
        <f>IF(AJ4162&lt;AJ4163,AJ4164,AJ4165)</f>
        <v>#NUM!</v>
      </c>
      <c r="AK4166" s="44"/>
      <c r="AL4166" s="72"/>
      <c r="AM4166" s="64" t="e">
        <f>IF(AM4162&lt;AM4163,AM4164,AM4165)</f>
        <v>#NUM!</v>
      </c>
      <c r="AN4166" s="44"/>
      <c r="AO4166" s="72"/>
      <c r="AP4166" s="64" t="e">
        <f>IF(AP4162&lt;AP4163,AP4164,AP4165)</f>
        <v>#NUM!</v>
      </c>
      <c r="AQ4166" s="44"/>
      <c r="AR4166" s="72"/>
      <c r="AS4166" s="64" t="e">
        <f>IF(AS4162&lt;AS4163,AS4164,AS4165)</f>
        <v>#NUM!</v>
      </c>
      <c r="AT4166" s="44"/>
      <c r="AU4166" s="72"/>
    </row>
    <row r="4167" spans="15:47" ht="13" x14ac:dyDescent="0.3">
      <c r="O4167" s="7" t="s">
        <v>264</v>
      </c>
      <c r="Q4167" s="61"/>
      <c r="R4167" s="53"/>
      <c r="S4167" s="69">
        <f>IFERROR(ABS(C_h-R4166),Q_max*10)</f>
        <v>5500</v>
      </c>
      <c r="T4167" s="76">
        <f>R4158</f>
        <v>1343.2424175689282</v>
      </c>
      <c r="U4167" s="61"/>
      <c r="V4167" s="69">
        <f>IFERROR(ABS(U$23-U4166),Q_max*10)</f>
        <v>5500</v>
      </c>
      <c r="W4167" s="75">
        <f>U4158</f>
        <v>1179.3319722473068</v>
      </c>
      <c r="X4167" s="61"/>
      <c r="Y4167" s="69">
        <f>IFERROR(ABS(X$23-X4166),Q_max*10)</f>
        <v>5500</v>
      </c>
      <c r="Z4167" s="75">
        <f>X4158</f>
        <v>2830.8507023844618</v>
      </c>
      <c r="AA4167" s="61"/>
      <c r="AB4167" s="69">
        <f>IFERROR(ABS(AA$23-AA4166),Q_max*10)</f>
        <v>5500</v>
      </c>
      <c r="AC4167" s="75">
        <f>AA4158</f>
        <v>5405.1314641577119</v>
      </c>
      <c r="AD4167" s="61"/>
      <c r="AE4167" s="69">
        <f>IFERROR(ABS(AD$23-AD4166),Q_max*10)</f>
        <v>5500</v>
      </c>
      <c r="AF4167" s="75">
        <f>AD4158</f>
        <v>8889.4512072033904</v>
      </c>
      <c r="AG4167" s="61"/>
      <c r="AH4167" s="69">
        <f>IFERROR(ABS(AG$23-AG4166),Q_max*10)</f>
        <v>5500</v>
      </c>
      <c r="AI4167" s="75">
        <f>AG4158</f>
        <v>13235.181513907162</v>
      </c>
      <c r="AJ4167" s="61"/>
      <c r="AK4167" s="69">
        <f>IFERROR(ABS(AJ$23-AJ4166),Q_max*10)</f>
        <v>5500</v>
      </c>
      <c r="AL4167" s="75">
        <f>AJ4158</f>
        <v>17662.401037380099</v>
      </c>
      <c r="AM4167" s="61"/>
      <c r="AN4167" s="69">
        <f>IFERROR(ABS(AM$23-AM4166),Q_max*10)</f>
        <v>5500</v>
      </c>
      <c r="AO4167" s="75">
        <f>AM4158</f>
        <v>21551.485827377845</v>
      </c>
      <c r="AP4167" s="61"/>
      <c r="AQ4167" s="69">
        <f>IFERROR(ABS(AP$23-AP4166),Q_max*10)</f>
        <v>5500</v>
      </c>
      <c r="AR4167" s="75">
        <f>AP4158</f>
        <v>25020.605987682186</v>
      </c>
      <c r="AS4167" s="61"/>
      <c r="AT4167" s="69">
        <f>IFERROR(ABS(AS$23-AS4166),Q_max*10)</f>
        <v>5500</v>
      </c>
      <c r="AU4167" s="75">
        <f>AS4158</f>
        <v>28475.783546950021</v>
      </c>
    </row>
    <row r="4168" spans="15:47" ht="14.5" x14ac:dyDescent="0.35">
      <c r="O4168" s="6"/>
      <c r="P4168" s="6"/>
      <c r="Q4168" s="60"/>
      <c r="R4168" s="67"/>
      <c r="S4168" s="56"/>
      <c r="T4168" s="72"/>
      <c r="V4168" s="11"/>
      <c r="W4168" s="38"/>
      <c r="Y4168" s="11"/>
      <c r="Z4168" s="38"/>
      <c r="AB4168" s="11"/>
      <c r="AC4168" s="38"/>
      <c r="AE4168" s="11"/>
      <c r="AF4168" s="38"/>
      <c r="AH4168" s="11"/>
      <c r="AI4168" s="38"/>
      <c r="AK4168" s="11"/>
      <c r="AL4168" s="38"/>
      <c r="AN4168" s="11"/>
      <c r="AO4168" s="38"/>
      <c r="AQ4168" s="11"/>
      <c r="AR4168" s="38"/>
      <c r="AT4168" s="11"/>
      <c r="AU4168" s="38"/>
    </row>
    <row r="4169" spans="15:47" ht="14" x14ac:dyDescent="0.3">
      <c r="O4169" s="8" t="s">
        <v>235</v>
      </c>
      <c r="P4169" s="6"/>
      <c r="Q4169" s="60"/>
      <c r="R4169" s="53">
        <f>R4158*1.02</f>
        <v>1370.1072659203069</v>
      </c>
      <c r="S4169" s="58" t="s">
        <v>238</v>
      </c>
      <c r="T4169" s="73" t="s">
        <v>241</v>
      </c>
      <c r="U4169" s="84">
        <f>U4158*1.01</f>
        <v>1191.1252919697799</v>
      </c>
      <c r="V4169" s="58" t="s">
        <v>238</v>
      </c>
      <c r="W4169" s="73" t="s">
        <v>241</v>
      </c>
      <c r="X4169" s="84">
        <f>X4158*1.01</f>
        <v>2859.1592094083067</v>
      </c>
      <c r="Y4169" s="58" t="s">
        <v>238</v>
      </c>
      <c r="Z4169" s="73" t="s">
        <v>241</v>
      </c>
      <c r="AA4169" s="84">
        <f>AA4158*1.01</f>
        <v>5459.1827787992888</v>
      </c>
      <c r="AB4169" s="58" t="s">
        <v>238</v>
      </c>
      <c r="AC4169" s="73" t="s">
        <v>241</v>
      </c>
      <c r="AD4169" s="84">
        <f>AD4158*1.01</f>
        <v>8978.3457192754249</v>
      </c>
      <c r="AE4169" s="58" t="s">
        <v>238</v>
      </c>
      <c r="AF4169" s="73" t="s">
        <v>241</v>
      </c>
      <c r="AG4169" s="84">
        <f>AG4158*1.01</f>
        <v>13367.533329046235</v>
      </c>
      <c r="AH4169" s="58" t="s">
        <v>238</v>
      </c>
      <c r="AI4169" s="73" t="s">
        <v>241</v>
      </c>
      <c r="AJ4169" s="84">
        <f>AJ4158*1.01</f>
        <v>17839.025047753901</v>
      </c>
      <c r="AK4169" s="58" t="s">
        <v>238</v>
      </c>
      <c r="AL4169" s="73" t="s">
        <v>241</v>
      </c>
      <c r="AM4169" s="84">
        <f>AM4158*1.01</f>
        <v>21767.000685651623</v>
      </c>
      <c r="AN4169" s="58" t="s">
        <v>238</v>
      </c>
      <c r="AO4169" s="73" t="s">
        <v>241</v>
      </c>
      <c r="AP4169" s="84">
        <f>AP4158*1.01</f>
        <v>25270.812047559008</v>
      </c>
      <c r="AQ4169" s="58" t="s">
        <v>238</v>
      </c>
      <c r="AR4169" s="73" t="s">
        <v>241</v>
      </c>
      <c r="AS4169" s="84">
        <f>AS4158*1.01</f>
        <v>28760.54138241952</v>
      </c>
      <c r="AT4169" s="58" t="s">
        <v>238</v>
      </c>
      <c r="AU4169" s="73" t="s">
        <v>241</v>
      </c>
    </row>
    <row r="4170" spans="15:47" ht="13" x14ac:dyDescent="0.25">
      <c r="O4170" s="6"/>
      <c r="P4170" s="6"/>
      <c r="Q4170" s="60"/>
      <c r="R4170" s="70"/>
      <c r="S4170" s="63" t="s">
        <v>250</v>
      </c>
      <c r="T4170" s="71" t="s">
        <v>242</v>
      </c>
      <c r="U4170" s="61"/>
      <c r="V4170" s="63" t="s">
        <v>250</v>
      </c>
      <c r="W4170" s="71" t="s">
        <v>242</v>
      </c>
      <c r="X4170" s="61"/>
      <c r="Y4170" s="63" t="s">
        <v>250</v>
      </c>
      <c r="Z4170" s="71" t="s">
        <v>242</v>
      </c>
      <c r="AA4170" s="61"/>
      <c r="AB4170" s="63" t="s">
        <v>250</v>
      </c>
      <c r="AC4170" s="71" t="s">
        <v>242</v>
      </c>
      <c r="AD4170" s="61"/>
      <c r="AE4170" s="63" t="s">
        <v>250</v>
      </c>
      <c r="AF4170" s="71" t="s">
        <v>242</v>
      </c>
      <c r="AG4170" s="61"/>
      <c r="AH4170" s="63" t="s">
        <v>250</v>
      </c>
      <c r="AI4170" s="71" t="s">
        <v>242</v>
      </c>
      <c r="AJ4170" s="61"/>
      <c r="AK4170" s="63" t="s">
        <v>250</v>
      </c>
      <c r="AL4170" s="71" t="s">
        <v>242</v>
      </c>
      <c r="AM4170" s="61"/>
      <c r="AN4170" s="63" t="s">
        <v>250</v>
      </c>
      <c r="AO4170" s="71" t="s">
        <v>242</v>
      </c>
      <c r="AP4170" s="61"/>
      <c r="AQ4170" s="63" t="s">
        <v>250</v>
      </c>
      <c r="AR4170" s="71" t="s">
        <v>242</v>
      </c>
      <c r="AS4170" s="61"/>
      <c r="AT4170" s="63" t="s">
        <v>250</v>
      </c>
      <c r="AU4170" s="71" t="s">
        <v>242</v>
      </c>
    </row>
    <row r="4171" spans="15:47" ht="13" x14ac:dyDescent="0.3">
      <c r="O4171" s="6" t="s">
        <v>231</v>
      </c>
      <c r="P4171" s="6"/>
      <c r="Q4171" s="60"/>
      <c r="R4171" s="85">
        <f>P_1_minQ-(R4169^2*R_up)+dpup_minQ</f>
        <v>-6.48115231771762</v>
      </c>
      <c r="S4171" s="56"/>
      <c r="T4171" s="72"/>
      <c r="U4171" s="53">
        <f>P_1_minQ-(U4169^2*R_up)+dpup_minQ</f>
        <v>9.0005923279266007</v>
      </c>
      <c r="V4171" s="44"/>
      <c r="W4171" s="72"/>
      <c r="X4171" s="53">
        <f>P_1_minQ-(X4169^2*R_up)+dpup_minQ</f>
        <v>-219.16597044053813</v>
      </c>
      <c r="Y4171" s="44"/>
      <c r="Z4171" s="72"/>
      <c r="AA4171" s="53">
        <f>P_1_minQ-(AA4169^2*R_up)+dpup_minQ</f>
        <v>-949.59100345622176</v>
      </c>
      <c r="AB4171" s="44"/>
      <c r="AC4171" s="72"/>
      <c r="AD4171" s="53">
        <f>P_1_minQ-(AD4169^2*R_up)+dpup_minQ</f>
        <v>-2665.4983064786006</v>
      </c>
      <c r="AE4171" s="44"/>
      <c r="AF4171" s="72"/>
      <c r="AG4171" s="53">
        <f>P_1_minQ-(AG4169^2*R_up)+dpup_minQ</f>
        <v>-5977.9013949058408</v>
      </c>
      <c r="AH4171" s="44"/>
      <c r="AI4171" s="72"/>
      <c r="AJ4171" s="53">
        <f>P_1_minQ-(AJ4169^2*R_up)+dpup_minQ</f>
        <v>-10690.494010617733</v>
      </c>
      <c r="AK4171" s="44"/>
      <c r="AL4171" s="72"/>
      <c r="AM4171" s="53">
        <f>P_1_minQ-(AM4169^2*R_up)+dpup_minQ</f>
        <v>-15944.513064814531</v>
      </c>
      <c r="AN4171" s="44"/>
      <c r="AO4171" s="72"/>
      <c r="AP4171" s="53">
        <f>P_1_minQ-(AP4169^2*R_up)+dpup_minQ</f>
        <v>-21510.592858596876</v>
      </c>
      <c r="AQ4171" s="44"/>
      <c r="AR4171" s="72"/>
      <c r="AS4171" s="53">
        <f>P_1_minQ-(AS4169^2*R_up)+dpup_minQ</f>
        <v>-27878.53608949226</v>
      </c>
      <c r="AT4171" s="44"/>
      <c r="AU4171" s="72"/>
    </row>
    <row r="4172" spans="15:47" ht="13" x14ac:dyDescent="0.3">
      <c r="O4172" s="6" t="s">
        <v>233</v>
      </c>
      <c r="P4172" s="6"/>
      <c r="Q4172" s="60"/>
      <c r="R4172" s="85">
        <f>P_2_minQ+(R4169^2*R_dn)-dpdn_minQ</f>
        <v>37.336230463543529</v>
      </c>
      <c r="S4172" s="66"/>
      <c r="T4172" s="74"/>
      <c r="U4172" s="53">
        <f>P_2_minQ+(U4169^2*R_dn)-dpdn_minQ</f>
        <v>34.239881534414685</v>
      </c>
      <c r="V4172" s="45"/>
      <c r="W4172" s="74"/>
      <c r="X4172" s="53">
        <f>P_2_minQ+(X4169^2*R_dn)-dpdn_minQ</f>
        <v>79.873194088107624</v>
      </c>
      <c r="Y4172" s="45"/>
      <c r="Z4172" s="74"/>
      <c r="AA4172" s="53">
        <f>P_2_minQ+(AA4169^2*R_dn)-dpdn_minQ</f>
        <v>225.95820069124434</v>
      </c>
      <c r="AB4172" s="45"/>
      <c r="AC4172" s="74"/>
      <c r="AD4172" s="53">
        <f>P_2_minQ+(AD4169^2*R_dn)-dpdn_minQ</f>
        <v>569.13966129572009</v>
      </c>
      <c r="AE4172" s="45"/>
      <c r="AF4172" s="74"/>
      <c r="AG4172" s="53">
        <f>P_2_minQ+(AG4169^2*R_dn)-dpdn_minQ</f>
        <v>1231.620278981168</v>
      </c>
      <c r="AH4172" s="45"/>
      <c r="AI4172" s="74"/>
      <c r="AJ4172" s="53">
        <f>P_2_minQ+(AJ4169^2*R_dn)-dpdn_minQ</f>
        <v>2174.1388021235462</v>
      </c>
      <c r="AK4172" s="45"/>
      <c r="AL4172" s="74"/>
      <c r="AM4172" s="53">
        <f>P_2_minQ+(AM4169^2*R_dn)-dpdn_minQ</f>
        <v>3224.942612962906</v>
      </c>
      <c r="AN4172" s="45"/>
      <c r="AO4172" s="74"/>
      <c r="AP4172" s="53">
        <f>P_2_minQ+(AP4169^2*R_dn)-dpdn_minQ</f>
        <v>4338.1585717193748</v>
      </c>
      <c r="AQ4172" s="45"/>
      <c r="AR4172" s="74"/>
      <c r="AS4172" s="53">
        <f>P_2_minQ+(AS4169^2*R_dn)-dpdn_minQ</f>
        <v>5611.7472178984517</v>
      </c>
      <c r="AT4172" s="45"/>
      <c r="AU4172" s="74"/>
    </row>
    <row r="4173" spans="15:47" x14ac:dyDescent="0.25">
      <c r="O4173" s="6" t="s">
        <v>243</v>
      </c>
      <c r="Q4173" s="60"/>
      <c r="R4173" s="53">
        <f>R4171-R4172</f>
        <v>-43.817382781261152</v>
      </c>
      <c r="S4173" s="56"/>
      <c r="T4173" s="72"/>
      <c r="U4173" s="64">
        <f>U4171-U4172</f>
        <v>-25.239289206488085</v>
      </c>
      <c r="V4173" s="44"/>
      <c r="W4173" s="72"/>
      <c r="X4173" s="64">
        <f>X4171-X4172</f>
        <v>-299.03916452864576</v>
      </c>
      <c r="Y4173" s="44"/>
      <c r="Z4173" s="72"/>
      <c r="AA4173" s="64">
        <f>AA4171-AA4172</f>
        <v>-1175.5492041474661</v>
      </c>
      <c r="AB4173" s="44"/>
      <c r="AC4173" s="72"/>
      <c r="AD4173" s="64">
        <f>AD4171-AD4172</f>
        <v>-3234.6379677743207</v>
      </c>
      <c r="AE4173" s="44"/>
      <c r="AF4173" s="72"/>
      <c r="AG4173" s="64">
        <f>AG4171-AG4172</f>
        <v>-7209.5216738870085</v>
      </c>
      <c r="AH4173" s="44"/>
      <c r="AI4173" s="72"/>
      <c r="AJ4173" s="64">
        <f>AJ4171-AJ4172</f>
        <v>-12864.632812741278</v>
      </c>
      <c r="AK4173" s="44"/>
      <c r="AL4173" s="72"/>
      <c r="AM4173" s="64">
        <f>AM4171-AM4172</f>
        <v>-19169.455677777438</v>
      </c>
      <c r="AN4173" s="44"/>
      <c r="AO4173" s="72"/>
      <c r="AP4173" s="64">
        <f>AP4171-AP4172</f>
        <v>-25848.75143031625</v>
      </c>
      <c r="AQ4173" s="44"/>
      <c r="AR4173" s="72"/>
      <c r="AS4173" s="64">
        <f>AS4171-AS4172</f>
        <v>-33490.28330739071</v>
      </c>
      <c r="AT4173" s="44"/>
      <c r="AU4173" s="72"/>
    </row>
    <row r="4174" spans="15:47" ht="13" x14ac:dyDescent="0.3">
      <c r="O4174" s="6" t="s">
        <v>75</v>
      </c>
      <c r="P4174" s="6">
        <v>3</v>
      </c>
      <c r="Q4174" s="65"/>
      <c r="R4174" s="85">
        <f>(F_LP_h/F_P_h)^2*(R4171-('Valve Sizing'!$V$4*'Valve Sizing'!$G$7))</f>
        <v>-5.7311251628567783</v>
      </c>
      <c r="S4174" s="58"/>
      <c r="T4174" s="73"/>
      <c r="U4174" s="53">
        <f>(U$29/U$27)^2*(U4171-('Valve Sizing'!$V$4*'Valve Sizing'!$G$7))</f>
        <v>7.0866399876635162</v>
      </c>
      <c r="V4174" s="41"/>
      <c r="W4174" s="73"/>
      <c r="X4174" s="53">
        <f>(X$29/X$27)^2*(X4171-('Valve Sizing'!$V$4*'Valve Sizing'!$G$7))</f>
        <v>-177.69500051583026</v>
      </c>
      <c r="Y4174" s="41"/>
      <c r="Z4174" s="73"/>
      <c r="AA4174" s="53">
        <f>(AA$29/AA$27)^2*(AA4171-('Valve Sizing'!$V$4*'Valve Sizing'!$G$7))</f>
        <v>-734.18136423690578</v>
      </c>
      <c r="AB4174" s="41"/>
      <c r="AC4174" s="73"/>
      <c r="AD4174" s="53">
        <f>(AD$29/AD$27)^2*(AD4171-('Valve Sizing'!$V$4*'Valve Sizing'!$G$7))</f>
        <v>-1922.6411765297805</v>
      </c>
      <c r="AE4174" s="41"/>
      <c r="AF4174" s="73"/>
      <c r="AG4174" s="53">
        <f>(AG$29/AG$27)^2*(AG4171-('Valve Sizing'!$V$4*'Valve Sizing'!$G$7))</f>
        <v>-3850.3146506379903</v>
      </c>
      <c r="AH4174" s="41"/>
      <c r="AI4174" s="73"/>
      <c r="AJ4174" s="53">
        <f>(AJ$29/AJ$27)^2*(AJ4171-('Valve Sizing'!$V$4*'Valve Sizing'!$G$7))</f>
        <v>-6183.2549764210662</v>
      </c>
      <c r="AK4174" s="41"/>
      <c r="AL4174" s="73"/>
      <c r="AM4174" s="53">
        <f>(AM$29/AM$27)^2*(AM4171-('Valve Sizing'!$V$4*'Valve Sizing'!$G$7))</f>
        <v>-7629.2159910744767</v>
      </c>
      <c r="AN4174" s="41"/>
      <c r="AO4174" s="73"/>
      <c r="AP4174" s="53">
        <f>(AP$29/AP$27)^2*(AP4171-('Valve Sizing'!$V$4*'Valve Sizing'!$G$7))</f>
        <v>-8488.8306729480882</v>
      </c>
      <c r="AQ4174" s="41"/>
      <c r="AR4174" s="73"/>
      <c r="AS4174" s="53">
        <f>(AS$29/AS$27)^2*(AS4171-('Valve Sizing'!$V$4*'Valve Sizing'!$G$7))</f>
        <v>-10486.420226794662</v>
      </c>
      <c r="AT4174" s="41"/>
      <c r="AU4174" s="73"/>
    </row>
    <row r="4175" spans="15:47" ht="13" x14ac:dyDescent="0.25">
      <c r="O4175" s="1" t="s">
        <v>69</v>
      </c>
      <c r="P4175" s="17">
        <v>7</v>
      </c>
      <c r="Q4175" s="65"/>
      <c r="R4175" s="53" t="e">
        <f>(R4169/(N_1*F_P_h))*SQRT('Valve Sizing'!$G$6/R4173)</f>
        <v>#NUM!</v>
      </c>
      <c r="S4175" s="58"/>
      <c r="T4175" s="73"/>
      <c r="U4175" s="64" t="e">
        <f>(U4169/(N_1*U$27))*SQRT('Valve Sizing'!$G$6/U4173)</f>
        <v>#NUM!</v>
      </c>
      <c r="V4175" s="41"/>
      <c r="W4175" s="73"/>
      <c r="X4175" s="64" t="e">
        <f>(X4169/(N_1*X$27))*SQRT('Valve Sizing'!$G$6/X4173)</f>
        <v>#NUM!</v>
      </c>
      <c r="Y4175" s="41"/>
      <c r="Z4175" s="73"/>
      <c r="AA4175" s="64" t="e">
        <f>(AA4169/(N_1*AA$27))*SQRT('Valve Sizing'!$G$6/AA4173)</f>
        <v>#NUM!</v>
      </c>
      <c r="AB4175" s="41"/>
      <c r="AC4175" s="73"/>
      <c r="AD4175" s="64" t="e">
        <f>(AD4169/(N_1*AD$27))*SQRT('Valve Sizing'!$G$6/AD4173)</f>
        <v>#NUM!</v>
      </c>
      <c r="AE4175" s="41"/>
      <c r="AF4175" s="73"/>
      <c r="AG4175" s="64" t="e">
        <f>(AG4169/(N_1*AG$27))*SQRT('Valve Sizing'!$G$6/AG4173)</f>
        <v>#NUM!</v>
      </c>
      <c r="AH4175" s="41"/>
      <c r="AI4175" s="73"/>
      <c r="AJ4175" s="64" t="e">
        <f>(AJ4169/(N_1*AJ$27))*SQRT('Valve Sizing'!$G$6/AJ4173)</f>
        <v>#NUM!</v>
      </c>
      <c r="AK4175" s="41"/>
      <c r="AL4175" s="73"/>
      <c r="AM4175" s="64" t="e">
        <f>(AM4169/(N_1*AM$27))*SQRT('Valve Sizing'!$G$6/AM4173)</f>
        <v>#NUM!</v>
      </c>
      <c r="AN4175" s="41"/>
      <c r="AO4175" s="73"/>
      <c r="AP4175" s="64" t="e">
        <f>(AP4169/(N_1*AP$27))*SQRT('Valve Sizing'!$G$6/AP4173)</f>
        <v>#NUM!</v>
      </c>
      <c r="AQ4175" s="41"/>
      <c r="AR4175" s="73"/>
      <c r="AS4175" s="64" t="e">
        <f>(AS4169/(N_1*AS$27))*SQRT('Valve Sizing'!$G$6/AS4173)</f>
        <v>#NUM!</v>
      </c>
      <c r="AT4175" s="41"/>
      <c r="AU4175" s="73"/>
    </row>
    <row r="4176" spans="15:47" ht="13" x14ac:dyDescent="0.3">
      <c r="O4176" s="1" t="s">
        <v>72</v>
      </c>
      <c r="P4176" s="17">
        <v>7</v>
      </c>
      <c r="Q4176" s="65"/>
      <c r="R4176" s="53" t="e">
        <f>(R4169/(N_1*F_P_h))*SQRT('Valve Sizing'!$G$6/R4174)</f>
        <v>#NUM!</v>
      </c>
      <c r="S4176" s="56"/>
      <c r="T4176" s="72"/>
      <c r="U4176" s="85">
        <f>(U4169/(N_1*U$27))*SQRT('Valve Sizing'!$G$6/U4174)</f>
        <v>447.81942873130345</v>
      </c>
      <c r="V4176" s="44"/>
      <c r="W4176" s="72"/>
      <c r="X4176" s="85" t="e">
        <f>(X4169/(N_1*X$27))*SQRT('Valve Sizing'!$G$6/X4174)</f>
        <v>#NUM!</v>
      </c>
      <c r="Y4176" s="44"/>
      <c r="Z4176" s="72"/>
      <c r="AA4176" s="85" t="e">
        <f>(AA4169/(N_1*AA$27))*SQRT('Valve Sizing'!$G$6/AA4174)</f>
        <v>#NUM!</v>
      </c>
      <c r="AB4176" s="44"/>
      <c r="AC4176" s="72"/>
      <c r="AD4176" s="85" t="e">
        <f>(AD4169/(N_1*AD$27))*SQRT('Valve Sizing'!$G$6/AD4174)</f>
        <v>#NUM!</v>
      </c>
      <c r="AE4176" s="44"/>
      <c r="AF4176" s="72"/>
      <c r="AG4176" s="85" t="e">
        <f>(AG4169/(N_1*AG$27))*SQRT('Valve Sizing'!$G$6/AG4174)</f>
        <v>#NUM!</v>
      </c>
      <c r="AH4176" s="44"/>
      <c r="AI4176" s="72"/>
      <c r="AJ4176" s="85" t="e">
        <f>(AJ4169/(N_1*AJ$27))*SQRT('Valve Sizing'!$G$6/AJ4174)</f>
        <v>#NUM!</v>
      </c>
      <c r="AK4176" s="44"/>
      <c r="AL4176" s="72"/>
      <c r="AM4176" s="85" t="e">
        <f>(AM4169/(N_1*AM$27))*SQRT('Valve Sizing'!$G$6/AM4174)</f>
        <v>#NUM!</v>
      </c>
      <c r="AN4176" s="44"/>
      <c r="AO4176" s="72"/>
      <c r="AP4176" s="85" t="e">
        <f>(AP4169/(N_1*AP$27))*SQRT('Valve Sizing'!$G$6/AP4174)</f>
        <v>#NUM!</v>
      </c>
      <c r="AQ4176" s="44"/>
      <c r="AR4176" s="72"/>
      <c r="AS4176" s="85" t="e">
        <f>(AS4169/(N_1*AS$27))*SQRT('Valve Sizing'!$G$6/AS4174)</f>
        <v>#NUM!</v>
      </c>
      <c r="AT4176" s="44"/>
      <c r="AU4176" s="72"/>
    </row>
    <row r="4177" spans="15:47" x14ac:dyDescent="0.25">
      <c r="O4177" s="1" t="s">
        <v>246</v>
      </c>
      <c r="P4177" s="18"/>
      <c r="Q4177" s="65"/>
      <c r="R4177" s="53" t="e">
        <f>IF(R4173&lt;R4174,R4175,R4176)</f>
        <v>#NUM!</v>
      </c>
      <c r="S4177" s="49"/>
      <c r="T4177" s="72"/>
      <c r="U4177" s="64" t="e">
        <f>IF(U4173&lt;U4174,U4175,U4176)</f>
        <v>#NUM!</v>
      </c>
      <c r="V4177" s="44"/>
      <c r="W4177" s="72"/>
      <c r="X4177" s="64" t="e">
        <f>IF(X4173&lt;X4174,X4175,X4176)</f>
        <v>#NUM!</v>
      </c>
      <c r="Y4177" s="44"/>
      <c r="Z4177" s="72"/>
      <c r="AA4177" s="64" t="e">
        <f>IF(AA4173&lt;AA4174,AA4175,AA4176)</f>
        <v>#NUM!</v>
      </c>
      <c r="AB4177" s="44"/>
      <c r="AC4177" s="72"/>
      <c r="AD4177" s="64" t="e">
        <f>IF(AD4173&lt;AD4174,AD4175,AD4176)</f>
        <v>#NUM!</v>
      </c>
      <c r="AE4177" s="44"/>
      <c r="AF4177" s="72"/>
      <c r="AG4177" s="64" t="e">
        <f>IF(AG4173&lt;AG4174,AG4175,AG4176)</f>
        <v>#NUM!</v>
      </c>
      <c r="AH4177" s="44"/>
      <c r="AI4177" s="72"/>
      <c r="AJ4177" s="64" t="e">
        <f>IF(AJ4173&lt;AJ4174,AJ4175,AJ4176)</f>
        <v>#NUM!</v>
      </c>
      <c r="AK4177" s="44"/>
      <c r="AL4177" s="72"/>
      <c r="AM4177" s="64" t="e">
        <f>IF(AM4173&lt;AM4174,AM4175,AM4176)</f>
        <v>#NUM!</v>
      </c>
      <c r="AN4177" s="44"/>
      <c r="AO4177" s="72"/>
      <c r="AP4177" s="64" t="e">
        <f>IF(AP4173&lt;AP4174,AP4175,AP4176)</f>
        <v>#NUM!</v>
      </c>
      <c r="AQ4177" s="44"/>
      <c r="AR4177" s="72"/>
      <c r="AS4177" s="64" t="e">
        <f>IF(AS4173&lt;AS4174,AS4175,AS4176)</f>
        <v>#NUM!</v>
      </c>
      <c r="AT4177" s="44"/>
      <c r="AU4177" s="72"/>
    </row>
    <row r="4178" spans="15:47" ht="13" x14ac:dyDescent="0.3">
      <c r="O4178" s="7" t="s">
        <v>264</v>
      </c>
      <c r="Q4178" s="61"/>
      <c r="R4178" s="53"/>
      <c r="S4178" s="69">
        <f>IFERROR(ABS(C_h-R4177),Q_max*10)</f>
        <v>5500</v>
      </c>
      <c r="T4178" s="76">
        <f>R4169</f>
        <v>1370.1072659203069</v>
      </c>
      <c r="U4178" s="61"/>
      <c r="V4178" s="69">
        <f>IFERROR(ABS(U$23-U4177),Q_max*10)</f>
        <v>5500</v>
      </c>
      <c r="W4178" s="75">
        <f>U4169</f>
        <v>1191.1252919697799</v>
      </c>
      <c r="X4178" s="61"/>
      <c r="Y4178" s="69">
        <f>IFERROR(ABS(X$23-X4177),Q_max*10)</f>
        <v>5500</v>
      </c>
      <c r="Z4178" s="75">
        <f>X4169</f>
        <v>2859.1592094083067</v>
      </c>
      <c r="AA4178" s="61"/>
      <c r="AB4178" s="69">
        <f>IFERROR(ABS(AA$23-AA4177),Q_max*10)</f>
        <v>5500</v>
      </c>
      <c r="AC4178" s="75">
        <f>AA4169</f>
        <v>5459.1827787992888</v>
      </c>
      <c r="AD4178" s="61"/>
      <c r="AE4178" s="69">
        <f>IFERROR(ABS(AD$23-AD4177),Q_max*10)</f>
        <v>5500</v>
      </c>
      <c r="AF4178" s="75">
        <f>AD4169</f>
        <v>8978.3457192754249</v>
      </c>
      <c r="AG4178" s="61"/>
      <c r="AH4178" s="69">
        <f>IFERROR(ABS(AG$23-AG4177),Q_max*10)</f>
        <v>5500</v>
      </c>
      <c r="AI4178" s="75">
        <f>AG4169</f>
        <v>13367.533329046235</v>
      </c>
      <c r="AJ4178" s="61"/>
      <c r="AK4178" s="69">
        <f>IFERROR(ABS(AJ$23-AJ4177),Q_max*10)</f>
        <v>5500</v>
      </c>
      <c r="AL4178" s="75">
        <f>AJ4169</f>
        <v>17839.025047753901</v>
      </c>
      <c r="AM4178" s="61"/>
      <c r="AN4178" s="69">
        <f>IFERROR(ABS(AM$23-AM4177),Q_max*10)</f>
        <v>5500</v>
      </c>
      <c r="AO4178" s="75">
        <f>AM4169</f>
        <v>21767.000685651623</v>
      </c>
      <c r="AP4178" s="61"/>
      <c r="AQ4178" s="69">
        <f>IFERROR(ABS(AP$23-AP4177),Q_max*10)</f>
        <v>5500</v>
      </c>
      <c r="AR4178" s="75">
        <f>AP4169</f>
        <v>25270.812047559008</v>
      </c>
      <c r="AS4178" s="61"/>
      <c r="AT4178" s="69">
        <f>IFERROR(ABS(AS$23-AS4177),Q_max*10)</f>
        <v>5500</v>
      </c>
      <c r="AU4178" s="75">
        <f>AS4169</f>
        <v>28760.54138241952</v>
      </c>
    </row>
    <row r="4179" spans="15:47" ht="14.5" x14ac:dyDescent="0.35">
      <c r="O4179" s="8"/>
      <c r="P4179" s="6"/>
      <c r="Q4179" s="60"/>
      <c r="R4179" s="67"/>
      <c r="S4179" s="66"/>
      <c r="T4179" s="74"/>
      <c r="V4179" s="11"/>
      <c r="W4179" s="38"/>
      <c r="Y4179" s="11"/>
      <c r="Z4179" s="38"/>
      <c r="AB4179" s="11"/>
      <c r="AC4179" s="38"/>
      <c r="AE4179" s="11"/>
      <c r="AF4179" s="38"/>
      <c r="AH4179" s="11"/>
      <c r="AI4179" s="38"/>
      <c r="AK4179" s="11"/>
      <c r="AL4179" s="38"/>
      <c r="AN4179" s="11"/>
      <c r="AO4179" s="38"/>
      <c r="AQ4179" s="11"/>
      <c r="AR4179" s="38"/>
      <c r="AT4179" s="11"/>
      <c r="AU4179" s="38"/>
    </row>
    <row r="4180" spans="15:47" ht="14" x14ac:dyDescent="0.3">
      <c r="O4180" s="8" t="s">
        <v>235</v>
      </c>
      <c r="P4180" s="6"/>
      <c r="Q4180" s="60"/>
      <c r="R4180" s="53">
        <f>R4169*1.02</f>
        <v>1397.509411238713</v>
      </c>
      <c r="S4180" s="58" t="s">
        <v>238</v>
      </c>
      <c r="T4180" s="73" t="s">
        <v>241</v>
      </c>
      <c r="U4180" s="84">
        <f>U4169*1.01</f>
        <v>1203.0365448894777</v>
      </c>
      <c r="V4180" s="58" t="s">
        <v>238</v>
      </c>
      <c r="W4180" s="73" t="s">
        <v>241</v>
      </c>
      <c r="X4180" s="84">
        <f>X4169*1.01</f>
        <v>2887.7508015023895</v>
      </c>
      <c r="Y4180" s="58" t="s">
        <v>238</v>
      </c>
      <c r="Z4180" s="73" t="s">
        <v>241</v>
      </c>
      <c r="AA4180" s="84">
        <f>AA4169*1.01</f>
        <v>5513.7746065872816</v>
      </c>
      <c r="AB4180" s="58" t="s">
        <v>238</v>
      </c>
      <c r="AC4180" s="73" t="s">
        <v>241</v>
      </c>
      <c r="AD4180" s="84">
        <f>AD4169*1.01</f>
        <v>9068.1291764681791</v>
      </c>
      <c r="AE4180" s="58" t="s">
        <v>238</v>
      </c>
      <c r="AF4180" s="73" t="s">
        <v>241</v>
      </c>
      <c r="AG4180" s="84">
        <f>AG4169*1.01</f>
        <v>13501.208662336698</v>
      </c>
      <c r="AH4180" s="58" t="s">
        <v>238</v>
      </c>
      <c r="AI4180" s="73" t="s">
        <v>241</v>
      </c>
      <c r="AJ4180" s="84">
        <f>AJ4169*1.01</f>
        <v>18017.415298231441</v>
      </c>
      <c r="AK4180" s="58" t="s">
        <v>238</v>
      </c>
      <c r="AL4180" s="73" t="s">
        <v>241</v>
      </c>
      <c r="AM4180" s="84">
        <f>AM4169*1.01</f>
        <v>21984.670692508138</v>
      </c>
      <c r="AN4180" s="58" t="s">
        <v>238</v>
      </c>
      <c r="AO4180" s="73" t="s">
        <v>241</v>
      </c>
      <c r="AP4180" s="84">
        <f>AP4169*1.01</f>
        <v>25523.520168034596</v>
      </c>
      <c r="AQ4180" s="58" t="s">
        <v>238</v>
      </c>
      <c r="AR4180" s="73" t="s">
        <v>241</v>
      </c>
      <c r="AS4180" s="84">
        <f>AS4169*1.01</f>
        <v>29048.146796243716</v>
      </c>
      <c r="AT4180" s="58" t="s">
        <v>238</v>
      </c>
      <c r="AU4180" s="73" t="s">
        <v>241</v>
      </c>
    </row>
    <row r="4181" spans="15:47" ht="13" x14ac:dyDescent="0.25">
      <c r="O4181" s="6"/>
      <c r="P4181" s="6"/>
      <c r="Q4181" s="60"/>
      <c r="R4181" s="70"/>
      <c r="S4181" s="63" t="s">
        <v>250</v>
      </c>
      <c r="T4181" s="71" t="s">
        <v>242</v>
      </c>
      <c r="U4181" s="61"/>
      <c r="V4181" s="63" t="s">
        <v>250</v>
      </c>
      <c r="W4181" s="71" t="s">
        <v>242</v>
      </c>
      <c r="X4181" s="61"/>
      <c r="Y4181" s="63" t="s">
        <v>250</v>
      </c>
      <c r="Z4181" s="71" t="s">
        <v>242</v>
      </c>
      <c r="AA4181" s="61"/>
      <c r="AB4181" s="63" t="s">
        <v>250</v>
      </c>
      <c r="AC4181" s="71" t="s">
        <v>242</v>
      </c>
      <c r="AD4181" s="61"/>
      <c r="AE4181" s="63" t="s">
        <v>250</v>
      </c>
      <c r="AF4181" s="71" t="s">
        <v>242</v>
      </c>
      <c r="AG4181" s="61"/>
      <c r="AH4181" s="63" t="s">
        <v>250</v>
      </c>
      <c r="AI4181" s="71" t="s">
        <v>242</v>
      </c>
      <c r="AJ4181" s="61"/>
      <c r="AK4181" s="63" t="s">
        <v>250</v>
      </c>
      <c r="AL4181" s="71" t="s">
        <v>242</v>
      </c>
      <c r="AM4181" s="61"/>
      <c r="AN4181" s="63" t="s">
        <v>250</v>
      </c>
      <c r="AO4181" s="71" t="s">
        <v>242</v>
      </c>
      <c r="AP4181" s="61"/>
      <c r="AQ4181" s="63" t="s">
        <v>250</v>
      </c>
      <c r="AR4181" s="71" t="s">
        <v>242</v>
      </c>
      <c r="AS4181" s="61"/>
      <c r="AT4181" s="63" t="s">
        <v>250</v>
      </c>
      <c r="AU4181" s="71" t="s">
        <v>242</v>
      </c>
    </row>
    <row r="4182" spans="15:47" ht="13" x14ac:dyDescent="0.3">
      <c r="O4182" s="6" t="s">
        <v>231</v>
      </c>
      <c r="P4182" s="6"/>
      <c r="Q4182" s="60"/>
      <c r="R4182" s="85">
        <f>P_1_minQ-(R4180^2*R_up)+dpup_minQ</f>
        <v>-9.0424030564260143</v>
      </c>
      <c r="S4182" s="56"/>
      <c r="T4182" s="72"/>
      <c r="U4182" s="53">
        <f>P_1_minQ-(U4180^2*R_up)+dpup_minQ</f>
        <v>8.0374897555011096</v>
      </c>
      <c r="V4182" s="44"/>
      <c r="W4182" s="72"/>
      <c r="X4182" s="53">
        <f>P_1_minQ-(X4180^2*R_up)+dpup_minQ</f>
        <v>-224.71522092460972</v>
      </c>
      <c r="Y4182" s="44"/>
      <c r="Z4182" s="72"/>
      <c r="AA4182" s="53">
        <f>P_1_minQ-(AA4180^2*R_up)+dpup_minQ</f>
        <v>-969.82179710390847</v>
      </c>
      <c r="AB4182" s="44"/>
      <c r="AC4182" s="72"/>
      <c r="AD4182" s="53">
        <f>P_1_minQ-(AD4180^2*R_up)+dpup_minQ</f>
        <v>-2720.2188369170367</v>
      </c>
      <c r="AE4182" s="44"/>
      <c r="AF4182" s="72"/>
      <c r="AG4182" s="53">
        <f>P_1_minQ-(AG4180^2*R_up)+dpup_minQ</f>
        <v>-6099.2012274216659</v>
      </c>
      <c r="AH4182" s="44"/>
      <c r="AI4182" s="72"/>
      <c r="AJ4182" s="53">
        <f>P_1_minQ-(AJ4180^2*R_up)+dpup_minQ</f>
        <v>-10906.516954709368</v>
      </c>
      <c r="AK4182" s="44"/>
      <c r="AL4182" s="72"/>
      <c r="AM4182" s="53">
        <f>P_1_minQ-(AM4180^2*R_up)+dpup_minQ</f>
        <v>-16266.141791895518</v>
      </c>
      <c r="AN4182" s="44"/>
      <c r="AO4182" s="72"/>
      <c r="AP4182" s="53">
        <f>P_1_minQ-(AP4180^2*R_up)+dpup_minQ</f>
        <v>-21944.099789532887</v>
      </c>
      <c r="AQ4182" s="44"/>
      <c r="AR4182" s="72"/>
      <c r="AS4182" s="53">
        <f>P_1_minQ-(AS4180^2*R_up)+dpup_minQ</f>
        <v>-28440.038679369271</v>
      </c>
      <c r="AT4182" s="44"/>
      <c r="AU4182" s="72"/>
    </row>
    <row r="4183" spans="15:47" ht="13" x14ac:dyDescent="0.3">
      <c r="O4183" s="6" t="s">
        <v>233</v>
      </c>
      <c r="P4183" s="6"/>
      <c r="Q4183" s="60"/>
      <c r="R4183" s="85">
        <f>P_2_minQ+(R4180^2*R_dn)-dpdn_minQ</f>
        <v>37.848480611285211</v>
      </c>
      <c r="S4183" s="66"/>
      <c r="T4183" s="74"/>
      <c r="U4183" s="53">
        <f>P_2_minQ+(U4180^2*R_dn)-dpdn_minQ</f>
        <v>34.432502048899785</v>
      </c>
      <c r="V4183" s="45"/>
      <c r="W4183" s="74"/>
      <c r="X4183" s="53">
        <f>P_2_minQ+(X4180^2*R_dn)-dpdn_minQ</f>
        <v>80.983044184921937</v>
      </c>
      <c r="Y4183" s="45"/>
      <c r="Z4183" s="74"/>
      <c r="AA4183" s="53">
        <f>P_2_minQ+(AA4180^2*R_dn)-dpdn_minQ</f>
        <v>230.0043594207817</v>
      </c>
      <c r="AB4183" s="45"/>
      <c r="AC4183" s="74"/>
      <c r="AD4183" s="53">
        <f>P_2_minQ+(AD4180^2*R_dn)-dpdn_minQ</f>
        <v>580.08376738340735</v>
      </c>
      <c r="AE4183" s="45"/>
      <c r="AF4183" s="74"/>
      <c r="AG4183" s="53">
        <f>P_2_minQ+(AG4180^2*R_dn)-dpdn_minQ</f>
        <v>1255.880245484333</v>
      </c>
      <c r="AH4183" s="45"/>
      <c r="AI4183" s="74"/>
      <c r="AJ4183" s="53">
        <f>P_2_minQ+(AJ4180^2*R_dn)-dpdn_minQ</f>
        <v>2217.3433909418732</v>
      </c>
      <c r="AK4183" s="45"/>
      <c r="AL4183" s="74"/>
      <c r="AM4183" s="53">
        <f>P_2_minQ+(AM4180^2*R_dn)-dpdn_minQ</f>
        <v>3289.2683583791031</v>
      </c>
      <c r="AN4183" s="45"/>
      <c r="AO4183" s="74"/>
      <c r="AP4183" s="53">
        <f>P_2_minQ+(AP4180^2*R_dn)-dpdn_minQ</f>
        <v>4424.8599579065776</v>
      </c>
      <c r="AQ4183" s="45"/>
      <c r="AR4183" s="74"/>
      <c r="AS4183" s="53">
        <f>P_2_minQ+(AS4180^2*R_dn)-dpdn_minQ</f>
        <v>5724.0477358738535</v>
      </c>
      <c r="AT4183" s="45"/>
      <c r="AU4183" s="74"/>
    </row>
    <row r="4184" spans="15:47" x14ac:dyDescent="0.25">
      <c r="O4184" s="6" t="s">
        <v>243</v>
      </c>
      <c r="Q4184" s="60"/>
      <c r="R4184" s="53">
        <f>R4182-R4183</f>
        <v>-46.890883667711222</v>
      </c>
      <c r="S4184" s="56"/>
      <c r="T4184" s="72"/>
      <c r="U4184" s="64">
        <f>U4182-U4183</f>
        <v>-26.395012293398675</v>
      </c>
      <c r="V4184" s="44"/>
      <c r="W4184" s="72"/>
      <c r="X4184" s="64">
        <f>X4182-X4183</f>
        <v>-305.69826510953169</v>
      </c>
      <c r="Y4184" s="44"/>
      <c r="Z4184" s="72"/>
      <c r="AA4184" s="64">
        <f>AA4182-AA4183</f>
        <v>-1199.8261565246901</v>
      </c>
      <c r="AB4184" s="44"/>
      <c r="AC4184" s="72"/>
      <c r="AD4184" s="64">
        <f>AD4182-AD4183</f>
        <v>-3300.3026043004438</v>
      </c>
      <c r="AE4184" s="44"/>
      <c r="AF4184" s="72"/>
      <c r="AG4184" s="64">
        <f>AG4182-AG4183</f>
        <v>-7355.0814729059985</v>
      </c>
      <c r="AH4184" s="44"/>
      <c r="AI4184" s="72"/>
      <c r="AJ4184" s="64">
        <f>AJ4182-AJ4183</f>
        <v>-13123.860345651241</v>
      </c>
      <c r="AK4184" s="44"/>
      <c r="AL4184" s="72"/>
      <c r="AM4184" s="64">
        <f>AM4182-AM4183</f>
        <v>-19555.41015027462</v>
      </c>
      <c r="AN4184" s="44"/>
      <c r="AO4184" s="72"/>
      <c r="AP4184" s="64">
        <f>AP4182-AP4183</f>
        <v>-26368.959747439465</v>
      </c>
      <c r="AQ4184" s="44"/>
      <c r="AR4184" s="72"/>
      <c r="AS4184" s="64">
        <f>AS4182-AS4183</f>
        <v>-34164.086415243124</v>
      </c>
      <c r="AT4184" s="44"/>
      <c r="AU4184" s="72"/>
    </row>
    <row r="4185" spans="15:47" ht="13" x14ac:dyDescent="0.3">
      <c r="O4185" s="6" t="s">
        <v>75</v>
      </c>
      <c r="P4185" s="6">
        <v>3</v>
      </c>
      <c r="Q4185" s="65"/>
      <c r="R4185" s="85">
        <f>(F_LP_h/F_P_h)^2*(R4182-('Valve Sizing'!$V$4*'Valve Sizing'!$G$7))</f>
        <v>-7.8519752144015618</v>
      </c>
      <c r="S4185" s="58"/>
      <c r="T4185" s="73"/>
      <c r="U4185" s="53">
        <f>(U$29/U$27)^2*(U4182-('Valve Sizing'!$V$4*'Valve Sizing'!$G$7))</f>
        <v>6.2893578699136556</v>
      </c>
      <c r="V4185" s="41"/>
      <c r="W4185" s="73"/>
      <c r="X4185" s="53">
        <f>(X$29/X$27)^2*(X4182-('Valve Sizing'!$V$4*'Valve Sizing'!$G$7))</f>
        <v>-182.18519632747669</v>
      </c>
      <c r="Y4185" s="41"/>
      <c r="Z4185" s="73"/>
      <c r="AA4185" s="53">
        <f>(AA$29/AA$27)^2*(AA4182-('Valve Sizing'!$V$4*'Valve Sizing'!$G$7))</f>
        <v>-749.81566535361083</v>
      </c>
      <c r="AB4185" s="41"/>
      <c r="AC4185" s="73"/>
      <c r="AD4185" s="53">
        <f>(AD$29/AD$27)^2*(AD4182-('Valve Sizing'!$V$4*'Valve Sizing'!$G$7))</f>
        <v>-1962.1049339959548</v>
      </c>
      <c r="AE4185" s="41"/>
      <c r="AF4185" s="73"/>
      <c r="AG4185" s="53">
        <f>(AG$29/AG$27)^2*(AG4182-('Valve Sizing'!$V$4*'Valve Sizing'!$G$7))</f>
        <v>-3928.4370740493305</v>
      </c>
      <c r="AH4185" s="41"/>
      <c r="AI4185" s="73"/>
      <c r="AJ4185" s="53">
        <f>(AJ$29/AJ$27)^2*(AJ4182-('Valve Sizing'!$V$4*'Valve Sizing'!$G$7))</f>
        <v>-6308.1949428958378</v>
      </c>
      <c r="AK4185" s="41"/>
      <c r="AL4185" s="73"/>
      <c r="AM4185" s="53">
        <f>(AM$29/AM$27)^2*(AM4182-('Valve Sizing'!$V$4*'Valve Sizing'!$G$7))</f>
        <v>-7783.1063793989924</v>
      </c>
      <c r="AN4185" s="41"/>
      <c r="AO4185" s="73"/>
      <c r="AP4185" s="53">
        <f>(AP$29/AP$27)^2*(AP4182-('Valve Sizing'!$V$4*'Valve Sizing'!$G$7))</f>
        <v>-8659.9041377412432</v>
      </c>
      <c r="AQ4185" s="41"/>
      <c r="AR4185" s="73"/>
      <c r="AS4185" s="53">
        <f>(AS$29/AS$27)^2*(AS4182-('Valve Sizing'!$V$4*'Valve Sizing'!$G$7))</f>
        <v>-10697.624256842351</v>
      </c>
      <c r="AT4185" s="41"/>
      <c r="AU4185" s="73"/>
    </row>
    <row r="4186" spans="15:47" ht="13" x14ac:dyDescent="0.25">
      <c r="O4186" s="1" t="s">
        <v>69</v>
      </c>
      <c r="P4186" s="17">
        <v>7</v>
      </c>
      <c r="Q4186" s="65"/>
      <c r="R4186" s="53" t="e">
        <f>(R4180/(N_1*F_P_h))*SQRT('Valve Sizing'!$G$6/R4184)</f>
        <v>#NUM!</v>
      </c>
      <c r="S4186" s="58"/>
      <c r="T4186" s="73"/>
      <c r="U4186" s="64" t="e">
        <f>(U4180/(N_1*U$27))*SQRT('Valve Sizing'!$G$6/U4184)</f>
        <v>#NUM!</v>
      </c>
      <c r="V4186" s="41"/>
      <c r="W4186" s="73"/>
      <c r="X4186" s="64" t="e">
        <f>(X4180/(N_1*X$27))*SQRT('Valve Sizing'!$G$6/X4184)</f>
        <v>#NUM!</v>
      </c>
      <c r="Y4186" s="41"/>
      <c r="Z4186" s="73"/>
      <c r="AA4186" s="64" t="e">
        <f>(AA4180/(N_1*AA$27))*SQRT('Valve Sizing'!$G$6/AA4184)</f>
        <v>#NUM!</v>
      </c>
      <c r="AB4186" s="41"/>
      <c r="AC4186" s="73"/>
      <c r="AD4186" s="64" t="e">
        <f>(AD4180/(N_1*AD$27))*SQRT('Valve Sizing'!$G$6/AD4184)</f>
        <v>#NUM!</v>
      </c>
      <c r="AE4186" s="41"/>
      <c r="AF4186" s="73"/>
      <c r="AG4186" s="64" t="e">
        <f>(AG4180/(N_1*AG$27))*SQRT('Valve Sizing'!$G$6/AG4184)</f>
        <v>#NUM!</v>
      </c>
      <c r="AH4186" s="41"/>
      <c r="AI4186" s="73"/>
      <c r="AJ4186" s="64" t="e">
        <f>(AJ4180/(N_1*AJ$27))*SQRT('Valve Sizing'!$G$6/AJ4184)</f>
        <v>#NUM!</v>
      </c>
      <c r="AK4186" s="41"/>
      <c r="AL4186" s="73"/>
      <c r="AM4186" s="64" t="e">
        <f>(AM4180/(N_1*AM$27))*SQRT('Valve Sizing'!$G$6/AM4184)</f>
        <v>#NUM!</v>
      </c>
      <c r="AN4186" s="41"/>
      <c r="AO4186" s="73"/>
      <c r="AP4186" s="64" t="e">
        <f>(AP4180/(N_1*AP$27))*SQRT('Valve Sizing'!$G$6/AP4184)</f>
        <v>#NUM!</v>
      </c>
      <c r="AQ4186" s="41"/>
      <c r="AR4186" s="73"/>
      <c r="AS4186" s="64" t="e">
        <f>(AS4180/(N_1*AS$27))*SQRT('Valve Sizing'!$G$6/AS4184)</f>
        <v>#NUM!</v>
      </c>
      <c r="AT4186" s="41"/>
      <c r="AU4186" s="73"/>
    </row>
    <row r="4187" spans="15:47" ht="13" x14ac:dyDescent="0.3">
      <c r="O4187" s="1" t="s">
        <v>72</v>
      </c>
      <c r="P4187" s="17">
        <v>7</v>
      </c>
      <c r="Q4187" s="65"/>
      <c r="R4187" s="53" t="e">
        <f>(R4180/(N_1*F_P_h))*SQRT('Valve Sizing'!$G$6/R4185)</f>
        <v>#NUM!</v>
      </c>
      <c r="S4187" s="56"/>
      <c r="T4187" s="72"/>
      <c r="U4187" s="85">
        <f>(U4180/(N_1*U$27))*SQRT('Valve Sizing'!$G$6/U4185)</f>
        <v>480.11064699360151</v>
      </c>
      <c r="V4187" s="44"/>
      <c r="W4187" s="72"/>
      <c r="X4187" s="85" t="e">
        <f>(X4180/(N_1*X$27))*SQRT('Valve Sizing'!$G$6/X4185)</f>
        <v>#NUM!</v>
      </c>
      <c r="Y4187" s="44"/>
      <c r="Z4187" s="72"/>
      <c r="AA4187" s="85" t="e">
        <f>(AA4180/(N_1*AA$27))*SQRT('Valve Sizing'!$G$6/AA4185)</f>
        <v>#NUM!</v>
      </c>
      <c r="AB4187" s="44"/>
      <c r="AC4187" s="72"/>
      <c r="AD4187" s="85" t="e">
        <f>(AD4180/(N_1*AD$27))*SQRT('Valve Sizing'!$G$6/AD4185)</f>
        <v>#NUM!</v>
      </c>
      <c r="AE4187" s="44"/>
      <c r="AF4187" s="72"/>
      <c r="AG4187" s="85" t="e">
        <f>(AG4180/(N_1*AG$27))*SQRT('Valve Sizing'!$G$6/AG4185)</f>
        <v>#NUM!</v>
      </c>
      <c r="AH4187" s="44"/>
      <c r="AI4187" s="72"/>
      <c r="AJ4187" s="85" t="e">
        <f>(AJ4180/(N_1*AJ$27))*SQRT('Valve Sizing'!$G$6/AJ4185)</f>
        <v>#NUM!</v>
      </c>
      <c r="AK4187" s="44"/>
      <c r="AL4187" s="72"/>
      <c r="AM4187" s="85" t="e">
        <f>(AM4180/(N_1*AM$27))*SQRT('Valve Sizing'!$G$6/AM4185)</f>
        <v>#NUM!</v>
      </c>
      <c r="AN4187" s="44"/>
      <c r="AO4187" s="72"/>
      <c r="AP4187" s="85" t="e">
        <f>(AP4180/(N_1*AP$27))*SQRT('Valve Sizing'!$G$6/AP4185)</f>
        <v>#NUM!</v>
      </c>
      <c r="AQ4187" s="44"/>
      <c r="AR4187" s="72"/>
      <c r="AS4187" s="85" t="e">
        <f>(AS4180/(N_1*AS$27))*SQRT('Valve Sizing'!$G$6/AS4185)</f>
        <v>#NUM!</v>
      </c>
      <c r="AT4187" s="44"/>
      <c r="AU4187" s="72"/>
    </row>
    <row r="4188" spans="15:47" x14ac:dyDescent="0.25">
      <c r="O4188" s="1" t="s">
        <v>246</v>
      </c>
      <c r="P4188" s="18"/>
      <c r="Q4188" s="65"/>
      <c r="R4188" s="53" t="e">
        <f>IF(R4184&lt;R4185,R4186,R4187)</f>
        <v>#NUM!</v>
      </c>
      <c r="S4188" s="49"/>
      <c r="T4188" s="72"/>
      <c r="U4188" s="64" t="e">
        <f>IF(U4184&lt;U4185,U4186,U4187)</f>
        <v>#NUM!</v>
      </c>
      <c r="V4188" s="44"/>
      <c r="W4188" s="72"/>
      <c r="X4188" s="64" t="e">
        <f>IF(X4184&lt;X4185,X4186,X4187)</f>
        <v>#NUM!</v>
      </c>
      <c r="Y4188" s="44"/>
      <c r="Z4188" s="72"/>
      <c r="AA4188" s="64" t="e">
        <f>IF(AA4184&lt;AA4185,AA4186,AA4187)</f>
        <v>#NUM!</v>
      </c>
      <c r="AB4188" s="44"/>
      <c r="AC4188" s="72"/>
      <c r="AD4188" s="64" t="e">
        <f>IF(AD4184&lt;AD4185,AD4186,AD4187)</f>
        <v>#NUM!</v>
      </c>
      <c r="AE4188" s="44"/>
      <c r="AF4188" s="72"/>
      <c r="AG4188" s="64" t="e">
        <f>IF(AG4184&lt;AG4185,AG4186,AG4187)</f>
        <v>#NUM!</v>
      </c>
      <c r="AH4188" s="44"/>
      <c r="AI4188" s="72"/>
      <c r="AJ4188" s="64" t="e">
        <f>IF(AJ4184&lt;AJ4185,AJ4186,AJ4187)</f>
        <v>#NUM!</v>
      </c>
      <c r="AK4188" s="44"/>
      <c r="AL4188" s="72"/>
      <c r="AM4188" s="64" t="e">
        <f>IF(AM4184&lt;AM4185,AM4186,AM4187)</f>
        <v>#NUM!</v>
      </c>
      <c r="AN4188" s="44"/>
      <c r="AO4188" s="72"/>
      <c r="AP4188" s="64" t="e">
        <f>IF(AP4184&lt;AP4185,AP4186,AP4187)</f>
        <v>#NUM!</v>
      </c>
      <c r="AQ4188" s="44"/>
      <c r="AR4188" s="72"/>
      <c r="AS4188" s="64" t="e">
        <f>IF(AS4184&lt;AS4185,AS4186,AS4187)</f>
        <v>#NUM!</v>
      </c>
      <c r="AT4188" s="44"/>
      <c r="AU4188" s="72"/>
    </row>
    <row r="4189" spans="15:47" ht="13" x14ac:dyDescent="0.3">
      <c r="O4189" s="7" t="s">
        <v>264</v>
      </c>
      <c r="Q4189" s="61"/>
      <c r="R4189" s="53"/>
      <c r="S4189" s="69">
        <f>IFERROR(ABS(C_h-R4188),Q_max*10)</f>
        <v>5500</v>
      </c>
      <c r="T4189" s="76">
        <f>R4180</f>
        <v>1397.509411238713</v>
      </c>
      <c r="U4189" s="61"/>
      <c r="V4189" s="69">
        <f>IFERROR(ABS(U$23-U4188),Q_max*10)</f>
        <v>5500</v>
      </c>
      <c r="W4189" s="75">
        <f>U4180</f>
        <v>1203.0365448894777</v>
      </c>
      <c r="X4189" s="61"/>
      <c r="Y4189" s="69">
        <f>IFERROR(ABS(X$23-X4188),Q_max*10)</f>
        <v>5500</v>
      </c>
      <c r="Z4189" s="75">
        <f>X4180</f>
        <v>2887.7508015023895</v>
      </c>
      <c r="AA4189" s="61"/>
      <c r="AB4189" s="69">
        <f>IFERROR(ABS(AA$23-AA4188),Q_max*10)</f>
        <v>5500</v>
      </c>
      <c r="AC4189" s="75">
        <f>AA4180</f>
        <v>5513.7746065872816</v>
      </c>
      <c r="AD4189" s="61"/>
      <c r="AE4189" s="69">
        <f>IFERROR(ABS(AD$23-AD4188),Q_max*10)</f>
        <v>5500</v>
      </c>
      <c r="AF4189" s="75">
        <f>AD4180</f>
        <v>9068.1291764681791</v>
      </c>
      <c r="AG4189" s="61"/>
      <c r="AH4189" s="69">
        <f>IFERROR(ABS(AG$23-AG4188),Q_max*10)</f>
        <v>5500</v>
      </c>
      <c r="AI4189" s="75">
        <f>AG4180</f>
        <v>13501.208662336698</v>
      </c>
      <c r="AJ4189" s="61"/>
      <c r="AK4189" s="69">
        <f>IFERROR(ABS(AJ$23-AJ4188),Q_max*10)</f>
        <v>5500</v>
      </c>
      <c r="AL4189" s="75">
        <f>AJ4180</f>
        <v>18017.415298231441</v>
      </c>
      <c r="AM4189" s="61"/>
      <c r="AN4189" s="69">
        <f>IFERROR(ABS(AM$23-AM4188),Q_max*10)</f>
        <v>5500</v>
      </c>
      <c r="AO4189" s="75">
        <f>AM4180</f>
        <v>21984.670692508138</v>
      </c>
      <c r="AP4189" s="61"/>
      <c r="AQ4189" s="69">
        <f>IFERROR(ABS(AP$23-AP4188),Q_max*10)</f>
        <v>5500</v>
      </c>
      <c r="AR4189" s="75">
        <f>AP4180</f>
        <v>25523.520168034596</v>
      </c>
      <c r="AS4189" s="61"/>
      <c r="AT4189" s="69">
        <f>IFERROR(ABS(AS$23-AS4188),Q_max*10)</f>
        <v>5500</v>
      </c>
      <c r="AU4189" s="75">
        <f>AS4180</f>
        <v>29048.146796243716</v>
      </c>
    </row>
    <row r="4190" spans="15:47" ht="14.5" x14ac:dyDescent="0.35">
      <c r="O4190" s="6"/>
      <c r="P4190" s="6"/>
      <c r="Q4190" s="60"/>
      <c r="R4190" s="67"/>
      <c r="S4190" s="56"/>
      <c r="T4190" s="72"/>
      <c r="V4190" s="11"/>
      <c r="W4190" s="38"/>
      <c r="Y4190" s="11"/>
      <c r="Z4190" s="38"/>
      <c r="AB4190" s="11"/>
      <c r="AC4190" s="38"/>
      <c r="AE4190" s="11"/>
      <c r="AF4190" s="38"/>
      <c r="AH4190" s="11"/>
      <c r="AI4190" s="38"/>
      <c r="AK4190" s="11"/>
      <c r="AL4190" s="38"/>
      <c r="AN4190" s="11"/>
      <c r="AO4190" s="38"/>
      <c r="AQ4190" s="11"/>
      <c r="AR4190" s="38"/>
      <c r="AT4190" s="11"/>
      <c r="AU4190" s="38"/>
    </row>
    <row r="4191" spans="15:47" ht="14" x14ac:dyDescent="0.3">
      <c r="O4191" s="8" t="s">
        <v>235</v>
      </c>
      <c r="P4191" s="6"/>
      <c r="Q4191" s="60"/>
      <c r="R4191" s="53">
        <f>R4180*1.02</f>
        <v>1425.4595994634874</v>
      </c>
      <c r="S4191" s="58" t="s">
        <v>238</v>
      </c>
      <c r="T4191" s="73" t="s">
        <v>241</v>
      </c>
      <c r="U4191" s="84">
        <f>U4180*1.01</f>
        <v>1215.0669103383725</v>
      </c>
      <c r="V4191" s="58" t="s">
        <v>238</v>
      </c>
      <c r="W4191" s="73" t="s">
        <v>241</v>
      </c>
      <c r="X4191" s="84">
        <f>X4180*1.01</f>
        <v>2916.6283095174135</v>
      </c>
      <c r="Y4191" s="58" t="s">
        <v>238</v>
      </c>
      <c r="Z4191" s="73" t="s">
        <v>241</v>
      </c>
      <c r="AA4191" s="84">
        <f>AA4180*1.01</f>
        <v>5568.9123526531548</v>
      </c>
      <c r="AB4191" s="58" t="s">
        <v>238</v>
      </c>
      <c r="AC4191" s="73" t="s">
        <v>241</v>
      </c>
      <c r="AD4191" s="84">
        <f>AD4180*1.01</f>
        <v>9158.8104682328612</v>
      </c>
      <c r="AE4191" s="58" t="s">
        <v>238</v>
      </c>
      <c r="AF4191" s="73" t="s">
        <v>241</v>
      </c>
      <c r="AG4191" s="84">
        <f>AG4180*1.01</f>
        <v>13636.220748960064</v>
      </c>
      <c r="AH4191" s="58" t="s">
        <v>238</v>
      </c>
      <c r="AI4191" s="73" t="s">
        <v>241</v>
      </c>
      <c r="AJ4191" s="84">
        <f>AJ4180*1.01</f>
        <v>18197.589451213757</v>
      </c>
      <c r="AK4191" s="58" t="s">
        <v>238</v>
      </c>
      <c r="AL4191" s="73" t="s">
        <v>241</v>
      </c>
      <c r="AM4191" s="84">
        <f>AM4180*1.01</f>
        <v>22204.517399433218</v>
      </c>
      <c r="AN4191" s="58" t="s">
        <v>238</v>
      </c>
      <c r="AO4191" s="73" t="s">
        <v>241</v>
      </c>
      <c r="AP4191" s="84">
        <f>AP4180*1.01</f>
        <v>25778.755369714941</v>
      </c>
      <c r="AQ4191" s="58" t="s">
        <v>238</v>
      </c>
      <c r="AR4191" s="73" t="s">
        <v>241</v>
      </c>
      <c r="AS4191" s="84">
        <f>AS4180*1.01</f>
        <v>29338.628264206152</v>
      </c>
      <c r="AT4191" s="58" t="s">
        <v>238</v>
      </c>
      <c r="AU4191" s="73" t="s">
        <v>241</v>
      </c>
    </row>
    <row r="4192" spans="15:47" ht="13" x14ac:dyDescent="0.25">
      <c r="O4192" s="6"/>
      <c r="P4192" s="6"/>
      <c r="Q4192" s="60"/>
      <c r="R4192" s="70"/>
      <c r="S4192" s="63" t="s">
        <v>250</v>
      </c>
      <c r="T4192" s="71" t="s">
        <v>242</v>
      </c>
      <c r="U4192" s="61"/>
      <c r="V4192" s="63" t="s">
        <v>250</v>
      </c>
      <c r="W4192" s="71" t="s">
        <v>242</v>
      </c>
      <c r="X4192" s="61"/>
      <c r="Y4192" s="63" t="s">
        <v>250</v>
      </c>
      <c r="Z4192" s="71" t="s">
        <v>242</v>
      </c>
      <c r="AA4192" s="61"/>
      <c r="AB4192" s="63" t="s">
        <v>250</v>
      </c>
      <c r="AC4192" s="71" t="s">
        <v>242</v>
      </c>
      <c r="AD4192" s="61"/>
      <c r="AE4192" s="63" t="s">
        <v>250</v>
      </c>
      <c r="AF4192" s="71" t="s">
        <v>242</v>
      </c>
      <c r="AG4192" s="61"/>
      <c r="AH4192" s="63" t="s">
        <v>250</v>
      </c>
      <c r="AI4192" s="71" t="s">
        <v>242</v>
      </c>
      <c r="AJ4192" s="61"/>
      <c r="AK4192" s="63" t="s">
        <v>250</v>
      </c>
      <c r="AL4192" s="71" t="s">
        <v>242</v>
      </c>
      <c r="AM4192" s="61"/>
      <c r="AN4192" s="63" t="s">
        <v>250</v>
      </c>
      <c r="AO4192" s="71" t="s">
        <v>242</v>
      </c>
      <c r="AP4192" s="61"/>
      <c r="AQ4192" s="63" t="s">
        <v>250</v>
      </c>
      <c r="AR4192" s="71" t="s">
        <v>242</v>
      </c>
      <c r="AS4192" s="61"/>
      <c r="AT4192" s="63" t="s">
        <v>250</v>
      </c>
      <c r="AU4192" s="71" t="s">
        <v>242</v>
      </c>
    </row>
    <row r="4193" spans="15:47" ht="13" x14ac:dyDescent="0.3">
      <c r="O4193" s="6" t="s">
        <v>231</v>
      </c>
      <c r="P4193" s="6"/>
      <c r="Q4193" s="60"/>
      <c r="R4193" s="85">
        <f>P_1_minQ-(R4191^2*R_up)+dpup_minQ</f>
        <v>-11.707128324978246</v>
      </c>
      <c r="S4193" s="56"/>
      <c r="T4193" s="72"/>
      <c r="U4193" s="53">
        <f>P_1_minQ-(U4191^2*R_up)+dpup_minQ</f>
        <v>7.0550288213698478</v>
      </c>
      <c r="V4193" s="44"/>
      <c r="W4193" s="72"/>
      <c r="X4193" s="53">
        <f>P_1_minQ-(X4191^2*R_up)+dpup_minQ</f>
        <v>-230.37601134341125</v>
      </c>
      <c r="Y4193" s="44"/>
      <c r="Z4193" s="72"/>
      <c r="AA4193" s="53">
        <f>P_1_minQ-(AA4191^2*R_up)+dpup_minQ</f>
        <v>-990.45922970391416</v>
      </c>
      <c r="AB4193" s="44"/>
      <c r="AC4193" s="72"/>
      <c r="AD4193" s="53">
        <f>P_1_minQ-(AD4191^2*R_up)+dpup_minQ</f>
        <v>-2776.0392500172866</v>
      </c>
      <c r="AE4193" s="44"/>
      <c r="AF4193" s="72"/>
      <c r="AG4193" s="53">
        <f>P_1_minQ-(AG4191^2*R_up)+dpup_minQ</f>
        <v>-6222.9391865710568</v>
      </c>
      <c r="AH4193" s="44"/>
      <c r="AI4193" s="72"/>
      <c r="AJ4193" s="53">
        <f>P_1_minQ-(AJ4191^2*R_up)+dpup_minQ</f>
        <v>-11126.881959977245</v>
      </c>
      <c r="AK4193" s="44"/>
      <c r="AL4193" s="72"/>
      <c r="AM4193" s="53">
        <f>P_1_minQ-(AM4191^2*R_up)+dpup_minQ</f>
        <v>-16594.235256390832</v>
      </c>
      <c r="AN4193" s="44"/>
      <c r="AO4193" s="72"/>
      <c r="AP4193" s="53">
        <f>P_1_minQ-(AP4191^2*R_up)+dpup_minQ</f>
        <v>-22386.320209780715</v>
      </c>
      <c r="AQ4193" s="44"/>
      <c r="AR4193" s="72"/>
      <c r="AS4193" s="53">
        <f>P_1_minQ-(AS4191^2*R_up)+dpup_minQ</f>
        <v>-29012.827471302811</v>
      </c>
      <c r="AT4193" s="44"/>
      <c r="AU4193" s="72"/>
    </row>
    <row r="4194" spans="15:47" ht="13" x14ac:dyDescent="0.3">
      <c r="O4194" s="6" t="s">
        <v>233</v>
      </c>
      <c r="P4194" s="6"/>
      <c r="Q4194" s="60"/>
      <c r="R4194" s="85">
        <f>P_2_minQ+(R4191^2*R_dn)-dpdn_minQ</f>
        <v>38.381425664995653</v>
      </c>
      <c r="S4194" s="66"/>
      <c r="T4194" s="74"/>
      <c r="U4194" s="53">
        <f>P_2_minQ+(U4191^2*R_dn)-dpdn_minQ</f>
        <v>34.628994235726033</v>
      </c>
      <c r="V4194" s="45"/>
      <c r="W4194" s="74"/>
      <c r="X4194" s="53">
        <f>P_2_minQ+(X4191^2*R_dn)-dpdn_minQ</f>
        <v>82.115202268682239</v>
      </c>
      <c r="Y4194" s="45"/>
      <c r="Z4194" s="74"/>
      <c r="AA4194" s="53">
        <f>P_2_minQ+(AA4191^2*R_dn)-dpdn_minQ</f>
        <v>234.13184594078282</v>
      </c>
      <c r="AB4194" s="45"/>
      <c r="AC4194" s="74"/>
      <c r="AD4194" s="53">
        <f>P_2_minQ+(AD4191^2*R_dn)-dpdn_minQ</f>
        <v>591.2478500034573</v>
      </c>
      <c r="AE4194" s="45"/>
      <c r="AF4194" s="74"/>
      <c r="AG4194" s="53">
        <f>P_2_minQ+(AG4191^2*R_dn)-dpdn_minQ</f>
        <v>1280.6278373142113</v>
      </c>
      <c r="AH4194" s="45"/>
      <c r="AI4194" s="74"/>
      <c r="AJ4194" s="53">
        <f>P_2_minQ+(AJ4191^2*R_dn)-dpdn_minQ</f>
        <v>2261.4163919954485</v>
      </c>
      <c r="AK4194" s="45"/>
      <c r="AL4194" s="74"/>
      <c r="AM4194" s="53">
        <f>P_2_minQ+(AM4191^2*R_dn)-dpdn_minQ</f>
        <v>3354.8870512781659</v>
      </c>
      <c r="AN4194" s="45"/>
      <c r="AO4194" s="74"/>
      <c r="AP4194" s="53">
        <f>P_2_minQ+(AP4191^2*R_dn)-dpdn_minQ</f>
        <v>4513.3040419561421</v>
      </c>
      <c r="AQ4194" s="45"/>
      <c r="AR4194" s="74"/>
      <c r="AS4194" s="53">
        <f>P_2_minQ+(AS4191^2*R_dn)-dpdn_minQ</f>
        <v>5838.6054942605615</v>
      </c>
      <c r="AT4194" s="45"/>
      <c r="AU4194" s="74"/>
    </row>
    <row r="4195" spans="15:47" x14ac:dyDescent="0.25">
      <c r="O4195" s="6" t="s">
        <v>243</v>
      </c>
      <c r="Q4195" s="60"/>
      <c r="R4195" s="53">
        <f>R4193-R4194</f>
        <v>-50.088553989973903</v>
      </c>
      <c r="S4195" s="56"/>
      <c r="T4195" s="72"/>
      <c r="U4195" s="64">
        <f>U4193-U4194</f>
        <v>-27.573965414356184</v>
      </c>
      <c r="V4195" s="44"/>
      <c r="W4195" s="72"/>
      <c r="X4195" s="64">
        <f>X4193-X4194</f>
        <v>-312.49121361209347</v>
      </c>
      <c r="Y4195" s="44"/>
      <c r="Z4195" s="72"/>
      <c r="AA4195" s="64">
        <f>AA4193-AA4194</f>
        <v>-1224.591075644697</v>
      </c>
      <c r="AB4195" s="44"/>
      <c r="AC4195" s="72"/>
      <c r="AD4195" s="64">
        <f>AD4193-AD4194</f>
        <v>-3367.2871000207438</v>
      </c>
      <c r="AE4195" s="44"/>
      <c r="AF4195" s="72"/>
      <c r="AG4195" s="64">
        <f>AG4193-AG4194</f>
        <v>-7503.5670238852681</v>
      </c>
      <c r="AH4195" s="44"/>
      <c r="AI4195" s="72"/>
      <c r="AJ4195" s="64">
        <f>AJ4193-AJ4194</f>
        <v>-13388.298351972693</v>
      </c>
      <c r="AK4195" s="44"/>
      <c r="AL4195" s="72"/>
      <c r="AM4195" s="64">
        <f>AM4193-AM4194</f>
        <v>-19949.122307668997</v>
      </c>
      <c r="AN4195" s="44"/>
      <c r="AO4195" s="72"/>
      <c r="AP4195" s="64">
        <f>AP4193-AP4194</f>
        <v>-26899.624251736859</v>
      </c>
      <c r="AQ4195" s="44"/>
      <c r="AR4195" s="72"/>
      <c r="AS4195" s="64">
        <f>AS4193-AS4194</f>
        <v>-34851.43296556337</v>
      </c>
      <c r="AT4195" s="44"/>
      <c r="AU4195" s="72"/>
    </row>
    <row r="4196" spans="15:47" ht="13" x14ac:dyDescent="0.3">
      <c r="O4196" s="6" t="s">
        <v>75</v>
      </c>
      <c r="P4196" s="6">
        <v>3</v>
      </c>
      <c r="Q4196" s="65"/>
      <c r="R4196" s="85">
        <f>(F_LP_h/F_P_h)^2*(R4193-('Valve Sizing'!$V$4*'Valve Sizing'!$G$7))</f>
        <v>-10.058507608028771</v>
      </c>
      <c r="S4196" s="58"/>
      <c r="T4196" s="73"/>
      <c r="U4196" s="53">
        <f>(U$29/U$27)^2*(U4193-('Valve Sizing'!$V$4*'Valve Sizing'!$G$7))</f>
        <v>5.476050381597009</v>
      </c>
      <c r="V4196" s="41"/>
      <c r="W4196" s="73"/>
      <c r="X4196" s="53">
        <f>(X$29/X$27)^2*(X4193-('Valve Sizing'!$V$4*'Valve Sizing'!$G$7))</f>
        <v>-186.76564507493725</v>
      </c>
      <c r="Y4196" s="41"/>
      <c r="Z4196" s="73"/>
      <c r="AA4196" s="53">
        <f>(AA$29/AA$27)^2*(AA4193-('Valve Sizing'!$V$4*'Valve Sizing'!$G$7))</f>
        <v>-765.76421592276211</v>
      </c>
      <c r="AB4196" s="41"/>
      <c r="AC4196" s="73"/>
      <c r="AD4196" s="53">
        <f>(AD$29/AD$27)^2*(AD4193-('Valve Sizing'!$V$4*'Valve Sizing'!$G$7))</f>
        <v>-2002.3619129871997</v>
      </c>
      <c r="AE4196" s="41"/>
      <c r="AF4196" s="73"/>
      <c r="AG4196" s="53">
        <f>(AG$29/AG$27)^2*(AG4193-('Valve Sizing'!$V$4*'Valve Sizing'!$G$7))</f>
        <v>-4008.1297581712374</v>
      </c>
      <c r="AH4196" s="41"/>
      <c r="AI4196" s="73"/>
      <c r="AJ4196" s="53">
        <f>(AJ$29/AJ$27)^2*(AJ4193-('Valve Sizing'!$V$4*'Valve Sizing'!$G$7))</f>
        <v>-6435.646202696752</v>
      </c>
      <c r="AK4196" s="41"/>
      <c r="AL4196" s="73"/>
      <c r="AM4196" s="53">
        <f>(AM$29/AM$27)^2*(AM4193-('Valve Sizing'!$V$4*'Valve Sizing'!$G$7))</f>
        <v>-7940.08996452883</v>
      </c>
      <c r="AN4196" s="41"/>
      <c r="AO4196" s="73"/>
      <c r="AP4196" s="53">
        <f>(AP$29/AP$27)^2*(AP4193-('Valve Sizing'!$V$4*'Valve Sizing'!$G$7))</f>
        <v>-8834.4161791767401</v>
      </c>
      <c r="AQ4196" s="41"/>
      <c r="AR4196" s="73"/>
      <c r="AS4196" s="53">
        <f>(AS$29/AS$27)^2*(AS4193-('Valve Sizing'!$V$4*'Valve Sizing'!$G$7))</f>
        <v>-10913.073487894002</v>
      </c>
      <c r="AT4196" s="41"/>
      <c r="AU4196" s="73"/>
    </row>
    <row r="4197" spans="15:47" ht="13" x14ac:dyDescent="0.25">
      <c r="O4197" s="1" t="s">
        <v>69</v>
      </c>
      <c r="P4197" s="17">
        <v>7</v>
      </c>
      <c r="Q4197" s="65"/>
      <c r="R4197" s="53" t="e">
        <f>(R4191/(N_1*F_P_h))*SQRT('Valve Sizing'!$G$6/R4195)</f>
        <v>#NUM!</v>
      </c>
      <c r="S4197" s="58"/>
      <c r="T4197" s="73"/>
      <c r="U4197" s="64" t="e">
        <f>(U4191/(N_1*U$27))*SQRT('Valve Sizing'!$G$6/U4195)</f>
        <v>#NUM!</v>
      </c>
      <c r="V4197" s="41"/>
      <c r="W4197" s="73"/>
      <c r="X4197" s="64" t="e">
        <f>(X4191/(N_1*X$27))*SQRT('Valve Sizing'!$G$6/X4195)</f>
        <v>#NUM!</v>
      </c>
      <c r="Y4197" s="41"/>
      <c r="Z4197" s="73"/>
      <c r="AA4197" s="64" t="e">
        <f>(AA4191/(N_1*AA$27))*SQRT('Valve Sizing'!$G$6/AA4195)</f>
        <v>#NUM!</v>
      </c>
      <c r="AB4197" s="41"/>
      <c r="AC4197" s="73"/>
      <c r="AD4197" s="64" t="e">
        <f>(AD4191/(N_1*AD$27))*SQRT('Valve Sizing'!$G$6/AD4195)</f>
        <v>#NUM!</v>
      </c>
      <c r="AE4197" s="41"/>
      <c r="AF4197" s="73"/>
      <c r="AG4197" s="64" t="e">
        <f>(AG4191/(N_1*AG$27))*SQRT('Valve Sizing'!$G$6/AG4195)</f>
        <v>#NUM!</v>
      </c>
      <c r="AH4197" s="41"/>
      <c r="AI4197" s="73"/>
      <c r="AJ4197" s="64" t="e">
        <f>(AJ4191/(N_1*AJ$27))*SQRT('Valve Sizing'!$G$6/AJ4195)</f>
        <v>#NUM!</v>
      </c>
      <c r="AK4197" s="41"/>
      <c r="AL4197" s="73"/>
      <c r="AM4197" s="64" t="e">
        <f>(AM4191/(N_1*AM$27))*SQRT('Valve Sizing'!$G$6/AM4195)</f>
        <v>#NUM!</v>
      </c>
      <c r="AN4197" s="41"/>
      <c r="AO4197" s="73"/>
      <c r="AP4197" s="64" t="e">
        <f>(AP4191/(N_1*AP$27))*SQRT('Valve Sizing'!$G$6/AP4195)</f>
        <v>#NUM!</v>
      </c>
      <c r="AQ4197" s="41"/>
      <c r="AR4197" s="73"/>
      <c r="AS4197" s="64" t="e">
        <f>(AS4191/(N_1*AS$27))*SQRT('Valve Sizing'!$G$6/AS4195)</f>
        <v>#NUM!</v>
      </c>
      <c r="AT4197" s="41"/>
      <c r="AU4197" s="73"/>
    </row>
    <row r="4198" spans="15:47" ht="13" x14ac:dyDescent="0.3">
      <c r="O4198" s="1" t="s">
        <v>72</v>
      </c>
      <c r="P4198" s="17">
        <v>7</v>
      </c>
      <c r="Q4198" s="65"/>
      <c r="R4198" s="53" t="e">
        <f>(R4191/(N_1*F_P_h))*SQRT('Valve Sizing'!$G$6/R4196)</f>
        <v>#NUM!</v>
      </c>
      <c r="S4198" s="56"/>
      <c r="T4198" s="72"/>
      <c r="U4198" s="85">
        <f>(U4191/(N_1*U$27))*SQRT('Valve Sizing'!$G$6/U4196)</f>
        <v>519.67538543884382</v>
      </c>
      <c r="V4198" s="44"/>
      <c r="W4198" s="72"/>
      <c r="X4198" s="85" t="e">
        <f>(X4191/(N_1*X$27))*SQRT('Valve Sizing'!$G$6/X4196)</f>
        <v>#NUM!</v>
      </c>
      <c r="Y4198" s="44"/>
      <c r="Z4198" s="72"/>
      <c r="AA4198" s="85" t="e">
        <f>(AA4191/(N_1*AA$27))*SQRT('Valve Sizing'!$G$6/AA4196)</f>
        <v>#NUM!</v>
      </c>
      <c r="AB4198" s="44"/>
      <c r="AC4198" s="72"/>
      <c r="AD4198" s="85" t="e">
        <f>(AD4191/(N_1*AD$27))*SQRT('Valve Sizing'!$G$6/AD4196)</f>
        <v>#NUM!</v>
      </c>
      <c r="AE4198" s="44"/>
      <c r="AF4198" s="72"/>
      <c r="AG4198" s="85" t="e">
        <f>(AG4191/(N_1*AG$27))*SQRT('Valve Sizing'!$G$6/AG4196)</f>
        <v>#NUM!</v>
      </c>
      <c r="AH4198" s="44"/>
      <c r="AI4198" s="72"/>
      <c r="AJ4198" s="85" t="e">
        <f>(AJ4191/(N_1*AJ$27))*SQRT('Valve Sizing'!$G$6/AJ4196)</f>
        <v>#NUM!</v>
      </c>
      <c r="AK4198" s="44"/>
      <c r="AL4198" s="72"/>
      <c r="AM4198" s="85" t="e">
        <f>(AM4191/(N_1*AM$27))*SQRT('Valve Sizing'!$G$6/AM4196)</f>
        <v>#NUM!</v>
      </c>
      <c r="AN4198" s="44"/>
      <c r="AO4198" s="72"/>
      <c r="AP4198" s="85" t="e">
        <f>(AP4191/(N_1*AP$27))*SQRT('Valve Sizing'!$G$6/AP4196)</f>
        <v>#NUM!</v>
      </c>
      <c r="AQ4198" s="44"/>
      <c r="AR4198" s="72"/>
      <c r="AS4198" s="85" t="e">
        <f>(AS4191/(N_1*AS$27))*SQRT('Valve Sizing'!$G$6/AS4196)</f>
        <v>#NUM!</v>
      </c>
      <c r="AT4198" s="44"/>
      <c r="AU4198" s="72"/>
    </row>
    <row r="4199" spans="15:47" x14ac:dyDescent="0.25">
      <c r="O4199" s="1" t="s">
        <v>246</v>
      </c>
      <c r="P4199" s="18"/>
      <c r="Q4199" s="65"/>
      <c r="R4199" s="53" t="e">
        <f>IF(R4195&lt;R4196,R4197,R4198)</f>
        <v>#NUM!</v>
      </c>
      <c r="S4199" s="49"/>
      <c r="T4199" s="72"/>
      <c r="U4199" s="64" t="e">
        <f>IF(U4195&lt;U4196,U4197,U4198)</f>
        <v>#NUM!</v>
      </c>
      <c r="V4199" s="44"/>
      <c r="W4199" s="72"/>
      <c r="X4199" s="64" t="e">
        <f>IF(X4195&lt;X4196,X4197,X4198)</f>
        <v>#NUM!</v>
      </c>
      <c r="Y4199" s="44"/>
      <c r="Z4199" s="72"/>
      <c r="AA4199" s="64" t="e">
        <f>IF(AA4195&lt;AA4196,AA4197,AA4198)</f>
        <v>#NUM!</v>
      </c>
      <c r="AB4199" s="44"/>
      <c r="AC4199" s="72"/>
      <c r="AD4199" s="64" t="e">
        <f>IF(AD4195&lt;AD4196,AD4197,AD4198)</f>
        <v>#NUM!</v>
      </c>
      <c r="AE4199" s="44"/>
      <c r="AF4199" s="72"/>
      <c r="AG4199" s="64" t="e">
        <f>IF(AG4195&lt;AG4196,AG4197,AG4198)</f>
        <v>#NUM!</v>
      </c>
      <c r="AH4199" s="44"/>
      <c r="AI4199" s="72"/>
      <c r="AJ4199" s="64" t="e">
        <f>IF(AJ4195&lt;AJ4196,AJ4197,AJ4198)</f>
        <v>#NUM!</v>
      </c>
      <c r="AK4199" s="44"/>
      <c r="AL4199" s="72"/>
      <c r="AM4199" s="64" t="e">
        <f>IF(AM4195&lt;AM4196,AM4197,AM4198)</f>
        <v>#NUM!</v>
      </c>
      <c r="AN4199" s="44"/>
      <c r="AO4199" s="72"/>
      <c r="AP4199" s="64" t="e">
        <f>IF(AP4195&lt;AP4196,AP4197,AP4198)</f>
        <v>#NUM!</v>
      </c>
      <c r="AQ4199" s="44"/>
      <c r="AR4199" s="72"/>
      <c r="AS4199" s="64" t="e">
        <f>IF(AS4195&lt;AS4196,AS4197,AS4198)</f>
        <v>#NUM!</v>
      </c>
      <c r="AT4199" s="44"/>
      <c r="AU4199" s="72"/>
    </row>
    <row r="4200" spans="15:47" ht="13" x14ac:dyDescent="0.3">
      <c r="O4200" s="7" t="s">
        <v>264</v>
      </c>
      <c r="Q4200" s="61"/>
      <c r="R4200" s="53"/>
      <c r="S4200" s="69">
        <f>IFERROR(ABS(C_h-R4199),Q_max*10)</f>
        <v>5500</v>
      </c>
      <c r="T4200" s="76">
        <f>R4191</f>
        <v>1425.4595994634874</v>
      </c>
      <c r="U4200" s="61"/>
      <c r="V4200" s="69">
        <f>IFERROR(ABS(U$23-U4199),Q_max*10)</f>
        <v>5500</v>
      </c>
      <c r="W4200" s="75">
        <f>U4191</f>
        <v>1215.0669103383725</v>
      </c>
      <c r="X4200" s="61"/>
      <c r="Y4200" s="69">
        <f>IFERROR(ABS(X$23-X4199),Q_max*10)</f>
        <v>5500</v>
      </c>
      <c r="Z4200" s="75">
        <f>X4191</f>
        <v>2916.6283095174135</v>
      </c>
      <c r="AA4200" s="61"/>
      <c r="AB4200" s="69">
        <f>IFERROR(ABS(AA$23-AA4199),Q_max*10)</f>
        <v>5500</v>
      </c>
      <c r="AC4200" s="75">
        <f>AA4191</f>
        <v>5568.9123526531548</v>
      </c>
      <c r="AD4200" s="61"/>
      <c r="AE4200" s="69">
        <f>IFERROR(ABS(AD$23-AD4199),Q_max*10)</f>
        <v>5500</v>
      </c>
      <c r="AF4200" s="75">
        <f>AD4191</f>
        <v>9158.8104682328612</v>
      </c>
      <c r="AG4200" s="61"/>
      <c r="AH4200" s="69">
        <f>IFERROR(ABS(AG$23-AG4199),Q_max*10)</f>
        <v>5500</v>
      </c>
      <c r="AI4200" s="75">
        <f>AG4191</f>
        <v>13636.220748960064</v>
      </c>
      <c r="AJ4200" s="61"/>
      <c r="AK4200" s="69">
        <f>IFERROR(ABS(AJ$23-AJ4199),Q_max*10)</f>
        <v>5500</v>
      </c>
      <c r="AL4200" s="75">
        <f>AJ4191</f>
        <v>18197.589451213757</v>
      </c>
      <c r="AM4200" s="61"/>
      <c r="AN4200" s="69">
        <f>IFERROR(ABS(AM$23-AM4199),Q_max*10)</f>
        <v>5500</v>
      </c>
      <c r="AO4200" s="75">
        <f>AM4191</f>
        <v>22204.517399433218</v>
      </c>
      <c r="AP4200" s="61"/>
      <c r="AQ4200" s="69">
        <f>IFERROR(ABS(AP$23-AP4199),Q_max*10)</f>
        <v>5500</v>
      </c>
      <c r="AR4200" s="75">
        <f>AP4191</f>
        <v>25778.755369714941</v>
      </c>
      <c r="AS4200" s="61"/>
      <c r="AT4200" s="69">
        <f>IFERROR(ABS(AS$23-AS4199),Q_max*10)</f>
        <v>5500</v>
      </c>
      <c r="AU4200" s="75">
        <f>AS4191</f>
        <v>29338.628264206152</v>
      </c>
    </row>
    <row r="4201" spans="15:47" ht="14.5" x14ac:dyDescent="0.35">
      <c r="O4201" s="8"/>
      <c r="P4201" s="6"/>
      <c r="Q4201" s="60"/>
      <c r="R4201" s="67"/>
      <c r="S4201" s="58"/>
      <c r="T4201" s="73"/>
      <c r="V4201" s="11"/>
      <c r="W4201" s="38"/>
      <c r="Y4201" s="11"/>
      <c r="Z4201" s="38"/>
      <c r="AB4201" s="11"/>
      <c r="AC4201" s="38"/>
      <c r="AE4201" s="11"/>
      <c r="AF4201" s="38"/>
      <c r="AH4201" s="11"/>
      <c r="AI4201" s="38"/>
      <c r="AK4201" s="11"/>
      <c r="AL4201" s="38"/>
      <c r="AN4201" s="11"/>
      <c r="AO4201" s="38"/>
      <c r="AQ4201" s="11"/>
      <c r="AR4201" s="38"/>
      <c r="AT4201" s="11"/>
      <c r="AU4201" s="38"/>
    </row>
    <row r="4202" spans="15:47" ht="14" x14ac:dyDescent="0.3">
      <c r="O4202" s="8" t="s">
        <v>235</v>
      </c>
      <c r="P4202" s="6"/>
      <c r="Q4202" s="60"/>
      <c r="R4202" s="53">
        <f>R4191*1.02</f>
        <v>1453.9687914527572</v>
      </c>
      <c r="S4202" s="58" t="s">
        <v>238</v>
      </c>
      <c r="T4202" s="73" t="s">
        <v>241</v>
      </c>
      <c r="U4202" s="84">
        <f>U4191*1.01</f>
        <v>1227.2175794417562</v>
      </c>
      <c r="V4202" s="58" t="s">
        <v>238</v>
      </c>
      <c r="W4202" s="73" t="s">
        <v>241</v>
      </c>
      <c r="X4202" s="84">
        <f>X4191*1.01</f>
        <v>2945.7945926125876</v>
      </c>
      <c r="Y4202" s="58" t="s">
        <v>238</v>
      </c>
      <c r="Z4202" s="73" t="s">
        <v>241</v>
      </c>
      <c r="AA4202" s="84">
        <f>AA4191*1.01</f>
        <v>5624.601476179686</v>
      </c>
      <c r="AB4202" s="58" t="s">
        <v>238</v>
      </c>
      <c r="AC4202" s="73" t="s">
        <v>241</v>
      </c>
      <c r="AD4202" s="84">
        <f>AD4191*1.01</f>
        <v>9250.39857291519</v>
      </c>
      <c r="AE4202" s="58" t="s">
        <v>238</v>
      </c>
      <c r="AF4202" s="73" t="s">
        <v>241</v>
      </c>
      <c r="AG4202" s="84">
        <f>AG4191*1.01</f>
        <v>13772.582956449665</v>
      </c>
      <c r="AH4202" s="58" t="s">
        <v>238</v>
      </c>
      <c r="AI4202" s="73" t="s">
        <v>241</v>
      </c>
      <c r="AJ4202" s="84">
        <f>AJ4191*1.01</f>
        <v>18379.565345725896</v>
      </c>
      <c r="AK4202" s="58" t="s">
        <v>238</v>
      </c>
      <c r="AL4202" s="73" t="s">
        <v>241</v>
      </c>
      <c r="AM4202" s="84">
        <f>AM4191*1.01</f>
        <v>22426.562573427549</v>
      </c>
      <c r="AN4202" s="58" t="s">
        <v>238</v>
      </c>
      <c r="AO4202" s="73" t="s">
        <v>241</v>
      </c>
      <c r="AP4202" s="84">
        <f>AP4191*1.01</f>
        <v>26036.542923412093</v>
      </c>
      <c r="AQ4202" s="58" t="s">
        <v>238</v>
      </c>
      <c r="AR4202" s="73" t="s">
        <v>241</v>
      </c>
      <c r="AS4202" s="84">
        <f>AS4191*1.01</f>
        <v>29632.014546848215</v>
      </c>
      <c r="AT4202" s="58" t="s">
        <v>238</v>
      </c>
      <c r="AU4202" s="73" t="s">
        <v>241</v>
      </c>
    </row>
    <row r="4203" spans="15:47" ht="13" x14ac:dyDescent="0.25">
      <c r="O4203" s="6"/>
      <c r="P4203" s="6"/>
      <c r="Q4203" s="60"/>
      <c r="R4203" s="70"/>
      <c r="S4203" s="63" t="s">
        <v>250</v>
      </c>
      <c r="T4203" s="71" t="s">
        <v>242</v>
      </c>
      <c r="U4203" s="61"/>
      <c r="V4203" s="63" t="s">
        <v>250</v>
      </c>
      <c r="W4203" s="71" t="s">
        <v>242</v>
      </c>
      <c r="X4203" s="61"/>
      <c r="Y4203" s="63" t="s">
        <v>250</v>
      </c>
      <c r="Z4203" s="71" t="s">
        <v>242</v>
      </c>
      <c r="AA4203" s="61"/>
      <c r="AB4203" s="63" t="s">
        <v>250</v>
      </c>
      <c r="AC4203" s="71" t="s">
        <v>242</v>
      </c>
      <c r="AD4203" s="61"/>
      <c r="AE4203" s="63" t="s">
        <v>250</v>
      </c>
      <c r="AF4203" s="71" t="s">
        <v>242</v>
      </c>
      <c r="AG4203" s="61"/>
      <c r="AH4203" s="63" t="s">
        <v>250</v>
      </c>
      <c r="AI4203" s="71" t="s">
        <v>242</v>
      </c>
      <c r="AJ4203" s="61"/>
      <c r="AK4203" s="63" t="s">
        <v>250</v>
      </c>
      <c r="AL4203" s="71" t="s">
        <v>242</v>
      </c>
      <c r="AM4203" s="61"/>
      <c r="AN4203" s="63" t="s">
        <v>250</v>
      </c>
      <c r="AO4203" s="71" t="s">
        <v>242</v>
      </c>
      <c r="AP4203" s="61"/>
      <c r="AQ4203" s="63" t="s">
        <v>250</v>
      </c>
      <c r="AR4203" s="71" t="s">
        <v>242</v>
      </c>
      <c r="AS4203" s="61"/>
      <c r="AT4203" s="63" t="s">
        <v>250</v>
      </c>
      <c r="AU4203" s="71" t="s">
        <v>242</v>
      </c>
    </row>
    <row r="4204" spans="15:47" ht="13" x14ac:dyDescent="0.3">
      <c r="O4204" s="6" t="s">
        <v>231</v>
      </c>
      <c r="P4204" s="6"/>
      <c r="Q4204" s="60"/>
      <c r="R4204" s="85">
        <f>P_1_minQ-(R4202^2*R_up)+dpup_minQ</f>
        <v>-14.479508494379989</v>
      </c>
      <c r="S4204" s="56"/>
      <c r="T4204" s="72"/>
      <c r="U4204" s="53">
        <f>P_1_minQ-(U4202^2*R_up)+dpup_minQ</f>
        <v>6.0528204224625695</v>
      </c>
      <c r="V4204" s="44"/>
      <c r="W4204" s="72"/>
      <c r="X4204" s="53">
        <f>P_1_minQ-(X4202^2*R_up)+dpup_minQ</f>
        <v>-236.15058364963059</v>
      </c>
      <c r="Y4204" s="44"/>
      <c r="Z4204" s="72"/>
      <c r="AA4204" s="53">
        <f>P_1_minQ-(AA4202^2*R_up)+dpup_minQ</f>
        <v>-1011.5114746991794</v>
      </c>
      <c r="AB4204" s="44"/>
      <c r="AC4204" s="72"/>
      <c r="AD4204" s="53">
        <f>P_1_minQ-(AD4202^2*R_up)+dpup_minQ</f>
        <v>-2832.9816534208508</v>
      </c>
      <c r="AE4204" s="44"/>
      <c r="AF4204" s="72"/>
      <c r="AG4204" s="53">
        <f>P_1_minQ-(AG4202^2*R_up)+dpup_minQ</f>
        <v>-6349.1642786993525</v>
      </c>
      <c r="AH4204" s="44"/>
      <c r="AI4204" s="72"/>
      <c r="AJ4204" s="53">
        <f>P_1_minQ-(AJ4202^2*R_up)+dpup_minQ</f>
        <v>-11351.676301851006</v>
      </c>
      <c r="AK4204" s="44"/>
      <c r="AL4204" s="72"/>
      <c r="AM4204" s="53">
        <f>P_1_minQ-(AM4202^2*R_up)+dpup_minQ</f>
        <v>-16928.923399522504</v>
      </c>
      <c r="AN4204" s="44"/>
      <c r="AO4204" s="72"/>
      <c r="AP4204" s="53">
        <f>P_1_minQ-(AP4202^2*R_up)+dpup_minQ</f>
        <v>-22837.429260475525</v>
      </c>
      <c r="AQ4204" s="44"/>
      <c r="AR4204" s="72"/>
      <c r="AS4204" s="53">
        <f>P_1_minQ-(AS4202^2*R_up)+dpup_minQ</f>
        <v>-29597.129317954215</v>
      </c>
      <c r="AT4204" s="44"/>
      <c r="AU4204" s="72"/>
    </row>
    <row r="4205" spans="15:47" ht="13" x14ac:dyDescent="0.3">
      <c r="O4205" s="6" t="s">
        <v>233</v>
      </c>
      <c r="P4205" s="6"/>
      <c r="Q4205" s="60"/>
      <c r="R4205" s="85">
        <f>P_2_minQ+(R4202^2*R_dn)-dpdn_minQ</f>
        <v>38.935901698876002</v>
      </c>
      <c r="S4205" s="66"/>
      <c r="T4205" s="74"/>
      <c r="U4205" s="53">
        <f>P_2_minQ+(U4202^2*R_dn)-dpdn_minQ</f>
        <v>34.829435915507489</v>
      </c>
      <c r="V4205" s="45"/>
      <c r="W4205" s="74"/>
      <c r="X4205" s="53">
        <f>P_2_minQ+(X4202^2*R_dn)-dpdn_minQ</f>
        <v>83.270116729926116</v>
      </c>
      <c r="Y4205" s="45"/>
      <c r="Z4205" s="74"/>
      <c r="AA4205" s="53">
        <f>P_2_minQ+(AA4202^2*R_dn)-dpdn_minQ</f>
        <v>238.34229493983585</v>
      </c>
      <c r="AB4205" s="45"/>
      <c r="AC4205" s="74"/>
      <c r="AD4205" s="53">
        <f>P_2_minQ+(AD4202^2*R_dn)-dpdn_minQ</f>
        <v>602.63633068417016</v>
      </c>
      <c r="AE4205" s="45"/>
      <c r="AF4205" s="74"/>
      <c r="AG4205" s="53">
        <f>P_2_minQ+(AG4202^2*R_dn)-dpdn_minQ</f>
        <v>1305.8728557398704</v>
      </c>
      <c r="AH4205" s="45"/>
      <c r="AI4205" s="74"/>
      <c r="AJ4205" s="53">
        <f>P_2_minQ+(AJ4202^2*R_dn)-dpdn_minQ</f>
        <v>2306.375260370201</v>
      </c>
      <c r="AK4205" s="45"/>
      <c r="AL4205" s="74"/>
      <c r="AM4205" s="53">
        <f>P_2_minQ+(AM4202^2*R_dn)-dpdn_minQ</f>
        <v>3421.8246799045005</v>
      </c>
      <c r="AN4205" s="45"/>
      <c r="AO4205" s="74"/>
      <c r="AP4205" s="53">
        <f>P_2_minQ+(AP4202^2*R_dn)-dpdn_minQ</f>
        <v>4603.5258520951047</v>
      </c>
      <c r="AQ4205" s="45"/>
      <c r="AR4205" s="74"/>
      <c r="AS4205" s="53">
        <f>P_2_minQ+(AS4202^2*R_dn)-dpdn_minQ</f>
        <v>5955.4658635908427</v>
      </c>
      <c r="AT4205" s="45"/>
      <c r="AU4205" s="74"/>
    </row>
    <row r="4206" spans="15:47" x14ac:dyDescent="0.25">
      <c r="O4206" s="6" t="s">
        <v>243</v>
      </c>
      <c r="Q4206" s="60"/>
      <c r="R4206" s="53">
        <f>R4204-R4205</f>
        <v>-53.415410193255994</v>
      </c>
      <c r="S4206" s="56"/>
      <c r="T4206" s="72"/>
      <c r="U4206" s="64">
        <f>U4204-U4205</f>
        <v>-28.776615493044918</v>
      </c>
      <c r="V4206" s="44"/>
      <c r="W4206" s="72"/>
      <c r="X4206" s="64">
        <f>X4204-X4205</f>
        <v>-319.42070037955671</v>
      </c>
      <c r="Y4206" s="44"/>
      <c r="Z4206" s="72"/>
      <c r="AA4206" s="64">
        <f>AA4204-AA4205</f>
        <v>-1249.8537696390154</v>
      </c>
      <c r="AB4206" s="44"/>
      <c r="AC4206" s="72"/>
      <c r="AD4206" s="64">
        <f>AD4204-AD4205</f>
        <v>-3435.6179841050207</v>
      </c>
      <c r="AE4206" s="44"/>
      <c r="AF4206" s="72"/>
      <c r="AG4206" s="64">
        <f>AG4204-AG4205</f>
        <v>-7655.0371344392224</v>
      </c>
      <c r="AH4206" s="44"/>
      <c r="AI4206" s="72"/>
      <c r="AJ4206" s="64">
        <f>AJ4204-AJ4205</f>
        <v>-13658.051562221208</v>
      </c>
      <c r="AK4206" s="44"/>
      <c r="AL4206" s="72"/>
      <c r="AM4206" s="64">
        <f>AM4204-AM4205</f>
        <v>-20350.748079427005</v>
      </c>
      <c r="AN4206" s="44"/>
      <c r="AO4206" s="72"/>
      <c r="AP4206" s="64">
        <f>AP4204-AP4205</f>
        <v>-27440.955112570628</v>
      </c>
      <c r="AQ4206" s="44"/>
      <c r="AR4206" s="72"/>
      <c r="AS4206" s="64">
        <f>AS4204-AS4205</f>
        <v>-35552.595181545061</v>
      </c>
      <c r="AT4206" s="44"/>
      <c r="AU4206" s="72"/>
    </row>
    <row r="4207" spans="15:47" ht="13" x14ac:dyDescent="0.3">
      <c r="O4207" s="6" t="s">
        <v>75</v>
      </c>
      <c r="P4207" s="6">
        <v>3</v>
      </c>
      <c r="Q4207" s="65"/>
      <c r="R4207" s="85">
        <f>(F_LP_h/F_P_h)^2*(R4204-('Valve Sizing'!$V$4*'Valve Sizing'!$G$7))</f>
        <v>-12.354183910358518</v>
      </c>
      <c r="S4207" s="58"/>
      <c r="T4207" s="73"/>
      <c r="U4207" s="53">
        <f>(U$29/U$27)^2*(U4204-('Valve Sizing'!$V$4*'Valve Sizing'!$G$7))</f>
        <v>4.6463954127652149</v>
      </c>
      <c r="V4207" s="41"/>
      <c r="W4207" s="73"/>
      <c r="X4207" s="53">
        <f>(X$29/X$27)^2*(X4204-('Valve Sizing'!$V$4*'Valve Sizing'!$G$7))</f>
        <v>-191.43816084222172</v>
      </c>
      <c r="Y4207" s="41"/>
      <c r="Z4207" s="73"/>
      <c r="AA4207" s="53">
        <f>(AA$29/AA$27)^2*(AA4204-('Valve Sizing'!$V$4*'Valve Sizing'!$G$7))</f>
        <v>-782.03333235835282</v>
      </c>
      <c r="AB4207" s="41"/>
      <c r="AC4207" s="73"/>
      <c r="AD4207" s="53">
        <f>(AD$29/AD$27)^2*(AD4204-('Valve Sizing'!$V$4*'Valve Sizing'!$G$7))</f>
        <v>-2043.4280572561684</v>
      </c>
      <c r="AE4207" s="41"/>
      <c r="AF4207" s="73"/>
      <c r="AG4207" s="53">
        <f>(AG$29/AG$27)^2*(AG4204-('Valve Sizing'!$V$4*'Valve Sizing'!$G$7))</f>
        <v>-4089.4242652439962</v>
      </c>
      <c r="AH4207" s="41"/>
      <c r="AI4207" s="73"/>
      <c r="AJ4207" s="53">
        <f>(AJ$29/AJ$27)^2*(AJ4204-('Valve Sizing'!$V$4*'Valve Sizing'!$G$7))</f>
        <v>-6565.6592328196648</v>
      </c>
      <c r="AK4207" s="41"/>
      <c r="AL4207" s="73"/>
      <c r="AM4207" s="53">
        <f>(AM$29/AM$27)^2*(AM4204-('Valve Sizing'!$V$4*'Valve Sizing'!$G$7))</f>
        <v>-8100.2289197197806</v>
      </c>
      <c r="AN4207" s="41"/>
      <c r="AO4207" s="73"/>
      <c r="AP4207" s="53">
        <f>(AP$29/AP$27)^2*(AP4204-('Valve Sizing'!$V$4*'Valve Sizing'!$G$7))</f>
        <v>-9012.4359126450927</v>
      </c>
      <c r="AQ4207" s="41"/>
      <c r="AR4207" s="73"/>
      <c r="AS4207" s="53">
        <f>(AS$29/AS$27)^2*(AS4204-('Valve Sizing'!$V$4*'Valve Sizing'!$G$7))</f>
        <v>-11132.853248489788</v>
      </c>
      <c r="AT4207" s="41"/>
      <c r="AU4207" s="73"/>
    </row>
    <row r="4208" spans="15:47" ht="13" x14ac:dyDescent="0.25">
      <c r="O4208" s="1" t="s">
        <v>69</v>
      </c>
      <c r="P4208" s="17">
        <v>7</v>
      </c>
      <c r="Q4208" s="65"/>
      <c r="R4208" s="53" t="e">
        <f>(R4202/(N_1*F_P_h))*SQRT('Valve Sizing'!$G$6/R4206)</f>
        <v>#NUM!</v>
      </c>
      <c r="S4208" s="58"/>
      <c r="T4208" s="73"/>
      <c r="U4208" s="64" t="e">
        <f>(U4202/(N_1*U$27))*SQRT('Valve Sizing'!$G$6/U4206)</f>
        <v>#NUM!</v>
      </c>
      <c r="V4208" s="41"/>
      <c r="W4208" s="73"/>
      <c r="X4208" s="64" t="e">
        <f>(X4202/(N_1*X$27))*SQRT('Valve Sizing'!$G$6/X4206)</f>
        <v>#NUM!</v>
      </c>
      <c r="Y4208" s="41"/>
      <c r="Z4208" s="73"/>
      <c r="AA4208" s="64" t="e">
        <f>(AA4202/(N_1*AA$27))*SQRT('Valve Sizing'!$G$6/AA4206)</f>
        <v>#NUM!</v>
      </c>
      <c r="AB4208" s="41"/>
      <c r="AC4208" s="73"/>
      <c r="AD4208" s="64" t="e">
        <f>(AD4202/(N_1*AD$27))*SQRT('Valve Sizing'!$G$6/AD4206)</f>
        <v>#NUM!</v>
      </c>
      <c r="AE4208" s="41"/>
      <c r="AF4208" s="73"/>
      <c r="AG4208" s="64" t="e">
        <f>(AG4202/(N_1*AG$27))*SQRT('Valve Sizing'!$G$6/AG4206)</f>
        <v>#NUM!</v>
      </c>
      <c r="AH4208" s="41"/>
      <c r="AI4208" s="73"/>
      <c r="AJ4208" s="64" t="e">
        <f>(AJ4202/(N_1*AJ$27))*SQRT('Valve Sizing'!$G$6/AJ4206)</f>
        <v>#NUM!</v>
      </c>
      <c r="AK4208" s="41"/>
      <c r="AL4208" s="73"/>
      <c r="AM4208" s="64" t="e">
        <f>(AM4202/(N_1*AM$27))*SQRT('Valve Sizing'!$G$6/AM4206)</f>
        <v>#NUM!</v>
      </c>
      <c r="AN4208" s="41"/>
      <c r="AO4208" s="73"/>
      <c r="AP4208" s="64" t="e">
        <f>(AP4202/(N_1*AP$27))*SQRT('Valve Sizing'!$G$6/AP4206)</f>
        <v>#NUM!</v>
      </c>
      <c r="AQ4208" s="41"/>
      <c r="AR4208" s="73"/>
      <c r="AS4208" s="64" t="e">
        <f>(AS4202/(N_1*AS$27))*SQRT('Valve Sizing'!$G$6/AS4206)</f>
        <v>#NUM!</v>
      </c>
      <c r="AT4208" s="41"/>
      <c r="AU4208" s="73"/>
    </row>
    <row r="4209" spans="15:47" ht="13" x14ac:dyDescent="0.3">
      <c r="O4209" s="1" t="s">
        <v>72</v>
      </c>
      <c r="P4209" s="17">
        <v>7</v>
      </c>
      <c r="Q4209" s="65"/>
      <c r="R4209" s="53" t="e">
        <f>(R4202/(N_1*F_P_h))*SQRT('Valve Sizing'!$G$6/R4207)</f>
        <v>#NUM!</v>
      </c>
      <c r="S4209" s="56"/>
      <c r="T4209" s="72"/>
      <c r="U4209" s="85">
        <f>(U4202/(N_1*U$27))*SQRT('Valve Sizing'!$G$6/U4207)</f>
        <v>569.80880410643078</v>
      </c>
      <c r="V4209" s="44"/>
      <c r="W4209" s="72"/>
      <c r="X4209" s="85" t="e">
        <f>(X4202/(N_1*X$27))*SQRT('Valve Sizing'!$G$6/X4207)</f>
        <v>#NUM!</v>
      </c>
      <c r="Y4209" s="44"/>
      <c r="Z4209" s="72"/>
      <c r="AA4209" s="85" t="e">
        <f>(AA4202/(N_1*AA$27))*SQRT('Valve Sizing'!$G$6/AA4207)</f>
        <v>#NUM!</v>
      </c>
      <c r="AB4209" s="44"/>
      <c r="AC4209" s="72"/>
      <c r="AD4209" s="85" t="e">
        <f>(AD4202/(N_1*AD$27))*SQRT('Valve Sizing'!$G$6/AD4207)</f>
        <v>#NUM!</v>
      </c>
      <c r="AE4209" s="44"/>
      <c r="AF4209" s="72"/>
      <c r="AG4209" s="85" t="e">
        <f>(AG4202/(N_1*AG$27))*SQRT('Valve Sizing'!$G$6/AG4207)</f>
        <v>#NUM!</v>
      </c>
      <c r="AH4209" s="44"/>
      <c r="AI4209" s="72"/>
      <c r="AJ4209" s="85" t="e">
        <f>(AJ4202/(N_1*AJ$27))*SQRT('Valve Sizing'!$G$6/AJ4207)</f>
        <v>#NUM!</v>
      </c>
      <c r="AK4209" s="44"/>
      <c r="AL4209" s="72"/>
      <c r="AM4209" s="85" t="e">
        <f>(AM4202/(N_1*AM$27))*SQRT('Valve Sizing'!$G$6/AM4207)</f>
        <v>#NUM!</v>
      </c>
      <c r="AN4209" s="44"/>
      <c r="AO4209" s="72"/>
      <c r="AP4209" s="85" t="e">
        <f>(AP4202/(N_1*AP$27))*SQRT('Valve Sizing'!$G$6/AP4207)</f>
        <v>#NUM!</v>
      </c>
      <c r="AQ4209" s="44"/>
      <c r="AR4209" s="72"/>
      <c r="AS4209" s="85" t="e">
        <f>(AS4202/(N_1*AS$27))*SQRT('Valve Sizing'!$G$6/AS4207)</f>
        <v>#NUM!</v>
      </c>
      <c r="AT4209" s="44"/>
      <c r="AU4209" s="72"/>
    </row>
    <row r="4210" spans="15:47" x14ac:dyDescent="0.25">
      <c r="O4210" s="1" t="s">
        <v>246</v>
      </c>
      <c r="P4210" s="18"/>
      <c r="Q4210" s="65"/>
      <c r="R4210" s="53" t="e">
        <f>IF(R4206&lt;R4207,R4208,R4209)</f>
        <v>#NUM!</v>
      </c>
      <c r="S4210" s="49"/>
      <c r="T4210" s="72"/>
      <c r="U4210" s="64" t="e">
        <f>IF(U4206&lt;U4207,U4208,U4209)</f>
        <v>#NUM!</v>
      </c>
      <c r="V4210" s="44"/>
      <c r="W4210" s="72"/>
      <c r="X4210" s="64" t="e">
        <f>IF(X4206&lt;X4207,X4208,X4209)</f>
        <v>#NUM!</v>
      </c>
      <c r="Y4210" s="44"/>
      <c r="Z4210" s="72"/>
      <c r="AA4210" s="64" t="e">
        <f>IF(AA4206&lt;AA4207,AA4208,AA4209)</f>
        <v>#NUM!</v>
      </c>
      <c r="AB4210" s="44"/>
      <c r="AC4210" s="72"/>
      <c r="AD4210" s="64" t="e">
        <f>IF(AD4206&lt;AD4207,AD4208,AD4209)</f>
        <v>#NUM!</v>
      </c>
      <c r="AE4210" s="44"/>
      <c r="AF4210" s="72"/>
      <c r="AG4210" s="64" t="e">
        <f>IF(AG4206&lt;AG4207,AG4208,AG4209)</f>
        <v>#NUM!</v>
      </c>
      <c r="AH4210" s="44"/>
      <c r="AI4210" s="72"/>
      <c r="AJ4210" s="64" t="e">
        <f>IF(AJ4206&lt;AJ4207,AJ4208,AJ4209)</f>
        <v>#NUM!</v>
      </c>
      <c r="AK4210" s="44"/>
      <c r="AL4210" s="72"/>
      <c r="AM4210" s="64" t="e">
        <f>IF(AM4206&lt;AM4207,AM4208,AM4209)</f>
        <v>#NUM!</v>
      </c>
      <c r="AN4210" s="44"/>
      <c r="AO4210" s="72"/>
      <c r="AP4210" s="64" t="e">
        <f>IF(AP4206&lt;AP4207,AP4208,AP4209)</f>
        <v>#NUM!</v>
      </c>
      <c r="AQ4210" s="44"/>
      <c r="AR4210" s="72"/>
      <c r="AS4210" s="64" t="e">
        <f>IF(AS4206&lt;AS4207,AS4208,AS4209)</f>
        <v>#NUM!</v>
      </c>
      <c r="AT4210" s="44"/>
      <c r="AU4210" s="72"/>
    </row>
    <row r="4211" spans="15:47" ht="13" x14ac:dyDescent="0.3">
      <c r="O4211" s="7" t="s">
        <v>264</v>
      </c>
      <c r="Q4211" s="61"/>
      <c r="R4211" s="53"/>
      <c r="S4211" s="69">
        <f>IFERROR(ABS(C_h-R4210),Q_max*10)</f>
        <v>5500</v>
      </c>
      <c r="T4211" s="76">
        <f>R4202</f>
        <v>1453.9687914527572</v>
      </c>
      <c r="U4211" s="61"/>
      <c r="V4211" s="69">
        <f>IFERROR(ABS(U$23-U4210),Q_max*10)</f>
        <v>5500</v>
      </c>
      <c r="W4211" s="75">
        <f>U4202</f>
        <v>1227.2175794417562</v>
      </c>
      <c r="X4211" s="61"/>
      <c r="Y4211" s="69">
        <f>IFERROR(ABS(X$23-X4210),Q_max*10)</f>
        <v>5500</v>
      </c>
      <c r="Z4211" s="75">
        <f>X4202</f>
        <v>2945.7945926125876</v>
      </c>
      <c r="AA4211" s="61"/>
      <c r="AB4211" s="69">
        <f>IFERROR(ABS(AA$23-AA4210),Q_max*10)</f>
        <v>5500</v>
      </c>
      <c r="AC4211" s="75">
        <f>AA4202</f>
        <v>5624.601476179686</v>
      </c>
      <c r="AD4211" s="61"/>
      <c r="AE4211" s="69">
        <f>IFERROR(ABS(AD$23-AD4210),Q_max*10)</f>
        <v>5500</v>
      </c>
      <c r="AF4211" s="75">
        <f>AD4202</f>
        <v>9250.39857291519</v>
      </c>
      <c r="AG4211" s="61"/>
      <c r="AH4211" s="69">
        <f>IFERROR(ABS(AG$23-AG4210),Q_max*10)</f>
        <v>5500</v>
      </c>
      <c r="AI4211" s="75">
        <f>AG4202</f>
        <v>13772.582956449665</v>
      </c>
      <c r="AJ4211" s="61"/>
      <c r="AK4211" s="69">
        <f>IFERROR(ABS(AJ$23-AJ4210),Q_max*10)</f>
        <v>5500</v>
      </c>
      <c r="AL4211" s="75">
        <f>AJ4202</f>
        <v>18379.565345725896</v>
      </c>
      <c r="AM4211" s="61"/>
      <c r="AN4211" s="69">
        <f>IFERROR(ABS(AM$23-AM4210),Q_max*10)</f>
        <v>5500</v>
      </c>
      <c r="AO4211" s="75">
        <f>AM4202</f>
        <v>22426.562573427549</v>
      </c>
      <c r="AP4211" s="61"/>
      <c r="AQ4211" s="69">
        <f>IFERROR(ABS(AP$23-AP4210),Q_max*10)</f>
        <v>5500</v>
      </c>
      <c r="AR4211" s="75">
        <f>AP4202</f>
        <v>26036.542923412093</v>
      </c>
      <c r="AS4211" s="61"/>
      <c r="AT4211" s="69">
        <f>IFERROR(ABS(AS$23-AS4210),Q_max*10)</f>
        <v>5500</v>
      </c>
      <c r="AU4211" s="75">
        <f>AS4202</f>
        <v>29632.014546848215</v>
      </c>
    </row>
    <row r="4212" spans="15:47" ht="14.5" x14ac:dyDescent="0.35">
      <c r="O4212" s="6"/>
      <c r="P4212" s="6"/>
      <c r="Q4212" s="60"/>
      <c r="R4212" s="67"/>
      <c r="S4212" s="56"/>
      <c r="T4212" s="72"/>
      <c r="V4212" s="11"/>
      <c r="W4212" s="38"/>
      <c r="Y4212" s="11"/>
      <c r="Z4212" s="38"/>
      <c r="AB4212" s="11"/>
      <c r="AC4212" s="38"/>
      <c r="AE4212" s="11"/>
      <c r="AF4212" s="38"/>
      <c r="AH4212" s="11"/>
      <c r="AI4212" s="38"/>
      <c r="AK4212" s="11"/>
      <c r="AL4212" s="38"/>
      <c r="AN4212" s="11"/>
      <c r="AO4212" s="38"/>
      <c r="AQ4212" s="11"/>
      <c r="AR4212" s="38"/>
      <c r="AT4212" s="11"/>
      <c r="AU4212" s="38"/>
    </row>
    <row r="4213" spans="15:47" ht="14" x14ac:dyDescent="0.3">
      <c r="O4213" s="8" t="s">
        <v>235</v>
      </c>
      <c r="P4213" s="6"/>
      <c r="Q4213" s="60"/>
      <c r="R4213" s="53">
        <f>R4202*1.02</f>
        <v>1483.0481672818123</v>
      </c>
      <c r="S4213" s="58" t="s">
        <v>238</v>
      </c>
      <c r="T4213" s="73" t="s">
        <v>241</v>
      </c>
      <c r="U4213" s="84">
        <f>U4202*1.01</f>
        <v>1239.4897552361738</v>
      </c>
      <c r="V4213" s="58" t="s">
        <v>238</v>
      </c>
      <c r="W4213" s="73" t="s">
        <v>241</v>
      </c>
      <c r="X4213" s="84">
        <f>X4202*1.01</f>
        <v>2975.2525385387135</v>
      </c>
      <c r="Y4213" s="58" t="s">
        <v>238</v>
      </c>
      <c r="Z4213" s="73" t="s">
        <v>241</v>
      </c>
      <c r="AA4213" s="84">
        <f>AA4202*1.01</f>
        <v>5680.8474909414826</v>
      </c>
      <c r="AB4213" s="58" t="s">
        <v>238</v>
      </c>
      <c r="AC4213" s="73" t="s">
        <v>241</v>
      </c>
      <c r="AD4213" s="84">
        <f>AD4202*1.01</f>
        <v>9342.9025586443422</v>
      </c>
      <c r="AE4213" s="58" t="s">
        <v>238</v>
      </c>
      <c r="AF4213" s="73" t="s">
        <v>241</v>
      </c>
      <c r="AG4213" s="84">
        <f>AG4202*1.01</f>
        <v>13910.308786014162</v>
      </c>
      <c r="AH4213" s="58" t="s">
        <v>238</v>
      </c>
      <c r="AI4213" s="73" t="s">
        <v>241</v>
      </c>
      <c r="AJ4213" s="84">
        <f>AJ4202*1.01</f>
        <v>18563.360999183154</v>
      </c>
      <c r="AK4213" s="58" t="s">
        <v>238</v>
      </c>
      <c r="AL4213" s="73" t="s">
        <v>241</v>
      </c>
      <c r="AM4213" s="84">
        <f>AM4202*1.01</f>
        <v>22650.828199161824</v>
      </c>
      <c r="AN4213" s="58" t="s">
        <v>238</v>
      </c>
      <c r="AO4213" s="73" t="s">
        <v>241</v>
      </c>
      <c r="AP4213" s="84">
        <f>AP4202*1.01</f>
        <v>26296.908352646213</v>
      </c>
      <c r="AQ4213" s="58" t="s">
        <v>238</v>
      </c>
      <c r="AR4213" s="73" t="s">
        <v>241</v>
      </c>
      <c r="AS4213" s="84">
        <f>AS4202*1.01</f>
        <v>29928.334692316697</v>
      </c>
      <c r="AT4213" s="58" t="s">
        <v>238</v>
      </c>
      <c r="AU4213" s="73" t="s">
        <v>241</v>
      </c>
    </row>
    <row r="4214" spans="15:47" ht="13" x14ac:dyDescent="0.25">
      <c r="O4214" s="6"/>
      <c r="P4214" s="6"/>
      <c r="Q4214" s="60"/>
      <c r="R4214" s="70"/>
      <c r="S4214" s="63" t="s">
        <v>250</v>
      </c>
      <c r="T4214" s="71" t="s">
        <v>242</v>
      </c>
      <c r="U4214" s="61"/>
      <c r="V4214" s="63" t="s">
        <v>250</v>
      </c>
      <c r="W4214" s="71" t="s">
        <v>242</v>
      </c>
      <c r="X4214" s="61"/>
      <c r="Y4214" s="63" t="s">
        <v>250</v>
      </c>
      <c r="Z4214" s="71" t="s">
        <v>242</v>
      </c>
      <c r="AA4214" s="61"/>
      <c r="AB4214" s="63" t="s">
        <v>250</v>
      </c>
      <c r="AC4214" s="71" t="s">
        <v>242</v>
      </c>
      <c r="AD4214" s="61"/>
      <c r="AE4214" s="63" t="s">
        <v>250</v>
      </c>
      <c r="AF4214" s="71" t="s">
        <v>242</v>
      </c>
      <c r="AG4214" s="61"/>
      <c r="AH4214" s="63" t="s">
        <v>250</v>
      </c>
      <c r="AI4214" s="71" t="s">
        <v>242</v>
      </c>
      <c r="AJ4214" s="61"/>
      <c r="AK4214" s="63" t="s">
        <v>250</v>
      </c>
      <c r="AL4214" s="71" t="s">
        <v>242</v>
      </c>
      <c r="AM4214" s="61"/>
      <c r="AN4214" s="63" t="s">
        <v>250</v>
      </c>
      <c r="AO4214" s="71" t="s">
        <v>242</v>
      </c>
      <c r="AP4214" s="61"/>
      <c r="AQ4214" s="63" t="s">
        <v>250</v>
      </c>
      <c r="AR4214" s="71" t="s">
        <v>242</v>
      </c>
      <c r="AS4214" s="61"/>
      <c r="AT4214" s="63" t="s">
        <v>250</v>
      </c>
      <c r="AU4214" s="71" t="s">
        <v>242</v>
      </c>
    </row>
    <row r="4215" spans="15:47" ht="13" x14ac:dyDescent="0.3">
      <c r="O4215" s="6" t="s">
        <v>231</v>
      </c>
      <c r="P4215" s="6"/>
      <c r="Q4215" s="60"/>
      <c r="R4215" s="85">
        <f>P_1_minQ-(R4213^2*R_up)+dpup_minQ</f>
        <v>-17.363892822625548</v>
      </c>
      <c r="S4215" s="56"/>
      <c r="T4215" s="72"/>
      <c r="U4215" s="53">
        <f>P_1_minQ-(U4213^2*R_up)+dpup_minQ</f>
        <v>5.0304676347372519</v>
      </c>
      <c r="V4215" s="44"/>
      <c r="W4215" s="72"/>
      <c r="X4215" s="53">
        <f>P_1_minQ-(X4213^2*R_up)+dpup_minQ</f>
        <v>-242.04122485920496</v>
      </c>
      <c r="Y4215" s="44"/>
      <c r="Z4215" s="72"/>
      <c r="AA4215" s="53">
        <f>P_1_minQ-(AA4213^2*R_up)+dpup_minQ</f>
        <v>-1032.9868698188498</v>
      </c>
      <c r="AB4215" s="44"/>
      <c r="AC4215" s="72"/>
      <c r="AD4215" s="53">
        <f>P_1_minQ-(AD4213^2*R_up)+dpup_minQ</f>
        <v>-2891.0685991328269</v>
      </c>
      <c r="AE4215" s="44"/>
      <c r="AF4215" s="72"/>
      <c r="AG4215" s="53">
        <f>P_1_minQ-(AG4213^2*R_up)+dpup_minQ</f>
        <v>-6477.9264951794266</v>
      </c>
      <c r="AH4215" s="44"/>
      <c r="AI4215" s="72"/>
      <c r="AJ4215" s="53">
        <f>P_1_minQ-(AJ4213^2*R_up)+dpup_minQ</f>
        <v>-11580.989009996427</v>
      </c>
      <c r="AK4215" s="44"/>
      <c r="AL4215" s="72"/>
      <c r="AM4215" s="53">
        <f>P_1_minQ-(AM4213^2*R_up)+dpup_minQ</f>
        <v>-17270.338774331121</v>
      </c>
      <c r="AN4215" s="44"/>
      <c r="AO4215" s="72"/>
      <c r="AP4215" s="53">
        <f>P_1_minQ-(AP4213^2*R_up)+dpup_minQ</f>
        <v>-23297.605603089301</v>
      </c>
      <c r="AQ4215" s="44"/>
      <c r="AR4215" s="72"/>
      <c r="AS4215" s="53">
        <f>P_1_minQ-(AS4213^2*R_up)+dpup_minQ</f>
        <v>-30193.175631723308</v>
      </c>
      <c r="AT4215" s="44"/>
      <c r="AU4215" s="72"/>
    </row>
    <row r="4216" spans="15:47" ht="13" x14ac:dyDescent="0.3">
      <c r="O4216" s="6" t="s">
        <v>233</v>
      </c>
      <c r="P4216" s="6"/>
      <c r="Q4216" s="60"/>
      <c r="R4216" s="85">
        <f>P_2_minQ+(R4213^2*R_dn)-dpdn_minQ</f>
        <v>39.512778564525114</v>
      </c>
      <c r="S4216" s="66"/>
      <c r="T4216" s="74"/>
      <c r="U4216" s="53">
        <f>P_2_minQ+(U4213^2*R_dn)-dpdn_minQ</f>
        <v>35.033906473052554</v>
      </c>
      <c r="V4216" s="45"/>
      <c r="W4216" s="74"/>
      <c r="X4216" s="53">
        <f>P_2_minQ+(X4213^2*R_dn)-dpdn_minQ</f>
        <v>84.448244971840992</v>
      </c>
      <c r="Y4216" s="45"/>
      <c r="Z4216" s="74"/>
      <c r="AA4216" s="53">
        <f>P_2_minQ+(AA4213^2*R_dn)-dpdn_minQ</f>
        <v>242.63737396376993</v>
      </c>
      <c r="AB4216" s="45"/>
      <c r="AC4216" s="74"/>
      <c r="AD4216" s="53">
        <f>P_2_minQ+(AD4213^2*R_dn)-dpdn_minQ</f>
        <v>614.25371982656532</v>
      </c>
      <c r="AE4216" s="45"/>
      <c r="AF4216" s="74"/>
      <c r="AG4216" s="53">
        <f>P_2_minQ+(AG4213^2*R_dn)-dpdn_minQ</f>
        <v>1331.6252990358851</v>
      </c>
      <c r="AH4216" s="45"/>
      <c r="AI4216" s="74"/>
      <c r="AJ4216" s="53">
        <f>P_2_minQ+(AJ4213^2*R_dn)-dpdn_minQ</f>
        <v>2352.2378019992852</v>
      </c>
      <c r="AK4216" s="45"/>
      <c r="AL4216" s="74"/>
      <c r="AM4216" s="53">
        <f>P_2_minQ+(AM4213^2*R_dn)-dpdn_minQ</f>
        <v>3490.1077548662238</v>
      </c>
      <c r="AN4216" s="45"/>
      <c r="AO4216" s="74"/>
      <c r="AP4216" s="53">
        <f>P_2_minQ+(AP4213^2*R_dn)-dpdn_minQ</f>
        <v>4695.5611206178601</v>
      </c>
      <c r="AQ4216" s="45"/>
      <c r="AR4216" s="74"/>
      <c r="AS4216" s="53">
        <f>P_2_minQ+(AS4213^2*R_dn)-dpdn_minQ</f>
        <v>6074.6751263446613</v>
      </c>
      <c r="AT4216" s="45"/>
      <c r="AU4216" s="74"/>
    </row>
    <row r="4217" spans="15:47" x14ac:dyDescent="0.25">
      <c r="O4217" s="6" t="s">
        <v>243</v>
      </c>
      <c r="Q4217" s="60"/>
      <c r="R4217" s="53">
        <f>R4215-R4216</f>
        <v>-56.876671387150665</v>
      </c>
      <c r="S4217" s="56"/>
      <c r="T4217" s="72"/>
      <c r="U4217" s="64">
        <f>U4215-U4216</f>
        <v>-30.003438838315301</v>
      </c>
      <c r="V4217" s="44"/>
      <c r="W4217" s="72"/>
      <c r="X4217" s="64">
        <f>X4215-X4216</f>
        <v>-326.48946983104594</v>
      </c>
      <c r="Y4217" s="44"/>
      <c r="Z4217" s="72"/>
      <c r="AA4217" s="64">
        <f>AA4215-AA4216</f>
        <v>-1275.6242437826197</v>
      </c>
      <c r="AB4217" s="44"/>
      <c r="AC4217" s="72"/>
      <c r="AD4217" s="64">
        <f>AD4215-AD4216</f>
        <v>-3505.3223189593923</v>
      </c>
      <c r="AE4217" s="44"/>
      <c r="AF4217" s="72"/>
      <c r="AG4217" s="64">
        <f>AG4215-AG4216</f>
        <v>-7809.5517942153119</v>
      </c>
      <c r="AH4217" s="44"/>
      <c r="AI4217" s="72"/>
      <c r="AJ4217" s="64">
        <f>AJ4215-AJ4216</f>
        <v>-13933.226811995712</v>
      </c>
      <c r="AK4217" s="44"/>
      <c r="AL4217" s="72"/>
      <c r="AM4217" s="64">
        <f>AM4215-AM4216</f>
        <v>-20760.446529197347</v>
      </c>
      <c r="AN4217" s="44"/>
      <c r="AO4217" s="72"/>
      <c r="AP4217" s="64">
        <f>AP4215-AP4216</f>
        <v>-27993.16672370716</v>
      </c>
      <c r="AQ4217" s="44"/>
      <c r="AR4217" s="72"/>
      <c r="AS4217" s="64">
        <f>AS4215-AS4216</f>
        <v>-36267.850758067972</v>
      </c>
      <c r="AT4217" s="44"/>
      <c r="AU4217" s="72"/>
    </row>
    <row r="4218" spans="15:47" ht="13" x14ac:dyDescent="0.3">
      <c r="O4218" s="6" t="s">
        <v>75</v>
      </c>
      <c r="P4218" s="6">
        <v>3</v>
      </c>
      <c r="Q4218" s="65"/>
      <c r="R4218" s="85">
        <f>(F_LP_h/F_P_h)^2*(R4215-('Valve Sizing'!$V$4*'Valve Sizing'!$G$7))</f>
        <v>-14.742605535302379</v>
      </c>
      <c r="S4218" s="58"/>
      <c r="T4218" s="73"/>
      <c r="U4218" s="53">
        <f>(U$29/U$27)^2*(U4215-('Valve Sizing'!$V$4*'Valve Sizing'!$G$7))</f>
        <v>3.8000643790599002</v>
      </c>
      <c r="V4218" s="41"/>
      <c r="W4218" s="73"/>
      <c r="X4218" s="53">
        <f>(X$29/X$27)^2*(X4215-('Valve Sizing'!$V$4*'Valve Sizing'!$G$7))</f>
        <v>-196.20459417642863</v>
      </c>
      <c r="Y4218" s="41"/>
      <c r="Z4218" s="73"/>
      <c r="AA4218" s="53">
        <f>(AA$29/AA$27)^2*(AA4215-('Valve Sizing'!$V$4*'Valve Sizing'!$G$7))</f>
        <v>-798.62945803429909</v>
      </c>
      <c r="AB4218" s="41"/>
      <c r="AC4218" s="73"/>
      <c r="AD4218" s="53">
        <f>(AD$29/AD$27)^2*(AD4215-('Valve Sizing'!$V$4*'Valve Sizing'!$G$7))</f>
        <v>-2085.3196310249436</v>
      </c>
      <c r="AE4218" s="41"/>
      <c r="AF4218" s="73"/>
      <c r="AG4218" s="53">
        <f>(AG$29/AG$27)^2*(AG4215-('Valve Sizing'!$V$4*'Valve Sizing'!$G$7))</f>
        <v>-4172.3527919089165</v>
      </c>
      <c r="AH4218" s="41"/>
      <c r="AI4218" s="73"/>
      <c r="AJ4218" s="53">
        <f>(AJ$29/AJ$27)^2*(AJ4215-('Valve Sizing'!$V$4*'Valve Sizing'!$G$7))</f>
        <v>-6698.2855248480464</v>
      </c>
      <c r="AK4218" s="41"/>
      <c r="AL4218" s="73"/>
      <c r="AM4218" s="53">
        <f>(AM$29/AM$27)^2*(AM4215-('Valve Sizing'!$V$4*'Valve Sizing'!$G$7))</f>
        <v>-8263.5866679100673</v>
      </c>
      <c r="AN4218" s="41"/>
      <c r="AO4218" s="73"/>
      <c r="AP4218" s="53">
        <f>(AP$29/AP$27)^2*(AP4215-('Valve Sizing'!$V$4*'Valve Sizing'!$G$7))</f>
        <v>-9194.0338427561601</v>
      </c>
      <c r="AQ4218" s="41"/>
      <c r="AR4218" s="73"/>
      <c r="AS4218" s="53">
        <f>(AS$29/AS$27)^2*(AS4215-('Valve Sizing'!$V$4*'Valve Sizing'!$G$7))</f>
        <v>-11357.050582273549</v>
      </c>
      <c r="AT4218" s="41"/>
      <c r="AU4218" s="73"/>
    </row>
    <row r="4219" spans="15:47" ht="13" x14ac:dyDescent="0.25">
      <c r="O4219" s="1" t="s">
        <v>69</v>
      </c>
      <c r="P4219" s="17">
        <v>7</v>
      </c>
      <c r="Q4219" s="65"/>
      <c r="R4219" s="53" t="e">
        <f>(R4213/(N_1*F_P_h))*SQRT('Valve Sizing'!$G$6/R4217)</f>
        <v>#NUM!</v>
      </c>
      <c r="S4219" s="58"/>
      <c r="T4219" s="73"/>
      <c r="U4219" s="64" t="e">
        <f>(U4213/(N_1*U$27))*SQRT('Valve Sizing'!$G$6/U4217)</f>
        <v>#NUM!</v>
      </c>
      <c r="V4219" s="41"/>
      <c r="W4219" s="73"/>
      <c r="X4219" s="64" t="e">
        <f>(X4213/(N_1*X$27))*SQRT('Valve Sizing'!$G$6/X4217)</f>
        <v>#NUM!</v>
      </c>
      <c r="Y4219" s="41"/>
      <c r="Z4219" s="73"/>
      <c r="AA4219" s="64" t="e">
        <f>(AA4213/(N_1*AA$27))*SQRT('Valve Sizing'!$G$6/AA4217)</f>
        <v>#NUM!</v>
      </c>
      <c r="AB4219" s="41"/>
      <c r="AC4219" s="73"/>
      <c r="AD4219" s="64" t="e">
        <f>(AD4213/(N_1*AD$27))*SQRT('Valve Sizing'!$G$6/AD4217)</f>
        <v>#NUM!</v>
      </c>
      <c r="AE4219" s="41"/>
      <c r="AF4219" s="73"/>
      <c r="AG4219" s="64" t="e">
        <f>(AG4213/(N_1*AG$27))*SQRT('Valve Sizing'!$G$6/AG4217)</f>
        <v>#NUM!</v>
      </c>
      <c r="AH4219" s="41"/>
      <c r="AI4219" s="73"/>
      <c r="AJ4219" s="64" t="e">
        <f>(AJ4213/(N_1*AJ$27))*SQRT('Valve Sizing'!$G$6/AJ4217)</f>
        <v>#NUM!</v>
      </c>
      <c r="AK4219" s="41"/>
      <c r="AL4219" s="73"/>
      <c r="AM4219" s="64" t="e">
        <f>(AM4213/(N_1*AM$27))*SQRT('Valve Sizing'!$G$6/AM4217)</f>
        <v>#NUM!</v>
      </c>
      <c r="AN4219" s="41"/>
      <c r="AO4219" s="73"/>
      <c r="AP4219" s="64" t="e">
        <f>(AP4213/(N_1*AP$27))*SQRT('Valve Sizing'!$G$6/AP4217)</f>
        <v>#NUM!</v>
      </c>
      <c r="AQ4219" s="41"/>
      <c r="AR4219" s="73"/>
      <c r="AS4219" s="64" t="e">
        <f>(AS4213/(N_1*AS$27))*SQRT('Valve Sizing'!$G$6/AS4217)</f>
        <v>#NUM!</v>
      </c>
      <c r="AT4219" s="41"/>
      <c r="AU4219" s="73"/>
    </row>
    <row r="4220" spans="15:47" ht="13" x14ac:dyDescent="0.3">
      <c r="O4220" s="1" t="s">
        <v>72</v>
      </c>
      <c r="P4220" s="17">
        <v>7</v>
      </c>
      <c r="Q4220" s="65"/>
      <c r="R4220" s="53" t="e">
        <f>(R4213/(N_1*F_P_h))*SQRT('Valve Sizing'!$G$6/R4218)</f>
        <v>#NUM!</v>
      </c>
      <c r="S4220" s="56"/>
      <c r="T4220" s="72"/>
      <c r="U4220" s="85">
        <f>(U4213/(N_1*U$27))*SQRT('Valve Sizing'!$G$6/U4218)</f>
        <v>636.37503630180606</v>
      </c>
      <c r="V4220" s="44"/>
      <c r="W4220" s="72"/>
      <c r="X4220" s="85" t="e">
        <f>(X4213/(N_1*X$27))*SQRT('Valve Sizing'!$G$6/X4218)</f>
        <v>#NUM!</v>
      </c>
      <c r="Y4220" s="44"/>
      <c r="Z4220" s="72"/>
      <c r="AA4220" s="85" t="e">
        <f>(AA4213/(N_1*AA$27))*SQRT('Valve Sizing'!$G$6/AA4218)</f>
        <v>#NUM!</v>
      </c>
      <c r="AB4220" s="44"/>
      <c r="AC4220" s="72"/>
      <c r="AD4220" s="85" t="e">
        <f>(AD4213/(N_1*AD$27))*SQRT('Valve Sizing'!$G$6/AD4218)</f>
        <v>#NUM!</v>
      </c>
      <c r="AE4220" s="44"/>
      <c r="AF4220" s="72"/>
      <c r="AG4220" s="85" t="e">
        <f>(AG4213/(N_1*AG$27))*SQRT('Valve Sizing'!$G$6/AG4218)</f>
        <v>#NUM!</v>
      </c>
      <c r="AH4220" s="44"/>
      <c r="AI4220" s="72"/>
      <c r="AJ4220" s="85" t="e">
        <f>(AJ4213/(N_1*AJ$27))*SQRT('Valve Sizing'!$G$6/AJ4218)</f>
        <v>#NUM!</v>
      </c>
      <c r="AK4220" s="44"/>
      <c r="AL4220" s="72"/>
      <c r="AM4220" s="85" t="e">
        <f>(AM4213/(N_1*AM$27))*SQRT('Valve Sizing'!$G$6/AM4218)</f>
        <v>#NUM!</v>
      </c>
      <c r="AN4220" s="44"/>
      <c r="AO4220" s="72"/>
      <c r="AP4220" s="85" t="e">
        <f>(AP4213/(N_1*AP$27))*SQRT('Valve Sizing'!$G$6/AP4218)</f>
        <v>#NUM!</v>
      </c>
      <c r="AQ4220" s="44"/>
      <c r="AR4220" s="72"/>
      <c r="AS4220" s="85" t="e">
        <f>(AS4213/(N_1*AS$27))*SQRT('Valve Sizing'!$G$6/AS4218)</f>
        <v>#NUM!</v>
      </c>
      <c r="AT4220" s="44"/>
      <c r="AU4220" s="72"/>
    </row>
    <row r="4221" spans="15:47" x14ac:dyDescent="0.25">
      <c r="O4221" s="1" t="s">
        <v>246</v>
      </c>
      <c r="P4221" s="18"/>
      <c r="Q4221" s="65"/>
      <c r="R4221" s="53" t="e">
        <f>IF(R4217&lt;R4218,R4219,R4220)</f>
        <v>#NUM!</v>
      </c>
      <c r="S4221" s="49"/>
      <c r="T4221" s="72"/>
      <c r="U4221" s="64" t="e">
        <f>IF(U4217&lt;U4218,U4219,U4220)</f>
        <v>#NUM!</v>
      </c>
      <c r="V4221" s="44"/>
      <c r="W4221" s="72"/>
      <c r="X4221" s="64" t="e">
        <f>IF(X4217&lt;X4218,X4219,X4220)</f>
        <v>#NUM!</v>
      </c>
      <c r="Y4221" s="44"/>
      <c r="Z4221" s="72"/>
      <c r="AA4221" s="64" t="e">
        <f>IF(AA4217&lt;AA4218,AA4219,AA4220)</f>
        <v>#NUM!</v>
      </c>
      <c r="AB4221" s="44"/>
      <c r="AC4221" s="72"/>
      <c r="AD4221" s="64" t="e">
        <f>IF(AD4217&lt;AD4218,AD4219,AD4220)</f>
        <v>#NUM!</v>
      </c>
      <c r="AE4221" s="44"/>
      <c r="AF4221" s="72"/>
      <c r="AG4221" s="64" t="e">
        <f>IF(AG4217&lt;AG4218,AG4219,AG4220)</f>
        <v>#NUM!</v>
      </c>
      <c r="AH4221" s="44"/>
      <c r="AI4221" s="72"/>
      <c r="AJ4221" s="64" t="e">
        <f>IF(AJ4217&lt;AJ4218,AJ4219,AJ4220)</f>
        <v>#NUM!</v>
      </c>
      <c r="AK4221" s="44"/>
      <c r="AL4221" s="72"/>
      <c r="AM4221" s="64" t="e">
        <f>IF(AM4217&lt;AM4218,AM4219,AM4220)</f>
        <v>#NUM!</v>
      </c>
      <c r="AN4221" s="44"/>
      <c r="AO4221" s="72"/>
      <c r="AP4221" s="64" t="e">
        <f>IF(AP4217&lt;AP4218,AP4219,AP4220)</f>
        <v>#NUM!</v>
      </c>
      <c r="AQ4221" s="44"/>
      <c r="AR4221" s="72"/>
      <c r="AS4221" s="64" t="e">
        <f>IF(AS4217&lt;AS4218,AS4219,AS4220)</f>
        <v>#NUM!</v>
      </c>
      <c r="AT4221" s="44"/>
      <c r="AU4221" s="72"/>
    </row>
    <row r="4222" spans="15:47" ht="13" x14ac:dyDescent="0.3">
      <c r="O4222" s="7" t="s">
        <v>264</v>
      </c>
      <c r="Q4222" s="61"/>
      <c r="R4222" s="53"/>
      <c r="S4222" s="69">
        <f>IFERROR(ABS(C_h-R4221),Q_max*10)</f>
        <v>5500</v>
      </c>
      <c r="T4222" s="76">
        <f>R4213</f>
        <v>1483.0481672818123</v>
      </c>
      <c r="U4222" s="61"/>
      <c r="V4222" s="69">
        <f>IFERROR(ABS(U$23-U4221),Q_max*10)</f>
        <v>5500</v>
      </c>
      <c r="W4222" s="75">
        <f>U4213</f>
        <v>1239.4897552361738</v>
      </c>
      <c r="X4222" s="61"/>
      <c r="Y4222" s="69">
        <f>IFERROR(ABS(X$23-X4221),Q_max*10)</f>
        <v>5500</v>
      </c>
      <c r="Z4222" s="75">
        <f>X4213</f>
        <v>2975.2525385387135</v>
      </c>
      <c r="AA4222" s="61"/>
      <c r="AB4222" s="69">
        <f>IFERROR(ABS(AA$23-AA4221),Q_max*10)</f>
        <v>5500</v>
      </c>
      <c r="AC4222" s="75">
        <f>AA4213</f>
        <v>5680.8474909414826</v>
      </c>
      <c r="AD4222" s="61"/>
      <c r="AE4222" s="69">
        <f>IFERROR(ABS(AD$23-AD4221),Q_max*10)</f>
        <v>5500</v>
      </c>
      <c r="AF4222" s="75">
        <f>AD4213</f>
        <v>9342.9025586443422</v>
      </c>
      <c r="AG4222" s="61"/>
      <c r="AH4222" s="69">
        <f>IFERROR(ABS(AG$23-AG4221),Q_max*10)</f>
        <v>5500</v>
      </c>
      <c r="AI4222" s="75">
        <f>AG4213</f>
        <v>13910.308786014162</v>
      </c>
      <c r="AJ4222" s="61"/>
      <c r="AK4222" s="69">
        <f>IFERROR(ABS(AJ$23-AJ4221),Q_max*10)</f>
        <v>5500</v>
      </c>
      <c r="AL4222" s="75">
        <f>AJ4213</f>
        <v>18563.360999183154</v>
      </c>
      <c r="AM4222" s="61"/>
      <c r="AN4222" s="69">
        <f>IFERROR(ABS(AM$23-AM4221),Q_max*10)</f>
        <v>5500</v>
      </c>
      <c r="AO4222" s="75">
        <f>AM4213</f>
        <v>22650.828199161824</v>
      </c>
      <c r="AP4222" s="61"/>
      <c r="AQ4222" s="69">
        <f>IFERROR(ABS(AP$23-AP4221),Q_max*10)</f>
        <v>5500</v>
      </c>
      <c r="AR4222" s="75">
        <f>AP4213</f>
        <v>26296.908352646213</v>
      </c>
      <c r="AS4222" s="61"/>
      <c r="AT4222" s="69">
        <f>IFERROR(ABS(AS$23-AS4221),Q_max*10)</f>
        <v>5500</v>
      </c>
      <c r="AU4222" s="75">
        <f>AS4213</f>
        <v>29928.334692316697</v>
      </c>
    </row>
    <row r="4223" spans="15:47" ht="14.5" x14ac:dyDescent="0.35">
      <c r="O4223" s="8"/>
      <c r="P4223" s="6"/>
      <c r="Q4223" s="60"/>
      <c r="R4223" s="67"/>
      <c r="S4223" s="56"/>
      <c r="T4223" s="72"/>
      <c r="V4223" s="11"/>
      <c r="W4223" s="38"/>
      <c r="Y4223" s="11"/>
      <c r="Z4223" s="38"/>
      <c r="AB4223" s="11"/>
      <c r="AC4223" s="38"/>
      <c r="AE4223" s="11"/>
      <c r="AF4223" s="38"/>
      <c r="AH4223" s="11"/>
      <c r="AI4223" s="38"/>
      <c r="AK4223" s="11"/>
      <c r="AL4223" s="38"/>
      <c r="AN4223" s="11"/>
      <c r="AO4223" s="38"/>
      <c r="AQ4223" s="11"/>
      <c r="AR4223" s="38"/>
      <c r="AT4223" s="11"/>
      <c r="AU4223" s="38"/>
    </row>
    <row r="4224" spans="15:47" ht="14" x14ac:dyDescent="0.3">
      <c r="O4224" s="8" t="s">
        <v>235</v>
      </c>
      <c r="P4224" s="6"/>
      <c r="Q4224" s="60"/>
      <c r="R4224" s="53">
        <f>R4213*1.02</f>
        <v>1512.7091306274485</v>
      </c>
      <c r="S4224" s="58" t="s">
        <v>238</v>
      </c>
      <c r="T4224" s="73" t="s">
        <v>241</v>
      </c>
      <c r="U4224" s="84">
        <f>U4213*1.01</f>
        <v>1251.8846527885355</v>
      </c>
      <c r="V4224" s="58" t="s">
        <v>238</v>
      </c>
      <c r="W4224" s="73" t="s">
        <v>241</v>
      </c>
      <c r="X4224" s="84">
        <f>X4213*1.01</f>
        <v>3005.0050639241008</v>
      </c>
      <c r="Y4224" s="58" t="s">
        <v>238</v>
      </c>
      <c r="Z4224" s="73" t="s">
        <v>241</v>
      </c>
      <c r="AA4224" s="84">
        <f>AA4213*1.01</f>
        <v>5737.6559658508977</v>
      </c>
      <c r="AB4224" s="58" t="s">
        <v>238</v>
      </c>
      <c r="AC4224" s="73" t="s">
        <v>241</v>
      </c>
      <c r="AD4224" s="84">
        <f>AD4213*1.01</f>
        <v>9436.3315842307857</v>
      </c>
      <c r="AE4224" s="58" t="s">
        <v>238</v>
      </c>
      <c r="AF4224" s="73" t="s">
        <v>241</v>
      </c>
      <c r="AG4224" s="84">
        <f>AG4213*1.01</f>
        <v>14049.411873874304</v>
      </c>
      <c r="AH4224" s="58" t="s">
        <v>238</v>
      </c>
      <c r="AI4224" s="73" t="s">
        <v>241</v>
      </c>
      <c r="AJ4224" s="84">
        <f>AJ4213*1.01</f>
        <v>18748.994609174988</v>
      </c>
      <c r="AK4224" s="58" t="s">
        <v>238</v>
      </c>
      <c r="AL4224" s="73" t="s">
        <v>241</v>
      </c>
      <c r="AM4224" s="84">
        <f>AM4213*1.01</f>
        <v>22877.336481153441</v>
      </c>
      <c r="AN4224" s="58" t="s">
        <v>238</v>
      </c>
      <c r="AO4224" s="73" t="s">
        <v>241</v>
      </c>
      <c r="AP4224" s="84">
        <f>AP4213*1.01</f>
        <v>26559.877436172676</v>
      </c>
      <c r="AQ4224" s="58" t="s">
        <v>238</v>
      </c>
      <c r="AR4224" s="73" t="s">
        <v>241</v>
      </c>
      <c r="AS4224" s="84">
        <f>AS4213*1.01</f>
        <v>30227.618039239864</v>
      </c>
      <c r="AT4224" s="58" t="s">
        <v>238</v>
      </c>
      <c r="AU4224" s="73" t="s">
        <v>241</v>
      </c>
    </row>
    <row r="4225" spans="15:47" ht="13" x14ac:dyDescent="0.25">
      <c r="O4225" s="6"/>
      <c r="P4225" s="6"/>
      <c r="Q4225" s="60"/>
      <c r="R4225" s="70"/>
      <c r="S4225" s="63" t="s">
        <v>250</v>
      </c>
      <c r="T4225" s="71" t="s">
        <v>242</v>
      </c>
      <c r="U4225" s="61"/>
      <c r="V4225" s="63" t="s">
        <v>250</v>
      </c>
      <c r="W4225" s="71" t="s">
        <v>242</v>
      </c>
      <c r="X4225" s="61"/>
      <c r="Y4225" s="63" t="s">
        <v>250</v>
      </c>
      <c r="Z4225" s="71" t="s">
        <v>242</v>
      </c>
      <c r="AA4225" s="61"/>
      <c r="AB4225" s="63" t="s">
        <v>250</v>
      </c>
      <c r="AC4225" s="71" t="s">
        <v>242</v>
      </c>
      <c r="AD4225" s="61"/>
      <c r="AE4225" s="63" t="s">
        <v>250</v>
      </c>
      <c r="AF4225" s="71" t="s">
        <v>242</v>
      </c>
      <c r="AG4225" s="61"/>
      <c r="AH4225" s="63" t="s">
        <v>250</v>
      </c>
      <c r="AI4225" s="71" t="s">
        <v>242</v>
      </c>
      <c r="AJ4225" s="61"/>
      <c r="AK4225" s="63" t="s">
        <v>250</v>
      </c>
      <c r="AL4225" s="71" t="s">
        <v>242</v>
      </c>
      <c r="AM4225" s="61"/>
      <c r="AN4225" s="63" t="s">
        <v>250</v>
      </c>
      <c r="AO4225" s="71" t="s">
        <v>242</v>
      </c>
      <c r="AP4225" s="61"/>
      <c r="AQ4225" s="63" t="s">
        <v>250</v>
      </c>
      <c r="AR4225" s="71" t="s">
        <v>242</v>
      </c>
      <c r="AS4225" s="61"/>
      <c r="AT4225" s="63" t="s">
        <v>250</v>
      </c>
      <c r="AU4225" s="71" t="s">
        <v>242</v>
      </c>
    </row>
    <row r="4226" spans="15:47" ht="13" x14ac:dyDescent="0.3">
      <c r="O4226" s="6" t="s">
        <v>231</v>
      </c>
      <c r="P4226" s="6"/>
      <c r="Q4226" s="60"/>
      <c r="R4226" s="85">
        <f>P_1_minQ-(R4224^2*R_up)+dpup_minQ</f>
        <v>-20.364806277732232</v>
      </c>
      <c r="S4226" s="56"/>
      <c r="T4226" s="72"/>
      <c r="U4226" s="53">
        <f>P_1_minQ-(U4224^2*R_up)+dpup_minQ</f>
        <v>3.9875655559786507</v>
      </c>
      <c r="V4226" s="44"/>
      <c r="W4226" s="72"/>
      <c r="X4226" s="53">
        <f>P_1_minQ-(X4224^2*R_up)+dpup_minQ</f>
        <v>-248.05026795709185</v>
      </c>
      <c r="Y4226" s="44"/>
      <c r="Z4226" s="72"/>
      <c r="AA4226" s="53">
        <f>P_1_minQ-(AA4224^2*R_up)+dpup_minQ</f>
        <v>-1054.8939203804255</v>
      </c>
      <c r="AB4226" s="44"/>
      <c r="AC4226" s="72"/>
      <c r="AD4226" s="53">
        <f>P_1_minQ-(AD4224^2*R_up)+dpup_minQ</f>
        <v>-2950.3230924536138</v>
      </c>
      <c r="AE4226" s="44"/>
      <c r="AF4226" s="72"/>
      <c r="AG4226" s="53">
        <f>P_1_minQ-(AG4224^2*R_up)+dpup_minQ</f>
        <v>-6609.2768322107495</v>
      </c>
      <c r="AH4226" s="44"/>
      <c r="AI4226" s="72"/>
      <c r="AJ4226" s="53">
        <f>P_1_minQ-(AJ4224^2*R_up)+dpup_minQ</f>
        <v>-11814.910903575576</v>
      </c>
      <c r="AK4226" s="44"/>
      <c r="AL4226" s="72"/>
      <c r="AM4226" s="53">
        <f>P_1_minQ-(AM4224^2*R_up)+dpup_minQ</f>
        <v>-17618.616598173394</v>
      </c>
      <c r="AN4226" s="44"/>
      <c r="AO4226" s="72"/>
      <c r="AP4226" s="53">
        <f>P_1_minQ-(AP4224^2*R_up)+dpup_minQ</f>
        <v>-23767.031490189613</v>
      </c>
      <c r="AQ4226" s="44"/>
      <c r="AR4226" s="72"/>
      <c r="AS4226" s="53">
        <f>P_1_minQ-(AS4224^2*R_up)+dpup_minQ</f>
        <v>-30801.202476399165</v>
      </c>
      <c r="AT4226" s="44"/>
      <c r="AU4226" s="72"/>
    </row>
    <row r="4227" spans="15:47" ht="13" x14ac:dyDescent="0.3">
      <c r="O4227" s="6" t="s">
        <v>233</v>
      </c>
      <c r="P4227" s="6"/>
      <c r="Q4227" s="60"/>
      <c r="R4227" s="85">
        <f>P_2_minQ+(R4224^2*R_dn)-dpdn_minQ</f>
        <v>40.112961255546452</v>
      </c>
      <c r="S4227" s="66"/>
      <c r="T4227" s="74"/>
      <c r="U4227" s="53">
        <f>P_2_minQ+(U4224^2*R_dn)-dpdn_minQ</f>
        <v>35.242486888804272</v>
      </c>
      <c r="V4227" s="45"/>
      <c r="W4227" s="74"/>
      <c r="X4227" s="53">
        <f>P_2_minQ+(X4224^2*R_dn)-dpdn_minQ</f>
        <v>85.650053591418356</v>
      </c>
      <c r="Y4227" s="45"/>
      <c r="Z4227" s="74"/>
      <c r="AA4227" s="53">
        <f>P_2_minQ+(AA4224^2*R_dn)-dpdn_minQ</f>
        <v>247.0187840760851</v>
      </c>
      <c r="AB4227" s="45"/>
      <c r="AC4227" s="74"/>
      <c r="AD4227" s="53">
        <f>P_2_minQ+(AD4224^2*R_dn)-dpdn_minQ</f>
        <v>626.10461849072271</v>
      </c>
      <c r="AE4227" s="45"/>
      <c r="AF4227" s="74"/>
      <c r="AG4227" s="53">
        <f>P_2_minQ+(AG4224^2*R_dn)-dpdn_minQ</f>
        <v>1357.8953664421499</v>
      </c>
      <c r="AH4227" s="45"/>
      <c r="AI4227" s="74"/>
      <c r="AJ4227" s="53">
        <f>P_2_minQ+(AJ4224^2*R_dn)-dpdn_minQ</f>
        <v>2399.0221807151147</v>
      </c>
      <c r="AK4227" s="45"/>
      <c r="AL4227" s="74"/>
      <c r="AM4227" s="53">
        <f>P_2_minQ+(AM4224^2*R_dn)-dpdn_minQ</f>
        <v>3559.7633196346778</v>
      </c>
      <c r="AN4227" s="45"/>
      <c r="AO4227" s="74"/>
      <c r="AP4227" s="53">
        <f>P_2_minQ+(AP4224^2*R_dn)-dpdn_minQ</f>
        <v>4789.4462980379221</v>
      </c>
      <c r="AQ4227" s="45"/>
      <c r="AR4227" s="74"/>
      <c r="AS4227" s="53">
        <f>P_2_minQ+(AS4224^2*R_dn)-dpdn_minQ</f>
        <v>6196.2804952798324</v>
      </c>
      <c r="AT4227" s="45"/>
      <c r="AU4227" s="74"/>
    </row>
    <row r="4228" spans="15:47" x14ac:dyDescent="0.25">
      <c r="O4228" s="6" t="s">
        <v>243</v>
      </c>
      <c r="Q4228" s="60"/>
      <c r="R4228" s="53">
        <f>R4226-R4227</f>
        <v>-60.47776753327868</v>
      </c>
      <c r="S4228" s="56"/>
      <c r="T4228" s="72"/>
      <c r="U4228" s="64">
        <f>U4226-U4227</f>
        <v>-31.254921332825621</v>
      </c>
      <c r="V4228" s="44"/>
      <c r="W4228" s="72"/>
      <c r="X4228" s="64">
        <f>X4226-X4227</f>
        <v>-333.7003215485102</v>
      </c>
      <c r="Y4228" s="44"/>
      <c r="Z4228" s="72"/>
      <c r="AA4228" s="64">
        <f>AA4226-AA4227</f>
        <v>-1301.9127044565105</v>
      </c>
      <c r="AB4228" s="44"/>
      <c r="AC4228" s="72"/>
      <c r="AD4228" s="64">
        <f>AD4226-AD4227</f>
        <v>-3576.4277109443365</v>
      </c>
      <c r="AE4228" s="44"/>
      <c r="AF4228" s="72"/>
      <c r="AG4228" s="64">
        <f>AG4226-AG4227</f>
        <v>-7967.1721986528992</v>
      </c>
      <c r="AH4228" s="44"/>
      <c r="AI4228" s="72"/>
      <c r="AJ4228" s="64">
        <f>AJ4226-AJ4227</f>
        <v>-14213.933084290689</v>
      </c>
      <c r="AK4228" s="44"/>
      <c r="AL4228" s="72"/>
      <c r="AM4228" s="64">
        <f>AM4226-AM4227</f>
        <v>-21178.379917808074</v>
      </c>
      <c r="AN4228" s="44"/>
      <c r="AO4228" s="72"/>
      <c r="AP4228" s="64">
        <f>AP4226-AP4227</f>
        <v>-28556.477788227534</v>
      </c>
      <c r="AQ4228" s="44"/>
      <c r="AR4228" s="72"/>
      <c r="AS4228" s="64">
        <f>AS4226-AS4227</f>
        <v>-36997.482971678997</v>
      </c>
      <c r="AT4228" s="44"/>
      <c r="AU4228" s="72"/>
    </row>
    <row r="4229" spans="15:47" ht="13" x14ac:dyDescent="0.3">
      <c r="O4229" s="6" t="s">
        <v>75</v>
      </c>
      <c r="P4229" s="6">
        <v>3</v>
      </c>
      <c r="Q4229" s="65"/>
      <c r="R4229" s="85">
        <f>(F_LP_h/F_P_h)^2*(R4226-('Valve Sizing'!$V$4*'Valve Sizing'!$G$7))</f>
        <v>-17.227519393893974</v>
      </c>
      <c r="S4229" s="58"/>
      <c r="T4229" s="73"/>
      <c r="U4229" s="53">
        <f>(U$29/U$27)^2*(U4226-('Valve Sizing'!$V$4*'Valve Sizing'!$G$7))</f>
        <v>2.9367220915771046</v>
      </c>
      <c r="V4229" s="41"/>
      <c r="W4229" s="73"/>
      <c r="X4229" s="53">
        <f>(X$29/X$27)^2*(X4226-('Valve Sizing'!$V$4*'Valve Sizing'!$G$7))</f>
        <v>-201.06683282065316</v>
      </c>
      <c r="Y4229" s="41"/>
      <c r="Z4229" s="73"/>
      <c r="AA4229" s="53">
        <f>(AA$29/AA$27)^2*(AA4226-('Valve Sizing'!$V$4*'Valve Sizing'!$G$7))</f>
        <v>-815.55916583633189</v>
      </c>
      <c r="AB4229" s="41"/>
      <c r="AC4229" s="73"/>
      <c r="AD4229" s="53">
        <f>(AD$29/AD$27)^2*(AD4226-('Valve Sizing'!$V$4*'Valve Sizing'!$G$7))</f>
        <v>-2128.0532254264713</v>
      </c>
      <c r="AE4229" s="41"/>
      <c r="AF4229" s="73"/>
      <c r="AG4229" s="53">
        <f>(AG$29/AG$27)^2*(AG4226-('Valve Sizing'!$V$4*'Valve Sizing'!$G$7))</f>
        <v>-4256.9481819598013</v>
      </c>
      <c r="AH4229" s="41"/>
      <c r="AI4229" s="73"/>
      <c r="AJ4229" s="53">
        <f>(AJ$29/AJ$27)^2*(AJ4226-('Valve Sizing'!$V$4*'Valve Sizing'!$G$7))</f>
        <v>-6833.5776053462014</v>
      </c>
      <c r="AK4229" s="41"/>
      <c r="AL4229" s="73"/>
      <c r="AM4229" s="53">
        <f>(AM$29/AM$27)^2*(AM4226-('Valve Sizing'!$V$4*'Valve Sizing'!$G$7))</f>
        <v>-8430.2279068389798</v>
      </c>
      <c r="AN4229" s="41"/>
      <c r="AO4229" s="73"/>
      <c r="AP4229" s="53">
        <f>(AP$29/AP$27)^2*(AP4226-('Valve Sizing'!$V$4*'Valve Sizing'!$G$7))</f>
        <v>-9379.2818912624571</v>
      </c>
      <c r="AQ4229" s="41"/>
      <c r="AR4229" s="73"/>
      <c r="AS4229" s="53">
        <f>(AS$29/AS$27)^2*(AS4226-('Valve Sizing'!$V$4*'Valve Sizing'!$G$7))</f>
        <v>-11585.754282466365</v>
      </c>
      <c r="AT4229" s="41"/>
      <c r="AU4229" s="73"/>
    </row>
    <row r="4230" spans="15:47" ht="13" x14ac:dyDescent="0.25">
      <c r="O4230" s="1" t="s">
        <v>69</v>
      </c>
      <c r="P4230" s="17">
        <v>7</v>
      </c>
      <c r="Q4230" s="65"/>
      <c r="R4230" s="53" t="e">
        <f>(R4224/(N_1*F_P_h))*SQRT('Valve Sizing'!$G$6/R4228)</f>
        <v>#NUM!</v>
      </c>
      <c r="S4230" s="58"/>
      <c r="T4230" s="73"/>
      <c r="U4230" s="64" t="e">
        <f>(U4224/(N_1*U$27))*SQRT('Valve Sizing'!$G$6/U4228)</f>
        <v>#NUM!</v>
      </c>
      <c r="V4230" s="41"/>
      <c r="W4230" s="73"/>
      <c r="X4230" s="64" t="e">
        <f>(X4224/(N_1*X$27))*SQRT('Valve Sizing'!$G$6/X4228)</f>
        <v>#NUM!</v>
      </c>
      <c r="Y4230" s="41"/>
      <c r="Z4230" s="73"/>
      <c r="AA4230" s="64" t="e">
        <f>(AA4224/(N_1*AA$27))*SQRT('Valve Sizing'!$G$6/AA4228)</f>
        <v>#NUM!</v>
      </c>
      <c r="AB4230" s="41"/>
      <c r="AC4230" s="73"/>
      <c r="AD4230" s="64" t="e">
        <f>(AD4224/(N_1*AD$27))*SQRT('Valve Sizing'!$G$6/AD4228)</f>
        <v>#NUM!</v>
      </c>
      <c r="AE4230" s="41"/>
      <c r="AF4230" s="73"/>
      <c r="AG4230" s="64" t="e">
        <f>(AG4224/(N_1*AG$27))*SQRT('Valve Sizing'!$G$6/AG4228)</f>
        <v>#NUM!</v>
      </c>
      <c r="AH4230" s="41"/>
      <c r="AI4230" s="73"/>
      <c r="AJ4230" s="64" t="e">
        <f>(AJ4224/(N_1*AJ$27))*SQRT('Valve Sizing'!$G$6/AJ4228)</f>
        <v>#NUM!</v>
      </c>
      <c r="AK4230" s="41"/>
      <c r="AL4230" s="73"/>
      <c r="AM4230" s="64" t="e">
        <f>(AM4224/(N_1*AM$27))*SQRT('Valve Sizing'!$G$6/AM4228)</f>
        <v>#NUM!</v>
      </c>
      <c r="AN4230" s="41"/>
      <c r="AO4230" s="73"/>
      <c r="AP4230" s="64" t="e">
        <f>(AP4224/(N_1*AP$27))*SQRT('Valve Sizing'!$G$6/AP4228)</f>
        <v>#NUM!</v>
      </c>
      <c r="AQ4230" s="41"/>
      <c r="AR4230" s="73"/>
      <c r="AS4230" s="64" t="e">
        <f>(AS4224/(N_1*AS$27))*SQRT('Valve Sizing'!$G$6/AS4228)</f>
        <v>#NUM!</v>
      </c>
      <c r="AT4230" s="41"/>
      <c r="AU4230" s="73"/>
    </row>
    <row r="4231" spans="15:47" ht="13" x14ac:dyDescent="0.3">
      <c r="O4231" s="1" t="s">
        <v>72</v>
      </c>
      <c r="P4231" s="17">
        <v>7</v>
      </c>
      <c r="Q4231" s="65"/>
      <c r="R4231" s="53" t="e">
        <f>(R4224/(N_1*F_P_h))*SQRT('Valve Sizing'!$G$6/R4229)</f>
        <v>#NUM!</v>
      </c>
      <c r="S4231" s="56"/>
      <c r="T4231" s="72"/>
      <c r="U4231" s="85">
        <f>(U4224/(N_1*U$27))*SQRT('Valve Sizing'!$G$6/U4229)</f>
        <v>731.13666031222454</v>
      </c>
      <c r="V4231" s="44"/>
      <c r="W4231" s="72"/>
      <c r="X4231" s="85" t="e">
        <f>(X4224/(N_1*X$27))*SQRT('Valve Sizing'!$G$6/X4229)</f>
        <v>#NUM!</v>
      </c>
      <c r="Y4231" s="44"/>
      <c r="Z4231" s="72"/>
      <c r="AA4231" s="85" t="e">
        <f>(AA4224/(N_1*AA$27))*SQRT('Valve Sizing'!$G$6/AA4229)</f>
        <v>#NUM!</v>
      </c>
      <c r="AB4231" s="44"/>
      <c r="AC4231" s="72"/>
      <c r="AD4231" s="85" t="e">
        <f>(AD4224/(N_1*AD$27))*SQRT('Valve Sizing'!$G$6/AD4229)</f>
        <v>#NUM!</v>
      </c>
      <c r="AE4231" s="44"/>
      <c r="AF4231" s="72"/>
      <c r="AG4231" s="85" t="e">
        <f>(AG4224/(N_1*AG$27))*SQRT('Valve Sizing'!$G$6/AG4229)</f>
        <v>#NUM!</v>
      </c>
      <c r="AH4231" s="44"/>
      <c r="AI4231" s="72"/>
      <c r="AJ4231" s="85" t="e">
        <f>(AJ4224/(N_1*AJ$27))*SQRT('Valve Sizing'!$G$6/AJ4229)</f>
        <v>#NUM!</v>
      </c>
      <c r="AK4231" s="44"/>
      <c r="AL4231" s="72"/>
      <c r="AM4231" s="85" t="e">
        <f>(AM4224/(N_1*AM$27))*SQRT('Valve Sizing'!$G$6/AM4229)</f>
        <v>#NUM!</v>
      </c>
      <c r="AN4231" s="44"/>
      <c r="AO4231" s="72"/>
      <c r="AP4231" s="85" t="e">
        <f>(AP4224/(N_1*AP$27))*SQRT('Valve Sizing'!$G$6/AP4229)</f>
        <v>#NUM!</v>
      </c>
      <c r="AQ4231" s="44"/>
      <c r="AR4231" s="72"/>
      <c r="AS4231" s="85" t="e">
        <f>(AS4224/(N_1*AS$27))*SQRT('Valve Sizing'!$G$6/AS4229)</f>
        <v>#NUM!</v>
      </c>
      <c r="AT4231" s="44"/>
      <c r="AU4231" s="72"/>
    </row>
    <row r="4232" spans="15:47" x14ac:dyDescent="0.25">
      <c r="O4232" s="1" t="s">
        <v>246</v>
      </c>
      <c r="P4232" s="18"/>
      <c r="Q4232" s="65"/>
      <c r="R4232" s="53" t="e">
        <f>IF(R4228&lt;R4229,R4230,R4231)</f>
        <v>#NUM!</v>
      </c>
      <c r="S4232" s="49"/>
      <c r="T4232" s="72"/>
      <c r="U4232" s="64" t="e">
        <f>IF(U4228&lt;U4229,U4230,U4231)</f>
        <v>#NUM!</v>
      </c>
      <c r="V4232" s="44"/>
      <c r="W4232" s="72"/>
      <c r="X4232" s="64" t="e">
        <f>IF(X4228&lt;X4229,X4230,X4231)</f>
        <v>#NUM!</v>
      </c>
      <c r="Y4232" s="44"/>
      <c r="Z4232" s="72"/>
      <c r="AA4232" s="64" t="e">
        <f>IF(AA4228&lt;AA4229,AA4230,AA4231)</f>
        <v>#NUM!</v>
      </c>
      <c r="AB4232" s="44"/>
      <c r="AC4232" s="72"/>
      <c r="AD4232" s="64" t="e">
        <f>IF(AD4228&lt;AD4229,AD4230,AD4231)</f>
        <v>#NUM!</v>
      </c>
      <c r="AE4232" s="44"/>
      <c r="AF4232" s="72"/>
      <c r="AG4232" s="64" t="e">
        <f>IF(AG4228&lt;AG4229,AG4230,AG4231)</f>
        <v>#NUM!</v>
      </c>
      <c r="AH4232" s="44"/>
      <c r="AI4232" s="72"/>
      <c r="AJ4232" s="64" t="e">
        <f>IF(AJ4228&lt;AJ4229,AJ4230,AJ4231)</f>
        <v>#NUM!</v>
      </c>
      <c r="AK4232" s="44"/>
      <c r="AL4232" s="72"/>
      <c r="AM4232" s="64" t="e">
        <f>IF(AM4228&lt;AM4229,AM4230,AM4231)</f>
        <v>#NUM!</v>
      </c>
      <c r="AN4232" s="44"/>
      <c r="AO4232" s="72"/>
      <c r="AP4232" s="64" t="e">
        <f>IF(AP4228&lt;AP4229,AP4230,AP4231)</f>
        <v>#NUM!</v>
      </c>
      <c r="AQ4232" s="44"/>
      <c r="AR4232" s="72"/>
      <c r="AS4232" s="64" t="e">
        <f>IF(AS4228&lt;AS4229,AS4230,AS4231)</f>
        <v>#NUM!</v>
      </c>
      <c r="AT4232" s="44"/>
      <c r="AU4232" s="72"/>
    </row>
    <row r="4233" spans="15:47" ht="13" x14ac:dyDescent="0.3">
      <c r="O4233" s="7" t="s">
        <v>264</v>
      </c>
      <c r="Q4233" s="61"/>
      <c r="R4233" s="53"/>
      <c r="S4233" s="69">
        <f>IFERROR(ABS(C_h-R4232),Q_max*10)</f>
        <v>5500</v>
      </c>
      <c r="T4233" s="76">
        <f>R4224</f>
        <v>1512.7091306274485</v>
      </c>
      <c r="U4233" s="61"/>
      <c r="V4233" s="69">
        <f>IFERROR(ABS(U$23-U4232),Q_max*10)</f>
        <v>5500</v>
      </c>
      <c r="W4233" s="75">
        <f>U4224</f>
        <v>1251.8846527885355</v>
      </c>
      <c r="X4233" s="61"/>
      <c r="Y4233" s="69">
        <f>IFERROR(ABS(X$23-X4232),Q_max*10)</f>
        <v>5500</v>
      </c>
      <c r="Z4233" s="75">
        <f>X4224</f>
        <v>3005.0050639241008</v>
      </c>
      <c r="AA4233" s="61"/>
      <c r="AB4233" s="69">
        <f>IFERROR(ABS(AA$23-AA4232),Q_max*10)</f>
        <v>5500</v>
      </c>
      <c r="AC4233" s="75">
        <f>AA4224</f>
        <v>5737.6559658508977</v>
      </c>
      <c r="AD4233" s="61"/>
      <c r="AE4233" s="69">
        <f>IFERROR(ABS(AD$23-AD4232),Q_max*10)</f>
        <v>5500</v>
      </c>
      <c r="AF4233" s="75">
        <f>AD4224</f>
        <v>9436.3315842307857</v>
      </c>
      <c r="AG4233" s="61"/>
      <c r="AH4233" s="69">
        <f>IFERROR(ABS(AG$23-AG4232),Q_max*10)</f>
        <v>5500</v>
      </c>
      <c r="AI4233" s="75">
        <f>AG4224</f>
        <v>14049.411873874304</v>
      </c>
      <c r="AJ4233" s="61"/>
      <c r="AK4233" s="69">
        <f>IFERROR(ABS(AJ$23-AJ4232),Q_max*10)</f>
        <v>5500</v>
      </c>
      <c r="AL4233" s="75">
        <f>AJ4224</f>
        <v>18748.994609174988</v>
      </c>
      <c r="AM4233" s="61"/>
      <c r="AN4233" s="69">
        <f>IFERROR(ABS(AM$23-AM4232),Q_max*10)</f>
        <v>5500</v>
      </c>
      <c r="AO4233" s="75">
        <f>AM4224</f>
        <v>22877.336481153441</v>
      </c>
      <c r="AP4233" s="61"/>
      <c r="AQ4233" s="69">
        <f>IFERROR(ABS(AP$23-AP4232),Q_max*10)</f>
        <v>5500</v>
      </c>
      <c r="AR4233" s="75">
        <f>AP4224</f>
        <v>26559.877436172676</v>
      </c>
      <c r="AS4233" s="61"/>
      <c r="AT4233" s="69">
        <f>IFERROR(ABS(AS$23-AS4232),Q_max*10)</f>
        <v>5500</v>
      </c>
      <c r="AU4233" s="75">
        <f>AS4224</f>
        <v>30227.618039239864</v>
      </c>
    </row>
    <row r="4234" spans="15:47" ht="14.5" x14ac:dyDescent="0.35">
      <c r="O4234" s="6"/>
      <c r="P4234" s="6"/>
      <c r="Q4234" s="60"/>
      <c r="R4234" s="67"/>
      <c r="S4234" s="56"/>
      <c r="T4234" s="72"/>
      <c r="V4234" s="11"/>
      <c r="W4234" s="38"/>
      <c r="Y4234" s="11"/>
      <c r="Z4234" s="38"/>
      <c r="AB4234" s="11"/>
      <c r="AC4234" s="38"/>
      <c r="AE4234" s="11"/>
      <c r="AF4234" s="38"/>
      <c r="AH4234" s="11"/>
      <c r="AI4234" s="38"/>
      <c r="AK4234" s="11"/>
      <c r="AL4234" s="38"/>
      <c r="AN4234" s="11"/>
      <c r="AO4234" s="38"/>
      <c r="AQ4234" s="11"/>
      <c r="AR4234" s="38"/>
      <c r="AT4234" s="11"/>
      <c r="AU4234" s="38"/>
    </row>
    <row r="4235" spans="15:47" ht="14" x14ac:dyDescent="0.3">
      <c r="O4235" s="8" t="s">
        <v>235</v>
      </c>
      <c r="P4235" s="6"/>
      <c r="Q4235" s="60"/>
      <c r="R4235" s="53">
        <f>R4224*1.02</f>
        <v>1542.9633132399974</v>
      </c>
      <c r="S4235" s="58" t="s">
        <v>238</v>
      </c>
      <c r="T4235" s="73" t="s">
        <v>241</v>
      </c>
      <c r="U4235" s="84">
        <f>U4224*1.01</f>
        <v>1264.4034993164209</v>
      </c>
      <c r="V4235" s="58" t="s">
        <v>238</v>
      </c>
      <c r="W4235" s="73" t="s">
        <v>241</v>
      </c>
      <c r="X4235" s="84">
        <f>X4224*1.01</f>
        <v>3035.0551145633417</v>
      </c>
      <c r="Y4235" s="58" t="s">
        <v>238</v>
      </c>
      <c r="Z4235" s="73" t="s">
        <v>241</v>
      </c>
      <c r="AA4235" s="84">
        <f>AA4224*1.01</f>
        <v>5795.0325255094067</v>
      </c>
      <c r="AB4235" s="58" t="s">
        <v>238</v>
      </c>
      <c r="AC4235" s="73" t="s">
        <v>241</v>
      </c>
      <c r="AD4235" s="84">
        <f>AD4224*1.01</f>
        <v>9530.6949000730929</v>
      </c>
      <c r="AE4235" s="58" t="s">
        <v>238</v>
      </c>
      <c r="AF4235" s="73" t="s">
        <v>241</v>
      </c>
      <c r="AG4235" s="84">
        <f>AG4224*1.01</f>
        <v>14189.905992613047</v>
      </c>
      <c r="AH4235" s="58" t="s">
        <v>238</v>
      </c>
      <c r="AI4235" s="73" t="s">
        <v>241</v>
      </c>
      <c r="AJ4235" s="84">
        <f>AJ4224*1.01</f>
        <v>18936.484555266739</v>
      </c>
      <c r="AK4235" s="58" t="s">
        <v>238</v>
      </c>
      <c r="AL4235" s="73" t="s">
        <v>241</v>
      </c>
      <c r="AM4235" s="84">
        <f>AM4224*1.01</f>
        <v>23106.109845964977</v>
      </c>
      <c r="AN4235" s="58" t="s">
        <v>238</v>
      </c>
      <c r="AO4235" s="73" t="s">
        <v>241</v>
      </c>
      <c r="AP4235" s="84">
        <f>AP4224*1.01</f>
        <v>26825.476210534402</v>
      </c>
      <c r="AQ4235" s="58" t="s">
        <v>238</v>
      </c>
      <c r="AR4235" s="73" t="s">
        <v>241</v>
      </c>
      <c r="AS4235" s="84">
        <f>AS4224*1.01</f>
        <v>30529.894219632264</v>
      </c>
      <c r="AT4235" s="58" t="s">
        <v>238</v>
      </c>
      <c r="AU4235" s="73" t="s">
        <v>241</v>
      </c>
    </row>
    <row r="4236" spans="15:47" ht="13" x14ac:dyDescent="0.25">
      <c r="O4236" s="6"/>
      <c r="P4236" s="6"/>
      <c r="Q4236" s="60"/>
      <c r="R4236" s="70"/>
      <c r="S4236" s="63" t="s">
        <v>250</v>
      </c>
      <c r="T4236" s="71" t="s">
        <v>242</v>
      </c>
      <c r="U4236" s="61"/>
      <c r="V4236" s="63" t="s">
        <v>250</v>
      </c>
      <c r="W4236" s="71" t="s">
        <v>242</v>
      </c>
      <c r="X4236" s="61"/>
      <c r="Y4236" s="63" t="s">
        <v>250</v>
      </c>
      <c r="Z4236" s="71" t="s">
        <v>242</v>
      </c>
      <c r="AA4236" s="61"/>
      <c r="AB4236" s="63" t="s">
        <v>250</v>
      </c>
      <c r="AC4236" s="71" t="s">
        <v>242</v>
      </c>
      <c r="AD4236" s="61"/>
      <c r="AE4236" s="63" t="s">
        <v>250</v>
      </c>
      <c r="AF4236" s="71" t="s">
        <v>242</v>
      </c>
      <c r="AG4236" s="61"/>
      <c r="AH4236" s="63" t="s">
        <v>250</v>
      </c>
      <c r="AI4236" s="71" t="s">
        <v>242</v>
      </c>
      <c r="AJ4236" s="61"/>
      <c r="AK4236" s="63" t="s">
        <v>250</v>
      </c>
      <c r="AL4236" s="71" t="s">
        <v>242</v>
      </c>
      <c r="AM4236" s="61"/>
      <c r="AN4236" s="63" t="s">
        <v>250</v>
      </c>
      <c r="AO4236" s="71" t="s">
        <v>242</v>
      </c>
      <c r="AP4236" s="61"/>
      <c r="AQ4236" s="63" t="s">
        <v>250</v>
      </c>
      <c r="AR4236" s="71" t="s">
        <v>242</v>
      </c>
      <c r="AS4236" s="61"/>
      <c r="AT4236" s="63" t="s">
        <v>250</v>
      </c>
      <c r="AU4236" s="71" t="s">
        <v>242</v>
      </c>
    </row>
    <row r="4237" spans="15:47" ht="13" x14ac:dyDescent="0.3">
      <c r="O4237" s="6" t="s">
        <v>231</v>
      </c>
      <c r="P4237" s="6"/>
      <c r="Q4237" s="60"/>
      <c r="R4237" s="85">
        <f>P_1_minQ-(R4235^2*R_up)+dpup_minQ</f>
        <v>-23.486956636425209</v>
      </c>
      <c r="S4237" s="56"/>
      <c r="T4237" s="72"/>
      <c r="U4237" s="53">
        <f>P_1_minQ-(U4235^2*R_up)+dpup_minQ</f>
        <v>2.9237011454369961</v>
      </c>
      <c r="V4237" s="44"/>
      <c r="W4237" s="72"/>
      <c r="X4237" s="53">
        <f>P_1_minQ-(X4235^2*R_up)+dpup_minQ</f>
        <v>-254.18009282124623</v>
      </c>
      <c r="Y4237" s="44"/>
      <c r="Z4237" s="72"/>
      <c r="AA4237" s="53">
        <f>P_1_minQ-(AA4235^2*R_up)+dpup_minQ</f>
        <v>-1077.241302658289</v>
      </c>
      <c r="AB4237" s="44"/>
      <c r="AC4237" s="72"/>
      <c r="AD4237" s="53">
        <f>P_1_minQ-(AD4235^2*R_up)+dpup_minQ</f>
        <v>-3010.7686010901475</v>
      </c>
      <c r="AE4237" s="44"/>
      <c r="AF4237" s="72"/>
      <c r="AG4237" s="53">
        <f>P_1_minQ-(AG4235^2*R_up)+dpup_minQ</f>
        <v>-6743.2673110164023</v>
      </c>
      <c r="AH4237" s="44"/>
      <c r="AI4237" s="72"/>
      <c r="AJ4237" s="53">
        <f>P_1_minQ-(AJ4235^2*R_up)+dpup_minQ</f>
        <v>-12053.534627215662</v>
      </c>
      <c r="AK4237" s="44"/>
      <c r="AL4237" s="72"/>
      <c r="AM4237" s="53">
        <f>P_1_minQ-(AM4235^2*R_up)+dpup_minQ</f>
        <v>-17973.894806274897</v>
      </c>
      <c r="AN4237" s="44"/>
      <c r="AO4237" s="72"/>
      <c r="AP4237" s="53">
        <f>P_1_minQ-(AP4235^2*R_up)+dpup_minQ</f>
        <v>-24245.892837620639</v>
      </c>
      <c r="AQ4237" s="44"/>
      <c r="AR4237" s="72"/>
      <c r="AS4237" s="53">
        <f>P_1_minQ-(AS4235^2*R_up)+dpup_minQ</f>
        <v>-31421.450660653009</v>
      </c>
      <c r="AT4237" s="44"/>
      <c r="AU4237" s="72"/>
    </row>
    <row r="4238" spans="15:47" ht="13" x14ac:dyDescent="0.3">
      <c r="O4238" s="6" t="s">
        <v>233</v>
      </c>
      <c r="P4238" s="6"/>
      <c r="Q4238" s="60"/>
      <c r="R4238" s="85">
        <f>P_2_minQ+(R4235^2*R_dn)-dpdn_minQ</f>
        <v>40.737391327285046</v>
      </c>
      <c r="S4238" s="66"/>
      <c r="T4238" s="74"/>
      <c r="U4238" s="53">
        <f>P_2_minQ+(U4235^2*R_dn)-dpdn_minQ</f>
        <v>35.455259770912605</v>
      </c>
      <c r="V4238" s="45"/>
      <c r="W4238" s="74"/>
      <c r="X4238" s="53">
        <f>P_2_minQ+(X4235^2*R_dn)-dpdn_minQ</f>
        <v>86.87601856424925</v>
      </c>
      <c r="Y4238" s="45"/>
      <c r="Z4238" s="74"/>
      <c r="AA4238" s="53">
        <f>P_2_minQ+(AA4235^2*R_dn)-dpdn_minQ</f>
        <v>251.4882605316578</v>
      </c>
      <c r="AB4238" s="45"/>
      <c r="AC4238" s="74"/>
      <c r="AD4238" s="53">
        <f>P_2_minQ+(AD4235^2*R_dn)-dpdn_minQ</f>
        <v>638.1937202180294</v>
      </c>
      <c r="AE4238" s="45"/>
      <c r="AF4238" s="74"/>
      <c r="AG4238" s="53">
        <f>P_2_minQ+(AG4235^2*R_dn)-dpdn_minQ</f>
        <v>1384.6934622032804</v>
      </c>
      <c r="AH4238" s="45"/>
      <c r="AI4238" s="74"/>
      <c r="AJ4238" s="53">
        <f>P_2_minQ+(AJ4235^2*R_dn)-dpdn_minQ</f>
        <v>2446.7469254431321</v>
      </c>
      <c r="AK4238" s="45"/>
      <c r="AL4238" s="74"/>
      <c r="AM4238" s="53">
        <f>P_2_minQ+(AM4235^2*R_dn)-dpdn_minQ</f>
        <v>3630.8189612549791</v>
      </c>
      <c r="AN4238" s="45"/>
      <c r="AO4238" s="74"/>
      <c r="AP4238" s="53">
        <f>P_2_minQ+(AP4235^2*R_dn)-dpdn_minQ</f>
        <v>4885.2185675241271</v>
      </c>
      <c r="AQ4238" s="45"/>
      <c r="AR4238" s="74"/>
      <c r="AS4238" s="53">
        <f>P_2_minQ+(AS4235^2*R_dn)-dpdn_minQ</f>
        <v>6320.3301321306008</v>
      </c>
      <c r="AT4238" s="45"/>
      <c r="AU4238" s="74"/>
    </row>
    <row r="4239" spans="15:47" x14ac:dyDescent="0.25">
      <c r="O4239" s="6" t="s">
        <v>243</v>
      </c>
      <c r="Q4239" s="60"/>
      <c r="R4239" s="53">
        <f>R4237-R4238</f>
        <v>-64.224347963710258</v>
      </c>
      <c r="S4239" s="56"/>
      <c r="T4239" s="72"/>
      <c r="U4239" s="64">
        <f>U4237-U4238</f>
        <v>-32.531558625475611</v>
      </c>
      <c r="V4239" s="44"/>
      <c r="W4239" s="72"/>
      <c r="X4239" s="64">
        <f>X4237-X4238</f>
        <v>-341.05611138549546</v>
      </c>
      <c r="Y4239" s="44"/>
      <c r="Z4239" s="72"/>
      <c r="AA4239" s="64">
        <f>AA4237-AA4238</f>
        <v>-1328.7295631899467</v>
      </c>
      <c r="AB4239" s="44"/>
      <c r="AC4239" s="72"/>
      <c r="AD4239" s="64">
        <f>AD4237-AD4238</f>
        <v>-3648.9623213081768</v>
      </c>
      <c r="AE4239" s="44"/>
      <c r="AF4239" s="72"/>
      <c r="AG4239" s="64">
        <f>AG4237-AG4238</f>
        <v>-8127.9607732196828</v>
      </c>
      <c r="AH4239" s="44"/>
      <c r="AI4239" s="72"/>
      <c r="AJ4239" s="64">
        <f>AJ4237-AJ4238</f>
        <v>-14500.281552658795</v>
      </c>
      <c r="AK4239" s="44"/>
      <c r="AL4239" s="72"/>
      <c r="AM4239" s="64">
        <f>AM4237-AM4238</f>
        <v>-21604.713767529876</v>
      </c>
      <c r="AN4239" s="44"/>
      <c r="AO4239" s="72"/>
      <c r="AP4239" s="64">
        <f>AP4237-AP4238</f>
        <v>-29131.111405144766</v>
      </c>
      <c r="AQ4239" s="44"/>
      <c r="AR4239" s="72"/>
      <c r="AS4239" s="64">
        <f>AS4237-AS4238</f>
        <v>-37741.780792783611</v>
      </c>
      <c r="AT4239" s="44"/>
      <c r="AU4239" s="72"/>
    </row>
    <row r="4240" spans="15:47" ht="13" x14ac:dyDescent="0.3">
      <c r="O4240" s="6" t="s">
        <v>75</v>
      </c>
      <c r="P4240" s="6">
        <v>3</v>
      </c>
      <c r="Q4240" s="65"/>
      <c r="R4240" s="85">
        <f>(F_LP_h/F_P_h)^2*(R4237-('Valve Sizing'!$V$4*'Valve Sizing'!$G$7))</f>
        <v>-19.812823772372653</v>
      </c>
      <c r="S4240" s="58"/>
      <c r="T4240" s="73"/>
      <c r="U4240" s="53">
        <f>(U$29/U$27)^2*(U4237-('Valve Sizing'!$V$4*'Valve Sizing'!$G$7))</f>
        <v>2.0560266241159004</v>
      </c>
      <c r="V4240" s="41"/>
      <c r="W4240" s="73"/>
      <c r="X4240" s="53">
        <f>(X$29/X$27)^2*(X4237-('Valve Sizing'!$V$4*'Valve Sizing'!$G$7))</f>
        <v>-206.02680246162654</v>
      </c>
      <c r="Y4240" s="41"/>
      <c r="Z4240" s="73"/>
      <c r="AA4240" s="53">
        <f>(AA$29/AA$27)^2*(AA4237-('Valve Sizing'!$V$4*'Valve Sizing'!$G$7))</f>
        <v>-832.82916076518575</v>
      </c>
      <c r="AB4240" s="41"/>
      <c r="AC4240" s="73"/>
      <c r="AD4240" s="53">
        <f>(AD$29/AD$27)^2*(AD4237-('Valve Sizing'!$V$4*'Valve Sizing'!$G$7))</f>
        <v>-2171.6457650754687</v>
      </c>
      <c r="AE4240" s="41"/>
      <c r="AF4240" s="73"/>
      <c r="AG4240" s="53">
        <f>(AG$29/AG$27)^2*(AG4237-('Valve Sizing'!$V$4*'Valve Sizing'!$G$7))</f>
        <v>-4343.2439393507102</v>
      </c>
      <c r="AH4240" s="41"/>
      <c r="AI4240" s="73"/>
      <c r="AJ4240" s="53">
        <f>(AJ$29/AJ$27)^2*(AJ4237-('Valve Sizing'!$V$4*'Valve Sizing'!$G$7))</f>
        <v>-6971.5890566623675</v>
      </c>
      <c r="AK4240" s="41"/>
      <c r="AL4240" s="73"/>
      <c r="AM4240" s="53">
        <f>(AM$29/AM$27)^2*(AM4237-('Valve Sizing'!$V$4*'Valve Sizing'!$G$7))</f>
        <v>-8600.2186346703638</v>
      </c>
      <c r="AN4240" s="41"/>
      <c r="AO4240" s="73"/>
      <c r="AP4240" s="53">
        <f>(AP$29/AP$27)^2*(AP4237-('Valve Sizing'!$V$4*'Valve Sizing'!$G$7))</f>
        <v>-9568.2534255437313</v>
      </c>
      <c r="AQ4240" s="41"/>
      <c r="AR4240" s="73"/>
      <c r="AS4240" s="53">
        <f>(AS$29/AS$27)^2*(AS4237-('Valve Sizing'!$V$4*'Valve Sizing'!$G$7))</f>
        <v>-11819.054927033059</v>
      </c>
      <c r="AT4240" s="41"/>
      <c r="AU4240" s="73"/>
    </row>
    <row r="4241" spans="15:47" ht="13" x14ac:dyDescent="0.25">
      <c r="O4241" s="1" t="s">
        <v>69</v>
      </c>
      <c r="P4241" s="17">
        <v>7</v>
      </c>
      <c r="Q4241" s="65"/>
      <c r="R4241" s="53" t="e">
        <f>(R4235/(N_1*F_P_h))*SQRT('Valve Sizing'!$G$6/R4239)</f>
        <v>#NUM!</v>
      </c>
      <c r="S4241" s="58"/>
      <c r="T4241" s="73"/>
      <c r="U4241" s="64" t="e">
        <f>(U4235/(N_1*U$27))*SQRT('Valve Sizing'!$G$6/U4239)</f>
        <v>#NUM!</v>
      </c>
      <c r="V4241" s="41"/>
      <c r="W4241" s="73"/>
      <c r="X4241" s="64" t="e">
        <f>(X4235/(N_1*X$27))*SQRT('Valve Sizing'!$G$6/X4239)</f>
        <v>#NUM!</v>
      </c>
      <c r="Y4241" s="41"/>
      <c r="Z4241" s="73"/>
      <c r="AA4241" s="64" t="e">
        <f>(AA4235/(N_1*AA$27))*SQRT('Valve Sizing'!$G$6/AA4239)</f>
        <v>#NUM!</v>
      </c>
      <c r="AB4241" s="41"/>
      <c r="AC4241" s="73"/>
      <c r="AD4241" s="64" t="e">
        <f>(AD4235/(N_1*AD$27))*SQRT('Valve Sizing'!$G$6/AD4239)</f>
        <v>#NUM!</v>
      </c>
      <c r="AE4241" s="41"/>
      <c r="AF4241" s="73"/>
      <c r="AG4241" s="64" t="e">
        <f>(AG4235/(N_1*AG$27))*SQRT('Valve Sizing'!$G$6/AG4239)</f>
        <v>#NUM!</v>
      </c>
      <c r="AH4241" s="41"/>
      <c r="AI4241" s="73"/>
      <c r="AJ4241" s="64" t="e">
        <f>(AJ4235/(N_1*AJ$27))*SQRT('Valve Sizing'!$G$6/AJ4239)</f>
        <v>#NUM!</v>
      </c>
      <c r="AK4241" s="41"/>
      <c r="AL4241" s="73"/>
      <c r="AM4241" s="64" t="e">
        <f>(AM4235/(N_1*AM$27))*SQRT('Valve Sizing'!$G$6/AM4239)</f>
        <v>#NUM!</v>
      </c>
      <c r="AN4241" s="41"/>
      <c r="AO4241" s="73"/>
      <c r="AP4241" s="64" t="e">
        <f>(AP4235/(N_1*AP$27))*SQRT('Valve Sizing'!$G$6/AP4239)</f>
        <v>#NUM!</v>
      </c>
      <c r="AQ4241" s="41"/>
      <c r="AR4241" s="73"/>
      <c r="AS4241" s="64" t="e">
        <f>(AS4235/(N_1*AS$27))*SQRT('Valve Sizing'!$G$6/AS4239)</f>
        <v>#NUM!</v>
      </c>
      <c r="AT4241" s="41"/>
      <c r="AU4241" s="73"/>
    </row>
    <row r="4242" spans="15:47" ht="13" x14ac:dyDescent="0.3">
      <c r="O4242" s="1" t="s">
        <v>72</v>
      </c>
      <c r="P4242" s="17">
        <v>7</v>
      </c>
      <c r="Q4242" s="65"/>
      <c r="R4242" s="53" t="e">
        <f>(R4235/(N_1*F_P_h))*SQRT('Valve Sizing'!$G$6/R4240)</f>
        <v>#NUM!</v>
      </c>
      <c r="S4242" s="56"/>
      <c r="T4242" s="72"/>
      <c r="U4242" s="85">
        <f>(U4235/(N_1*U$27))*SQRT('Valve Sizing'!$G$6/U4240)</f>
        <v>882.54527155659582</v>
      </c>
      <c r="V4242" s="44"/>
      <c r="W4242" s="72"/>
      <c r="X4242" s="85" t="e">
        <f>(X4235/(N_1*X$27))*SQRT('Valve Sizing'!$G$6/X4240)</f>
        <v>#NUM!</v>
      </c>
      <c r="Y4242" s="44"/>
      <c r="Z4242" s="72"/>
      <c r="AA4242" s="85" t="e">
        <f>(AA4235/(N_1*AA$27))*SQRT('Valve Sizing'!$G$6/AA4240)</f>
        <v>#NUM!</v>
      </c>
      <c r="AB4242" s="44"/>
      <c r="AC4242" s="72"/>
      <c r="AD4242" s="85" t="e">
        <f>(AD4235/(N_1*AD$27))*SQRT('Valve Sizing'!$G$6/AD4240)</f>
        <v>#NUM!</v>
      </c>
      <c r="AE4242" s="44"/>
      <c r="AF4242" s="72"/>
      <c r="AG4242" s="85" t="e">
        <f>(AG4235/(N_1*AG$27))*SQRT('Valve Sizing'!$G$6/AG4240)</f>
        <v>#NUM!</v>
      </c>
      <c r="AH4242" s="44"/>
      <c r="AI4242" s="72"/>
      <c r="AJ4242" s="85" t="e">
        <f>(AJ4235/(N_1*AJ$27))*SQRT('Valve Sizing'!$G$6/AJ4240)</f>
        <v>#NUM!</v>
      </c>
      <c r="AK4242" s="44"/>
      <c r="AL4242" s="72"/>
      <c r="AM4242" s="85" t="e">
        <f>(AM4235/(N_1*AM$27))*SQRT('Valve Sizing'!$G$6/AM4240)</f>
        <v>#NUM!</v>
      </c>
      <c r="AN4242" s="44"/>
      <c r="AO4242" s="72"/>
      <c r="AP4242" s="85" t="e">
        <f>(AP4235/(N_1*AP$27))*SQRT('Valve Sizing'!$G$6/AP4240)</f>
        <v>#NUM!</v>
      </c>
      <c r="AQ4242" s="44"/>
      <c r="AR4242" s="72"/>
      <c r="AS4242" s="85" t="e">
        <f>(AS4235/(N_1*AS$27))*SQRT('Valve Sizing'!$G$6/AS4240)</f>
        <v>#NUM!</v>
      </c>
      <c r="AT4242" s="44"/>
      <c r="AU4242" s="72"/>
    </row>
    <row r="4243" spans="15:47" x14ac:dyDescent="0.25">
      <c r="O4243" s="1" t="s">
        <v>246</v>
      </c>
      <c r="P4243" s="18"/>
      <c r="Q4243" s="65"/>
      <c r="R4243" s="53" t="e">
        <f>IF(R4239&lt;R4240,R4241,R4242)</f>
        <v>#NUM!</v>
      </c>
      <c r="S4243" s="49"/>
      <c r="T4243" s="72"/>
      <c r="U4243" s="64" t="e">
        <f>IF(U4239&lt;U4240,U4241,U4242)</f>
        <v>#NUM!</v>
      </c>
      <c r="V4243" s="44"/>
      <c r="W4243" s="72"/>
      <c r="X4243" s="64" t="e">
        <f>IF(X4239&lt;X4240,X4241,X4242)</f>
        <v>#NUM!</v>
      </c>
      <c r="Y4243" s="44"/>
      <c r="Z4243" s="72"/>
      <c r="AA4243" s="64" t="e">
        <f>IF(AA4239&lt;AA4240,AA4241,AA4242)</f>
        <v>#NUM!</v>
      </c>
      <c r="AB4243" s="44"/>
      <c r="AC4243" s="72"/>
      <c r="AD4243" s="64" t="e">
        <f>IF(AD4239&lt;AD4240,AD4241,AD4242)</f>
        <v>#NUM!</v>
      </c>
      <c r="AE4243" s="44"/>
      <c r="AF4243" s="72"/>
      <c r="AG4243" s="64" t="e">
        <f>IF(AG4239&lt;AG4240,AG4241,AG4242)</f>
        <v>#NUM!</v>
      </c>
      <c r="AH4243" s="44"/>
      <c r="AI4243" s="72"/>
      <c r="AJ4243" s="64" t="e">
        <f>IF(AJ4239&lt;AJ4240,AJ4241,AJ4242)</f>
        <v>#NUM!</v>
      </c>
      <c r="AK4243" s="44"/>
      <c r="AL4243" s="72"/>
      <c r="AM4243" s="64" t="e">
        <f>IF(AM4239&lt;AM4240,AM4241,AM4242)</f>
        <v>#NUM!</v>
      </c>
      <c r="AN4243" s="44"/>
      <c r="AO4243" s="72"/>
      <c r="AP4243" s="64" t="e">
        <f>IF(AP4239&lt;AP4240,AP4241,AP4242)</f>
        <v>#NUM!</v>
      </c>
      <c r="AQ4243" s="44"/>
      <c r="AR4243" s="72"/>
      <c r="AS4243" s="64" t="e">
        <f>IF(AS4239&lt;AS4240,AS4241,AS4242)</f>
        <v>#NUM!</v>
      </c>
      <c r="AT4243" s="44"/>
      <c r="AU4243" s="72"/>
    </row>
    <row r="4244" spans="15:47" ht="13" x14ac:dyDescent="0.3">
      <c r="O4244" s="7" t="s">
        <v>264</v>
      </c>
      <c r="Q4244" s="61"/>
      <c r="R4244" s="53"/>
      <c r="S4244" s="69">
        <f>IFERROR(ABS(C_h-R4243),Q_max*10)</f>
        <v>5500</v>
      </c>
      <c r="T4244" s="76">
        <f>R4235</f>
        <v>1542.9633132399974</v>
      </c>
      <c r="U4244" s="61"/>
      <c r="V4244" s="69">
        <f>IFERROR(ABS(U$23-U4243),Q_max*10)</f>
        <v>5500</v>
      </c>
      <c r="W4244" s="75">
        <f>U4235</f>
        <v>1264.4034993164209</v>
      </c>
      <c r="X4244" s="61"/>
      <c r="Y4244" s="69">
        <f>IFERROR(ABS(X$23-X4243),Q_max*10)</f>
        <v>5500</v>
      </c>
      <c r="Z4244" s="75">
        <f>X4235</f>
        <v>3035.0551145633417</v>
      </c>
      <c r="AA4244" s="61"/>
      <c r="AB4244" s="69">
        <f>IFERROR(ABS(AA$23-AA4243),Q_max*10)</f>
        <v>5500</v>
      </c>
      <c r="AC4244" s="75">
        <f>AA4235</f>
        <v>5795.0325255094067</v>
      </c>
      <c r="AD4244" s="61"/>
      <c r="AE4244" s="69">
        <f>IFERROR(ABS(AD$23-AD4243),Q_max*10)</f>
        <v>5500</v>
      </c>
      <c r="AF4244" s="75">
        <f>AD4235</f>
        <v>9530.6949000730929</v>
      </c>
      <c r="AG4244" s="61"/>
      <c r="AH4244" s="69">
        <f>IFERROR(ABS(AG$23-AG4243),Q_max*10)</f>
        <v>5500</v>
      </c>
      <c r="AI4244" s="75">
        <f>AG4235</f>
        <v>14189.905992613047</v>
      </c>
      <c r="AJ4244" s="61"/>
      <c r="AK4244" s="69">
        <f>IFERROR(ABS(AJ$23-AJ4243),Q_max*10)</f>
        <v>5500</v>
      </c>
      <c r="AL4244" s="75">
        <f>AJ4235</f>
        <v>18936.484555266739</v>
      </c>
      <c r="AM4244" s="61"/>
      <c r="AN4244" s="69">
        <f>IFERROR(ABS(AM$23-AM4243),Q_max*10)</f>
        <v>5500</v>
      </c>
      <c r="AO4244" s="75">
        <f>AM4235</f>
        <v>23106.109845964977</v>
      </c>
      <c r="AP4244" s="61"/>
      <c r="AQ4244" s="69">
        <f>IFERROR(ABS(AP$23-AP4243),Q_max*10)</f>
        <v>5500</v>
      </c>
      <c r="AR4244" s="75">
        <f>AP4235</f>
        <v>26825.476210534402</v>
      </c>
      <c r="AS4244" s="61"/>
      <c r="AT4244" s="69">
        <f>IFERROR(ABS(AS$23-AS4243),Q_max*10)</f>
        <v>5500</v>
      </c>
      <c r="AU4244" s="75">
        <f>AS4235</f>
        <v>30529.894219632264</v>
      </c>
    </row>
    <row r="4245" spans="15:47" ht="14.5" x14ac:dyDescent="0.35">
      <c r="O4245" s="6"/>
      <c r="P4245" s="6"/>
      <c r="Q4245" s="60"/>
      <c r="R4245" s="67"/>
      <c r="S4245" s="58"/>
      <c r="T4245" s="73"/>
      <c r="V4245" s="11"/>
      <c r="W4245" s="38"/>
      <c r="Y4245" s="11"/>
      <c r="Z4245" s="38"/>
      <c r="AB4245" s="11"/>
      <c r="AC4245" s="38"/>
      <c r="AE4245" s="11"/>
      <c r="AF4245" s="38"/>
      <c r="AH4245" s="11"/>
      <c r="AI4245" s="38"/>
      <c r="AK4245" s="11"/>
      <c r="AL4245" s="38"/>
      <c r="AN4245" s="11"/>
      <c r="AO4245" s="38"/>
      <c r="AQ4245" s="11"/>
      <c r="AR4245" s="38"/>
      <c r="AT4245" s="11"/>
      <c r="AU4245" s="38"/>
    </row>
    <row r="4246" spans="15:47" ht="14" x14ac:dyDescent="0.3">
      <c r="O4246" s="8" t="s">
        <v>235</v>
      </c>
      <c r="P4246" s="6"/>
      <c r="Q4246" s="60"/>
      <c r="R4246" s="53">
        <f>R4235*1.02</f>
        <v>1573.8225795047974</v>
      </c>
      <c r="S4246" s="58" t="s">
        <v>238</v>
      </c>
      <c r="T4246" s="73" t="s">
        <v>241</v>
      </c>
      <c r="U4246" s="84">
        <f>U4235*1.01</f>
        <v>1277.0475343095852</v>
      </c>
      <c r="V4246" s="58" t="s">
        <v>238</v>
      </c>
      <c r="W4246" s="73" t="s">
        <v>241</v>
      </c>
      <c r="X4246" s="84">
        <f>X4235*1.01</f>
        <v>3065.405665708975</v>
      </c>
      <c r="Y4246" s="58" t="s">
        <v>238</v>
      </c>
      <c r="Z4246" s="73" t="s">
        <v>241</v>
      </c>
      <c r="AA4246" s="84">
        <f>AA4235*1.01</f>
        <v>5852.9828507645007</v>
      </c>
      <c r="AB4246" s="58" t="s">
        <v>238</v>
      </c>
      <c r="AC4246" s="73" t="s">
        <v>241</v>
      </c>
      <c r="AD4246" s="84">
        <f>AD4235*1.01</f>
        <v>9626.0018490738239</v>
      </c>
      <c r="AE4246" s="58" t="s">
        <v>238</v>
      </c>
      <c r="AF4246" s="73" t="s">
        <v>241</v>
      </c>
      <c r="AG4246" s="84">
        <f>AG4235*1.01</f>
        <v>14331.805052539177</v>
      </c>
      <c r="AH4246" s="58" t="s">
        <v>238</v>
      </c>
      <c r="AI4246" s="73" t="s">
        <v>241</v>
      </c>
      <c r="AJ4246" s="84">
        <f>AJ4235*1.01</f>
        <v>19125.849400819407</v>
      </c>
      <c r="AK4246" s="58" t="s">
        <v>238</v>
      </c>
      <c r="AL4246" s="73" t="s">
        <v>241</v>
      </c>
      <c r="AM4246" s="84">
        <f>AM4235*1.01</f>
        <v>23337.170944424626</v>
      </c>
      <c r="AN4246" s="58" t="s">
        <v>238</v>
      </c>
      <c r="AO4246" s="73" t="s">
        <v>241</v>
      </c>
      <c r="AP4246" s="84">
        <f>AP4235*1.01</f>
        <v>27093.730972639747</v>
      </c>
      <c r="AQ4246" s="58" t="s">
        <v>238</v>
      </c>
      <c r="AR4246" s="73" t="s">
        <v>241</v>
      </c>
      <c r="AS4246" s="84">
        <f>AS4235*1.01</f>
        <v>30835.193161828585</v>
      </c>
      <c r="AT4246" s="58" t="s">
        <v>238</v>
      </c>
      <c r="AU4246" s="73" t="s">
        <v>241</v>
      </c>
    </row>
    <row r="4247" spans="15:47" ht="13" x14ac:dyDescent="0.25">
      <c r="O4247" s="6"/>
      <c r="P4247" s="6"/>
      <c r="Q4247" s="60"/>
      <c r="R4247" s="70"/>
      <c r="S4247" s="63" t="s">
        <v>250</v>
      </c>
      <c r="T4247" s="71" t="s">
        <v>242</v>
      </c>
      <c r="U4247" s="61"/>
      <c r="V4247" s="63" t="s">
        <v>250</v>
      </c>
      <c r="W4247" s="71" t="s">
        <v>242</v>
      </c>
      <c r="X4247" s="61"/>
      <c r="Y4247" s="63" t="s">
        <v>250</v>
      </c>
      <c r="Z4247" s="71" t="s">
        <v>242</v>
      </c>
      <c r="AA4247" s="61"/>
      <c r="AB4247" s="63" t="s">
        <v>250</v>
      </c>
      <c r="AC4247" s="71" t="s">
        <v>242</v>
      </c>
      <c r="AD4247" s="61"/>
      <c r="AE4247" s="63" t="s">
        <v>250</v>
      </c>
      <c r="AF4247" s="71" t="s">
        <v>242</v>
      </c>
      <c r="AG4247" s="61"/>
      <c r="AH4247" s="63" t="s">
        <v>250</v>
      </c>
      <c r="AI4247" s="71" t="s">
        <v>242</v>
      </c>
      <c r="AJ4247" s="61"/>
      <c r="AK4247" s="63" t="s">
        <v>250</v>
      </c>
      <c r="AL4247" s="71" t="s">
        <v>242</v>
      </c>
      <c r="AM4247" s="61"/>
      <c r="AN4247" s="63" t="s">
        <v>250</v>
      </c>
      <c r="AO4247" s="71" t="s">
        <v>242</v>
      </c>
      <c r="AP4247" s="61"/>
      <c r="AQ4247" s="63" t="s">
        <v>250</v>
      </c>
      <c r="AR4247" s="71" t="s">
        <v>242</v>
      </c>
      <c r="AS4247" s="61"/>
      <c r="AT4247" s="63" t="s">
        <v>250</v>
      </c>
      <c r="AU4247" s="71" t="s">
        <v>242</v>
      </c>
    </row>
    <row r="4248" spans="15:47" ht="13" x14ac:dyDescent="0.3">
      <c r="O4248" s="6" t="s">
        <v>231</v>
      </c>
      <c r="P4248" s="6"/>
      <c r="Q4248" s="60"/>
      <c r="R4248" s="85">
        <f>P_1_minQ-(R4246^2*R_up)+dpup_minQ</f>
        <v>-26.7352418696094</v>
      </c>
      <c r="S4248" s="56"/>
      <c r="T4248" s="72"/>
      <c r="U4248" s="53">
        <f>P_1_minQ-(U4246^2*R_up)+dpup_minQ</f>
        <v>1.838453060243455</v>
      </c>
      <c r="V4248" s="44"/>
      <c r="W4248" s="72"/>
      <c r="X4248" s="53">
        <f>P_1_minQ-(X4246^2*R_up)+dpup_minQ</f>
        <v>-260.43312716517005</v>
      </c>
      <c r="Y4248" s="44"/>
      <c r="Z4248" s="72"/>
      <c r="AA4248" s="53">
        <f>P_1_minQ-(AA4246^2*R_up)+dpup_minQ</f>
        <v>-1100.0378673199373</v>
      </c>
      <c r="AB4248" s="44"/>
      <c r="AC4248" s="72"/>
      <c r="AD4248" s="53">
        <f>P_1_minQ-(AD4246^2*R_up)+dpup_minQ</f>
        <v>-3072.4290644502767</v>
      </c>
      <c r="AE4248" s="44"/>
      <c r="AF4248" s="72"/>
      <c r="AG4248" s="53">
        <f>P_1_minQ-(AG4246^2*R_up)+dpup_minQ</f>
        <v>-6879.9509984460492</v>
      </c>
      <c r="AH4248" s="44"/>
      <c r="AI4248" s="72"/>
      <c r="AJ4248" s="53">
        <f>P_1_minQ-(AJ4246^2*R_up)+dpup_minQ</f>
        <v>-12296.954687700914</v>
      </c>
      <c r="AK4248" s="44"/>
      <c r="AL4248" s="72"/>
      <c r="AM4248" s="53">
        <f>P_1_minQ-(AM4246^2*R_up)+dpup_minQ</f>
        <v>-18336.314106359237</v>
      </c>
      <c r="AN4248" s="44"/>
      <c r="AO4248" s="72"/>
      <c r="AP4248" s="53">
        <f>P_1_minQ-(AP4246^2*R_up)+dpup_minQ</f>
        <v>-24734.379298135034</v>
      </c>
      <c r="AQ4248" s="44"/>
      <c r="AR4248" s="72"/>
      <c r="AS4248" s="53">
        <f>P_1_minQ-(AS4246^2*R_up)+dpup_minQ</f>
        <v>-32054.165833410349</v>
      </c>
      <c r="AT4248" s="44"/>
      <c r="AU4248" s="72"/>
    </row>
    <row r="4249" spans="15:47" ht="13" x14ac:dyDescent="0.3">
      <c r="O4249" s="6" t="s">
        <v>233</v>
      </c>
      <c r="P4249" s="6"/>
      <c r="Q4249" s="60"/>
      <c r="R4249" s="85">
        <f>P_2_minQ+(R4246^2*R_dn)-dpdn_minQ</f>
        <v>41.387048373921886</v>
      </c>
      <c r="S4249" s="66"/>
      <c r="T4249" s="74"/>
      <c r="U4249" s="53">
        <f>P_2_minQ+(U4246^2*R_dn)-dpdn_minQ</f>
        <v>35.672309387951316</v>
      </c>
      <c r="V4249" s="45"/>
      <c r="W4249" s="74"/>
      <c r="X4249" s="53">
        <f>P_2_minQ+(X4246^2*R_dn)-dpdn_minQ</f>
        <v>88.126625433034008</v>
      </c>
      <c r="Y4249" s="45"/>
      <c r="Z4249" s="74"/>
      <c r="AA4249" s="53">
        <f>P_2_minQ+(AA4246^2*R_dn)-dpdn_minQ</f>
        <v>256.04757346398742</v>
      </c>
      <c r="AB4249" s="45"/>
      <c r="AC4249" s="74"/>
      <c r="AD4249" s="53">
        <f>P_2_minQ+(AD4246^2*R_dn)-dpdn_minQ</f>
        <v>650.52581289005525</v>
      </c>
      <c r="AE4249" s="45"/>
      <c r="AF4249" s="74"/>
      <c r="AG4249" s="53">
        <f>P_2_minQ+(AG4246^2*R_dn)-dpdn_minQ</f>
        <v>1412.0301996892097</v>
      </c>
      <c r="AH4249" s="45"/>
      <c r="AI4249" s="74"/>
      <c r="AJ4249" s="53">
        <f>P_2_minQ+(AJ4246^2*R_dn)-dpdn_minQ</f>
        <v>2495.4309375401826</v>
      </c>
      <c r="AK4249" s="45"/>
      <c r="AL4249" s="74"/>
      <c r="AM4249" s="53">
        <f>P_2_minQ+(AM4246^2*R_dn)-dpdn_minQ</f>
        <v>3703.3028212718468</v>
      </c>
      <c r="AN4249" s="45"/>
      <c r="AO4249" s="74"/>
      <c r="AP4249" s="53">
        <f>P_2_minQ+(AP4246^2*R_dn)-dpdn_minQ</f>
        <v>4982.9158596270063</v>
      </c>
      <c r="AQ4249" s="45"/>
      <c r="AR4249" s="74"/>
      <c r="AS4249" s="53">
        <f>P_2_minQ+(AS4246^2*R_dn)-dpdn_minQ</f>
        <v>6446.8731666820695</v>
      </c>
      <c r="AT4249" s="45"/>
      <c r="AU4249" s="74"/>
    </row>
    <row r="4250" spans="15:47" x14ac:dyDescent="0.25">
      <c r="O4250" s="6" t="s">
        <v>243</v>
      </c>
      <c r="Q4250" s="60"/>
      <c r="R4250" s="53">
        <f>R4248-R4249</f>
        <v>-68.122290243531282</v>
      </c>
      <c r="S4250" s="56"/>
      <c r="T4250" s="72"/>
      <c r="U4250" s="64">
        <f>U4248-U4249</f>
        <v>-33.833856327707863</v>
      </c>
      <c r="V4250" s="44"/>
      <c r="W4250" s="72"/>
      <c r="X4250" s="64">
        <f>X4248-X4249</f>
        <v>-348.55975259820406</v>
      </c>
      <c r="Y4250" s="44"/>
      <c r="Z4250" s="72"/>
      <c r="AA4250" s="64">
        <f>AA4248-AA4249</f>
        <v>-1356.0854407839247</v>
      </c>
      <c r="AB4250" s="44"/>
      <c r="AC4250" s="72"/>
      <c r="AD4250" s="64">
        <f>AD4248-AD4249</f>
        <v>-3722.9548773403321</v>
      </c>
      <c r="AE4250" s="44"/>
      <c r="AF4250" s="72"/>
      <c r="AG4250" s="64">
        <f>AG4248-AG4249</f>
        <v>-8291.9811981352595</v>
      </c>
      <c r="AH4250" s="44"/>
      <c r="AI4250" s="72"/>
      <c r="AJ4250" s="64">
        <f>AJ4248-AJ4249</f>
        <v>-14792.385625241097</v>
      </c>
      <c r="AK4250" s="44"/>
      <c r="AL4250" s="72"/>
      <c r="AM4250" s="64">
        <f>AM4248-AM4249</f>
        <v>-22039.616927631083</v>
      </c>
      <c r="AN4250" s="44"/>
      <c r="AO4250" s="72"/>
      <c r="AP4250" s="64">
        <f>AP4248-AP4249</f>
        <v>-29717.295157762041</v>
      </c>
      <c r="AQ4250" s="44"/>
      <c r="AR4250" s="72"/>
      <c r="AS4250" s="64">
        <f>AS4248-AS4249</f>
        <v>-38501.039000092416</v>
      </c>
      <c r="AT4250" s="44"/>
      <c r="AU4250" s="72"/>
    </row>
    <row r="4251" spans="15:47" ht="13" x14ac:dyDescent="0.3">
      <c r="O4251" s="6" t="s">
        <v>75</v>
      </c>
      <c r="P4251" s="6">
        <v>3</v>
      </c>
      <c r="Q4251" s="65"/>
      <c r="R4251" s="85">
        <f>(F_LP_h/F_P_h)^2*(R4248-('Valve Sizing'!$V$4*'Valve Sizing'!$G$7))</f>
        <v>-22.502574447741885</v>
      </c>
      <c r="S4251" s="58"/>
      <c r="T4251" s="73"/>
      <c r="U4251" s="53">
        <f>(U$29/U$27)^2*(U4248-('Valve Sizing'!$V$4*'Valve Sizing'!$G$7))</f>
        <v>1.157629177758726</v>
      </c>
      <c r="V4251" s="41"/>
      <c r="W4251" s="73"/>
      <c r="X4251" s="53">
        <f>(X$29/X$27)^2*(X4248-('Valve Sizing'!$V$4*'Valve Sizing'!$G$7))</f>
        <v>-211.08646749238349</v>
      </c>
      <c r="Y4251" s="41"/>
      <c r="Z4251" s="73"/>
      <c r="AA4251" s="53">
        <f>(AA$29/AA$27)^2*(AA4248-('Valve Sizing'!$V$4*'Valve Sizing'!$G$7))</f>
        <v>-850.44628259210924</v>
      </c>
      <c r="AB4251" s="41"/>
      <c r="AC4251" s="73"/>
      <c r="AD4251" s="53">
        <f>(AD$29/AD$27)^2*(AD4248-('Valve Sizing'!$V$4*'Valve Sizing'!$G$7))</f>
        <v>-2216.1145147714119</v>
      </c>
      <c r="AE4251" s="41"/>
      <c r="AF4251" s="73"/>
      <c r="AG4251" s="53">
        <f>(AG$29/AG$27)^2*(AG4248-('Valve Sizing'!$V$4*'Valve Sizing'!$G$7))</f>
        <v>-4431.2742414651757</v>
      </c>
      <c r="AH4251" s="41"/>
      <c r="AI4251" s="73"/>
      <c r="AJ4251" s="53">
        <f>(AJ$29/AJ$27)^2*(AJ4248-('Valve Sizing'!$V$4*'Valve Sizing'!$G$7))</f>
        <v>-7112.3745381499884</v>
      </c>
      <c r="AK4251" s="41"/>
      <c r="AL4251" s="73"/>
      <c r="AM4251" s="53">
        <f>(AM$29/AM$27)^2*(AM4248-('Valve Sizing'!$V$4*'Valve Sizing'!$G$7))</f>
        <v>-8773.626176131158</v>
      </c>
      <c r="AN4251" s="41"/>
      <c r="AO4251" s="73"/>
      <c r="AP4251" s="53">
        <f>(AP$29/AP$27)^2*(AP4248-('Valve Sizing'!$V$4*'Valve Sizing'!$G$7))</f>
        <v>-9761.0232876640621</v>
      </c>
      <c r="AQ4251" s="41"/>
      <c r="AR4251" s="73"/>
      <c r="AS4251" s="53">
        <f>(AS$29/AS$27)^2*(AS4248-('Valve Sizing'!$V$4*'Valve Sizing'!$G$7))</f>
        <v>-12057.044914555539</v>
      </c>
      <c r="AT4251" s="41"/>
      <c r="AU4251" s="73"/>
    </row>
    <row r="4252" spans="15:47" ht="13" x14ac:dyDescent="0.25">
      <c r="O4252" s="1" t="s">
        <v>69</v>
      </c>
      <c r="P4252" s="17">
        <v>7</v>
      </c>
      <c r="Q4252" s="65"/>
      <c r="R4252" s="53" t="e">
        <f>(R4246/(N_1*F_P_h))*SQRT('Valve Sizing'!$G$6/R4250)</f>
        <v>#NUM!</v>
      </c>
      <c r="S4252" s="58"/>
      <c r="T4252" s="73"/>
      <c r="U4252" s="64" t="e">
        <f>(U4246/(N_1*U$27))*SQRT('Valve Sizing'!$G$6/U4250)</f>
        <v>#NUM!</v>
      </c>
      <c r="V4252" s="41"/>
      <c r="W4252" s="73"/>
      <c r="X4252" s="64" t="e">
        <f>(X4246/(N_1*X$27))*SQRT('Valve Sizing'!$G$6/X4250)</f>
        <v>#NUM!</v>
      </c>
      <c r="Y4252" s="41"/>
      <c r="Z4252" s="73"/>
      <c r="AA4252" s="64" t="e">
        <f>(AA4246/(N_1*AA$27))*SQRT('Valve Sizing'!$G$6/AA4250)</f>
        <v>#NUM!</v>
      </c>
      <c r="AB4252" s="41"/>
      <c r="AC4252" s="73"/>
      <c r="AD4252" s="64" t="e">
        <f>(AD4246/(N_1*AD$27))*SQRT('Valve Sizing'!$G$6/AD4250)</f>
        <v>#NUM!</v>
      </c>
      <c r="AE4252" s="41"/>
      <c r="AF4252" s="73"/>
      <c r="AG4252" s="64" t="e">
        <f>(AG4246/(N_1*AG$27))*SQRT('Valve Sizing'!$G$6/AG4250)</f>
        <v>#NUM!</v>
      </c>
      <c r="AH4252" s="41"/>
      <c r="AI4252" s="73"/>
      <c r="AJ4252" s="64" t="e">
        <f>(AJ4246/(N_1*AJ$27))*SQRT('Valve Sizing'!$G$6/AJ4250)</f>
        <v>#NUM!</v>
      </c>
      <c r="AK4252" s="41"/>
      <c r="AL4252" s="73"/>
      <c r="AM4252" s="64" t="e">
        <f>(AM4246/(N_1*AM$27))*SQRT('Valve Sizing'!$G$6/AM4250)</f>
        <v>#NUM!</v>
      </c>
      <c r="AN4252" s="41"/>
      <c r="AO4252" s="73"/>
      <c r="AP4252" s="64" t="e">
        <f>(AP4246/(N_1*AP$27))*SQRT('Valve Sizing'!$G$6/AP4250)</f>
        <v>#NUM!</v>
      </c>
      <c r="AQ4252" s="41"/>
      <c r="AR4252" s="73"/>
      <c r="AS4252" s="64" t="e">
        <f>(AS4246/(N_1*AS$27))*SQRT('Valve Sizing'!$G$6/AS4250)</f>
        <v>#NUM!</v>
      </c>
      <c r="AT4252" s="41"/>
      <c r="AU4252" s="73"/>
    </row>
    <row r="4253" spans="15:47" ht="13" x14ac:dyDescent="0.3">
      <c r="O4253" s="1" t="s">
        <v>72</v>
      </c>
      <c r="P4253" s="17">
        <v>7</v>
      </c>
      <c r="Q4253" s="65"/>
      <c r="R4253" s="53" t="e">
        <f>(R4246/(N_1*F_P_h))*SQRT('Valve Sizing'!$G$6/R4251)</f>
        <v>#NUM!</v>
      </c>
      <c r="S4253" s="56"/>
      <c r="T4253" s="72"/>
      <c r="U4253" s="85">
        <f>(U4246/(N_1*U$27))*SQRT('Valve Sizing'!$G$6/U4251)</f>
        <v>1187.9222068708805</v>
      </c>
      <c r="V4253" s="44"/>
      <c r="W4253" s="72"/>
      <c r="X4253" s="85" t="e">
        <f>(X4246/(N_1*X$27))*SQRT('Valve Sizing'!$G$6/X4251)</f>
        <v>#NUM!</v>
      </c>
      <c r="Y4253" s="44"/>
      <c r="Z4253" s="72"/>
      <c r="AA4253" s="85" t="e">
        <f>(AA4246/(N_1*AA$27))*SQRT('Valve Sizing'!$G$6/AA4251)</f>
        <v>#NUM!</v>
      </c>
      <c r="AB4253" s="44"/>
      <c r="AC4253" s="72"/>
      <c r="AD4253" s="85" t="e">
        <f>(AD4246/(N_1*AD$27))*SQRT('Valve Sizing'!$G$6/AD4251)</f>
        <v>#NUM!</v>
      </c>
      <c r="AE4253" s="44"/>
      <c r="AF4253" s="72"/>
      <c r="AG4253" s="85" t="e">
        <f>(AG4246/(N_1*AG$27))*SQRT('Valve Sizing'!$G$6/AG4251)</f>
        <v>#NUM!</v>
      </c>
      <c r="AH4253" s="44"/>
      <c r="AI4253" s="72"/>
      <c r="AJ4253" s="85" t="e">
        <f>(AJ4246/(N_1*AJ$27))*SQRT('Valve Sizing'!$G$6/AJ4251)</f>
        <v>#NUM!</v>
      </c>
      <c r="AK4253" s="44"/>
      <c r="AL4253" s="72"/>
      <c r="AM4253" s="85" t="e">
        <f>(AM4246/(N_1*AM$27))*SQRT('Valve Sizing'!$G$6/AM4251)</f>
        <v>#NUM!</v>
      </c>
      <c r="AN4253" s="44"/>
      <c r="AO4253" s="72"/>
      <c r="AP4253" s="85" t="e">
        <f>(AP4246/(N_1*AP$27))*SQRT('Valve Sizing'!$G$6/AP4251)</f>
        <v>#NUM!</v>
      </c>
      <c r="AQ4253" s="44"/>
      <c r="AR4253" s="72"/>
      <c r="AS4253" s="85" t="e">
        <f>(AS4246/(N_1*AS$27))*SQRT('Valve Sizing'!$G$6/AS4251)</f>
        <v>#NUM!</v>
      </c>
      <c r="AT4253" s="44"/>
      <c r="AU4253" s="72"/>
    </row>
    <row r="4254" spans="15:47" x14ac:dyDescent="0.25">
      <c r="O4254" s="1" t="s">
        <v>246</v>
      </c>
      <c r="P4254" s="18"/>
      <c r="Q4254" s="65"/>
      <c r="R4254" s="53" t="e">
        <f>IF(R4250&lt;R4251,R4252,R4253)</f>
        <v>#NUM!</v>
      </c>
      <c r="S4254" s="49"/>
      <c r="T4254" s="72"/>
      <c r="U4254" s="64" t="e">
        <f>IF(U4250&lt;U4251,U4252,U4253)</f>
        <v>#NUM!</v>
      </c>
      <c r="V4254" s="44"/>
      <c r="W4254" s="72"/>
      <c r="X4254" s="64" t="e">
        <f>IF(X4250&lt;X4251,X4252,X4253)</f>
        <v>#NUM!</v>
      </c>
      <c r="Y4254" s="44"/>
      <c r="Z4254" s="72"/>
      <c r="AA4254" s="64" t="e">
        <f>IF(AA4250&lt;AA4251,AA4252,AA4253)</f>
        <v>#NUM!</v>
      </c>
      <c r="AB4254" s="44"/>
      <c r="AC4254" s="72"/>
      <c r="AD4254" s="64" t="e">
        <f>IF(AD4250&lt;AD4251,AD4252,AD4253)</f>
        <v>#NUM!</v>
      </c>
      <c r="AE4254" s="44"/>
      <c r="AF4254" s="72"/>
      <c r="AG4254" s="64" t="e">
        <f>IF(AG4250&lt;AG4251,AG4252,AG4253)</f>
        <v>#NUM!</v>
      </c>
      <c r="AH4254" s="44"/>
      <c r="AI4254" s="72"/>
      <c r="AJ4254" s="64" t="e">
        <f>IF(AJ4250&lt;AJ4251,AJ4252,AJ4253)</f>
        <v>#NUM!</v>
      </c>
      <c r="AK4254" s="44"/>
      <c r="AL4254" s="72"/>
      <c r="AM4254" s="64" t="e">
        <f>IF(AM4250&lt;AM4251,AM4252,AM4253)</f>
        <v>#NUM!</v>
      </c>
      <c r="AN4254" s="44"/>
      <c r="AO4254" s="72"/>
      <c r="AP4254" s="64" t="e">
        <f>IF(AP4250&lt;AP4251,AP4252,AP4253)</f>
        <v>#NUM!</v>
      </c>
      <c r="AQ4254" s="44"/>
      <c r="AR4254" s="72"/>
      <c r="AS4254" s="64" t="e">
        <f>IF(AS4250&lt;AS4251,AS4252,AS4253)</f>
        <v>#NUM!</v>
      </c>
      <c r="AT4254" s="44"/>
      <c r="AU4254" s="72"/>
    </row>
    <row r="4255" spans="15:47" ht="13" x14ac:dyDescent="0.3">
      <c r="O4255" s="7" t="s">
        <v>264</v>
      </c>
      <c r="Q4255" s="61"/>
      <c r="R4255" s="53"/>
      <c r="S4255" s="69">
        <f>IFERROR(ABS(C_h-R4254),Q_max*10)</f>
        <v>5500</v>
      </c>
      <c r="T4255" s="76">
        <f>R4246</f>
        <v>1573.8225795047974</v>
      </c>
      <c r="U4255" s="61"/>
      <c r="V4255" s="69">
        <f>IFERROR(ABS(U$23-U4254),Q_max*10)</f>
        <v>5500</v>
      </c>
      <c r="W4255" s="75">
        <f>U4246</f>
        <v>1277.0475343095852</v>
      </c>
      <c r="X4255" s="61"/>
      <c r="Y4255" s="69">
        <f>IFERROR(ABS(X$23-X4254),Q_max*10)</f>
        <v>5500</v>
      </c>
      <c r="Z4255" s="75">
        <f>X4246</f>
        <v>3065.405665708975</v>
      </c>
      <c r="AA4255" s="61"/>
      <c r="AB4255" s="69">
        <f>IFERROR(ABS(AA$23-AA4254),Q_max*10)</f>
        <v>5500</v>
      </c>
      <c r="AC4255" s="75">
        <f>AA4246</f>
        <v>5852.9828507645007</v>
      </c>
      <c r="AD4255" s="61"/>
      <c r="AE4255" s="69">
        <f>IFERROR(ABS(AD$23-AD4254),Q_max*10)</f>
        <v>5500</v>
      </c>
      <c r="AF4255" s="75">
        <f>AD4246</f>
        <v>9626.0018490738239</v>
      </c>
      <c r="AG4255" s="61"/>
      <c r="AH4255" s="69">
        <f>IFERROR(ABS(AG$23-AG4254),Q_max*10)</f>
        <v>5500</v>
      </c>
      <c r="AI4255" s="75">
        <f>AG4246</f>
        <v>14331.805052539177</v>
      </c>
      <c r="AJ4255" s="61"/>
      <c r="AK4255" s="69">
        <f>IFERROR(ABS(AJ$23-AJ4254),Q_max*10)</f>
        <v>5500</v>
      </c>
      <c r="AL4255" s="75">
        <f>AJ4246</f>
        <v>19125.849400819407</v>
      </c>
      <c r="AM4255" s="61"/>
      <c r="AN4255" s="69">
        <f>IFERROR(ABS(AM$23-AM4254),Q_max*10)</f>
        <v>5500</v>
      </c>
      <c r="AO4255" s="75">
        <f>AM4246</f>
        <v>23337.170944424626</v>
      </c>
      <c r="AP4255" s="61"/>
      <c r="AQ4255" s="69">
        <f>IFERROR(ABS(AP$23-AP4254),Q_max*10)</f>
        <v>5500</v>
      </c>
      <c r="AR4255" s="75">
        <f>AP4246</f>
        <v>27093.730972639747</v>
      </c>
      <c r="AS4255" s="61"/>
      <c r="AT4255" s="69">
        <f>IFERROR(ABS(AS$23-AS4254),Q_max*10)</f>
        <v>5500</v>
      </c>
      <c r="AU4255" s="75">
        <f>AS4246</f>
        <v>30835.193161828585</v>
      </c>
    </row>
    <row r="4256" spans="15:47" ht="14.5" x14ac:dyDescent="0.35">
      <c r="O4256" s="6"/>
      <c r="P4256" s="6"/>
      <c r="Q4256" s="60"/>
      <c r="R4256" s="67"/>
      <c r="S4256" s="56"/>
      <c r="T4256" s="72"/>
      <c r="V4256" s="11"/>
      <c r="W4256" s="38"/>
      <c r="Y4256" s="11"/>
      <c r="Z4256" s="38"/>
      <c r="AB4256" s="11"/>
      <c r="AC4256" s="38"/>
      <c r="AE4256" s="11"/>
      <c r="AF4256" s="38"/>
      <c r="AH4256" s="11"/>
      <c r="AI4256" s="38"/>
      <c r="AK4256" s="11"/>
      <c r="AL4256" s="38"/>
      <c r="AN4256" s="11"/>
      <c r="AO4256" s="38"/>
      <c r="AQ4256" s="11"/>
      <c r="AR4256" s="38"/>
      <c r="AT4256" s="11"/>
      <c r="AU4256" s="38"/>
    </row>
    <row r="4257" spans="15:47" ht="14" x14ac:dyDescent="0.3">
      <c r="O4257" s="8" t="s">
        <v>235</v>
      </c>
      <c r="P4257" s="6"/>
      <c r="Q4257" s="60"/>
      <c r="R4257" s="53">
        <f>R4246*1.02</f>
        <v>1605.2990310948935</v>
      </c>
      <c r="S4257" s="58" t="s">
        <v>238</v>
      </c>
      <c r="T4257" s="73" t="s">
        <v>241</v>
      </c>
      <c r="U4257" s="84">
        <f>U4246*1.01</f>
        <v>1289.818009652681</v>
      </c>
      <c r="V4257" s="58" t="s">
        <v>238</v>
      </c>
      <c r="W4257" s="73" t="s">
        <v>241</v>
      </c>
      <c r="X4257" s="84">
        <f>X4246*1.01</f>
        <v>3096.0597223660648</v>
      </c>
      <c r="Y4257" s="58" t="s">
        <v>238</v>
      </c>
      <c r="Z4257" s="73" t="s">
        <v>241</v>
      </c>
      <c r="AA4257" s="84">
        <f>AA4246*1.01</f>
        <v>5911.5126792721458</v>
      </c>
      <c r="AB4257" s="58" t="s">
        <v>238</v>
      </c>
      <c r="AC4257" s="73" t="s">
        <v>241</v>
      </c>
      <c r="AD4257" s="84">
        <f>AD4246*1.01</f>
        <v>9722.2618675645626</v>
      </c>
      <c r="AE4257" s="58" t="s">
        <v>238</v>
      </c>
      <c r="AF4257" s="73" t="s">
        <v>241</v>
      </c>
      <c r="AG4257" s="84">
        <f>AG4246*1.01</f>
        <v>14475.123103064569</v>
      </c>
      <c r="AH4257" s="58" t="s">
        <v>238</v>
      </c>
      <c r="AI4257" s="73" t="s">
        <v>241</v>
      </c>
      <c r="AJ4257" s="84">
        <f>AJ4246*1.01</f>
        <v>19317.107894827601</v>
      </c>
      <c r="AK4257" s="58" t="s">
        <v>238</v>
      </c>
      <c r="AL4257" s="73" t="s">
        <v>241</v>
      </c>
      <c r="AM4257" s="84">
        <f>AM4246*1.01</f>
        <v>23570.542653868873</v>
      </c>
      <c r="AN4257" s="58" t="s">
        <v>238</v>
      </c>
      <c r="AO4257" s="73" t="s">
        <v>241</v>
      </c>
      <c r="AP4257" s="84">
        <f>AP4246*1.01</f>
        <v>27364.668282366143</v>
      </c>
      <c r="AQ4257" s="58" t="s">
        <v>238</v>
      </c>
      <c r="AR4257" s="73" t="s">
        <v>241</v>
      </c>
      <c r="AS4257" s="84">
        <f>AS4246*1.01</f>
        <v>31143.545093446872</v>
      </c>
      <c r="AT4257" s="58" t="s">
        <v>238</v>
      </c>
      <c r="AU4257" s="73" t="s">
        <v>241</v>
      </c>
    </row>
    <row r="4258" spans="15:47" ht="13" x14ac:dyDescent="0.25">
      <c r="O4258" s="6"/>
      <c r="P4258" s="6"/>
      <c r="Q4258" s="60"/>
      <c r="R4258" s="70"/>
      <c r="S4258" s="63" t="s">
        <v>250</v>
      </c>
      <c r="T4258" s="71" t="s">
        <v>242</v>
      </c>
      <c r="U4258" s="61"/>
      <c r="V4258" s="63" t="s">
        <v>250</v>
      </c>
      <c r="W4258" s="71" t="s">
        <v>242</v>
      </c>
      <c r="X4258" s="61"/>
      <c r="Y4258" s="63" t="s">
        <v>250</v>
      </c>
      <c r="Z4258" s="71" t="s">
        <v>242</v>
      </c>
      <c r="AA4258" s="61"/>
      <c r="AB4258" s="63" t="s">
        <v>250</v>
      </c>
      <c r="AC4258" s="71" t="s">
        <v>242</v>
      </c>
      <c r="AD4258" s="61"/>
      <c r="AE4258" s="63" t="s">
        <v>250</v>
      </c>
      <c r="AF4258" s="71" t="s">
        <v>242</v>
      </c>
      <c r="AG4258" s="61"/>
      <c r="AH4258" s="63" t="s">
        <v>250</v>
      </c>
      <c r="AI4258" s="71" t="s">
        <v>242</v>
      </c>
      <c r="AJ4258" s="61"/>
      <c r="AK4258" s="63" t="s">
        <v>250</v>
      </c>
      <c r="AL4258" s="71" t="s">
        <v>242</v>
      </c>
      <c r="AM4258" s="61"/>
      <c r="AN4258" s="63" t="s">
        <v>250</v>
      </c>
      <c r="AO4258" s="71" t="s">
        <v>242</v>
      </c>
      <c r="AP4258" s="61"/>
      <c r="AQ4258" s="63" t="s">
        <v>250</v>
      </c>
      <c r="AR4258" s="71" t="s">
        <v>242</v>
      </c>
      <c r="AS4258" s="61"/>
      <c r="AT4258" s="63" t="s">
        <v>250</v>
      </c>
      <c r="AU4258" s="71" t="s">
        <v>242</v>
      </c>
    </row>
    <row r="4259" spans="15:47" ht="13" x14ac:dyDescent="0.3">
      <c r="O4259" s="6" t="s">
        <v>231</v>
      </c>
      <c r="P4259" s="6"/>
      <c r="Q4259" s="60"/>
      <c r="R4259" s="85">
        <f>P_1_minQ-(R4257^2*R_up)+dpup_minQ</f>
        <v>-30.114757826214248</v>
      </c>
      <c r="S4259" s="56"/>
      <c r="T4259" s="72"/>
      <c r="U4259" s="53">
        <f>P_1_minQ-(U4257^2*R_up)+dpup_minQ</f>
        <v>0.73139148853754243</v>
      </c>
      <c r="V4259" s="44"/>
      <c r="W4259" s="72"/>
      <c r="X4259" s="53">
        <f>P_1_minQ-(X4257^2*R_up)+dpup_minQ</f>
        <v>-266.81184749940678</v>
      </c>
      <c r="Y4259" s="44"/>
      <c r="Z4259" s="72"/>
      <c r="AA4259" s="53">
        <f>P_1_minQ-(AA4257^2*R_up)+dpup_minQ</f>
        <v>-1123.2926429312849</v>
      </c>
      <c r="AB4259" s="44"/>
      <c r="AC4259" s="72"/>
      <c r="AD4259" s="53">
        <f>P_1_minQ-(AD4257^2*R_up)+dpup_minQ</f>
        <v>-3135.3289031239442</v>
      </c>
      <c r="AE4259" s="44"/>
      <c r="AF4259" s="72"/>
      <c r="AG4259" s="53">
        <f>P_1_minQ-(AG4257^2*R_up)+dpup_minQ</f>
        <v>-7019.3820279930314</v>
      </c>
      <c r="AH4259" s="44"/>
      <c r="AI4259" s="72"/>
      <c r="AJ4259" s="53">
        <f>P_1_minQ-(AJ4257^2*R_up)+dpup_minQ</f>
        <v>-12545.267491401919</v>
      </c>
      <c r="AK4259" s="44"/>
      <c r="AL4259" s="72"/>
      <c r="AM4259" s="53">
        <f>P_1_minQ-(AM4257^2*R_up)+dpup_minQ</f>
        <v>-18706.01803437528</v>
      </c>
      <c r="AN4259" s="44"/>
      <c r="AO4259" s="72"/>
      <c r="AP4259" s="53">
        <f>P_1_minQ-(AP4257^2*R_up)+dpup_minQ</f>
        <v>-25232.684336505765</v>
      </c>
      <c r="AQ4259" s="44"/>
      <c r="AR4259" s="72"/>
      <c r="AS4259" s="53">
        <f>P_1_minQ-(AS4257^2*R_up)+dpup_minQ</f>
        <v>-32699.598581140115</v>
      </c>
      <c r="AT4259" s="44"/>
      <c r="AU4259" s="72"/>
    </row>
    <row r="4260" spans="15:47" ht="13" x14ac:dyDescent="0.3">
      <c r="O4260" s="6" t="s">
        <v>233</v>
      </c>
      <c r="P4260" s="6"/>
      <c r="Q4260" s="60"/>
      <c r="R4260" s="85">
        <f>P_2_minQ+(R4257^2*R_dn)-dpdn_minQ</f>
        <v>42.062951565242855</v>
      </c>
      <c r="S4260" s="66"/>
      <c r="T4260" s="74"/>
      <c r="U4260" s="53">
        <f>P_2_minQ+(U4257^2*R_dn)-dpdn_minQ</f>
        <v>35.893721702292495</v>
      </c>
      <c r="V4260" s="45"/>
      <c r="W4260" s="74"/>
      <c r="X4260" s="53">
        <f>P_2_minQ+(X4257^2*R_dn)-dpdn_minQ</f>
        <v>89.402369499881345</v>
      </c>
      <c r="Y4260" s="45"/>
      <c r="Z4260" s="74"/>
      <c r="AA4260" s="53">
        <f>P_2_minQ+(AA4257^2*R_dn)-dpdn_minQ</f>
        <v>260.69852858625694</v>
      </c>
      <c r="AB4260" s="45"/>
      <c r="AC4260" s="74"/>
      <c r="AD4260" s="53">
        <f>P_2_minQ+(AD4257^2*R_dn)-dpdn_minQ</f>
        <v>663.10578062478874</v>
      </c>
      <c r="AE4260" s="45"/>
      <c r="AF4260" s="74"/>
      <c r="AG4260" s="53">
        <f>P_2_minQ+(AG4257^2*R_dn)-dpdn_minQ</f>
        <v>1439.9164055986062</v>
      </c>
      <c r="AH4260" s="45"/>
      <c r="AI4260" s="74"/>
      <c r="AJ4260" s="53">
        <f>P_2_minQ+(AJ4257^2*R_dn)-dpdn_minQ</f>
        <v>2545.0934982803838</v>
      </c>
      <c r="AK4260" s="45"/>
      <c r="AL4260" s="74"/>
      <c r="AM4260" s="53">
        <f>P_2_minQ+(AM4257^2*R_dn)-dpdn_minQ</f>
        <v>3777.2436068750553</v>
      </c>
      <c r="AN4260" s="45"/>
      <c r="AO4260" s="74"/>
      <c r="AP4260" s="53">
        <f>P_2_minQ+(AP4257^2*R_dn)-dpdn_minQ</f>
        <v>5082.5768673011526</v>
      </c>
      <c r="AQ4260" s="45"/>
      <c r="AR4260" s="74"/>
      <c r="AS4260" s="53">
        <f>P_2_minQ+(AS4257^2*R_dn)-dpdn_minQ</f>
        <v>6575.9597162280224</v>
      </c>
      <c r="AT4260" s="45"/>
      <c r="AU4260" s="74"/>
    </row>
    <row r="4261" spans="15:47" x14ac:dyDescent="0.25">
      <c r="O4261" s="6" t="s">
        <v>243</v>
      </c>
      <c r="Q4261" s="60"/>
      <c r="R4261" s="53">
        <f>R4259-R4260</f>
        <v>-72.1777093914571</v>
      </c>
      <c r="S4261" s="56"/>
      <c r="T4261" s="72"/>
      <c r="U4261" s="64">
        <f>U4259-U4260</f>
        <v>-35.162330213754956</v>
      </c>
      <c r="V4261" s="44"/>
      <c r="W4261" s="72"/>
      <c r="X4261" s="64">
        <f>X4259-X4260</f>
        <v>-356.21421699928811</v>
      </c>
      <c r="Y4261" s="44"/>
      <c r="Z4261" s="72"/>
      <c r="AA4261" s="64">
        <f>AA4259-AA4260</f>
        <v>-1383.9911715175419</v>
      </c>
      <c r="AB4261" s="44"/>
      <c r="AC4261" s="72"/>
      <c r="AD4261" s="64">
        <f>AD4259-AD4260</f>
        <v>-3798.4346837487328</v>
      </c>
      <c r="AE4261" s="44"/>
      <c r="AF4261" s="72"/>
      <c r="AG4261" s="64">
        <f>AG4259-AG4260</f>
        <v>-8459.2984335916371</v>
      </c>
      <c r="AH4261" s="44"/>
      <c r="AI4261" s="72"/>
      <c r="AJ4261" s="64">
        <f>AJ4259-AJ4260</f>
        <v>-15090.360989682304</v>
      </c>
      <c r="AK4261" s="44"/>
      <c r="AL4261" s="72"/>
      <c r="AM4261" s="64">
        <f>AM4259-AM4260</f>
        <v>-22483.261641250334</v>
      </c>
      <c r="AN4261" s="44"/>
      <c r="AO4261" s="72"/>
      <c r="AP4261" s="64">
        <f>AP4259-AP4260</f>
        <v>-30315.261203806916</v>
      </c>
      <c r="AQ4261" s="44"/>
      <c r="AR4261" s="72"/>
      <c r="AS4261" s="64">
        <f>AS4259-AS4260</f>
        <v>-39275.558297368138</v>
      </c>
      <c r="AT4261" s="44"/>
      <c r="AU4261" s="72"/>
    </row>
    <row r="4262" spans="15:47" ht="13" x14ac:dyDescent="0.3">
      <c r="O4262" s="6" t="s">
        <v>75</v>
      </c>
      <c r="P4262" s="6">
        <v>3</v>
      </c>
      <c r="Q4262" s="65"/>
      <c r="R4262" s="85">
        <f>(F_LP_h/F_P_h)^2*(R4259-('Valve Sizing'!$V$4*'Valve Sizing'!$G$7))</f>
        <v>-25.30099105039605</v>
      </c>
      <c r="S4262" s="58"/>
      <c r="T4262" s="73"/>
      <c r="U4262" s="53">
        <f>(U$29/U$27)^2*(U4259-('Valve Sizing'!$V$4*'Valve Sizing'!$G$7))</f>
        <v>0.24117394272978834</v>
      </c>
      <c r="V4262" s="41"/>
      <c r="W4262" s="73"/>
      <c r="X4262" s="53">
        <f>(X$29/X$27)^2*(X4259-('Valve Sizing'!$V$4*'Valve Sizing'!$G$7))</f>
        <v>-216.24783179025866</v>
      </c>
      <c r="Y4262" s="41"/>
      <c r="Z4262" s="73"/>
      <c r="AA4262" s="53">
        <f>(AA$29/AA$27)^2*(AA4259-('Valve Sizing'!$V$4*'Valve Sizing'!$G$7))</f>
        <v>-868.41750856775411</v>
      </c>
      <c r="AB4262" s="41"/>
      <c r="AC4262" s="73"/>
      <c r="AD4262" s="53">
        <f>(AD$29/AD$27)^2*(AD4259-('Valve Sizing'!$V$4*'Valve Sizing'!$G$7))</f>
        <v>-2261.4770863362432</v>
      </c>
      <c r="AE4262" s="41"/>
      <c r="AF4262" s="73"/>
      <c r="AG4262" s="53">
        <f>(AG$29/AG$27)^2*(AG4259-('Valve Sizing'!$V$4*'Valve Sizing'!$G$7))</f>
        <v>-4521.0739526521411</v>
      </c>
      <c r="AH4262" s="41"/>
      <c r="AI4262" s="73"/>
      <c r="AJ4262" s="53">
        <f>(AJ$29/AJ$27)^2*(AJ4259-('Valve Sizing'!$V$4*'Valve Sizing'!$G$7))</f>
        <v>-7255.9898078155102</v>
      </c>
      <c r="AK4262" s="41"/>
      <c r="AL4262" s="73"/>
      <c r="AM4262" s="53">
        <f>(AM$29/AM$27)^2*(AM4259-('Valve Sizing'!$V$4*'Valve Sizing'!$G$7))</f>
        <v>-8950.5192091753179</v>
      </c>
      <c r="AN4262" s="41"/>
      <c r="AO4262" s="73"/>
      <c r="AP4262" s="53">
        <f>(AP$29/AP$27)^2*(AP4259-('Valve Sizing'!$V$4*'Valve Sizing'!$G$7))</f>
        <v>-9957.6678240130095</v>
      </c>
      <c r="AQ4262" s="41"/>
      <c r="AR4262" s="73"/>
      <c r="AS4262" s="53">
        <f>(AS$29/AS$27)^2*(AS4259-('Valve Sizing'!$V$4*'Valve Sizing'!$G$7))</f>
        <v>-12299.818500827225</v>
      </c>
      <c r="AT4262" s="41"/>
      <c r="AU4262" s="73"/>
    </row>
    <row r="4263" spans="15:47" ht="13" x14ac:dyDescent="0.25">
      <c r="O4263" s="1" t="s">
        <v>69</v>
      </c>
      <c r="P4263" s="17">
        <v>7</v>
      </c>
      <c r="Q4263" s="65"/>
      <c r="R4263" s="53" t="e">
        <f>(R4257/(N_1*F_P_h))*SQRT('Valve Sizing'!$G$6/R4261)</f>
        <v>#NUM!</v>
      </c>
      <c r="S4263" s="58"/>
      <c r="T4263" s="73"/>
      <c r="U4263" s="64" t="e">
        <f>(U4257/(N_1*U$27))*SQRT('Valve Sizing'!$G$6/U4261)</f>
        <v>#NUM!</v>
      </c>
      <c r="V4263" s="41"/>
      <c r="W4263" s="73"/>
      <c r="X4263" s="64" t="e">
        <f>(X4257/(N_1*X$27))*SQRT('Valve Sizing'!$G$6/X4261)</f>
        <v>#NUM!</v>
      </c>
      <c r="Y4263" s="41"/>
      <c r="Z4263" s="73"/>
      <c r="AA4263" s="64" t="e">
        <f>(AA4257/(N_1*AA$27))*SQRT('Valve Sizing'!$G$6/AA4261)</f>
        <v>#NUM!</v>
      </c>
      <c r="AB4263" s="41"/>
      <c r="AC4263" s="73"/>
      <c r="AD4263" s="64" t="e">
        <f>(AD4257/(N_1*AD$27))*SQRT('Valve Sizing'!$G$6/AD4261)</f>
        <v>#NUM!</v>
      </c>
      <c r="AE4263" s="41"/>
      <c r="AF4263" s="73"/>
      <c r="AG4263" s="64" t="e">
        <f>(AG4257/(N_1*AG$27))*SQRT('Valve Sizing'!$G$6/AG4261)</f>
        <v>#NUM!</v>
      </c>
      <c r="AH4263" s="41"/>
      <c r="AI4263" s="73"/>
      <c r="AJ4263" s="64" t="e">
        <f>(AJ4257/(N_1*AJ$27))*SQRT('Valve Sizing'!$G$6/AJ4261)</f>
        <v>#NUM!</v>
      </c>
      <c r="AK4263" s="41"/>
      <c r="AL4263" s="73"/>
      <c r="AM4263" s="64" t="e">
        <f>(AM4257/(N_1*AM$27))*SQRT('Valve Sizing'!$G$6/AM4261)</f>
        <v>#NUM!</v>
      </c>
      <c r="AN4263" s="41"/>
      <c r="AO4263" s="73"/>
      <c r="AP4263" s="64" t="e">
        <f>(AP4257/(N_1*AP$27))*SQRT('Valve Sizing'!$G$6/AP4261)</f>
        <v>#NUM!</v>
      </c>
      <c r="AQ4263" s="41"/>
      <c r="AR4263" s="73"/>
      <c r="AS4263" s="64" t="e">
        <f>(AS4257/(N_1*AS$27))*SQRT('Valve Sizing'!$G$6/AS4261)</f>
        <v>#NUM!</v>
      </c>
      <c r="AT4263" s="41"/>
      <c r="AU4263" s="73"/>
    </row>
    <row r="4264" spans="15:47" ht="13" x14ac:dyDescent="0.3">
      <c r="O4264" s="1" t="s">
        <v>72</v>
      </c>
      <c r="P4264" s="17">
        <v>7</v>
      </c>
      <c r="Q4264" s="65"/>
      <c r="R4264" s="53" t="e">
        <f>(R4257/(N_1*F_P_h))*SQRT('Valve Sizing'!$G$6/R4262)</f>
        <v>#NUM!</v>
      </c>
      <c r="S4264" s="56"/>
      <c r="T4264" s="72"/>
      <c r="U4264" s="85">
        <f>(U4257/(N_1*U$27))*SQRT('Valve Sizing'!$G$6/U4262)</f>
        <v>2628.6267033940176</v>
      </c>
      <c r="V4264" s="44"/>
      <c r="W4264" s="72"/>
      <c r="X4264" s="85" t="e">
        <f>(X4257/(N_1*X$27))*SQRT('Valve Sizing'!$G$6/X4262)</f>
        <v>#NUM!</v>
      </c>
      <c r="Y4264" s="44"/>
      <c r="Z4264" s="72"/>
      <c r="AA4264" s="85" t="e">
        <f>(AA4257/(N_1*AA$27))*SQRT('Valve Sizing'!$G$6/AA4262)</f>
        <v>#NUM!</v>
      </c>
      <c r="AB4264" s="44"/>
      <c r="AC4264" s="72"/>
      <c r="AD4264" s="85" t="e">
        <f>(AD4257/(N_1*AD$27))*SQRT('Valve Sizing'!$G$6/AD4262)</f>
        <v>#NUM!</v>
      </c>
      <c r="AE4264" s="44"/>
      <c r="AF4264" s="72"/>
      <c r="AG4264" s="85" t="e">
        <f>(AG4257/(N_1*AG$27))*SQRT('Valve Sizing'!$G$6/AG4262)</f>
        <v>#NUM!</v>
      </c>
      <c r="AH4264" s="44"/>
      <c r="AI4264" s="72"/>
      <c r="AJ4264" s="85" t="e">
        <f>(AJ4257/(N_1*AJ$27))*SQRT('Valve Sizing'!$G$6/AJ4262)</f>
        <v>#NUM!</v>
      </c>
      <c r="AK4264" s="44"/>
      <c r="AL4264" s="72"/>
      <c r="AM4264" s="85" t="e">
        <f>(AM4257/(N_1*AM$27))*SQRT('Valve Sizing'!$G$6/AM4262)</f>
        <v>#NUM!</v>
      </c>
      <c r="AN4264" s="44"/>
      <c r="AO4264" s="72"/>
      <c r="AP4264" s="85" t="e">
        <f>(AP4257/(N_1*AP$27))*SQRT('Valve Sizing'!$G$6/AP4262)</f>
        <v>#NUM!</v>
      </c>
      <c r="AQ4264" s="44"/>
      <c r="AR4264" s="72"/>
      <c r="AS4264" s="85" t="e">
        <f>(AS4257/(N_1*AS$27))*SQRT('Valve Sizing'!$G$6/AS4262)</f>
        <v>#NUM!</v>
      </c>
      <c r="AT4264" s="44"/>
      <c r="AU4264" s="72"/>
    </row>
    <row r="4265" spans="15:47" x14ac:dyDescent="0.25">
      <c r="O4265" s="1" t="s">
        <v>246</v>
      </c>
      <c r="P4265" s="18"/>
      <c r="Q4265" s="65"/>
      <c r="R4265" s="53" t="e">
        <f>IF(R4261&lt;R4262,R4263,R4264)</f>
        <v>#NUM!</v>
      </c>
      <c r="S4265" s="49"/>
      <c r="T4265" s="72"/>
      <c r="U4265" s="64" t="e">
        <f>IF(U4261&lt;U4262,U4263,U4264)</f>
        <v>#NUM!</v>
      </c>
      <c r="V4265" s="44"/>
      <c r="W4265" s="72"/>
      <c r="X4265" s="64" t="e">
        <f>IF(X4261&lt;X4262,X4263,X4264)</f>
        <v>#NUM!</v>
      </c>
      <c r="Y4265" s="44"/>
      <c r="Z4265" s="72"/>
      <c r="AA4265" s="64" t="e">
        <f>IF(AA4261&lt;AA4262,AA4263,AA4264)</f>
        <v>#NUM!</v>
      </c>
      <c r="AB4265" s="44"/>
      <c r="AC4265" s="72"/>
      <c r="AD4265" s="64" t="e">
        <f>IF(AD4261&lt;AD4262,AD4263,AD4264)</f>
        <v>#NUM!</v>
      </c>
      <c r="AE4265" s="44"/>
      <c r="AF4265" s="72"/>
      <c r="AG4265" s="64" t="e">
        <f>IF(AG4261&lt;AG4262,AG4263,AG4264)</f>
        <v>#NUM!</v>
      </c>
      <c r="AH4265" s="44"/>
      <c r="AI4265" s="72"/>
      <c r="AJ4265" s="64" t="e">
        <f>IF(AJ4261&lt;AJ4262,AJ4263,AJ4264)</f>
        <v>#NUM!</v>
      </c>
      <c r="AK4265" s="44"/>
      <c r="AL4265" s="72"/>
      <c r="AM4265" s="64" t="e">
        <f>IF(AM4261&lt;AM4262,AM4263,AM4264)</f>
        <v>#NUM!</v>
      </c>
      <c r="AN4265" s="44"/>
      <c r="AO4265" s="72"/>
      <c r="AP4265" s="64" t="e">
        <f>IF(AP4261&lt;AP4262,AP4263,AP4264)</f>
        <v>#NUM!</v>
      </c>
      <c r="AQ4265" s="44"/>
      <c r="AR4265" s="72"/>
      <c r="AS4265" s="64" t="e">
        <f>IF(AS4261&lt;AS4262,AS4263,AS4264)</f>
        <v>#NUM!</v>
      </c>
      <c r="AT4265" s="44"/>
      <c r="AU4265" s="72"/>
    </row>
    <row r="4266" spans="15:47" ht="13" x14ac:dyDescent="0.3">
      <c r="O4266" s="7" t="s">
        <v>264</v>
      </c>
      <c r="Q4266" s="61"/>
      <c r="R4266" s="53"/>
      <c r="S4266" s="69">
        <f>IFERROR(ABS(C_h-R4265),Q_max*10)</f>
        <v>5500</v>
      </c>
      <c r="T4266" s="76">
        <f>R4257</f>
        <v>1605.2990310948935</v>
      </c>
      <c r="U4266" s="61"/>
      <c r="V4266" s="69">
        <f>IFERROR(ABS(U$23-U4265),Q_max*10)</f>
        <v>5500</v>
      </c>
      <c r="W4266" s="75">
        <f>U4257</f>
        <v>1289.818009652681</v>
      </c>
      <c r="X4266" s="61"/>
      <c r="Y4266" s="69">
        <f>IFERROR(ABS(X$23-X4265),Q_max*10)</f>
        <v>5500</v>
      </c>
      <c r="Z4266" s="75">
        <f>X4257</f>
        <v>3096.0597223660648</v>
      </c>
      <c r="AA4266" s="61"/>
      <c r="AB4266" s="69">
        <f>IFERROR(ABS(AA$23-AA4265),Q_max*10)</f>
        <v>5500</v>
      </c>
      <c r="AC4266" s="75">
        <f>AA4257</f>
        <v>5911.5126792721458</v>
      </c>
      <c r="AD4266" s="61"/>
      <c r="AE4266" s="69">
        <f>IFERROR(ABS(AD$23-AD4265),Q_max*10)</f>
        <v>5500</v>
      </c>
      <c r="AF4266" s="75">
        <f>AD4257</f>
        <v>9722.2618675645626</v>
      </c>
      <c r="AG4266" s="61"/>
      <c r="AH4266" s="69">
        <f>IFERROR(ABS(AG$23-AG4265),Q_max*10)</f>
        <v>5500</v>
      </c>
      <c r="AI4266" s="75">
        <f>AG4257</f>
        <v>14475.123103064569</v>
      </c>
      <c r="AJ4266" s="61"/>
      <c r="AK4266" s="69">
        <f>IFERROR(ABS(AJ$23-AJ4265),Q_max*10)</f>
        <v>5500</v>
      </c>
      <c r="AL4266" s="75">
        <f>AJ4257</f>
        <v>19317.107894827601</v>
      </c>
      <c r="AM4266" s="61"/>
      <c r="AN4266" s="69">
        <f>IFERROR(ABS(AM$23-AM4265),Q_max*10)</f>
        <v>5500</v>
      </c>
      <c r="AO4266" s="75">
        <f>AM4257</f>
        <v>23570.542653868873</v>
      </c>
      <c r="AP4266" s="61"/>
      <c r="AQ4266" s="69">
        <f>IFERROR(ABS(AP$23-AP4265),Q_max*10)</f>
        <v>5500</v>
      </c>
      <c r="AR4266" s="75">
        <f>AP4257</f>
        <v>27364.668282366143</v>
      </c>
      <c r="AS4266" s="61"/>
      <c r="AT4266" s="69">
        <f>IFERROR(ABS(AS$23-AS4265),Q_max*10)</f>
        <v>5500</v>
      </c>
      <c r="AU4266" s="75">
        <f>AS4257</f>
        <v>31143.545093446872</v>
      </c>
    </row>
    <row r="4267" spans="15:47" ht="14.5" x14ac:dyDescent="0.35">
      <c r="O4267" s="8"/>
      <c r="P4267" s="6"/>
      <c r="Q4267" s="60"/>
      <c r="R4267" s="67"/>
      <c r="S4267" s="66"/>
      <c r="T4267" s="74"/>
      <c r="V4267" s="11"/>
      <c r="W4267" s="38"/>
      <c r="Y4267" s="11"/>
      <c r="Z4267" s="38"/>
      <c r="AB4267" s="11"/>
      <c r="AC4267" s="38"/>
      <c r="AE4267" s="11"/>
      <c r="AF4267" s="38"/>
      <c r="AH4267" s="11"/>
      <c r="AI4267" s="38"/>
      <c r="AK4267" s="11"/>
      <c r="AL4267" s="38"/>
      <c r="AN4267" s="11"/>
      <c r="AO4267" s="38"/>
      <c r="AQ4267" s="11"/>
      <c r="AR4267" s="38"/>
      <c r="AT4267" s="11"/>
      <c r="AU4267" s="38"/>
    </row>
    <row r="4268" spans="15:47" ht="14" x14ac:dyDescent="0.3">
      <c r="O4268" s="8" t="s">
        <v>235</v>
      </c>
      <c r="P4268" s="6"/>
      <c r="Q4268" s="60"/>
      <c r="R4268" s="53">
        <f>R4257*1.02</f>
        <v>1637.4050117167915</v>
      </c>
      <c r="S4268" s="58" t="s">
        <v>238</v>
      </c>
      <c r="T4268" s="73" t="s">
        <v>241</v>
      </c>
      <c r="U4268" s="84">
        <f>U4257*1.01</f>
        <v>1302.7161897492078</v>
      </c>
      <c r="V4268" s="58" t="s">
        <v>238</v>
      </c>
      <c r="W4268" s="73" t="s">
        <v>241</v>
      </c>
      <c r="X4268" s="84">
        <f>X4257*1.01</f>
        <v>3127.0203195897257</v>
      </c>
      <c r="Y4268" s="58" t="s">
        <v>238</v>
      </c>
      <c r="Z4268" s="73" t="s">
        <v>241</v>
      </c>
      <c r="AA4268" s="84">
        <f>AA4257*1.01</f>
        <v>5970.6278060648674</v>
      </c>
      <c r="AB4268" s="58" t="s">
        <v>238</v>
      </c>
      <c r="AC4268" s="73" t="s">
        <v>241</v>
      </c>
      <c r="AD4268" s="84">
        <f>AD4257*1.01</f>
        <v>9819.4844862402078</v>
      </c>
      <c r="AE4268" s="58" t="s">
        <v>238</v>
      </c>
      <c r="AF4268" s="73" t="s">
        <v>241</v>
      </c>
      <c r="AG4268" s="84">
        <f>AG4257*1.01</f>
        <v>14619.874334095215</v>
      </c>
      <c r="AH4268" s="58" t="s">
        <v>238</v>
      </c>
      <c r="AI4268" s="73" t="s">
        <v>241</v>
      </c>
      <c r="AJ4268" s="84">
        <f>AJ4257*1.01</f>
        <v>19510.278973775876</v>
      </c>
      <c r="AK4268" s="58" t="s">
        <v>238</v>
      </c>
      <c r="AL4268" s="73" t="s">
        <v>241</v>
      </c>
      <c r="AM4268" s="84">
        <f>AM4257*1.01</f>
        <v>23806.248080407564</v>
      </c>
      <c r="AN4268" s="58" t="s">
        <v>238</v>
      </c>
      <c r="AO4268" s="73" t="s">
        <v>241</v>
      </c>
      <c r="AP4268" s="84">
        <f>AP4257*1.01</f>
        <v>27638.314965189806</v>
      </c>
      <c r="AQ4268" s="58" t="s">
        <v>238</v>
      </c>
      <c r="AR4268" s="73" t="s">
        <v>241</v>
      </c>
      <c r="AS4268" s="84">
        <f>AS4257*1.01</f>
        <v>31454.980544381342</v>
      </c>
      <c r="AT4268" s="58" t="s">
        <v>238</v>
      </c>
      <c r="AU4268" s="73" t="s">
        <v>241</v>
      </c>
    </row>
    <row r="4269" spans="15:47" ht="13" x14ac:dyDescent="0.25">
      <c r="O4269" s="6"/>
      <c r="P4269" s="6"/>
      <c r="Q4269" s="60"/>
      <c r="R4269" s="70"/>
      <c r="S4269" s="63" t="s">
        <v>250</v>
      </c>
      <c r="T4269" s="71" t="s">
        <v>242</v>
      </c>
      <c r="U4269" s="61"/>
      <c r="V4269" s="63" t="s">
        <v>250</v>
      </c>
      <c r="W4269" s="71" t="s">
        <v>242</v>
      </c>
      <c r="X4269" s="61"/>
      <c r="Y4269" s="63" t="s">
        <v>250</v>
      </c>
      <c r="Z4269" s="71" t="s">
        <v>242</v>
      </c>
      <c r="AA4269" s="61"/>
      <c r="AB4269" s="63" t="s">
        <v>250</v>
      </c>
      <c r="AC4269" s="71" t="s">
        <v>242</v>
      </c>
      <c r="AD4269" s="61"/>
      <c r="AE4269" s="63" t="s">
        <v>250</v>
      </c>
      <c r="AF4269" s="71" t="s">
        <v>242</v>
      </c>
      <c r="AG4269" s="61"/>
      <c r="AH4269" s="63" t="s">
        <v>250</v>
      </c>
      <c r="AI4269" s="71" t="s">
        <v>242</v>
      </c>
      <c r="AJ4269" s="61"/>
      <c r="AK4269" s="63" t="s">
        <v>250</v>
      </c>
      <c r="AL4269" s="71" t="s">
        <v>242</v>
      </c>
      <c r="AM4269" s="61"/>
      <c r="AN4269" s="63" t="s">
        <v>250</v>
      </c>
      <c r="AO4269" s="71" t="s">
        <v>242</v>
      </c>
      <c r="AP4269" s="61"/>
      <c r="AQ4269" s="63" t="s">
        <v>250</v>
      </c>
      <c r="AR4269" s="71" t="s">
        <v>242</v>
      </c>
      <c r="AS4269" s="61"/>
      <c r="AT4269" s="63" t="s">
        <v>250</v>
      </c>
      <c r="AU4269" s="71" t="s">
        <v>242</v>
      </c>
    </row>
    <row r="4270" spans="15:47" ht="13" x14ac:dyDescent="0.3">
      <c r="O4270" s="6" t="s">
        <v>231</v>
      </c>
      <c r="P4270" s="6"/>
      <c r="Q4270" s="60"/>
      <c r="R4270" s="85">
        <f>P_1_minQ-(R4268^2*R_up)+dpup_minQ</f>
        <v>-33.630806227465932</v>
      </c>
      <c r="S4270" s="56"/>
      <c r="T4270" s="72"/>
      <c r="U4270" s="53">
        <f>P_1_minQ-(U4268^2*R_up)+dpup_minQ</f>
        <v>-0.39792202075967686</v>
      </c>
      <c r="V4270" s="44"/>
      <c r="W4270" s="72"/>
      <c r="X4270" s="53">
        <f>P_1_minQ-(X4268^2*R_up)+dpup_minQ</f>
        <v>-273.31878011236171</v>
      </c>
      <c r="Y4270" s="44"/>
      <c r="Z4270" s="72"/>
      <c r="AA4270" s="53">
        <f>P_1_minQ-(AA4268^2*R_up)+dpup_minQ</f>
        <v>-1147.0148395324206</v>
      </c>
      <c r="AB4270" s="44"/>
      <c r="AC4270" s="72"/>
      <c r="AD4270" s="53">
        <f>P_1_minQ-(AD4268^2*R_up)+dpup_minQ</f>
        <v>-3199.4930285549517</v>
      </c>
      <c r="AE4270" s="44"/>
      <c r="AF4270" s="72"/>
      <c r="AG4270" s="53">
        <f>P_1_minQ-(AG4268^2*R_up)+dpup_minQ</f>
        <v>-7161.6156212339083</v>
      </c>
      <c r="AH4270" s="44"/>
      <c r="AI4270" s="72"/>
      <c r="AJ4270" s="53">
        <f>P_1_minQ-(AJ4268^2*R_up)+dpup_minQ</f>
        <v>-12798.571382457314</v>
      </c>
      <c r="AK4270" s="44"/>
      <c r="AL4270" s="72"/>
      <c r="AM4270" s="53">
        <f>P_1_minQ-(AM4268^2*R_up)+dpup_minQ</f>
        <v>-19083.153011344439</v>
      </c>
      <c r="AN4270" s="44"/>
      <c r="AO4270" s="72"/>
      <c r="AP4270" s="53">
        <f>P_1_minQ-(AP4268^2*R_up)+dpup_minQ</f>
        <v>-25741.005306147748</v>
      </c>
      <c r="AQ4270" s="44"/>
      <c r="AR4270" s="72"/>
      <c r="AS4270" s="53">
        <f>P_1_minQ-(AS4268^2*R_up)+dpup_minQ</f>
        <v>-33358.004527099249</v>
      </c>
      <c r="AT4270" s="44"/>
      <c r="AU4270" s="72"/>
    </row>
    <row r="4271" spans="15:47" ht="13" x14ac:dyDescent="0.3">
      <c r="O4271" s="6" t="s">
        <v>233</v>
      </c>
      <c r="P4271" s="6"/>
      <c r="Q4271" s="60"/>
      <c r="R4271" s="85">
        <f>P_2_minQ+(R4268^2*R_dn)-dpdn_minQ</f>
        <v>42.766161245493194</v>
      </c>
      <c r="S4271" s="66"/>
      <c r="T4271" s="74"/>
      <c r="U4271" s="53">
        <f>P_2_minQ+(U4268^2*R_dn)-dpdn_minQ</f>
        <v>36.119584404151936</v>
      </c>
      <c r="V4271" s="45"/>
      <c r="W4271" s="74"/>
      <c r="X4271" s="53">
        <f>P_2_minQ+(X4268^2*R_dn)-dpdn_minQ</f>
        <v>90.703756022472348</v>
      </c>
      <c r="Y4271" s="45"/>
      <c r="Z4271" s="74"/>
      <c r="AA4271" s="53">
        <f>P_2_minQ+(AA4268^2*R_dn)-dpdn_minQ</f>
        <v>265.44296790648406</v>
      </c>
      <c r="AB4271" s="45"/>
      <c r="AC4271" s="74"/>
      <c r="AD4271" s="53">
        <f>P_2_minQ+(AD4268^2*R_dn)-dpdn_minQ</f>
        <v>675.93860571099026</v>
      </c>
      <c r="AE4271" s="45"/>
      <c r="AF4271" s="74"/>
      <c r="AG4271" s="53">
        <f>P_2_minQ+(AG4268^2*R_dn)-dpdn_minQ</f>
        <v>1468.3631242467816</v>
      </c>
      <c r="AH4271" s="45"/>
      <c r="AI4271" s="74"/>
      <c r="AJ4271" s="53">
        <f>P_2_minQ+(AJ4268^2*R_dn)-dpdn_minQ</f>
        <v>2595.7542764914624</v>
      </c>
      <c r="AK4271" s="45"/>
      <c r="AL4271" s="74"/>
      <c r="AM4271" s="53">
        <f>P_2_minQ+(AM4268^2*R_dn)-dpdn_minQ</f>
        <v>3852.6706022688873</v>
      </c>
      <c r="AN4271" s="45"/>
      <c r="AO4271" s="74"/>
      <c r="AP4271" s="53">
        <f>P_2_minQ+(AP4268^2*R_dn)-dpdn_minQ</f>
        <v>5184.2410612295489</v>
      </c>
      <c r="AQ4271" s="45"/>
      <c r="AR4271" s="74"/>
      <c r="AS4271" s="53">
        <f>P_2_minQ+(AS4268^2*R_dn)-dpdn_minQ</f>
        <v>6707.6409054198493</v>
      </c>
      <c r="AT4271" s="45"/>
      <c r="AU4271" s="74"/>
    </row>
    <row r="4272" spans="15:47" x14ac:dyDescent="0.25">
      <c r="O4272" s="6" t="s">
        <v>243</v>
      </c>
      <c r="Q4272" s="60"/>
      <c r="R4272" s="53">
        <f>R4270-R4271</f>
        <v>-76.396967472959119</v>
      </c>
      <c r="S4272" s="56"/>
      <c r="T4272" s="72"/>
      <c r="U4272" s="64">
        <f>U4270-U4271</f>
        <v>-36.517506424911616</v>
      </c>
      <c r="V4272" s="44"/>
      <c r="W4272" s="72"/>
      <c r="X4272" s="64">
        <f>X4270-X4271</f>
        <v>-364.02253613483407</v>
      </c>
      <c r="Y4272" s="44"/>
      <c r="Z4272" s="72"/>
      <c r="AA4272" s="64">
        <f>AA4270-AA4271</f>
        <v>-1412.4578074389046</v>
      </c>
      <c r="AB4272" s="44"/>
      <c r="AC4272" s="72"/>
      <c r="AD4272" s="64">
        <f>AD4270-AD4271</f>
        <v>-3875.4316342659422</v>
      </c>
      <c r="AE4272" s="44"/>
      <c r="AF4272" s="72"/>
      <c r="AG4272" s="64">
        <f>AG4270-AG4271</f>
        <v>-8629.9787454806901</v>
      </c>
      <c r="AH4272" s="44"/>
      <c r="AI4272" s="72"/>
      <c r="AJ4272" s="64">
        <f>AJ4270-AJ4271</f>
        <v>-15394.325658948776</v>
      </c>
      <c r="AK4272" s="44"/>
      <c r="AL4272" s="72"/>
      <c r="AM4272" s="64">
        <f>AM4270-AM4271</f>
        <v>-22935.823613613327</v>
      </c>
      <c r="AN4272" s="44"/>
      <c r="AO4272" s="72"/>
      <c r="AP4272" s="64">
        <f>AP4270-AP4271</f>
        <v>-30925.246367377298</v>
      </c>
      <c r="AQ4272" s="44"/>
      <c r="AR4272" s="72"/>
      <c r="AS4272" s="64">
        <f>AS4270-AS4271</f>
        <v>-40065.645432519101</v>
      </c>
      <c r="AT4272" s="44"/>
      <c r="AU4272" s="72"/>
    </row>
    <row r="4273" spans="15:47" ht="13" x14ac:dyDescent="0.3">
      <c r="O4273" s="6" t="s">
        <v>75</v>
      </c>
      <c r="P4273" s="6">
        <v>3</v>
      </c>
      <c r="Q4273" s="65"/>
      <c r="R4273" s="85">
        <f>(F_LP_h/F_P_h)^2*(R4270-('Valve Sizing'!$V$4*'Valve Sizing'!$G$7))</f>
        <v>-28.212463683797441</v>
      </c>
      <c r="S4273" s="58"/>
      <c r="T4273" s="73"/>
      <c r="U4273" s="53">
        <f>(U$29/U$27)^2*(U4270-('Valve Sizing'!$V$4*'Valve Sizing'!$G$7))</f>
        <v>-0.69370204252324585</v>
      </c>
      <c r="V4273" s="41"/>
      <c r="W4273" s="73"/>
      <c r="X4273" s="53">
        <f>(X$29/X$27)^2*(X4270-('Valve Sizing'!$V$4*'Valve Sizing'!$G$7))</f>
        <v>-221.51293951052114</v>
      </c>
      <c r="Y4273" s="41"/>
      <c r="Z4273" s="73"/>
      <c r="AA4273" s="53">
        <f>(AA$29/AA$27)^2*(AA4270-('Valve Sizing'!$V$4*'Valve Sizing'!$G$7))</f>
        <v>-886.74995618550952</v>
      </c>
      <c r="AB4273" s="41"/>
      <c r="AC4273" s="73"/>
      <c r="AD4273" s="53">
        <f>(AD$29/AD$27)^2*(AD4270-('Valve Sizing'!$V$4*'Valve Sizing'!$G$7))</f>
        <v>-2307.7514455895275</v>
      </c>
      <c r="AE4273" s="41"/>
      <c r="AF4273" s="73"/>
      <c r="AG4273" s="53">
        <f>(AG$29/AG$27)^2*(AG4270-('Valve Sizing'!$V$4*'Valve Sizing'!$G$7))</f>
        <v>-4612.6786380339654</v>
      </c>
      <c r="AH4273" s="41"/>
      <c r="AI4273" s="73"/>
      <c r="AJ4273" s="53">
        <f>(AJ$29/AJ$27)^2*(AJ4270-('Valve Sizing'!$V$4*'Valve Sizing'!$G$7))</f>
        <v>-7402.491744401309</v>
      </c>
      <c r="AK4273" s="41"/>
      <c r="AL4273" s="73"/>
      <c r="AM4273" s="53">
        <f>(AM$29/AM$27)^2*(AM4270-('Valve Sizing'!$V$4*'Valve Sizing'!$G$7))</f>
        <v>-9130.967792183661</v>
      </c>
      <c r="AN4273" s="41"/>
      <c r="AO4273" s="73"/>
      <c r="AP4273" s="53">
        <f>(AP$29/AP$27)^2*(AP4270-('Valve Sizing'!$V$4*'Valve Sizing'!$G$7))</f>
        <v>-10158.26491554257</v>
      </c>
      <c r="AQ4273" s="41"/>
      <c r="AR4273" s="73"/>
      <c r="AS4273" s="53">
        <f>(AS$29/AS$27)^2*(AS4270-('Valve Sizing'!$V$4*'Valve Sizing'!$G$7))</f>
        <v>-12547.471836182969</v>
      </c>
      <c r="AT4273" s="41"/>
      <c r="AU4273" s="73"/>
    </row>
    <row r="4274" spans="15:47" ht="13" x14ac:dyDescent="0.25">
      <c r="O4274" s="1" t="s">
        <v>69</v>
      </c>
      <c r="P4274" s="17">
        <v>7</v>
      </c>
      <c r="Q4274" s="65"/>
      <c r="R4274" s="53" t="e">
        <f>(R4268/(N_1*F_P_h))*SQRT('Valve Sizing'!$G$6/R4272)</f>
        <v>#NUM!</v>
      </c>
      <c r="S4274" s="58"/>
      <c r="T4274" s="73"/>
      <c r="U4274" s="64" t="e">
        <f>(U4268/(N_1*U$27))*SQRT('Valve Sizing'!$G$6/U4272)</f>
        <v>#NUM!</v>
      </c>
      <c r="V4274" s="41"/>
      <c r="W4274" s="73"/>
      <c r="X4274" s="64" t="e">
        <f>(X4268/(N_1*X$27))*SQRT('Valve Sizing'!$G$6/X4272)</f>
        <v>#NUM!</v>
      </c>
      <c r="Y4274" s="41"/>
      <c r="Z4274" s="73"/>
      <c r="AA4274" s="64" t="e">
        <f>(AA4268/(N_1*AA$27))*SQRT('Valve Sizing'!$G$6/AA4272)</f>
        <v>#NUM!</v>
      </c>
      <c r="AB4274" s="41"/>
      <c r="AC4274" s="73"/>
      <c r="AD4274" s="64" t="e">
        <f>(AD4268/(N_1*AD$27))*SQRT('Valve Sizing'!$G$6/AD4272)</f>
        <v>#NUM!</v>
      </c>
      <c r="AE4274" s="41"/>
      <c r="AF4274" s="73"/>
      <c r="AG4274" s="64" t="e">
        <f>(AG4268/(N_1*AG$27))*SQRT('Valve Sizing'!$G$6/AG4272)</f>
        <v>#NUM!</v>
      </c>
      <c r="AH4274" s="41"/>
      <c r="AI4274" s="73"/>
      <c r="AJ4274" s="64" t="e">
        <f>(AJ4268/(N_1*AJ$27))*SQRT('Valve Sizing'!$G$6/AJ4272)</f>
        <v>#NUM!</v>
      </c>
      <c r="AK4274" s="41"/>
      <c r="AL4274" s="73"/>
      <c r="AM4274" s="64" t="e">
        <f>(AM4268/(N_1*AM$27))*SQRT('Valve Sizing'!$G$6/AM4272)</f>
        <v>#NUM!</v>
      </c>
      <c r="AN4274" s="41"/>
      <c r="AO4274" s="73"/>
      <c r="AP4274" s="64" t="e">
        <f>(AP4268/(N_1*AP$27))*SQRT('Valve Sizing'!$G$6/AP4272)</f>
        <v>#NUM!</v>
      </c>
      <c r="AQ4274" s="41"/>
      <c r="AR4274" s="73"/>
      <c r="AS4274" s="64" t="e">
        <f>(AS4268/(N_1*AS$27))*SQRT('Valve Sizing'!$G$6/AS4272)</f>
        <v>#NUM!</v>
      </c>
      <c r="AT4274" s="41"/>
      <c r="AU4274" s="73"/>
    </row>
    <row r="4275" spans="15:47" ht="13" x14ac:dyDescent="0.3">
      <c r="O4275" s="1" t="s">
        <v>72</v>
      </c>
      <c r="P4275" s="17">
        <v>7</v>
      </c>
      <c r="Q4275" s="65"/>
      <c r="R4275" s="53" t="e">
        <f>(R4268/(N_1*F_P_h))*SQRT('Valve Sizing'!$G$6/R4273)</f>
        <v>#NUM!</v>
      </c>
      <c r="S4275" s="56"/>
      <c r="T4275" s="72"/>
      <c r="U4275" s="85" t="e">
        <f>(U4268/(N_1*U$27))*SQRT('Valve Sizing'!$G$6/U4273)</f>
        <v>#NUM!</v>
      </c>
      <c r="V4275" s="44"/>
      <c r="W4275" s="72"/>
      <c r="X4275" s="85" t="e">
        <f>(X4268/(N_1*X$27))*SQRT('Valve Sizing'!$G$6/X4273)</f>
        <v>#NUM!</v>
      </c>
      <c r="Y4275" s="44"/>
      <c r="Z4275" s="72"/>
      <c r="AA4275" s="85" t="e">
        <f>(AA4268/(N_1*AA$27))*SQRT('Valve Sizing'!$G$6/AA4273)</f>
        <v>#NUM!</v>
      </c>
      <c r="AB4275" s="44"/>
      <c r="AC4275" s="72"/>
      <c r="AD4275" s="85" t="e">
        <f>(AD4268/(N_1*AD$27))*SQRT('Valve Sizing'!$G$6/AD4273)</f>
        <v>#NUM!</v>
      </c>
      <c r="AE4275" s="44"/>
      <c r="AF4275" s="72"/>
      <c r="AG4275" s="85" t="e">
        <f>(AG4268/(N_1*AG$27))*SQRT('Valve Sizing'!$G$6/AG4273)</f>
        <v>#NUM!</v>
      </c>
      <c r="AH4275" s="44"/>
      <c r="AI4275" s="72"/>
      <c r="AJ4275" s="85" t="e">
        <f>(AJ4268/(N_1*AJ$27))*SQRT('Valve Sizing'!$G$6/AJ4273)</f>
        <v>#NUM!</v>
      </c>
      <c r="AK4275" s="44"/>
      <c r="AL4275" s="72"/>
      <c r="AM4275" s="85" t="e">
        <f>(AM4268/(N_1*AM$27))*SQRT('Valve Sizing'!$G$6/AM4273)</f>
        <v>#NUM!</v>
      </c>
      <c r="AN4275" s="44"/>
      <c r="AO4275" s="72"/>
      <c r="AP4275" s="85" t="e">
        <f>(AP4268/(N_1*AP$27))*SQRT('Valve Sizing'!$G$6/AP4273)</f>
        <v>#NUM!</v>
      </c>
      <c r="AQ4275" s="44"/>
      <c r="AR4275" s="72"/>
      <c r="AS4275" s="85" t="e">
        <f>(AS4268/(N_1*AS$27))*SQRT('Valve Sizing'!$G$6/AS4273)</f>
        <v>#NUM!</v>
      </c>
      <c r="AT4275" s="44"/>
      <c r="AU4275" s="72"/>
    </row>
    <row r="4276" spans="15:47" x14ac:dyDescent="0.25">
      <c r="O4276" s="1" t="s">
        <v>246</v>
      </c>
      <c r="P4276" s="18"/>
      <c r="Q4276" s="65"/>
      <c r="R4276" s="53" t="e">
        <f>IF(R4272&lt;R4273,R4274,R4275)</f>
        <v>#NUM!</v>
      </c>
      <c r="S4276" s="49"/>
      <c r="T4276" s="72"/>
      <c r="U4276" s="64" t="e">
        <f>IF(U4272&lt;U4273,U4274,U4275)</f>
        <v>#NUM!</v>
      </c>
      <c r="V4276" s="44"/>
      <c r="W4276" s="72"/>
      <c r="X4276" s="64" t="e">
        <f>IF(X4272&lt;X4273,X4274,X4275)</f>
        <v>#NUM!</v>
      </c>
      <c r="Y4276" s="44"/>
      <c r="Z4276" s="72"/>
      <c r="AA4276" s="64" t="e">
        <f>IF(AA4272&lt;AA4273,AA4274,AA4275)</f>
        <v>#NUM!</v>
      </c>
      <c r="AB4276" s="44"/>
      <c r="AC4276" s="72"/>
      <c r="AD4276" s="64" t="e">
        <f>IF(AD4272&lt;AD4273,AD4274,AD4275)</f>
        <v>#NUM!</v>
      </c>
      <c r="AE4276" s="44"/>
      <c r="AF4276" s="72"/>
      <c r="AG4276" s="64" t="e">
        <f>IF(AG4272&lt;AG4273,AG4274,AG4275)</f>
        <v>#NUM!</v>
      </c>
      <c r="AH4276" s="44"/>
      <c r="AI4276" s="72"/>
      <c r="AJ4276" s="64" t="e">
        <f>IF(AJ4272&lt;AJ4273,AJ4274,AJ4275)</f>
        <v>#NUM!</v>
      </c>
      <c r="AK4276" s="44"/>
      <c r="AL4276" s="72"/>
      <c r="AM4276" s="64" t="e">
        <f>IF(AM4272&lt;AM4273,AM4274,AM4275)</f>
        <v>#NUM!</v>
      </c>
      <c r="AN4276" s="44"/>
      <c r="AO4276" s="72"/>
      <c r="AP4276" s="64" t="e">
        <f>IF(AP4272&lt;AP4273,AP4274,AP4275)</f>
        <v>#NUM!</v>
      </c>
      <c r="AQ4276" s="44"/>
      <c r="AR4276" s="72"/>
      <c r="AS4276" s="64" t="e">
        <f>IF(AS4272&lt;AS4273,AS4274,AS4275)</f>
        <v>#NUM!</v>
      </c>
      <c r="AT4276" s="44"/>
      <c r="AU4276" s="72"/>
    </row>
    <row r="4277" spans="15:47" ht="13" x14ac:dyDescent="0.3">
      <c r="O4277" s="7" t="s">
        <v>264</v>
      </c>
      <c r="Q4277" s="61"/>
      <c r="R4277" s="53"/>
      <c r="S4277" s="69">
        <f>IFERROR(ABS(C_h-R4276),Q_max*10)</f>
        <v>5500</v>
      </c>
      <c r="T4277" s="76">
        <f>R4268</f>
        <v>1637.4050117167915</v>
      </c>
      <c r="U4277" s="61"/>
      <c r="V4277" s="69">
        <f>IFERROR(ABS(U$23-U4276),Q_max*10)</f>
        <v>5500</v>
      </c>
      <c r="W4277" s="75">
        <f>U4268</f>
        <v>1302.7161897492078</v>
      </c>
      <c r="X4277" s="61"/>
      <c r="Y4277" s="69">
        <f>IFERROR(ABS(X$23-X4276),Q_max*10)</f>
        <v>5500</v>
      </c>
      <c r="Z4277" s="75">
        <f>X4268</f>
        <v>3127.0203195897257</v>
      </c>
      <c r="AA4277" s="61"/>
      <c r="AB4277" s="69">
        <f>IFERROR(ABS(AA$23-AA4276),Q_max*10)</f>
        <v>5500</v>
      </c>
      <c r="AC4277" s="75">
        <f>AA4268</f>
        <v>5970.6278060648674</v>
      </c>
      <c r="AD4277" s="61"/>
      <c r="AE4277" s="69">
        <f>IFERROR(ABS(AD$23-AD4276),Q_max*10)</f>
        <v>5500</v>
      </c>
      <c r="AF4277" s="75">
        <f>AD4268</f>
        <v>9819.4844862402078</v>
      </c>
      <c r="AG4277" s="61"/>
      <c r="AH4277" s="69">
        <f>IFERROR(ABS(AG$23-AG4276),Q_max*10)</f>
        <v>5500</v>
      </c>
      <c r="AI4277" s="75">
        <f>AG4268</f>
        <v>14619.874334095215</v>
      </c>
      <c r="AJ4277" s="61"/>
      <c r="AK4277" s="69">
        <f>IFERROR(ABS(AJ$23-AJ4276),Q_max*10)</f>
        <v>5500</v>
      </c>
      <c r="AL4277" s="75">
        <f>AJ4268</f>
        <v>19510.278973775876</v>
      </c>
      <c r="AM4277" s="61"/>
      <c r="AN4277" s="69">
        <f>IFERROR(ABS(AM$23-AM4276),Q_max*10)</f>
        <v>5500</v>
      </c>
      <c r="AO4277" s="75">
        <f>AM4268</f>
        <v>23806.248080407564</v>
      </c>
      <c r="AP4277" s="61"/>
      <c r="AQ4277" s="69">
        <f>IFERROR(ABS(AP$23-AP4276),Q_max*10)</f>
        <v>5500</v>
      </c>
      <c r="AR4277" s="75">
        <f>AP4268</f>
        <v>27638.314965189806</v>
      </c>
      <c r="AS4277" s="61"/>
      <c r="AT4277" s="69">
        <f>IFERROR(ABS(AS$23-AS4276),Q_max*10)</f>
        <v>5500</v>
      </c>
      <c r="AU4277" s="75">
        <f>AS4268</f>
        <v>31454.980544381342</v>
      </c>
    </row>
    <row r="4278" spans="15:47" ht="14.5" x14ac:dyDescent="0.35">
      <c r="O4278" s="6"/>
      <c r="P4278" s="6"/>
      <c r="Q4278" s="60"/>
      <c r="R4278" s="67"/>
      <c r="S4278" s="56"/>
      <c r="T4278" s="72"/>
      <c r="V4278" s="11"/>
      <c r="W4278" s="38"/>
      <c r="Y4278" s="11"/>
      <c r="Z4278" s="38"/>
      <c r="AB4278" s="11"/>
      <c r="AC4278" s="38"/>
      <c r="AE4278" s="11"/>
      <c r="AF4278" s="38"/>
      <c r="AH4278" s="11"/>
      <c r="AI4278" s="38"/>
      <c r="AK4278" s="11"/>
      <c r="AL4278" s="38"/>
      <c r="AN4278" s="11"/>
      <c r="AO4278" s="38"/>
      <c r="AQ4278" s="11"/>
      <c r="AR4278" s="38"/>
      <c r="AT4278" s="11"/>
      <c r="AU4278" s="38"/>
    </row>
    <row r="4279" spans="15:47" ht="14" x14ac:dyDescent="0.3">
      <c r="O4279" s="8" t="s">
        <v>235</v>
      </c>
      <c r="P4279" s="6"/>
      <c r="Q4279" s="60"/>
      <c r="R4279" s="53">
        <f>R4268*1.02</f>
        <v>1670.1531119511274</v>
      </c>
      <c r="S4279" s="58" t="s">
        <v>238</v>
      </c>
      <c r="T4279" s="73" t="s">
        <v>241</v>
      </c>
      <c r="U4279" s="84">
        <f>U4268*1.01</f>
        <v>1315.7433516466999</v>
      </c>
      <c r="V4279" s="58" t="s">
        <v>238</v>
      </c>
      <c r="W4279" s="73" t="s">
        <v>241</v>
      </c>
      <c r="X4279" s="84">
        <f>X4268*1.01</f>
        <v>3158.2905227856231</v>
      </c>
      <c r="Y4279" s="58" t="s">
        <v>238</v>
      </c>
      <c r="Z4279" s="73" t="s">
        <v>241</v>
      </c>
      <c r="AA4279" s="84">
        <f>AA4268*1.01</f>
        <v>6030.3340841255158</v>
      </c>
      <c r="AB4279" s="58" t="s">
        <v>238</v>
      </c>
      <c r="AC4279" s="73" t="s">
        <v>241</v>
      </c>
      <c r="AD4279" s="84">
        <f>AD4268*1.01</f>
        <v>9917.6793311026104</v>
      </c>
      <c r="AE4279" s="58" t="s">
        <v>238</v>
      </c>
      <c r="AF4279" s="73" t="s">
        <v>241</v>
      </c>
      <c r="AG4279" s="84">
        <f>AG4268*1.01</f>
        <v>14766.073077436167</v>
      </c>
      <c r="AH4279" s="58" t="s">
        <v>238</v>
      </c>
      <c r="AI4279" s="73" t="s">
        <v>241</v>
      </c>
      <c r="AJ4279" s="84">
        <f>AJ4268*1.01</f>
        <v>19705.381763513633</v>
      </c>
      <c r="AK4279" s="58" t="s">
        <v>238</v>
      </c>
      <c r="AL4279" s="73" t="s">
        <v>241</v>
      </c>
      <c r="AM4279" s="84">
        <f>AM4268*1.01</f>
        <v>24044.310561211641</v>
      </c>
      <c r="AN4279" s="58" t="s">
        <v>238</v>
      </c>
      <c r="AO4279" s="73" t="s">
        <v>241</v>
      </c>
      <c r="AP4279" s="84">
        <f>AP4268*1.01</f>
        <v>27914.698114841704</v>
      </c>
      <c r="AQ4279" s="58" t="s">
        <v>238</v>
      </c>
      <c r="AR4279" s="73" t="s">
        <v>241</v>
      </c>
      <c r="AS4279" s="84">
        <f>AS4268*1.01</f>
        <v>31769.530349825156</v>
      </c>
      <c r="AT4279" s="58" t="s">
        <v>238</v>
      </c>
      <c r="AU4279" s="73" t="s">
        <v>241</v>
      </c>
    </row>
    <row r="4280" spans="15:47" ht="13" x14ac:dyDescent="0.25">
      <c r="O4280" s="6"/>
      <c r="P4280" s="6"/>
      <c r="Q4280" s="60"/>
      <c r="R4280" s="70"/>
      <c r="S4280" s="63" t="s">
        <v>250</v>
      </c>
      <c r="T4280" s="71" t="s">
        <v>242</v>
      </c>
      <c r="U4280" s="61"/>
      <c r="V4280" s="63" t="s">
        <v>250</v>
      </c>
      <c r="W4280" s="71" t="s">
        <v>242</v>
      </c>
      <c r="X4280" s="61"/>
      <c r="Y4280" s="63" t="s">
        <v>250</v>
      </c>
      <c r="Z4280" s="71" t="s">
        <v>242</v>
      </c>
      <c r="AA4280" s="61"/>
      <c r="AB4280" s="63" t="s">
        <v>250</v>
      </c>
      <c r="AC4280" s="71" t="s">
        <v>242</v>
      </c>
      <c r="AD4280" s="61"/>
      <c r="AE4280" s="63" t="s">
        <v>250</v>
      </c>
      <c r="AF4280" s="71" t="s">
        <v>242</v>
      </c>
      <c r="AG4280" s="61"/>
      <c r="AH4280" s="63" t="s">
        <v>250</v>
      </c>
      <c r="AI4280" s="71" t="s">
        <v>242</v>
      </c>
      <c r="AJ4280" s="61"/>
      <c r="AK4280" s="63" t="s">
        <v>250</v>
      </c>
      <c r="AL4280" s="71" t="s">
        <v>242</v>
      </c>
      <c r="AM4280" s="61"/>
      <c r="AN4280" s="63" t="s">
        <v>250</v>
      </c>
      <c r="AO4280" s="71" t="s">
        <v>242</v>
      </c>
      <c r="AP4280" s="61"/>
      <c r="AQ4280" s="63" t="s">
        <v>250</v>
      </c>
      <c r="AR4280" s="71" t="s">
        <v>242</v>
      </c>
      <c r="AS4280" s="61"/>
      <c r="AT4280" s="63" t="s">
        <v>250</v>
      </c>
      <c r="AU4280" s="71" t="s">
        <v>242</v>
      </c>
    </row>
    <row r="4281" spans="15:47" ht="13" x14ac:dyDescent="0.3">
      <c r="O4281" s="6" t="s">
        <v>231</v>
      </c>
      <c r="P4281" s="6"/>
      <c r="Q4281" s="60"/>
      <c r="R4281" s="85">
        <f>P_1_minQ-(R4279^2*R_up)+dpup_minQ</f>
        <v>-37.288902984128164</v>
      </c>
      <c r="S4281" s="56"/>
      <c r="T4281" s="72"/>
      <c r="U4281" s="53">
        <f>P_1_minQ-(U4279^2*R_up)+dpup_minQ</f>
        <v>-1.5499347315937628</v>
      </c>
      <c r="V4281" s="44"/>
      <c r="W4281" s="72"/>
      <c r="X4281" s="53">
        <f>P_1_minQ-(X4279^2*R_up)+dpup_minQ</f>
        <v>-279.95650207083708</v>
      </c>
      <c r="Y4281" s="44"/>
      <c r="Z4281" s="72"/>
      <c r="AA4281" s="53">
        <f>P_1_minQ-(AA4279^2*R_up)+dpup_minQ</f>
        <v>-1171.213852285239</v>
      </c>
      <c r="AB4281" s="44"/>
      <c r="AC4281" s="72"/>
      <c r="AD4281" s="53">
        <f>P_1_minQ-(AD4279^2*R_up)+dpup_minQ</f>
        <v>-3264.9468529071237</v>
      </c>
      <c r="AE4281" s="44"/>
      <c r="AF4281" s="72"/>
      <c r="AG4281" s="53">
        <f>P_1_minQ-(AG4279^2*R_up)+dpup_minQ</f>
        <v>-7306.7081096989277</v>
      </c>
      <c r="AH4281" s="44"/>
      <c r="AI4281" s="72"/>
      <c r="AJ4281" s="53">
        <f>P_1_minQ-(AJ4279^2*R_up)+dpup_minQ</f>
        <v>-13056.966681722921</v>
      </c>
      <c r="AK4281" s="44"/>
      <c r="AL4281" s="72"/>
      <c r="AM4281" s="53">
        <f>P_1_minQ-(AM4279^2*R_up)+dpup_minQ</f>
        <v>-19467.868401350683</v>
      </c>
      <c r="AN4281" s="44"/>
      <c r="AO4281" s="72"/>
      <c r="AP4281" s="53">
        <f>P_1_minQ-(AP4279^2*R_up)+dpup_minQ</f>
        <v>-26259.543527279533</v>
      </c>
      <c r="AQ4281" s="44"/>
      <c r="AR4281" s="72"/>
      <c r="AS4281" s="53">
        <f>P_1_minQ-(AS4279^2*R_up)+dpup_minQ</f>
        <v>-34029.64443257216</v>
      </c>
      <c r="AT4281" s="44"/>
      <c r="AU4281" s="72"/>
    </row>
    <row r="4282" spans="15:47" ht="13" x14ac:dyDescent="0.3">
      <c r="O4282" s="6" t="s">
        <v>233</v>
      </c>
      <c r="P4282" s="6"/>
      <c r="Q4282" s="60"/>
      <c r="R4282" s="85">
        <f>P_2_minQ+(R4279^2*R_dn)-dpdn_minQ</f>
        <v>43.497780596825635</v>
      </c>
      <c r="S4282" s="66"/>
      <c r="T4282" s="74"/>
      <c r="U4282" s="53">
        <f>P_2_minQ+(U4279^2*R_dn)-dpdn_minQ</f>
        <v>36.349986946318758</v>
      </c>
      <c r="V4282" s="45"/>
      <c r="W4282" s="74"/>
      <c r="X4282" s="53">
        <f>P_2_minQ+(X4279^2*R_dn)-dpdn_minQ</f>
        <v>92.031300414167404</v>
      </c>
      <c r="Y4282" s="45"/>
      <c r="Z4282" s="74"/>
      <c r="AA4282" s="53">
        <f>P_2_minQ+(AA4279^2*R_dn)-dpdn_minQ</f>
        <v>270.28277045704777</v>
      </c>
      <c r="AB4282" s="45"/>
      <c r="AC4282" s="74"/>
      <c r="AD4282" s="53">
        <f>P_2_minQ+(AD4279^2*R_dn)-dpdn_minQ</f>
        <v>689.0293705814247</v>
      </c>
      <c r="AE4282" s="45"/>
      <c r="AF4282" s="74"/>
      <c r="AG4282" s="53">
        <f>P_2_minQ+(AG4279^2*R_dn)-dpdn_minQ</f>
        <v>1497.3816219397854</v>
      </c>
      <c r="AH4282" s="45"/>
      <c r="AI4282" s="74"/>
      <c r="AJ4282" s="53">
        <f>P_2_minQ+(AJ4279^2*R_dn)-dpdn_minQ</f>
        <v>2647.4333363445839</v>
      </c>
      <c r="AK4282" s="45"/>
      <c r="AL4282" s="74"/>
      <c r="AM4282" s="53">
        <f>P_2_minQ+(AM4279^2*R_dn)-dpdn_minQ</f>
        <v>3929.6136802701358</v>
      </c>
      <c r="AN4282" s="45"/>
      <c r="AO4282" s="74"/>
      <c r="AP4282" s="53">
        <f>P_2_minQ+(AP4279^2*R_dn)-dpdn_minQ</f>
        <v>5287.9487054559067</v>
      </c>
      <c r="AQ4282" s="45"/>
      <c r="AR4282" s="74"/>
      <c r="AS4282" s="53">
        <f>P_2_minQ+(AS4279^2*R_dn)-dpdn_minQ</f>
        <v>6841.9688865144317</v>
      </c>
      <c r="AT4282" s="45"/>
      <c r="AU4282" s="74"/>
    </row>
    <row r="4283" spans="15:47" x14ac:dyDescent="0.25">
      <c r="O4283" s="6" t="s">
        <v>243</v>
      </c>
      <c r="Q4283" s="60"/>
      <c r="R4283" s="53">
        <f>R4281-R4282</f>
        <v>-80.786683580953792</v>
      </c>
      <c r="S4283" s="56"/>
      <c r="T4283" s="72"/>
      <c r="U4283" s="64">
        <f>U4281-U4282</f>
        <v>-37.899921677912523</v>
      </c>
      <c r="V4283" s="44"/>
      <c r="W4283" s="72"/>
      <c r="X4283" s="64">
        <f>X4281-X4282</f>
        <v>-371.98780248500447</v>
      </c>
      <c r="Y4283" s="44"/>
      <c r="Z4283" s="72"/>
      <c r="AA4283" s="64">
        <f>AA4281-AA4282</f>
        <v>-1441.4966227422867</v>
      </c>
      <c r="AB4283" s="44"/>
      <c r="AC4283" s="72"/>
      <c r="AD4283" s="64">
        <f>AD4281-AD4282</f>
        <v>-3953.9762234885484</v>
      </c>
      <c r="AE4283" s="44"/>
      <c r="AF4283" s="72"/>
      <c r="AG4283" s="64">
        <f>AG4281-AG4282</f>
        <v>-8804.0897316387127</v>
      </c>
      <c r="AH4283" s="44"/>
      <c r="AI4283" s="72"/>
      <c r="AJ4283" s="64">
        <f>AJ4281-AJ4282</f>
        <v>-15704.400018067505</v>
      </c>
      <c r="AK4283" s="44"/>
      <c r="AL4283" s="72"/>
      <c r="AM4283" s="64">
        <f>AM4281-AM4282</f>
        <v>-23397.482081620819</v>
      </c>
      <c r="AN4283" s="44"/>
      <c r="AO4283" s="72"/>
      <c r="AP4283" s="64">
        <f>AP4281-AP4282</f>
        <v>-31547.49223273544</v>
      </c>
      <c r="AQ4283" s="44"/>
      <c r="AR4283" s="72"/>
      <c r="AS4283" s="64">
        <f>AS4281-AS4282</f>
        <v>-40871.613319086595</v>
      </c>
      <c r="AT4283" s="44"/>
      <c r="AU4283" s="72"/>
    </row>
    <row r="4284" spans="15:47" ht="13" x14ac:dyDescent="0.3">
      <c r="O4284" s="6" t="s">
        <v>75</v>
      </c>
      <c r="P4284" s="6">
        <v>3</v>
      </c>
      <c r="Q4284" s="65"/>
      <c r="R4284" s="85">
        <f>(F_LP_h/F_P_h)^2*(R4281-('Valve Sizing'!$V$4*'Valve Sizing'!$G$7))</f>
        <v>-31.241559811588235</v>
      </c>
      <c r="S4284" s="58"/>
      <c r="T4284" s="73"/>
      <c r="U4284" s="53">
        <f>(U$29/U$27)^2*(U4281-('Valve Sizing'!$V$4*'Valve Sizing'!$G$7))</f>
        <v>-1.64736903507986</v>
      </c>
      <c r="V4284" s="41"/>
      <c r="W4284" s="73"/>
      <c r="X4284" s="53">
        <f>(X$29/X$27)^2*(X4281-('Valve Sizing'!$V$4*'Valve Sizing'!$G$7))</f>
        <v>-226.88387589596095</v>
      </c>
      <c r="Y4284" s="41"/>
      <c r="Z4284" s="73"/>
      <c r="AA4284" s="53">
        <f>(AA$29/AA$27)^2*(AA4281-('Valve Sizing'!$V$4*'Valve Sizing'!$G$7))</f>
        <v>-905.4508860003815</v>
      </c>
      <c r="AB4284" s="41"/>
      <c r="AC4284" s="73"/>
      <c r="AD4284" s="53">
        <f>(AD$29/AD$27)^2*(AD4281-('Valve Sizing'!$V$4*'Valve Sizing'!$G$7))</f>
        <v>-2354.9559194638036</v>
      </c>
      <c r="AE4284" s="41"/>
      <c r="AF4284" s="73"/>
      <c r="AG4284" s="53">
        <f>(AG$29/AG$27)^2*(AG4281-('Valve Sizing'!$V$4*'Valve Sizing'!$G$7))</f>
        <v>-4706.1245775919651</v>
      </c>
      <c r="AH4284" s="41"/>
      <c r="AI4284" s="73"/>
      <c r="AJ4284" s="53">
        <f>(AJ$29/AJ$27)^2*(AJ4281-('Valve Sizing'!$V$4*'Valve Sizing'!$G$7))</f>
        <v>-7551.938369912481</v>
      </c>
      <c r="AK4284" s="41"/>
      <c r="AL4284" s="73"/>
      <c r="AM4284" s="53">
        <f>(AM$29/AM$27)^2*(AM4281-('Valve Sizing'!$V$4*'Valve Sizing'!$G$7))</f>
        <v>-9315.0433917104747</v>
      </c>
      <c r="AN4284" s="41"/>
      <c r="AO4284" s="73"/>
      <c r="AP4284" s="53">
        <f>(AP$29/AP$27)^2*(AP4281-('Valve Sizing'!$V$4*'Valve Sizing'!$G$7))</f>
        <v>-10362.894008611875</v>
      </c>
      <c r="AQ4284" s="41"/>
      <c r="AR4284" s="73"/>
      <c r="AS4284" s="53">
        <f>(AS$29/AS$27)^2*(AS4281-('Valve Sizing'!$V$4*'Valve Sizing'!$G$7))</f>
        <v>-12800.103003579365</v>
      </c>
      <c r="AT4284" s="41"/>
      <c r="AU4284" s="73"/>
    </row>
    <row r="4285" spans="15:47" ht="13" x14ac:dyDescent="0.25">
      <c r="O4285" s="1" t="s">
        <v>69</v>
      </c>
      <c r="P4285" s="17">
        <v>7</v>
      </c>
      <c r="Q4285" s="65"/>
      <c r="R4285" s="53" t="e">
        <f>(R4279/(N_1*F_P_h))*SQRT('Valve Sizing'!$G$6/R4283)</f>
        <v>#NUM!</v>
      </c>
      <c r="S4285" s="58"/>
      <c r="T4285" s="73"/>
      <c r="U4285" s="64" t="e">
        <f>(U4279/(N_1*U$27))*SQRT('Valve Sizing'!$G$6/U4283)</f>
        <v>#NUM!</v>
      </c>
      <c r="V4285" s="41"/>
      <c r="W4285" s="73"/>
      <c r="X4285" s="64" t="e">
        <f>(X4279/(N_1*X$27))*SQRT('Valve Sizing'!$G$6/X4283)</f>
        <v>#NUM!</v>
      </c>
      <c r="Y4285" s="41"/>
      <c r="Z4285" s="73"/>
      <c r="AA4285" s="64" t="e">
        <f>(AA4279/(N_1*AA$27))*SQRT('Valve Sizing'!$G$6/AA4283)</f>
        <v>#NUM!</v>
      </c>
      <c r="AB4285" s="41"/>
      <c r="AC4285" s="73"/>
      <c r="AD4285" s="64" t="e">
        <f>(AD4279/(N_1*AD$27))*SQRT('Valve Sizing'!$G$6/AD4283)</f>
        <v>#NUM!</v>
      </c>
      <c r="AE4285" s="41"/>
      <c r="AF4285" s="73"/>
      <c r="AG4285" s="64" t="e">
        <f>(AG4279/(N_1*AG$27))*SQRT('Valve Sizing'!$G$6/AG4283)</f>
        <v>#NUM!</v>
      </c>
      <c r="AH4285" s="41"/>
      <c r="AI4285" s="73"/>
      <c r="AJ4285" s="64" t="e">
        <f>(AJ4279/(N_1*AJ$27))*SQRT('Valve Sizing'!$G$6/AJ4283)</f>
        <v>#NUM!</v>
      </c>
      <c r="AK4285" s="41"/>
      <c r="AL4285" s="73"/>
      <c r="AM4285" s="64" t="e">
        <f>(AM4279/(N_1*AM$27))*SQRT('Valve Sizing'!$G$6/AM4283)</f>
        <v>#NUM!</v>
      </c>
      <c r="AN4285" s="41"/>
      <c r="AO4285" s="73"/>
      <c r="AP4285" s="64" t="e">
        <f>(AP4279/(N_1*AP$27))*SQRT('Valve Sizing'!$G$6/AP4283)</f>
        <v>#NUM!</v>
      </c>
      <c r="AQ4285" s="41"/>
      <c r="AR4285" s="73"/>
      <c r="AS4285" s="64" t="e">
        <f>(AS4279/(N_1*AS$27))*SQRT('Valve Sizing'!$G$6/AS4283)</f>
        <v>#NUM!</v>
      </c>
      <c r="AT4285" s="41"/>
      <c r="AU4285" s="73"/>
    </row>
    <row r="4286" spans="15:47" ht="13" x14ac:dyDescent="0.3">
      <c r="O4286" s="1" t="s">
        <v>72</v>
      </c>
      <c r="P4286" s="17">
        <v>7</v>
      </c>
      <c r="Q4286" s="65"/>
      <c r="R4286" s="53" t="e">
        <f>(R4279/(N_1*F_P_h))*SQRT('Valve Sizing'!$G$6/R4284)</f>
        <v>#NUM!</v>
      </c>
      <c r="S4286" s="56"/>
      <c r="T4286" s="72"/>
      <c r="U4286" s="85" t="e">
        <f>(U4279/(N_1*U$27))*SQRT('Valve Sizing'!$G$6/U4284)</f>
        <v>#NUM!</v>
      </c>
      <c r="V4286" s="44"/>
      <c r="W4286" s="72"/>
      <c r="X4286" s="85" t="e">
        <f>(X4279/(N_1*X$27))*SQRT('Valve Sizing'!$G$6/X4284)</f>
        <v>#NUM!</v>
      </c>
      <c r="Y4286" s="44"/>
      <c r="Z4286" s="72"/>
      <c r="AA4286" s="85" t="e">
        <f>(AA4279/(N_1*AA$27))*SQRT('Valve Sizing'!$G$6/AA4284)</f>
        <v>#NUM!</v>
      </c>
      <c r="AB4286" s="44"/>
      <c r="AC4286" s="72"/>
      <c r="AD4286" s="85" t="e">
        <f>(AD4279/(N_1*AD$27))*SQRT('Valve Sizing'!$G$6/AD4284)</f>
        <v>#NUM!</v>
      </c>
      <c r="AE4286" s="44"/>
      <c r="AF4286" s="72"/>
      <c r="AG4286" s="85" t="e">
        <f>(AG4279/(N_1*AG$27))*SQRT('Valve Sizing'!$G$6/AG4284)</f>
        <v>#NUM!</v>
      </c>
      <c r="AH4286" s="44"/>
      <c r="AI4286" s="72"/>
      <c r="AJ4286" s="85" t="e">
        <f>(AJ4279/(N_1*AJ$27))*SQRT('Valve Sizing'!$G$6/AJ4284)</f>
        <v>#NUM!</v>
      </c>
      <c r="AK4286" s="44"/>
      <c r="AL4286" s="72"/>
      <c r="AM4286" s="85" t="e">
        <f>(AM4279/(N_1*AM$27))*SQRT('Valve Sizing'!$G$6/AM4284)</f>
        <v>#NUM!</v>
      </c>
      <c r="AN4286" s="44"/>
      <c r="AO4286" s="72"/>
      <c r="AP4286" s="85" t="e">
        <f>(AP4279/(N_1*AP$27))*SQRT('Valve Sizing'!$G$6/AP4284)</f>
        <v>#NUM!</v>
      </c>
      <c r="AQ4286" s="44"/>
      <c r="AR4286" s="72"/>
      <c r="AS4286" s="85" t="e">
        <f>(AS4279/(N_1*AS$27))*SQRT('Valve Sizing'!$G$6/AS4284)</f>
        <v>#NUM!</v>
      </c>
      <c r="AT4286" s="44"/>
      <c r="AU4286" s="72"/>
    </row>
    <row r="4287" spans="15:47" x14ac:dyDescent="0.25">
      <c r="O4287" s="1" t="s">
        <v>246</v>
      </c>
      <c r="P4287" s="18"/>
      <c r="Q4287" s="65"/>
      <c r="R4287" s="53" t="e">
        <f>IF(R4283&lt;R4284,R4285,R4286)</f>
        <v>#NUM!</v>
      </c>
      <c r="S4287" s="49"/>
      <c r="T4287" s="72"/>
      <c r="U4287" s="64" t="e">
        <f>IF(U4283&lt;U4284,U4285,U4286)</f>
        <v>#NUM!</v>
      </c>
      <c r="V4287" s="44"/>
      <c r="W4287" s="72"/>
      <c r="X4287" s="64" t="e">
        <f>IF(X4283&lt;X4284,X4285,X4286)</f>
        <v>#NUM!</v>
      </c>
      <c r="Y4287" s="44"/>
      <c r="Z4287" s="72"/>
      <c r="AA4287" s="64" t="e">
        <f>IF(AA4283&lt;AA4284,AA4285,AA4286)</f>
        <v>#NUM!</v>
      </c>
      <c r="AB4287" s="44"/>
      <c r="AC4287" s="72"/>
      <c r="AD4287" s="64" t="e">
        <f>IF(AD4283&lt;AD4284,AD4285,AD4286)</f>
        <v>#NUM!</v>
      </c>
      <c r="AE4287" s="44"/>
      <c r="AF4287" s="72"/>
      <c r="AG4287" s="64" t="e">
        <f>IF(AG4283&lt;AG4284,AG4285,AG4286)</f>
        <v>#NUM!</v>
      </c>
      <c r="AH4287" s="44"/>
      <c r="AI4287" s="72"/>
      <c r="AJ4287" s="64" t="e">
        <f>IF(AJ4283&lt;AJ4284,AJ4285,AJ4286)</f>
        <v>#NUM!</v>
      </c>
      <c r="AK4287" s="44"/>
      <c r="AL4287" s="72"/>
      <c r="AM4287" s="64" t="e">
        <f>IF(AM4283&lt;AM4284,AM4285,AM4286)</f>
        <v>#NUM!</v>
      </c>
      <c r="AN4287" s="44"/>
      <c r="AO4287" s="72"/>
      <c r="AP4287" s="64" t="e">
        <f>IF(AP4283&lt;AP4284,AP4285,AP4286)</f>
        <v>#NUM!</v>
      </c>
      <c r="AQ4287" s="44"/>
      <c r="AR4287" s="72"/>
      <c r="AS4287" s="64" t="e">
        <f>IF(AS4283&lt;AS4284,AS4285,AS4286)</f>
        <v>#NUM!</v>
      </c>
      <c r="AT4287" s="44"/>
      <c r="AU4287" s="72"/>
    </row>
    <row r="4288" spans="15:47" ht="13" x14ac:dyDescent="0.3">
      <c r="O4288" s="7" t="s">
        <v>264</v>
      </c>
      <c r="Q4288" s="61"/>
      <c r="R4288" s="53"/>
      <c r="S4288" s="69">
        <f>IFERROR(ABS(C_h-R4287),Q_max*10)</f>
        <v>5500</v>
      </c>
      <c r="T4288" s="76">
        <f>R4279</f>
        <v>1670.1531119511274</v>
      </c>
      <c r="U4288" s="61"/>
      <c r="V4288" s="69">
        <f>IFERROR(ABS(U$23-U4287),Q_max*10)</f>
        <v>5500</v>
      </c>
      <c r="W4288" s="75">
        <f>U4279</f>
        <v>1315.7433516466999</v>
      </c>
      <c r="X4288" s="61"/>
      <c r="Y4288" s="69">
        <f>IFERROR(ABS(X$23-X4287),Q_max*10)</f>
        <v>5500</v>
      </c>
      <c r="Z4288" s="75">
        <f>X4279</f>
        <v>3158.2905227856231</v>
      </c>
      <c r="AA4288" s="61"/>
      <c r="AB4288" s="69">
        <f>IFERROR(ABS(AA$23-AA4287),Q_max*10)</f>
        <v>5500</v>
      </c>
      <c r="AC4288" s="75">
        <f>AA4279</f>
        <v>6030.3340841255158</v>
      </c>
      <c r="AD4288" s="61"/>
      <c r="AE4288" s="69">
        <f>IFERROR(ABS(AD$23-AD4287),Q_max*10)</f>
        <v>5500</v>
      </c>
      <c r="AF4288" s="75">
        <f>AD4279</f>
        <v>9917.6793311026104</v>
      </c>
      <c r="AG4288" s="61"/>
      <c r="AH4288" s="69">
        <f>IFERROR(ABS(AG$23-AG4287),Q_max*10)</f>
        <v>5500</v>
      </c>
      <c r="AI4288" s="75">
        <f>AG4279</f>
        <v>14766.073077436167</v>
      </c>
      <c r="AJ4288" s="61"/>
      <c r="AK4288" s="69">
        <f>IFERROR(ABS(AJ$23-AJ4287),Q_max*10)</f>
        <v>5500</v>
      </c>
      <c r="AL4288" s="75">
        <f>AJ4279</f>
        <v>19705.381763513633</v>
      </c>
      <c r="AM4288" s="61"/>
      <c r="AN4288" s="69">
        <f>IFERROR(ABS(AM$23-AM4287),Q_max*10)</f>
        <v>5500</v>
      </c>
      <c r="AO4288" s="75">
        <f>AM4279</f>
        <v>24044.310561211641</v>
      </c>
      <c r="AP4288" s="61"/>
      <c r="AQ4288" s="69">
        <f>IFERROR(ABS(AP$23-AP4287),Q_max*10)</f>
        <v>5500</v>
      </c>
      <c r="AR4288" s="75">
        <f>AP4279</f>
        <v>27914.698114841704</v>
      </c>
      <c r="AS4288" s="61"/>
      <c r="AT4288" s="69">
        <f>IFERROR(ABS(AS$23-AS4287),Q_max*10)</f>
        <v>5500</v>
      </c>
      <c r="AU4288" s="75">
        <f>AS4279</f>
        <v>31769.530349825156</v>
      </c>
    </row>
    <row r="4289" spans="15:47" ht="14.5" x14ac:dyDescent="0.35">
      <c r="O4289" s="6"/>
      <c r="P4289" s="6"/>
      <c r="Q4289" s="60"/>
      <c r="R4289" s="67"/>
      <c r="S4289" s="58"/>
      <c r="T4289" s="73"/>
      <c r="V4289" s="11"/>
      <c r="W4289" s="38"/>
      <c r="Y4289" s="11"/>
      <c r="Z4289" s="38"/>
      <c r="AB4289" s="11"/>
      <c r="AC4289" s="38"/>
      <c r="AE4289" s="11"/>
      <c r="AF4289" s="38"/>
      <c r="AH4289" s="11"/>
      <c r="AI4289" s="38"/>
      <c r="AK4289" s="11"/>
      <c r="AL4289" s="38"/>
      <c r="AN4289" s="11"/>
      <c r="AO4289" s="38"/>
      <c r="AQ4289" s="11"/>
      <c r="AR4289" s="38"/>
      <c r="AT4289" s="11"/>
      <c r="AU4289" s="38"/>
    </row>
    <row r="4290" spans="15:47" ht="14" x14ac:dyDescent="0.3">
      <c r="O4290" s="8" t="s">
        <v>235</v>
      </c>
      <c r="P4290" s="6"/>
      <c r="Q4290" s="60"/>
      <c r="R4290" s="53">
        <f>R4279*1.02</f>
        <v>1703.5561741901499</v>
      </c>
      <c r="S4290" s="58" t="s">
        <v>238</v>
      </c>
      <c r="T4290" s="73" t="s">
        <v>241</v>
      </c>
      <c r="U4290" s="84">
        <f>U4279*1.01</f>
        <v>1328.900785163167</v>
      </c>
      <c r="V4290" s="58" t="s">
        <v>238</v>
      </c>
      <c r="W4290" s="73" t="s">
        <v>241</v>
      </c>
      <c r="X4290" s="84">
        <f>X4279*1.01</f>
        <v>3189.8734280134795</v>
      </c>
      <c r="Y4290" s="58" t="s">
        <v>238</v>
      </c>
      <c r="Z4290" s="73" t="s">
        <v>241</v>
      </c>
      <c r="AA4290" s="84">
        <f>AA4279*1.01</f>
        <v>6090.6374249667706</v>
      </c>
      <c r="AB4290" s="58" t="s">
        <v>238</v>
      </c>
      <c r="AC4290" s="73" t="s">
        <v>241</v>
      </c>
      <c r="AD4290" s="84">
        <f>AD4279*1.01</f>
        <v>10016.856124413636</v>
      </c>
      <c r="AE4290" s="58" t="s">
        <v>238</v>
      </c>
      <c r="AF4290" s="73" t="s">
        <v>241</v>
      </c>
      <c r="AG4290" s="84">
        <f>AG4279*1.01</f>
        <v>14913.733808210529</v>
      </c>
      <c r="AH4290" s="58" t="s">
        <v>238</v>
      </c>
      <c r="AI4290" s="73" t="s">
        <v>241</v>
      </c>
      <c r="AJ4290" s="84">
        <f>AJ4279*1.01</f>
        <v>19902.435581148769</v>
      </c>
      <c r="AK4290" s="58" t="s">
        <v>238</v>
      </c>
      <c r="AL4290" s="73" t="s">
        <v>241</v>
      </c>
      <c r="AM4290" s="84">
        <f>AM4279*1.01</f>
        <v>24284.753666823759</v>
      </c>
      <c r="AN4290" s="58" t="s">
        <v>238</v>
      </c>
      <c r="AO4290" s="73" t="s">
        <v>241</v>
      </c>
      <c r="AP4290" s="84">
        <f>AP4279*1.01</f>
        <v>28193.84509599012</v>
      </c>
      <c r="AQ4290" s="58" t="s">
        <v>238</v>
      </c>
      <c r="AR4290" s="73" t="s">
        <v>241</v>
      </c>
      <c r="AS4290" s="84">
        <f>AS4279*1.01</f>
        <v>32087.225653323407</v>
      </c>
      <c r="AT4290" s="58" t="s">
        <v>238</v>
      </c>
      <c r="AU4290" s="73" t="s">
        <v>241</v>
      </c>
    </row>
    <row r="4291" spans="15:47" ht="13" x14ac:dyDescent="0.25">
      <c r="O4291" s="6"/>
      <c r="P4291" s="6"/>
      <c r="Q4291" s="60"/>
      <c r="R4291" s="70"/>
      <c r="S4291" s="63" t="s">
        <v>250</v>
      </c>
      <c r="T4291" s="71" t="s">
        <v>242</v>
      </c>
      <c r="U4291" s="61"/>
      <c r="V4291" s="63" t="s">
        <v>250</v>
      </c>
      <c r="W4291" s="71" t="s">
        <v>242</v>
      </c>
      <c r="X4291" s="61"/>
      <c r="Y4291" s="63" t="s">
        <v>250</v>
      </c>
      <c r="Z4291" s="71" t="s">
        <v>242</v>
      </c>
      <c r="AA4291" s="61"/>
      <c r="AB4291" s="63" t="s">
        <v>250</v>
      </c>
      <c r="AC4291" s="71" t="s">
        <v>242</v>
      </c>
      <c r="AD4291" s="61"/>
      <c r="AE4291" s="63" t="s">
        <v>250</v>
      </c>
      <c r="AF4291" s="71" t="s">
        <v>242</v>
      </c>
      <c r="AG4291" s="61"/>
      <c r="AH4291" s="63" t="s">
        <v>250</v>
      </c>
      <c r="AI4291" s="71" t="s">
        <v>242</v>
      </c>
      <c r="AJ4291" s="61"/>
      <c r="AK4291" s="63" t="s">
        <v>250</v>
      </c>
      <c r="AL4291" s="71" t="s">
        <v>242</v>
      </c>
      <c r="AM4291" s="61"/>
      <c r="AN4291" s="63" t="s">
        <v>250</v>
      </c>
      <c r="AO4291" s="71" t="s">
        <v>242</v>
      </c>
      <c r="AP4291" s="61"/>
      <c r="AQ4291" s="63" t="s">
        <v>250</v>
      </c>
      <c r="AR4291" s="71" t="s">
        <v>242</v>
      </c>
      <c r="AS4291" s="61"/>
      <c r="AT4291" s="63" t="s">
        <v>250</v>
      </c>
      <c r="AU4291" s="71" t="s">
        <v>242</v>
      </c>
    </row>
    <row r="4292" spans="15:47" ht="13" x14ac:dyDescent="0.3">
      <c r="O4292" s="6" t="s">
        <v>231</v>
      </c>
      <c r="P4292" s="6"/>
      <c r="Q4292" s="60"/>
      <c r="R4292" s="85">
        <f>P_1_minQ-(R4290^2*R_up)+dpup_minQ</f>
        <v>-41.094786849759565</v>
      </c>
      <c r="S4292" s="56"/>
      <c r="T4292" s="72"/>
      <c r="U4292" s="53">
        <f>P_1_minQ-(U4290^2*R_up)+dpup_minQ</f>
        <v>-2.7251028979156375</v>
      </c>
      <c r="V4292" s="44"/>
      <c r="W4292" s="72"/>
      <c r="X4292" s="53">
        <f>P_1_minQ-(X4290^2*R_up)+dpup_minQ</f>
        <v>-286.72764224067777</v>
      </c>
      <c r="Y4292" s="44"/>
      <c r="Z4292" s="72"/>
      <c r="AA4292" s="53">
        <f>P_1_minQ-(AA4290^2*R_up)+dpup_minQ</f>
        <v>-1195.8992651943888</v>
      </c>
      <c r="AB4292" s="44"/>
      <c r="AC4292" s="72"/>
      <c r="AD4292" s="53">
        <f>P_1_minQ-(AD4290^2*R_up)+dpup_minQ</f>
        <v>-3331.7162991287732</v>
      </c>
      <c r="AE4292" s="44"/>
      <c r="AF4292" s="72"/>
      <c r="AG4292" s="53">
        <f>P_1_minQ-(AG4290^2*R_up)+dpup_minQ</f>
        <v>-7454.7169571820932</v>
      </c>
      <c r="AH4292" s="44"/>
      <c r="AI4292" s="72"/>
      <c r="AJ4292" s="53">
        <f>P_1_minQ-(AJ4290^2*R_up)+dpup_minQ</f>
        <v>-13320.55572650377</v>
      </c>
      <c r="AK4292" s="44"/>
      <c r="AL4292" s="72"/>
      <c r="AM4292" s="53">
        <f>P_1_minQ-(AM4290^2*R_up)+dpup_minQ</f>
        <v>-19860.31657069605</v>
      </c>
      <c r="AN4292" s="44"/>
      <c r="AO4292" s="72"/>
      <c r="AP4292" s="53">
        <f>P_1_minQ-(AP4290^2*R_up)+dpup_minQ</f>
        <v>-26788.50436665607</v>
      </c>
      <c r="AQ4292" s="44"/>
      <c r="AR4292" s="72"/>
      <c r="AS4292" s="53">
        <f>P_1_minQ-(AS4290^2*R_up)+dpup_minQ</f>
        <v>-34714.784300145082</v>
      </c>
      <c r="AT4292" s="44"/>
      <c r="AU4292" s="72"/>
    </row>
    <row r="4293" spans="15:47" ht="13" x14ac:dyDescent="0.3">
      <c r="O4293" s="6" t="s">
        <v>233</v>
      </c>
      <c r="P4293" s="6"/>
      <c r="Q4293" s="60"/>
      <c r="R4293" s="85">
        <f>P_2_minQ+(R4290^2*R_dn)-dpdn_minQ</f>
        <v>44.258957369951915</v>
      </c>
      <c r="S4293" s="66"/>
      <c r="T4293" s="74"/>
      <c r="U4293" s="53">
        <f>P_2_minQ+(U4290^2*R_dn)-dpdn_minQ</f>
        <v>36.58502057958313</v>
      </c>
      <c r="V4293" s="45"/>
      <c r="W4293" s="74"/>
      <c r="X4293" s="53">
        <f>P_2_minQ+(X4290^2*R_dn)-dpdn_minQ</f>
        <v>93.385528448135545</v>
      </c>
      <c r="Y4293" s="45"/>
      <c r="Z4293" s="74"/>
      <c r="AA4293" s="53">
        <f>P_2_minQ+(AA4290^2*R_dn)-dpdn_minQ</f>
        <v>275.21985303887772</v>
      </c>
      <c r="AB4293" s="45"/>
      <c r="AC4293" s="74"/>
      <c r="AD4293" s="53">
        <f>P_2_minQ+(AD4290^2*R_dn)-dpdn_minQ</f>
        <v>702.38325982575464</v>
      </c>
      <c r="AE4293" s="45"/>
      <c r="AF4293" s="74"/>
      <c r="AG4293" s="53">
        <f>P_2_minQ+(AG4290^2*R_dn)-dpdn_minQ</f>
        <v>1526.9833914364185</v>
      </c>
      <c r="AH4293" s="45"/>
      <c r="AI4293" s="74"/>
      <c r="AJ4293" s="53">
        <f>P_2_minQ+(AJ4290^2*R_dn)-dpdn_minQ</f>
        <v>2700.1511453007533</v>
      </c>
      <c r="AK4293" s="45"/>
      <c r="AL4293" s="74"/>
      <c r="AM4293" s="53">
        <f>P_2_minQ+(AM4290^2*R_dn)-dpdn_minQ</f>
        <v>4008.1033141392099</v>
      </c>
      <c r="AN4293" s="45"/>
      <c r="AO4293" s="74"/>
      <c r="AP4293" s="53">
        <f>P_2_minQ+(AP4290^2*R_dn)-dpdn_minQ</f>
        <v>5393.7408733312132</v>
      </c>
      <c r="AQ4293" s="45"/>
      <c r="AR4293" s="74"/>
      <c r="AS4293" s="53">
        <f>P_2_minQ+(AS4290^2*R_dn)-dpdn_minQ</f>
        <v>6978.9968600290149</v>
      </c>
      <c r="AT4293" s="45"/>
      <c r="AU4293" s="74"/>
    </row>
    <row r="4294" spans="15:47" x14ac:dyDescent="0.25">
      <c r="O4294" s="6" t="s">
        <v>243</v>
      </c>
      <c r="Q4294" s="60"/>
      <c r="R4294" s="53">
        <f>R4292-R4293</f>
        <v>-85.353744219711473</v>
      </c>
      <c r="S4294" s="56"/>
      <c r="T4294" s="72"/>
      <c r="U4294" s="64">
        <f>U4292-U4293</f>
        <v>-39.31012347749877</v>
      </c>
      <c r="V4294" s="44"/>
      <c r="W4294" s="72"/>
      <c r="X4294" s="64">
        <f>X4292-X4293</f>
        <v>-380.11317068881328</v>
      </c>
      <c r="Y4294" s="44"/>
      <c r="Z4294" s="72"/>
      <c r="AA4294" s="64">
        <f>AA4292-AA4293</f>
        <v>-1471.1191182332666</v>
      </c>
      <c r="AB4294" s="44"/>
      <c r="AC4294" s="72"/>
      <c r="AD4294" s="64">
        <f>AD4292-AD4293</f>
        <v>-4034.0995589545278</v>
      </c>
      <c r="AE4294" s="44"/>
      <c r="AF4294" s="72"/>
      <c r="AG4294" s="64">
        <f>AG4292-AG4293</f>
        <v>-8981.7003486185113</v>
      </c>
      <c r="AH4294" s="44"/>
      <c r="AI4294" s="72"/>
      <c r="AJ4294" s="64">
        <f>AJ4292-AJ4293</f>
        <v>-16020.706871804523</v>
      </c>
      <c r="AK4294" s="44"/>
      <c r="AL4294" s="72"/>
      <c r="AM4294" s="64">
        <f>AM4292-AM4293</f>
        <v>-23868.419884835261</v>
      </c>
      <c r="AN4294" s="44"/>
      <c r="AO4294" s="72"/>
      <c r="AP4294" s="64">
        <f>AP4292-AP4293</f>
        <v>-32182.245239987285</v>
      </c>
      <c r="AQ4294" s="44"/>
      <c r="AR4294" s="72"/>
      <c r="AS4294" s="64">
        <f>AS4292-AS4293</f>
        <v>-41693.781160174098</v>
      </c>
      <c r="AT4294" s="44"/>
      <c r="AU4294" s="72"/>
    </row>
    <row r="4295" spans="15:47" ht="13" x14ac:dyDescent="0.3">
      <c r="O4295" s="6" t="s">
        <v>75</v>
      </c>
      <c r="P4295" s="6">
        <v>3</v>
      </c>
      <c r="Q4295" s="65"/>
      <c r="R4295" s="85">
        <f>(F_LP_h/F_P_h)^2*(R4292-('Valve Sizing'!$V$4*'Valve Sizing'!$G$7))</f>
        <v>-34.393031422941789</v>
      </c>
      <c r="S4295" s="58"/>
      <c r="T4295" s="73"/>
      <c r="U4295" s="53">
        <f>(U$29/U$27)^2*(U4292-('Valve Sizing'!$V$4*'Valve Sizing'!$G$7))</f>
        <v>-2.6202047341868813</v>
      </c>
      <c r="V4295" s="41"/>
      <c r="W4295" s="73"/>
      <c r="X4295" s="53">
        <f>(X$29/X$27)^2*(X4292-('Valve Sizing'!$V$4*'Valve Sizing'!$G$7))</f>
        <v>-232.36276810274805</v>
      </c>
      <c r="Y4295" s="41"/>
      <c r="Z4295" s="73"/>
      <c r="AA4295" s="53">
        <f>(AA$29/AA$27)^2*(AA4292-('Valve Sizing'!$V$4*'Valve Sizing'!$G$7))</f>
        <v>-924.52770450453238</v>
      </c>
      <c r="AB4295" s="41"/>
      <c r="AC4295" s="73"/>
      <c r="AD4295" s="53">
        <f>(AD$29/AD$27)^2*(AD4292-('Valve Sizing'!$V$4*'Valve Sizing'!$G$7))</f>
        <v>-2403.1092032629517</v>
      </c>
      <c r="AE4295" s="41"/>
      <c r="AF4295" s="73"/>
      <c r="AG4295" s="53">
        <f>(AG$29/AG$27)^2*(AG4292-('Valve Sizing'!$V$4*'Valve Sizing'!$G$7))</f>
        <v>-4801.44878053508</v>
      </c>
      <c r="AH4295" s="41"/>
      <c r="AI4295" s="73"/>
      <c r="AJ4295" s="53">
        <f>(AJ$29/AJ$27)^2*(AJ4292-('Valve Sizing'!$V$4*'Valve Sizing'!$G$7))</f>
        <v>-7704.3888725964298</v>
      </c>
      <c r="AK4295" s="41"/>
      <c r="AL4295" s="73"/>
      <c r="AM4295" s="53">
        <f>(AM$29/AM$27)^2*(AM4292-('Valve Sizing'!$V$4*'Valve Sizing'!$G$7))</f>
        <v>-9502.818910787777</v>
      </c>
      <c r="AN4295" s="41"/>
      <c r="AO4295" s="73"/>
      <c r="AP4295" s="53">
        <f>(AP$29/AP$27)^2*(AP4292-('Valve Sizing'!$V$4*'Valve Sizing'!$G$7))</f>
        <v>-10571.636146451874</v>
      </c>
      <c r="AQ4295" s="41"/>
      <c r="AR4295" s="73"/>
      <c r="AS4295" s="53">
        <f>(AS$29/AS$27)^2*(AS4292-('Valve Sizing'!$V$4*'Valve Sizing'!$G$7))</f>
        <v>-13057.812057440429</v>
      </c>
      <c r="AT4295" s="41"/>
      <c r="AU4295" s="73"/>
    </row>
    <row r="4296" spans="15:47" ht="13" x14ac:dyDescent="0.25">
      <c r="O4296" s="1" t="s">
        <v>69</v>
      </c>
      <c r="P4296" s="17">
        <v>7</v>
      </c>
      <c r="Q4296" s="65"/>
      <c r="R4296" s="53" t="e">
        <f>(R4290/(N_1*F_P_h))*SQRT('Valve Sizing'!$G$6/R4294)</f>
        <v>#NUM!</v>
      </c>
      <c r="S4296" s="58"/>
      <c r="T4296" s="73"/>
      <c r="U4296" s="64" t="e">
        <f>(U4290/(N_1*U$27))*SQRT('Valve Sizing'!$G$6/U4294)</f>
        <v>#NUM!</v>
      </c>
      <c r="V4296" s="41"/>
      <c r="W4296" s="73"/>
      <c r="X4296" s="64" t="e">
        <f>(X4290/(N_1*X$27))*SQRT('Valve Sizing'!$G$6/X4294)</f>
        <v>#NUM!</v>
      </c>
      <c r="Y4296" s="41"/>
      <c r="Z4296" s="73"/>
      <c r="AA4296" s="64" t="e">
        <f>(AA4290/(N_1*AA$27))*SQRT('Valve Sizing'!$G$6/AA4294)</f>
        <v>#NUM!</v>
      </c>
      <c r="AB4296" s="41"/>
      <c r="AC4296" s="73"/>
      <c r="AD4296" s="64" t="e">
        <f>(AD4290/(N_1*AD$27))*SQRT('Valve Sizing'!$G$6/AD4294)</f>
        <v>#NUM!</v>
      </c>
      <c r="AE4296" s="41"/>
      <c r="AF4296" s="73"/>
      <c r="AG4296" s="64" t="e">
        <f>(AG4290/(N_1*AG$27))*SQRT('Valve Sizing'!$G$6/AG4294)</f>
        <v>#NUM!</v>
      </c>
      <c r="AH4296" s="41"/>
      <c r="AI4296" s="73"/>
      <c r="AJ4296" s="64" t="e">
        <f>(AJ4290/(N_1*AJ$27))*SQRT('Valve Sizing'!$G$6/AJ4294)</f>
        <v>#NUM!</v>
      </c>
      <c r="AK4296" s="41"/>
      <c r="AL4296" s="73"/>
      <c r="AM4296" s="64" t="e">
        <f>(AM4290/(N_1*AM$27))*SQRT('Valve Sizing'!$G$6/AM4294)</f>
        <v>#NUM!</v>
      </c>
      <c r="AN4296" s="41"/>
      <c r="AO4296" s="73"/>
      <c r="AP4296" s="64" t="e">
        <f>(AP4290/(N_1*AP$27))*SQRT('Valve Sizing'!$G$6/AP4294)</f>
        <v>#NUM!</v>
      </c>
      <c r="AQ4296" s="41"/>
      <c r="AR4296" s="73"/>
      <c r="AS4296" s="64" t="e">
        <f>(AS4290/(N_1*AS$27))*SQRT('Valve Sizing'!$G$6/AS4294)</f>
        <v>#NUM!</v>
      </c>
      <c r="AT4296" s="41"/>
      <c r="AU4296" s="73"/>
    </row>
    <row r="4297" spans="15:47" ht="13" x14ac:dyDescent="0.3">
      <c r="O4297" s="1" t="s">
        <v>72</v>
      </c>
      <c r="P4297" s="17">
        <v>7</v>
      </c>
      <c r="Q4297" s="65"/>
      <c r="R4297" s="53" t="e">
        <f>(R4290/(N_1*F_P_h))*SQRT('Valve Sizing'!$G$6/R4295)</f>
        <v>#NUM!</v>
      </c>
      <c r="S4297" s="56"/>
      <c r="T4297" s="72"/>
      <c r="U4297" s="85" t="e">
        <f>(U4290/(N_1*U$27))*SQRT('Valve Sizing'!$G$6/U4295)</f>
        <v>#NUM!</v>
      </c>
      <c r="V4297" s="44"/>
      <c r="W4297" s="72"/>
      <c r="X4297" s="85" t="e">
        <f>(X4290/(N_1*X$27))*SQRT('Valve Sizing'!$G$6/X4295)</f>
        <v>#NUM!</v>
      </c>
      <c r="Y4297" s="44"/>
      <c r="Z4297" s="72"/>
      <c r="AA4297" s="85" t="e">
        <f>(AA4290/(N_1*AA$27))*SQRT('Valve Sizing'!$G$6/AA4295)</f>
        <v>#NUM!</v>
      </c>
      <c r="AB4297" s="44"/>
      <c r="AC4297" s="72"/>
      <c r="AD4297" s="85" t="e">
        <f>(AD4290/(N_1*AD$27))*SQRT('Valve Sizing'!$G$6/AD4295)</f>
        <v>#NUM!</v>
      </c>
      <c r="AE4297" s="44"/>
      <c r="AF4297" s="72"/>
      <c r="AG4297" s="85" t="e">
        <f>(AG4290/(N_1*AG$27))*SQRT('Valve Sizing'!$G$6/AG4295)</f>
        <v>#NUM!</v>
      </c>
      <c r="AH4297" s="44"/>
      <c r="AI4297" s="72"/>
      <c r="AJ4297" s="85" t="e">
        <f>(AJ4290/(N_1*AJ$27))*SQRT('Valve Sizing'!$G$6/AJ4295)</f>
        <v>#NUM!</v>
      </c>
      <c r="AK4297" s="44"/>
      <c r="AL4297" s="72"/>
      <c r="AM4297" s="85" t="e">
        <f>(AM4290/(N_1*AM$27))*SQRT('Valve Sizing'!$G$6/AM4295)</f>
        <v>#NUM!</v>
      </c>
      <c r="AN4297" s="44"/>
      <c r="AO4297" s="72"/>
      <c r="AP4297" s="85" t="e">
        <f>(AP4290/(N_1*AP$27))*SQRT('Valve Sizing'!$G$6/AP4295)</f>
        <v>#NUM!</v>
      </c>
      <c r="AQ4297" s="44"/>
      <c r="AR4297" s="72"/>
      <c r="AS4297" s="85" t="e">
        <f>(AS4290/(N_1*AS$27))*SQRT('Valve Sizing'!$G$6/AS4295)</f>
        <v>#NUM!</v>
      </c>
      <c r="AT4297" s="44"/>
      <c r="AU4297" s="72"/>
    </row>
    <row r="4298" spans="15:47" x14ac:dyDescent="0.25">
      <c r="O4298" s="1" t="s">
        <v>246</v>
      </c>
      <c r="P4298" s="18"/>
      <c r="Q4298" s="65"/>
      <c r="R4298" s="53" t="e">
        <f>IF(R4294&lt;R4295,R4296,R4297)</f>
        <v>#NUM!</v>
      </c>
      <c r="S4298" s="49"/>
      <c r="T4298" s="72"/>
      <c r="U4298" s="64" t="e">
        <f>IF(U4294&lt;U4295,U4296,U4297)</f>
        <v>#NUM!</v>
      </c>
      <c r="V4298" s="44"/>
      <c r="W4298" s="72"/>
      <c r="X4298" s="64" t="e">
        <f>IF(X4294&lt;X4295,X4296,X4297)</f>
        <v>#NUM!</v>
      </c>
      <c r="Y4298" s="44"/>
      <c r="Z4298" s="72"/>
      <c r="AA4298" s="64" t="e">
        <f>IF(AA4294&lt;AA4295,AA4296,AA4297)</f>
        <v>#NUM!</v>
      </c>
      <c r="AB4298" s="44"/>
      <c r="AC4298" s="72"/>
      <c r="AD4298" s="64" t="e">
        <f>IF(AD4294&lt;AD4295,AD4296,AD4297)</f>
        <v>#NUM!</v>
      </c>
      <c r="AE4298" s="44"/>
      <c r="AF4298" s="72"/>
      <c r="AG4298" s="64" t="e">
        <f>IF(AG4294&lt;AG4295,AG4296,AG4297)</f>
        <v>#NUM!</v>
      </c>
      <c r="AH4298" s="44"/>
      <c r="AI4298" s="72"/>
      <c r="AJ4298" s="64" t="e">
        <f>IF(AJ4294&lt;AJ4295,AJ4296,AJ4297)</f>
        <v>#NUM!</v>
      </c>
      <c r="AK4298" s="44"/>
      <c r="AL4298" s="72"/>
      <c r="AM4298" s="64" t="e">
        <f>IF(AM4294&lt;AM4295,AM4296,AM4297)</f>
        <v>#NUM!</v>
      </c>
      <c r="AN4298" s="44"/>
      <c r="AO4298" s="72"/>
      <c r="AP4298" s="64" t="e">
        <f>IF(AP4294&lt;AP4295,AP4296,AP4297)</f>
        <v>#NUM!</v>
      </c>
      <c r="AQ4298" s="44"/>
      <c r="AR4298" s="72"/>
      <c r="AS4298" s="64" t="e">
        <f>IF(AS4294&lt;AS4295,AS4296,AS4297)</f>
        <v>#NUM!</v>
      </c>
      <c r="AT4298" s="44"/>
      <c r="AU4298" s="72"/>
    </row>
    <row r="4299" spans="15:47" ht="13" x14ac:dyDescent="0.3">
      <c r="O4299" s="7" t="s">
        <v>264</v>
      </c>
      <c r="Q4299" s="61"/>
      <c r="R4299" s="53"/>
      <c r="S4299" s="69">
        <f>IFERROR(ABS(C_h-R4298),Q_max*10)</f>
        <v>5500</v>
      </c>
      <c r="T4299" s="76">
        <f>R4290</f>
        <v>1703.5561741901499</v>
      </c>
      <c r="U4299" s="61"/>
      <c r="V4299" s="69">
        <f>IFERROR(ABS(U$23-U4298),Q_max*10)</f>
        <v>5500</v>
      </c>
      <c r="W4299" s="75">
        <f>U4290</f>
        <v>1328.900785163167</v>
      </c>
      <c r="X4299" s="61"/>
      <c r="Y4299" s="69">
        <f>IFERROR(ABS(X$23-X4298),Q_max*10)</f>
        <v>5500</v>
      </c>
      <c r="Z4299" s="75">
        <f>X4290</f>
        <v>3189.8734280134795</v>
      </c>
      <c r="AA4299" s="61"/>
      <c r="AB4299" s="69">
        <f>IFERROR(ABS(AA$23-AA4298),Q_max*10)</f>
        <v>5500</v>
      </c>
      <c r="AC4299" s="75">
        <f>AA4290</f>
        <v>6090.6374249667706</v>
      </c>
      <c r="AD4299" s="61"/>
      <c r="AE4299" s="69">
        <f>IFERROR(ABS(AD$23-AD4298),Q_max*10)</f>
        <v>5500</v>
      </c>
      <c r="AF4299" s="75">
        <f>AD4290</f>
        <v>10016.856124413636</v>
      </c>
      <c r="AG4299" s="61"/>
      <c r="AH4299" s="69">
        <f>IFERROR(ABS(AG$23-AG4298),Q_max*10)</f>
        <v>5500</v>
      </c>
      <c r="AI4299" s="75">
        <f>AG4290</f>
        <v>14913.733808210529</v>
      </c>
      <c r="AJ4299" s="61"/>
      <c r="AK4299" s="69">
        <f>IFERROR(ABS(AJ$23-AJ4298),Q_max*10)</f>
        <v>5500</v>
      </c>
      <c r="AL4299" s="75">
        <f>AJ4290</f>
        <v>19902.435581148769</v>
      </c>
      <c r="AM4299" s="61"/>
      <c r="AN4299" s="69">
        <f>IFERROR(ABS(AM$23-AM4298),Q_max*10)</f>
        <v>5500</v>
      </c>
      <c r="AO4299" s="75">
        <f>AM4290</f>
        <v>24284.753666823759</v>
      </c>
      <c r="AP4299" s="61"/>
      <c r="AQ4299" s="69">
        <f>IFERROR(ABS(AP$23-AP4298),Q_max*10)</f>
        <v>5500</v>
      </c>
      <c r="AR4299" s="75">
        <f>AP4290</f>
        <v>28193.84509599012</v>
      </c>
      <c r="AS4299" s="61"/>
      <c r="AT4299" s="69">
        <f>IFERROR(ABS(AS$23-AS4298),Q_max*10)</f>
        <v>5500</v>
      </c>
      <c r="AU4299" s="75">
        <f>AS4290</f>
        <v>32087.225653323407</v>
      </c>
    </row>
    <row r="4300" spans="15:47" ht="14.5" x14ac:dyDescent="0.35">
      <c r="O4300" s="8"/>
      <c r="P4300" s="6"/>
      <c r="Q4300" s="60"/>
      <c r="R4300" s="67"/>
      <c r="S4300" s="56"/>
      <c r="T4300" s="72"/>
      <c r="V4300" s="11"/>
      <c r="W4300" s="38"/>
      <c r="Y4300" s="11"/>
      <c r="Z4300" s="38"/>
      <c r="AB4300" s="11"/>
      <c r="AC4300" s="38"/>
      <c r="AE4300" s="11"/>
      <c r="AF4300" s="38"/>
      <c r="AH4300" s="11"/>
      <c r="AI4300" s="38"/>
      <c r="AK4300" s="11"/>
      <c r="AL4300" s="38"/>
      <c r="AN4300" s="11"/>
      <c r="AO4300" s="38"/>
      <c r="AQ4300" s="11"/>
      <c r="AR4300" s="38"/>
      <c r="AT4300" s="11"/>
      <c r="AU4300" s="38"/>
    </row>
    <row r="4301" spans="15:47" ht="14" x14ac:dyDescent="0.3">
      <c r="O4301" s="8" t="s">
        <v>235</v>
      </c>
      <c r="P4301" s="6"/>
      <c r="Q4301" s="60"/>
      <c r="R4301" s="53">
        <f>R4290*1.02</f>
        <v>1737.6272976739529</v>
      </c>
      <c r="S4301" s="58" t="s">
        <v>238</v>
      </c>
      <c r="T4301" s="73" t="s">
        <v>241</v>
      </c>
      <c r="U4301" s="84">
        <f>U4290*1.01</f>
        <v>1342.1897930147986</v>
      </c>
      <c r="V4301" s="58" t="s">
        <v>238</v>
      </c>
      <c r="W4301" s="73" t="s">
        <v>241</v>
      </c>
      <c r="X4301" s="84">
        <f>X4290*1.01</f>
        <v>3221.7721622936142</v>
      </c>
      <c r="Y4301" s="58" t="s">
        <v>238</v>
      </c>
      <c r="Z4301" s="73" t="s">
        <v>241</v>
      </c>
      <c r="AA4301" s="84">
        <f>AA4290*1.01</f>
        <v>6151.5437992164379</v>
      </c>
      <c r="AB4301" s="58" t="s">
        <v>238</v>
      </c>
      <c r="AC4301" s="73" t="s">
        <v>241</v>
      </c>
      <c r="AD4301" s="84">
        <f>AD4290*1.01</f>
        <v>10117.024685657772</v>
      </c>
      <c r="AE4301" s="58" t="s">
        <v>238</v>
      </c>
      <c r="AF4301" s="73" t="s">
        <v>241</v>
      </c>
      <c r="AG4301" s="84">
        <f>AG4290*1.01</f>
        <v>15062.871146292635</v>
      </c>
      <c r="AH4301" s="58" t="s">
        <v>238</v>
      </c>
      <c r="AI4301" s="73" t="s">
        <v>241</v>
      </c>
      <c r="AJ4301" s="84">
        <f>AJ4290*1.01</f>
        <v>20101.459936960258</v>
      </c>
      <c r="AK4301" s="58" t="s">
        <v>238</v>
      </c>
      <c r="AL4301" s="73" t="s">
        <v>241</v>
      </c>
      <c r="AM4301" s="84">
        <f>AM4290*1.01</f>
        <v>24527.601203491995</v>
      </c>
      <c r="AN4301" s="58" t="s">
        <v>238</v>
      </c>
      <c r="AO4301" s="73" t="s">
        <v>241</v>
      </c>
      <c r="AP4301" s="84">
        <f>AP4290*1.01</f>
        <v>28475.783546950021</v>
      </c>
      <c r="AQ4301" s="58" t="s">
        <v>238</v>
      </c>
      <c r="AR4301" s="73" t="s">
        <v>241</v>
      </c>
      <c r="AS4301" s="84">
        <f>AS4290*1.01</f>
        <v>32408.097909856642</v>
      </c>
      <c r="AT4301" s="58" t="s">
        <v>238</v>
      </c>
      <c r="AU4301" s="73" t="s">
        <v>241</v>
      </c>
    </row>
    <row r="4302" spans="15:47" ht="13" x14ac:dyDescent="0.25">
      <c r="O4302" s="6"/>
      <c r="P4302" s="6"/>
      <c r="Q4302" s="60"/>
      <c r="R4302" s="70"/>
      <c r="S4302" s="63" t="s">
        <v>250</v>
      </c>
      <c r="T4302" s="71" t="s">
        <v>242</v>
      </c>
      <c r="U4302" s="61"/>
      <c r="V4302" s="63" t="s">
        <v>250</v>
      </c>
      <c r="W4302" s="71" t="s">
        <v>242</v>
      </c>
      <c r="X4302" s="61"/>
      <c r="Y4302" s="63" t="s">
        <v>250</v>
      </c>
      <c r="Z4302" s="71" t="s">
        <v>242</v>
      </c>
      <c r="AA4302" s="61"/>
      <c r="AB4302" s="63" t="s">
        <v>250</v>
      </c>
      <c r="AC4302" s="71" t="s">
        <v>242</v>
      </c>
      <c r="AD4302" s="61"/>
      <c r="AE4302" s="63" t="s">
        <v>250</v>
      </c>
      <c r="AF4302" s="71" t="s">
        <v>242</v>
      </c>
      <c r="AG4302" s="61"/>
      <c r="AH4302" s="63" t="s">
        <v>250</v>
      </c>
      <c r="AI4302" s="71" t="s">
        <v>242</v>
      </c>
      <c r="AJ4302" s="61"/>
      <c r="AK4302" s="63" t="s">
        <v>250</v>
      </c>
      <c r="AL4302" s="71" t="s">
        <v>242</v>
      </c>
      <c r="AM4302" s="61"/>
      <c r="AN4302" s="63" t="s">
        <v>250</v>
      </c>
      <c r="AO4302" s="71" t="s">
        <v>242</v>
      </c>
      <c r="AP4302" s="61"/>
      <c r="AQ4302" s="63" t="s">
        <v>250</v>
      </c>
      <c r="AR4302" s="71" t="s">
        <v>242</v>
      </c>
      <c r="AS4302" s="61"/>
      <c r="AT4302" s="63" t="s">
        <v>250</v>
      </c>
      <c r="AU4302" s="71" t="s">
        <v>242</v>
      </c>
    </row>
    <row r="4303" spans="15:47" ht="13" x14ac:dyDescent="0.3">
      <c r="O4303" s="6" t="s">
        <v>231</v>
      </c>
      <c r="P4303" s="6"/>
      <c r="Q4303" s="60"/>
      <c r="R4303" s="85">
        <f>P_1_minQ-(R4301^2*R_up)+dpup_minQ</f>
        <v>-45.054428423562449</v>
      </c>
      <c r="S4303" s="56"/>
      <c r="T4303" s="72"/>
      <c r="U4303" s="53">
        <f>P_1_minQ-(U4301^2*R_up)+dpup_minQ</f>
        <v>-3.9238919443805544</v>
      </c>
      <c r="V4303" s="44"/>
      <c r="W4303" s="72"/>
      <c r="X4303" s="53">
        <f>P_1_minQ-(X4301^2*R_up)+dpup_minQ</f>
        <v>-293.63488232793213</v>
      </c>
      <c r="Y4303" s="44"/>
      <c r="Z4303" s="72"/>
      <c r="AA4303" s="53">
        <f>P_1_minQ-(AA4301^2*R_up)+dpup_minQ</f>
        <v>-1221.0808549030128</v>
      </c>
      <c r="AB4303" s="44"/>
      <c r="AC4303" s="72"/>
      <c r="AD4303" s="53">
        <f>P_1_minQ-(AD4301^2*R_up)+dpup_minQ</f>
        <v>-3399.8278112194785</v>
      </c>
      <c r="AE4303" s="44"/>
      <c r="AF4303" s="72"/>
      <c r="AG4303" s="53">
        <f>P_1_minQ-(AG4301^2*R_up)+dpup_minQ</f>
        <v>-7605.7007824996699</v>
      </c>
      <c r="AH4303" s="44"/>
      <c r="AI4303" s="72"/>
      <c r="AJ4303" s="53">
        <f>P_1_minQ-(AJ4301^2*R_up)+dpup_minQ</f>
        <v>-13589.442911084712</v>
      </c>
      <c r="AK4303" s="44"/>
      <c r="AL4303" s="72"/>
      <c r="AM4303" s="53">
        <f>P_1_minQ-(AM4301^2*R_up)+dpup_minQ</f>
        <v>-20260.652948245257</v>
      </c>
      <c r="AN4303" s="44"/>
      <c r="AO4303" s="72"/>
      <c r="AP4303" s="53">
        <f>P_1_minQ-(AP4301^2*R_up)+dpup_minQ</f>
        <v>-27328.097318904071</v>
      </c>
      <c r="AQ4303" s="44"/>
      <c r="AR4303" s="72"/>
      <c r="AS4303" s="53">
        <f>P_1_minQ-(AS4301^2*R_up)+dpup_minQ</f>
        <v>-35413.695479056216</v>
      </c>
      <c r="AT4303" s="44"/>
      <c r="AU4303" s="72"/>
    </row>
    <row r="4304" spans="15:47" ht="13" x14ac:dyDescent="0.3">
      <c r="O4304" s="6" t="s">
        <v>233</v>
      </c>
      <c r="P4304" s="6"/>
      <c r="Q4304" s="60"/>
      <c r="R4304" s="85">
        <f>P_2_minQ+(R4301^2*R_dn)-dpdn_minQ</f>
        <v>45.050885684712497</v>
      </c>
      <c r="S4304" s="66"/>
      <c r="T4304" s="74"/>
      <c r="U4304" s="53">
        <f>P_2_minQ+(U4301^2*R_dn)-dpdn_minQ</f>
        <v>36.824778388876112</v>
      </c>
      <c r="V4304" s="45"/>
      <c r="W4304" s="74"/>
      <c r="X4304" s="53">
        <f>P_2_minQ+(X4301^2*R_dn)-dpdn_minQ</f>
        <v>94.766976465586424</v>
      </c>
      <c r="Y4304" s="45"/>
      <c r="Z4304" s="74"/>
      <c r="AA4304" s="53">
        <f>P_2_minQ+(AA4301^2*R_dn)-dpdn_minQ</f>
        <v>280.25617098060252</v>
      </c>
      <c r="AB4304" s="45"/>
      <c r="AC4304" s="74"/>
      <c r="AD4304" s="53">
        <f>P_2_minQ+(AD4301^2*R_dn)-dpdn_minQ</f>
        <v>716.00556224389561</v>
      </c>
      <c r="AE4304" s="45"/>
      <c r="AF4304" s="74"/>
      <c r="AG4304" s="53">
        <f>P_2_minQ+(AG4301^2*R_dn)-dpdn_minQ</f>
        <v>1557.1801564999337</v>
      </c>
      <c r="AH4304" s="45"/>
      <c r="AI4304" s="74"/>
      <c r="AJ4304" s="53">
        <f>P_2_minQ+(AJ4301^2*R_dn)-dpdn_minQ</f>
        <v>2753.9285822169422</v>
      </c>
      <c r="AK4304" s="45"/>
      <c r="AL4304" s="74"/>
      <c r="AM4304" s="53">
        <f>P_2_minQ+(AM4301^2*R_dn)-dpdn_minQ</f>
        <v>4088.1705896490507</v>
      </c>
      <c r="AN4304" s="45"/>
      <c r="AO4304" s="74"/>
      <c r="AP4304" s="53">
        <f>P_2_minQ+(AP4301^2*R_dn)-dpdn_minQ</f>
        <v>5501.659463780813</v>
      </c>
      <c r="AQ4304" s="45"/>
      <c r="AR4304" s="74"/>
      <c r="AS4304" s="53">
        <f>P_2_minQ+(AS4301^2*R_dn)-dpdn_minQ</f>
        <v>7118.7790958112419</v>
      </c>
      <c r="AT4304" s="45"/>
      <c r="AU4304" s="74"/>
    </row>
    <row r="4305" spans="15:47" x14ac:dyDescent="0.25">
      <c r="O4305" s="6" t="s">
        <v>243</v>
      </c>
      <c r="Q4305" s="60"/>
      <c r="R4305" s="53">
        <f>R4303-R4304</f>
        <v>-90.105314108274939</v>
      </c>
      <c r="S4305" s="56"/>
      <c r="T4305" s="72"/>
      <c r="U4305" s="64">
        <f>U4303-U4304</f>
        <v>-40.748670333256669</v>
      </c>
      <c r="V4305" s="44"/>
      <c r="W4305" s="72"/>
      <c r="X4305" s="64">
        <f>X4303-X4304</f>
        <v>-388.40185879351856</v>
      </c>
      <c r="Y4305" s="44"/>
      <c r="Z4305" s="72"/>
      <c r="AA4305" s="64">
        <f>AA4303-AA4304</f>
        <v>-1501.3370258836153</v>
      </c>
      <c r="AB4305" s="44"/>
      <c r="AC4305" s="72"/>
      <c r="AD4305" s="64">
        <f>AD4303-AD4304</f>
        <v>-4115.8333734633743</v>
      </c>
      <c r="AE4305" s="44"/>
      <c r="AF4305" s="72"/>
      <c r="AG4305" s="64">
        <f>AG4303-AG4304</f>
        <v>-9162.880938999604</v>
      </c>
      <c r="AH4305" s="44"/>
      <c r="AI4305" s="72"/>
      <c r="AJ4305" s="64">
        <f>AJ4303-AJ4304</f>
        <v>-16343.371493301654</v>
      </c>
      <c r="AK4305" s="44"/>
      <c r="AL4305" s="72"/>
      <c r="AM4305" s="64">
        <f>AM4303-AM4304</f>
        <v>-24348.823537894306</v>
      </c>
      <c r="AN4305" s="44"/>
      <c r="AO4305" s="72"/>
      <c r="AP4305" s="64">
        <f>AP4303-AP4304</f>
        <v>-32829.756782684883</v>
      </c>
      <c r="AQ4305" s="44"/>
      <c r="AR4305" s="72"/>
      <c r="AS4305" s="64">
        <f>AS4303-AS4304</f>
        <v>-42532.474574867461</v>
      </c>
      <c r="AT4305" s="44"/>
      <c r="AU4305" s="72"/>
    </row>
    <row r="4306" spans="15:47" ht="13" x14ac:dyDescent="0.3">
      <c r="O4306" s="6" t="s">
        <v>75</v>
      </c>
      <c r="P4306" s="6">
        <v>3</v>
      </c>
      <c r="Q4306" s="65"/>
      <c r="R4306" s="85">
        <f>(F_LP_h/F_P_h)^2*(R4303-('Valve Sizing'!$V$4*'Valve Sizing'!$G$7))</f>
        <v>-37.671822487394003</v>
      </c>
      <c r="S4306" s="58"/>
      <c r="T4306" s="73"/>
      <c r="U4306" s="53">
        <f>(U$29/U$27)^2*(U4303-('Valve Sizing'!$V$4*'Valve Sizing'!$G$7))</f>
        <v>-3.6125944308459319</v>
      </c>
      <c r="V4306" s="41"/>
      <c r="W4306" s="73"/>
      <c r="X4306" s="53">
        <f>(X$29/X$27)^2*(X4303-('Valve Sizing'!$V$4*'Valve Sizing'!$G$7))</f>
        <v>-237.95178604289148</v>
      </c>
      <c r="Y4306" s="41"/>
      <c r="Z4306" s="73"/>
      <c r="AA4306" s="53">
        <f>(AA$29/AA$27)^2*(AA4303-('Valve Sizing'!$V$4*'Valve Sizing'!$G$7))</f>
        <v>-943.98796706061682</v>
      </c>
      <c r="AB4306" s="41"/>
      <c r="AC4306" s="73"/>
      <c r="AD4306" s="53">
        <f>(AD$29/AD$27)^2*(AD4303-('Valve Sizing'!$V$4*'Valve Sizing'!$G$7))</f>
        <v>-2452.2303680664631</v>
      </c>
      <c r="AE4306" s="41"/>
      <c r="AF4306" s="73"/>
      <c r="AG4306" s="53">
        <f>(AG$29/AG$27)^2*(AG4303-('Valve Sizing'!$V$4*'Valve Sizing'!$G$7))</f>
        <v>-4898.6889999573514</v>
      </c>
      <c r="AH4306" s="41"/>
      <c r="AI4306" s="73"/>
      <c r="AJ4306" s="53">
        <f>(AJ$29/AJ$27)^2*(AJ4303-('Valve Sizing'!$V$4*'Valve Sizing'!$G$7))</f>
        <v>-7859.903630384325</v>
      </c>
      <c r="AK4306" s="41"/>
      <c r="AL4306" s="73"/>
      <c r="AM4306" s="53">
        <f>(AM$29/AM$27)^2*(AM4303-('Valve Sizing'!$V$4*'Valve Sizing'!$G$7))</f>
        <v>-9694.3687177985303</v>
      </c>
      <c r="AN4306" s="41"/>
      <c r="AO4306" s="73"/>
      <c r="AP4306" s="53">
        <f>(AP$29/AP$27)^2*(AP4303-('Valve Sizing'!$V$4*'Valve Sizing'!$G$7))</f>
        <v>-10784.574001262454</v>
      </c>
      <c r="AQ4306" s="41"/>
      <c r="AR4306" s="73"/>
      <c r="AS4306" s="53">
        <f>(AS$29/AS$27)^2*(AS4303-('Valve Sizing'!$V$4*'Valve Sizing'!$G$7))</f>
        <v>-13320.701063284099</v>
      </c>
      <c r="AT4306" s="41"/>
      <c r="AU4306" s="73"/>
    </row>
    <row r="4307" spans="15:47" ht="13" x14ac:dyDescent="0.25">
      <c r="O4307" s="1" t="s">
        <v>69</v>
      </c>
      <c r="P4307" s="17">
        <v>7</v>
      </c>
      <c r="Q4307" s="65"/>
      <c r="R4307" s="53" t="e">
        <f>(R4301/(N_1*F_P_h))*SQRT('Valve Sizing'!$G$6/R4305)</f>
        <v>#NUM!</v>
      </c>
      <c r="S4307" s="58"/>
      <c r="T4307" s="73"/>
      <c r="U4307" s="64" t="e">
        <f>(U4301/(N_1*U$27))*SQRT('Valve Sizing'!$G$6/U4305)</f>
        <v>#NUM!</v>
      </c>
      <c r="V4307" s="41"/>
      <c r="W4307" s="73"/>
      <c r="X4307" s="64" t="e">
        <f>(X4301/(N_1*X$27))*SQRT('Valve Sizing'!$G$6/X4305)</f>
        <v>#NUM!</v>
      </c>
      <c r="Y4307" s="41"/>
      <c r="Z4307" s="73"/>
      <c r="AA4307" s="64" t="e">
        <f>(AA4301/(N_1*AA$27))*SQRT('Valve Sizing'!$G$6/AA4305)</f>
        <v>#NUM!</v>
      </c>
      <c r="AB4307" s="41"/>
      <c r="AC4307" s="73"/>
      <c r="AD4307" s="64" t="e">
        <f>(AD4301/(N_1*AD$27))*SQRT('Valve Sizing'!$G$6/AD4305)</f>
        <v>#NUM!</v>
      </c>
      <c r="AE4307" s="41"/>
      <c r="AF4307" s="73"/>
      <c r="AG4307" s="64" t="e">
        <f>(AG4301/(N_1*AG$27))*SQRT('Valve Sizing'!$G$6/AG4305)</f>
        <v>#NUM!</v>
      </c>
      <c r="AH4307" s="41"/>
      <c r="AI4307" s="73"/>
      <c r="AJ4307" s="64" t="e">
        <f>(AJ4301/(N_1*AJ$27))*SQRT('Valve Sizing'!$G$6/AJ4305)</f>
        <v>#NUM!</v>
      </c>
      <c r="AK4307" s="41"/>
      <c r="AL4307" s="73"/>
      <c r="AM4307" s="64" t="e">
        <f>(AM4301/(N_1*AM$27))*SQRT('Valve Sizing'!$G$6/AM4305)</f>
        <v>#NUM!</v>
      </c>
      <c r="AN4307" s="41"/>
      <c r="AO4307" s="73"/>
      <c r="AP4307" s="64" t="e">
        <f>(AP4301/(N_1*AP$27))*SQRT('Valve Sizing'!$G$6/AP4305)</f>
        <v>#NUM!</v>
      </c>
      <c r="AQ4307" s="41"/>
      <c r="AR4307" s="73"/>
      <c r="AS4307" s="64" t="e">
        <f>(AS4301/(N_1*AS$27))*SQRT('Valve Sizing'!$G$6/AS4305)</f>
        <v>#NUM!</v>
      </c>
      <c r="AT4307" s="41"/>
      <c r="AU4307" s="73"/>
    </row>
    <row r="4308" spans="15:47" ht="13" x14ac:dyDescent="0.3">
      <c r="O4308" s="1" t="s">
        <v>72</v>
      </c>
      <c r="P4308" s="17">
        <v>7</v>
      </c>
      <c r="Q4308" s="65"/>
      <c r="R4308" s="53" t="e">
        <f>(R4301/(N_1*F_P_h))*SQRT('Valve Sizing'!$G$6/R4306)</f>
        <v>#NUM!</v>
      </c>
      <c r="S4308" s="56"/>
      <c r="T4308" s="72"/>
      <c r="U4308" s="85" t="e">
        <f>(U4301/(N_1*U$27))*SQRT('Valve Sizing'!$G$6/U4306)</f>
        <v>#NUM!</v>
      </c>
      <c r="V4308" s="44"/>
      <c r="W4308" s="72"/>
      <c r="X4308" s="85" t="e">
        <f>(X4301/(N_1*X$27))*SQRT('Valve Sizing'!$G$6/X4306)</f>
        <v>#NUM!</v>
      </c>
      <c r="Y4308" s="44"/>
      <c r="Z4308" s="72"/>
      <c r="AA4308" s="85" t="e">
        <f>(AA4301/(N_1*AA$27))*SQRT('Valve Sizing'!$G$6/AA4306)</f>
        <v>#NUM!</v>
      </c>
      <c r="AB4308" s="44"/>
      <c r="AC4308" s="72"/>
      <c r="AD4308" s="85" t="e">
        <f>(AD4301/(N_1*AD$27))*SQRT('Valve Sizing'!$G$6/AD4306)</f>
        <v>#NUM!</v>
      </c>
      <c r="AE4308" s="44"/>
      <c r="AF4308" s="72"/>
      <c r="AG4308" s="85" t="e">
        <f>(AG4301/(N_1*AG$27))*SQRT('Valve Sizing'!$G$6/AG4306)</f>
        <v>#NUM!</v>
      </c>
      <c r="AH4308" s="44"/>
      <c r="AI4308" s="72"/>
      <c r="AJ4308" s="85" t="e">
        <f>(AJ4301/(N_1*AJ$27))*SQRT('Valve Sizing'!$G$6/AJ4306)</f>
        <v>#NUM!</v>
      </c>
      <c r="AK4308" s="44"/>
      <c r="AL4308" s="72"/>
      <c r="AM4308" s="85" t="e">
        <f>(AM4301/(N_1*AM$27))*SQRT('Valve Sizing'!$G$6/AM4306)</f>
        <v>#NUM!</v>
      </c>
      <c r="AN4308" s="44"/>
      <c r="AO4308" s="72"/>
      <c r="AP4308" s="85" t="e">
        <f>(AP4301/(N_1*AP$27))*SQRT('Valve Sizing'!$G$6/AP4306)</f>
        <v>#NUM!</v>
      </c>
      <c r="AQ4308" s="44"/>
      <c r="AR4308" s="72"/>
      <c r="AS4308" s="85" t="e">
        <f>(AS4301/(N_1*AS$27))*SQRT('Valve Sizing'!$G$6/AS4306)</f>
        <v>#NUM!</v>
      </c>
      <c r="AT4308" s="44"/>
      <c r="AU4308" s="72"/>
    </row>
    <row r="4309" spans="15:47" x14ac:dyDescent="0.25">
      <c r="O4309" s="1" t="s">
        <v>246</v>
      </c>
      <c r="P4309" s="18"/>
      <c r="Q4309" s="65"/>
      <c r="R4309" s="53" t="e">
        <f>IF(R4305&lt;R4306,R4307,R4308)</f>
        <v>#NUM!</v>
      </c>
      <c r="S4309" s="49"/>
      <c r="T4309" s="72"/>
      <c r="U4309" s="64" t="e">
        <f>IF(U4305&lt;U4306,U4307,U4308)</f>
        <v>#NUM!</v>
      </c>
      <c r="V4309" s="44"/>
      <c r="W4309" s="72"/>
      <c r="X4309" s="64" t="e">
        <f>IF(X4305&lt;X4306,X4307,X4308)</f>
        <v>#NUM!</v>
      </c>
      <c r="Y4309" s="44"/>
      <c r="Z4309" s="72"/>
      <c r="AA4309" s="64" t="e">
        <f>IF(AA4305&lt;AA4306,AA4307,AA4308)</f>
        <v>#NUM!</v>
      </c>
      <c r="AB4309" s="44"/>
      <c r="AC4309" s="72"/>
      <c r="AD4309" s="64" t="e">
        <f>IF(AD4305&lt;AD4306,AD4307,AD4308)</f>
        <v>#NUM!</v>
      </c>
      <c r="AE4309" s="44"/>
      <c r="AF4309" s="72"/>
      <c r="AG4309" s="64" t="e">
        <f>IF(AG4305&lt;AG4306,AG4307,AG4308)</f>
        <v>#NUM!</v>
      </c>
      <c r="AH4309" s="44"/>
      <c r="AI4309" s="72"/>
      <c r="AJ4309" s="64" t="e">
        <f>IF(AJ4305&lt;AJ4306,AJ4307,AJ4308)</f>
        <v>#NUM!</v>
      </c>
      <c r="AK4309" s="44"/>
      <c r="AL4309" s="72"/>
      <c r="AM4309" s="64" t="e">
        <f>IF(AM4305&lt;AM4306,AM4307,AM4308)</f>
        <v>#NUM!</v>
      </c>
      <c r="AN4309" s="44"/>
      <c r="AO4309" s="72"/>
      <c r="AP4309" s="64" t="e">
        <f>IF(AP4305&lt;AP4306,AP4307,AP4308)</f>
        <v>#NUM!</v>
      </c>
      <c r="AQ4309" s="44"/>
      <c r="AR4309" s="72"/>
      <c r="AS4309" s="64" t="e">
        <f>IF(AS4305&lt;AS4306,AS4307,AS4308)</f>
        <v>#NUM!</v>
      </c>
      <c r="AT4309" s="44"/>
      <c r="AU4309" s="72"/>
    </row>
    <row r="4310" spans="15:47" ht="13" x14ac:dyDescent="0.3">
      <c r="O4310" s="7" t="s">
        <v>264</v>
      </c>
      <c r="Q4310" s="61"/>
      <c r="R4310" s="53"/>
      <c r="S4310" s="69">
        <f>IFERROR(ABS(C_h-R4309),Q_max*10)</f>
        <v>5500</v>
      </c>
      <c r="T4310" s="76">
        <f>R4301</f>
        <v>1737.6272976739529</v>
      </c>
      <c r="U4310" s="61"/>
      <c r="V4310" s="69">
        <f>IFERROR(ABS(U$23-U4309),Q_max*10)</f>
        <v>5500</v>
      </c>
      <c r="W4310" s="75">
        <f>U4301</f>
        <v>1342.1897930147986</v>
      </c>
      <c r="X4310" s="61"/>
      <c r="Y4310" s="69">
        <f>IFERROR(ABS(X$23-X4309),Q_max*10)</f>
        <v>5500</v>
      </c>
      <c r="Z4310" s="75">
        <f>X4301</f>
        <v>3221.7721622936142</v>
      </c>
      <c r="AA4310" s="61"/>
      <c r="AB4310" s="69">
        <f>IFERROR(ABS(AA$23-AA4309),Q_max*10)</f>
        <v>5500</v>
      </c>
      <c r="AC4310" s="75">
        <f>AA4301</f>
        <v>6151.5437992164379</v>
      </c>
      <c r="AD4310" s="61"/>
      <c r="AE4310" s="69">
        <f>IFERROR(ABS(AD$23-AD4309),Q_max*10)</f>
        <v>5500</v>
      </c>
      <c r="AF4310" s="75">
        <f>AD4301</f>
        <v>10117.024685657772</v>
      </c>
      <c r="AG4310" s="61"/>
      <c r="AH4310" s="69">
        <f>IFERROR(ABS(AG$23-AG4309),Q_max*10)</f>
        <v>5500</v>
      </c>
      <c r="AI4310" s="75">
        <f>AG4301</f>
        <v>15062.871146292635</v>
      </c>
      <c r="AJ4310" s="61"/>
      <c r="AK4310" s="69">
        <f>IFERROR(ABS(AJ$23-AJ4309),Q_max*10)</f>
        <v>5500</v>
      </c>
      <c r="AL4310" s="75">
        <f>AJ4301</f>
        <v>20101.459936960258</v>
      </c>
      <c r="AM4310" s="61"/>
      <c r="AN4310" s="69">
        <f>IFERROR(ABS(AM$23-AM4309),Q_max*10)</f>
        <v>5500</v>
      </c>
      <c r="AO4310" s="75">
        <f>AM4301</f>
        <v>24527.601203491995</v>
      </c>
      <c r="AP4310" s="61"/>
      <c r="AQ4310" s="69">
        <f>IFERROR(ABS(AP$23-AP4309),Q_max*10)</f>
        <v>5500</v>
      </c>
      <c r="AR4310" s="75">
        <f>AP4301</f>
        <v>28475.783546950021</v>
      </c>
      <c r="AS4310" s="61"/>
      <c r="AT4310" s="69">
        <f>IFERROR(ABS(AS$23-AS4309),Q_max*10)</f>
        <v>5500</v>
      </c>
      <c r="AU4310" s="75">
        <f>AS4301</f>
        <v>32408.097909856642</v>
      </c>
    </row>
    <row r="4311" spans="15:47" ht="14.5" x14ac:dyDescent="0.35">
      <c r="O4311" s="6"/>
      <c r="P4311" s="6"/>
      <c r="Q4311" s="60"/>
      <c r="R4311" s="67"/>
      <c r="S4311" s="56"/>
      <c r="T4311" s="72"/>
      <c r="V4311" s="11"/>
      <c r="W4311" s="38"/>
      <c r="Y4311" s="11"/>
      <c r="Z4311" s="38"/>
      <c r="AB4311" s="11"/>
      <c r="AC4311" s="38"/>
      <c r="AE4311" s="11"/>
      <c r="AF4311" s="38"/>
      <c r="AH4311" s="11"/>
      <c r="AI4311" s="38"/>
      <c r="AK4311" s="11"/>
      <c r="AL4311" s="38"/>
      <c r="AN4311" s="11"/>
      <c r="AO4311" s="38"/>
      <c r="AQ4311" s="11"/>
      <c r="AR4311" s="38"/>
      <c r="AT4311" s="11"/>
      <c r="AU4311" s="38"/>
    </row>
    <row r="4312" spans="15:47" ht="14" x14ac:dyDescent="0.3">
      <c r="O4312" s="8" t="s">
        <v>235</v>
      </c>
      <c r="P4312" s="6"/>
      <c r="Q4312" s="60"/>
      <c r="R4312" s="53">
        <f>R4301*1.02</f>
        <v>1772.3798436274319</v>
      </c>
      <c r="S4312" s="58" t="s">
        <v>238</v>
      </c>
      <c r="T4312" s="73" t="s">
        <v>241</v>
      </c>
      <c r="U4312" s="84">
        <f>U4301*1.01</f>
        <v>1355.6116909449465</v>
      </c>
      <c r="V4312" s="58" t="s">
        <v>238</v>
      </c>
      <c r="W4312" s="73" t="s">
        <v>241</v>
      </c>
      <c r="X4312" s="84">
        <f>X4301*1.01</f>
        <v>3253.9898839165503</v>
      </c>
      <c r="Y4312" s="58" t="s">
        <v>238</v>
      </c>
      <c r="Z4312" s="73" t="s">
        <v>241</v>
      </c>
      <c r="AA4312" s="84">
        <f>AA4301*1.01</f>
        <v>6213.0592372086021</v>
      </c>
      <c r="AB4312" s="58" t="s">
        <v>238</v>
      </c>
      <c r="AC4312" s="73" t="s">
        <v>241</v>
      </c>
      <c r="AD4312" s="84">
        <f>AD4301*1.01</f>
        <v>10218.194932514351</v>
      </c>
      <c r="AE4312" s="58" t="s">
        <v>238</v>
      </c>
      <c r="AF4312" s="73" t="s">
        <v>241</v>
      </c>
      <c r="AG4312" s="84">
        <f>AG4301*1.01</f>
        <v>15213.499857755562</v>
      </c>
      <c r="AH4312" s="58" t="s">
        <v>238</v>
      </c>
      <c r="AI4312" s="73" t="s">
        <v>241</v>
      </c>
      <c r="AJ4312" s="84">
        <f>AJ4301*1.01</f>
        <v>20302.474536329861</v>
      </c>
      <c r="AK4312" s="58" t="s">
        <v>238</v>
      </c>
      <c r="AL4312" s="73" t="s">
        <v>241</v>
      </c>
      <c r="AM4312" s="84">
        <f>AM4301*1.01</f>
        <v>24772.877215526914</v>
      </c>
      <c r="AN4312" s="58" t="s">
        <v>238</v>
      </c>
      <c r="AO4312" s="73" t="s">
        <v>241</v>
      </c>
      <c r="AP4312" s="84">
        <f>AP4301*1.01</f>
        <v>28760.54138241952</v>
      </c>
      <c r="AQ4312" s="58" t="s">
        <v>238</v>
      </c>
      <c r="AR4312" s="73" t="s">
        <v>241</v>
      </c>
      <c r="AS4312" s="84">
        <f>AS4301*1.01</f>
        <v>32732.178888955208</v>
      </c>
      <c r="AT4312" s="58" t="s">
        <v>238</v>
      </c>
      <c r="AU4312" s="73" t="s">
        <v>241</v>
      </c>
    </row>
    <row r="4313" spans="15:47" ht="13" x14ac:dyDescent="0.25">
      <c r="O4313" s="6"/>
      <c r="P4313" s="6"/>
      <c r="Q4313" s="60"/>
      <c r="R4313" s="70"/>
      <c r="S4313" s="63" t="s">
        <v>250</v>
      </c>
      <c r="T4313" s="71" t="s">
        <v>242</v>
      </c>
      <c r="U4313" s="61"/>
      <c r="V4313" s="63" t="s">
        <v>250</v>
      </c>
      <c r="W4313" s="71" t="s">
        <v>242</v>
      </c>
      <c r="X4313" s="61"/>
      <c r="Y4313" s="63" t="s">
        <v>250</v>
      </c>
      <c r="Z4313" s="71" t="s">
        <v>242</v>
      </c>
      <c r="AA4313" s="61"/>
      <c r="AB4313" s="63" t="s">
        <v>250</v>
      </c>
      <c r="AC4313" s="71" t="s">
        <v>242</v>
      </c>
      <c r="AD4313" s="61"/>
      <c r="AE4313" s="63" t="s">
        <v>250</v>
      </c>
      <c r="AF4313" s="71" t="s">
        <v>242</v>
      </c>
      <c r="AG4313" s="61"/>
      <c r="AH4313" s="63" t="s">
        <v>250</v>
      </c>
      <c r="AI4313" s="71" t="s">
        <v>242</v>
      </c>
      <c r="AJ4313" s="61"/>
      <c r="AK4313" s="63" t="s">
        <v>250</v>
      </c>
      <c r="AL4313" s="71" t="s">
        <v>242</v>
      </c>
      <c r="AM4313" s="61"/>
      <c r="AN4313" s="63" t="s">
        <v>250</v>
      </c>
      <c r="AO4313" s="71" t="s">
        <v>242</v>
      </c>
      <c r="AP4313" s="61"/>
      <c r="AQ4313" s="63" t="s">
        <v>250</v>
      </c>
      <c r="AR4313" s="71" t="s">
        <v>242</v>
      </c>
      <c r="AS4313" s="61"/>
      <c r="AT4313" s="63" t="s">
        <v>250</v>
      </c>
      <c r="AU4313" s="71" t="s">
        <v>242</v>
      </c>
    </row>
    <row r="4314" spans="15:47" ht="13" x14ac:dyDescent="0.3">
      <c r="O4314" s="6" t="s">
        <v>231</v>
      </c>
      <c r="P4314" s="6"/>
      <c r="Q4314" s="60"/>
      <c r="R4314" s="85">
        <f>P_1_minQ-(R4312^2*R_up)+dpup_minQ</f>
        <v>-49.174039516946983</v>
      </c>
      <c r="S4314" s="56"/>
      <c r="T4314" s="72"/>
      <c r="U4314" s="53">
        <f>P_1_minQ-(U4312^2*R_up)+dpup_minQ</f>
        <v>-5.1467766506794108</v>
      </c>
      <c r="V4314" s="44"/>
      <c r="W4314" s="72"/>
      <c r="X4314" s="53">
        <f>P_1_minQ-(X4312^2*R_up)+dpup_minQ</f>
        <v>-300.68095794094035</v>
      </c>
      <c r="Y4314" s="44"/>
      <c r="Z4314" s="72"/>
      <c r="AA4314" s="53">
        <f>P_1_minQ-(AA4312^2*R_up)+dpup_minQ</f>
        <v>-1246.76859456478</v>
      </c>
      <c r="AB4314" s="44"/>
      <c r="AC4314" s="72"/>
      <c r="AD4314" s="53">
        <f>P_1_minQ-(AD4312^2*R_up)+dpup_minQ</f>
        <v>-3469.3083647032067</v>
      </c>
      <c r="AE4314" s="44"/>
      <c r="AF4314" s="72"/>
      <c r="AG4314" s="53">
        <f>P_1_minQ-(AG4312^2*R_up)+dpup_minQ</f>
        <v>-7759.719382706131</v>
      </c>
      <c r="AH4314" s="44"/>
      <c r="AI4314" s="72"/>
      <c r="AJ4314" s="53">
        <f>P_1_minQ-(AJ4312^2*R_up)+dpup_minQ</f>
        <v>-13863.734728075731</v>
      </c>
      <c r="AK4314" s="44"/>
      <c r="AL4314" s="72"/>
      <c r="AM4314" s="53">
        <f>P_1_minQ-(AM4312^2*R_up)+dpup_minQ</f>
        <v>-20669.0360869832</v>
      </c>
      <c r="AN4314" s="44"/>
      <c r="AO4314" s="72"/>
      <c r="AP4314" s="53">
        <f>P_1_minQ-(AP4312^2*R_up)+dpup_minQ</f>
        <v>-27878.53608949226</v>
      </c>
      <c r="AQ4314" s="44"/>
      <c r="AR4314" s="72"/>
      <c r="AS4314" s="53">
        <f>P_1_minQ-(AS4312^2*R_up)+dpup_minQ</f>
        <v>-36126.65477266346</v>
      </c>
      <c r="AT4314" s="44"/>
      <c r="AU4314" s="72"/>
    </row>
    <row r="4315" spans="15:47" ht="13" x14ac:dyDescent="0.3">
      <c r="O4315" s="6" t="s">
        <v>233</v>
      </c>
      <c r="P4315" s="6"/>
      <c r="Q4315" s="60"/>
      <c r="R4315" s="85">
        <f>P_2_minQ+(R4312^2*R_dn)-dpdn_minQ</f>
        <v>45.874807903389396</v>
      </c>
      <c r="S4315" s="66"/>
      <c r="T4315" s="74"/>
      <c r="U4315" s="53">
        <f>P_2_minQ+(U4312^2*R_dn)-dpdn_minQ</f>
        <v>37.069355330135885</v>
      </c>
      <c r="V4315" s="45"/>
      <c r="W4315" s="74"/>
      <c r="X4315" s="53">
        <f>P_2_minQ+(X4312^2*R_dn)-dpdn_minQ</f>
        <v>96.176191588188075</v>
      </c>
      <c r="Y4315" s="45"/>
      <c r="Z4315" s="74"/>
      <c r="AA4315" s="53">
        <f>P_2_minQ+(AA4312^2*R_dn)-dpdn_minQ</f>
        <v>285.39371891295599</v>
      </c>
      <c r="AB4315" s="45"/>
      <c r="AC4315" s="74"/>
      <c r="AD4315" s="53">
        <f>P_2_minQ+(AD4312^2*R_dn)-dpdn_minQ</f>
        <v>729.90167294064133</v>
      </c>
      <c r="AE4315" s="45"/>
      <c r="AF4315" s="74"/>
      <c r="AG4315" s="53">
        <f>P_2_minQ+(AG4312^2*R_dn)-dpdn_minQ</f>
        <v>1587.983876541226</v>
      </c>
      <c r="AH4315" s="45"/>
      <c r="AI4315" s="74"/>
      <c r="AJ4315" s="53">
        <f>P_2_minQ+(AJ4312^2*R_dn)-dpdn_minQ</f>
        <v>2808.7869456151461</v>
      </c>
      <c r="AK4315" s="45"/>
      <c r="AL4315" s="74"/>
      <c r="AM4315" s="53">
        <f>P_2_minQ+(AM4312^2*R_dn)-dpdn_minQ</f>
        <v>4169.8472173966393</v>
      </c>
      <c r="AN4315" s="45"/>
      <c r="AO4315" s="74"/>
      <c r="AP4315" s="53">
        <f>P_2_minQ+(AP4312^2*R_dn)-dpdn_minQ</f>
        <v>5611.7472178984517</v>
      </c>
      <c r="AQ4315" s="45"/>
      <c r="AR4315" s="74"/>
      <c r="AS4315" s="53">
        <f>P_2_minQ+(AS4312^2*R_dn)-dpdn_minQ</f>
        <v>7261.370954532691</v>
      </c>
      <c r="AT4315" s="45"/>
      <c r="AU4315" s="74"/>
    </row>
    <row r="4316" spans="15:47" x14ac:dyDescent="0.25">
      <c r="O4316" s="6" t="s">
        <v>243</v>
      </c>
      <c r="Q4316" s="60"/>
      <c r="R4316" s="53">
        <f>R4314-R4315</f>
        <v>-95.048847420336386</v>
      </c>
      <c r="S4316" s="56"/>
      <c r="T4316" s="72"/>
      <c r="U4316" s="64">
        <f>U4314-U4315</f>
        <v>-42.216131980815298</v>
      </c>
      <c r="V4316" s="44"/>
      <c r="W4316" s="72"/>
      <c r="X4316" s="64">
        <f>X4314-X4315</f>
        <v>-396.85714952912844</v>
      </c>
      <c r="Y4316" s="44"/>
      <c r="Z4316" s="72"/>
      <c r="AA4316" s="64">
        <f>AA4314-AA4315</f>
        <v>-1532.162313477736</v>
      </c>
      <c r="AB4316" s="44"/>
      <c r="AC4316" s="72"/>
      <c r="AD4316" s="64">
        <f>AD4314-AD4315</f>
        <v>-4199.2100376438484</v>
      </c>
      <c r="AE4316" s="44"/>
      <c r="AF4316" s="72"/>
      <c r="AG4316" s="64">
        <f>AG4314-AG4315</f>
        <v>-9347.703259247357</v>
      </c>
      <c r="AH4316" s="44"/>
      <c r="AI4316" s="72"/>
      <c r="AJ4316" s="64">
        <f>AJ4314-AJ4315</f>
        <v>-16672.521673690877</v>
      </c>
      <c r="AK4316" s="44"/>
      <c r="AL4316" s="72"/>
      <c r="AM4316" s="64">
        <f>AM4314-AM4315</f>
        <v>-24838.88330437984</v>
      </c>
      <c r="AN4316" s="44"/>
      <c r="AO4316" s="72"/>
      <c r="AP4316" s="64">
        <f>AP4314-AP4315</f>
        <v>-33490.28330739071</v>
      </c>
      <c r="AQ4316" s="44"/>
      <c r="AR4316" s="72"/>
      <c r="AS4316" s="64">
        <f>AS4314-AS4315</f>
        <v>-43388.025727196153</v>
      </c>
      <c r="AT4316" s="44"/>
      <c r="AU4316" s="72"/>
    </row>
    <row r="4317" spans="15:47" ht="13" x14ac:dyDescent="0.3">
      <c r="O4317" s="6" t="s">
        <v>75</v>
      </c>
      <c r="P4317" s="6">
        <v>3</v>
      </c>
      <c r="Q4317" s="65"/>
      <c r="R4317" s="85">
        <f>(F_LP_h/F_P_h)^2*(R4314-('Valve Sizing'!$V$4*'Valve Sizing'!$G$7))</f>
        <v>-41.083076710850094</v>
      </c>
      <c r="S4317" s="58"/>
      <c r="T4317" s="73"/>
      <c r="U4317" s="53">
        <f>(U$29/U$27)^2*(U4314-('Valve Sizing'!$V$4*'Valve Sizing'!$G$7))</f>
        <v>-4.624931160407824</v>
      </c>
      <c r="V4317" s="41"/>
      <c r="W4317" s="73"/>
      <c r="X4317" s="53">
        <f>(X$29/X$27)^2*(X4314-('Valve Sizing'!$V$4*'Valve Sizing'!$G$7))</f>
        <v>-243.65314324363186</v>
      </c>
      <c r="Y4317" s="41"/>
      <c r="Z4317" s="73"/>
      <c r="AA4317" s="53">
        <f>(AA$29/AA$27)^2*(AA4314-('Valve Sizing'!$V$4*'Valve Sizing'!$G$7))</f>
        <v>-963.83938089407854</v>
      </c>
      <c r="AB4317" s="41"/>
      <c r="AC4317" s="73"/>
      <c r="AD4317" s="53">
        <f>(AD$29/AD$27)^2*(AD4314-('Valve Sizing'!$V$4*'Valve Sizing'!$G$7))</f>
        <v>-2502.3388682825248</v>
      </c>
      <c r="AE4317" s="41"/>
      <c r="AF4317" s="73"/>
      <c r="AG4317" s="53">
        <f>(AG$29/AG$27)^2*(AG4314-('Valve Sizing'!$V$4*'Valve Sizing'!$G$7))</f>
        <v>-4997.8837477900106</v>
      </c>
      <c r="AH4317" s="41"/>
      <c r="AI4317" s="73"/>
      <c r="AJ4317" s="53">
        <f>(AJ$29/AJ$27)^2*(AJ4314-('Valve Sizing'!$V$4*'Valve Sizing'!$G$7))</f>
        <v>-8018.5442348037568</v>
      </c>
      <c r="AK4317" s="41"/>
      <c r="AL4317" s="73"/>
      <c r="AM4317" s="53">
        <f>(AM$29/AM$27)^2*(AM4314-('Valve Sizing'!$V$4*'Valve Sizing'!$G$7))</f>
        <v>-9889.7686759301996</v>
      </c>
      <c r="AN4317" s="41"/>
      <c r="AO4317" s="73"/>
      <c r="AP4317" s="53">
        <f>(AP$29/AP$27)^2*(AP4314-('Valve Sizing'!$V$4*'Valve Sizing'!$G$7))</f>
        <v>-11001.79190695473</v>
      </c>
      <c r="AQ4317" s="41"/>
      <c r="AR4317" s="73"/>
      <c r="AS4317" s="53">
        <f>(AS$29/AS$27)^2*(AS4314-('Valve Sizing'!$V$4*'Valve Sizing'!$G$7))</f>
        <v>-13588.874138145226</v>
      </c>
      <c r="AT4317" s="41"/>
      <c r="AU4317" s="73"/>
    </row>
    <row r="4318" spans="15:47" ht="13" x14ac:dyDescent="0.25">
      <c r="O4318" s="1" t="s">
        <v>69</v>
      </c>
      <c r="P4318" s="17">
        <v>7</v>
      </c>
      <c r="Q4318" s="65"/>
      <c r="R4318" s="53" t="e">
        <f>(R4312/(N_1*F_P_h))*SQRT('Valve Sizing'!$G$6/R4316)</f>
        <v>#NUM!</v>
      </c>
      <c r="S4318" s="58"/>
      <c r="T4318" s="73"/>
      <c r="U4318" s="64" t="e">
        <f>(U4312/(N_1*U$27))*SQRT('Valve Sizing'!$G$6/U4316)</f>
        <v>#NUM!</v>
      </c>
      <c r="V4318" s="41"/>
      <c r="W4318" s="73"/>
      <c r="X4318" s="64" t="e">
        <f>(X4312/(N_1*X$27))*SQRT('Valve Sizing'!$G$6/X4316)</f>
        <v>#NUM!</v>
      </c>
      <c r="Y4318" s="41"/>
      <c r="Z4318" s="73"/>
      <c r="AA4318" s="64" t="e">
        <f>(AA4312/(N_1*AA$27))*SQRT('Valve Sizing'!$G$6/AA4316)</f>
        <v>#NUM!</v>
      </c>
      <c r="AB4318" s="41"/>
      <c r="AC4318" s="73"/>
      <c r="AD4318" s="64" t="e">
        <f>(AD4312/(N_1*AD$27))*SQRT('Valve Sizing'!$G$6/AD4316)</f>
        <v>#NUM!</v>
      </c>
      <c r="AE4318" s="41"/>
      <c r="AF4318" s="73"/>
      <c r="AG4318" s="64" t="e">
        <f>(AG4312/(N_1*AG$27))*SQRT('Valve Sizing'!$G$6/AG4316)</f>
        <v>#NUM!</v>
      </c>
      <c r="AH4318" s="41"/>
      <c r="AI4318" s="73"/>
      <c r="AJ4318" s="64" t="e">
        <f>(AJ4312/(N_1*AJ$27))*SQRT('Valve Sizing'!$G$6/AJ4316)</f>
        <v>#NUM!</v>
      </c>
      <c r="AK4318" s="41"/>
      <c r="AL4318" s="73"/>
      <c r="AM4318" s="64" t="e">
        <f>(AM4312/(N_1*AM$27))*SQRT('Valve Sizing'!$G$6/AM4316)</f>
        <v>#NUM!</v>
      </c>
      <c r="AN4318" s="41"/>
      <c r="AO4318" s="73"/>
      <c r="AP4318" s="64" t="e">
        <f>(AP4312/(N_1*AP$27))*SQRT('Valve Sizing'!$G$6/AP4316)</f>
        <v>#NUM!</v>
      </c>
      <c r="AQ4318" s="41"/>
      <c r="AR4318" s="73"/>
      <c r="AS4318" s="64" t="e">
        <f>(AS4312/(N_1*AS$27))*SQRT('Valve Sizing'!$G$6/AS4316)</f>
        <v>#NUM!</v>
      </c>
      <c r="AT4318" s="41"/>
      <c r="AU4318" s="73"/>
    </row>
    <row r="4319" spans="15:47" ht="13" x14ac:dyDescent="0.3">
      <c r="O4319" s="1" t="s">
        <v>72</v>
      </c>
      <c r="P4319" s="17">
        <v>7</v>
      </c>
      <c r="Q4319" s="65"/>
      <c r="R4319" s="53" t="e">
        <f>(R4312/(N_1*F_P_h))*SQRT('Valve Sizing'!$G$6/R4317)</f>
        <v>#NUM!</v>
      </c>
      <c r="S4319" s="56"/>
      <c r="T4319" s="72"/>
      <c r="U4319" s="85" t="e">
        <f>(U4312/(N_1*U$27))*SQRT('Valve Sizing'!$G$6/U4317)</f>
        <v>#NUM!</v>
      </c>
      <c r="V4319" s="44"/>
      <c r="W4319" s="72"/>
      <c r="X4319" s="85" t="e">
        <f>(X4312/(N_1*X$27))*SQRT('Valve Sizing'!$G$6/X4317)</f>
        <v>#NUM!</v>
      </c>
      <c r="Y4319" s="44"/>
      <c r="Z4319" s="72"/>
      <c r="AA4319" s="85" t="e">
        <f>(AA4312/(N_1*AA$27))*SQRT('Valve Sizing'!$G$6/AA4317)</f>
        <v>#NUM!</v>
      </c>
      <c r="AB4319" s="44"/>
      <c r="AC4319" s="72"/>
      <c r="AD4319" s="85" t="e">
        <f>(AD4312/(N_1*AD$27))*SQRT('Valve Sizing'!$G$6/AD4317)</f>
        <v>#NUM!</v>
      </c>
      <c r="AE4319" s="44"/>
      <c r="AF4319" s="72"/>
      <c r="AG4319" s="85" t="e">
        <f>(AG4312/(N_1*AG$27))*SQRT('Valve Sizing'!$G$6/AG4317)</f>
        <v>#NUM!</v>
      </c>
      <c r="AH4319" s="44"/>
      <c r="AI4319" s="72"/>
      <c r="AJ4319" s="85" t="e">
        <f>(AJ4312/(N_1*AJ$27))*SQRT('Valve Sizing'!$G$6/AJ4317)</f>
        <v>#NUM!</v>
      </c>
      <c r="AK4319" s="44"/>
      <c r="AL4319" s="72"/>
      <c r="AM4319" s="85" t="e">
        <f>(AM4312/(N_1*AM$27))*SQRT('Valve Sizing'!$G$6/AM4317)</f>
        <v>#NUM!</v>
      </c>
      <c r="AN4319" s="44"/>
      <c r="AO4319" s="72"/>
      <c r="AP4319" s="85" t="e">
        <f>(AP4312/(N_1*AP$27))*SQRT('Valve Sizing'!$G$6/AP4317)</f>
        <v>#NUM!</v>
      </c>
      <c r="AQ4319" s="44"/>
      <c r="AR4319" s="72"/>
      <c r="AS4319" s="85" t="e">
        <f>(AS4312/(N_1*AS$27))*SQRT('Valve Sizing'!$G$6/AS4317)</f>
        <v>#NUM!</v>
      </c>
      <c r="AT4319" s="44"/>
      <c r="AU4319" s="72"/>
    </row>
    <row r="4320" spans="15:47" x14ac:dyDescent="0.25">
      <c r="O4320" s="1" t="s">
        <v>246</v>
      </c>
      <c r="P4320" s="18"/>
      <c r="Q4320" s="65"/>
      <c r="R4320" s="53" t="e">
        <f>IF(R4316&lt;R4317,R4318,R4319)</f>
        <v>#NUM!</v>
      </c>
      <c r="S4320" s="49"/>
      <c r="T4320" s="72"/>
      <c r="U4320" s="64" t="e">
        <f>IF(U4316&lt;U4317,U4318,U4319)</f>
        <v>#NUM!</v>
      </c>
      <c r="V4320" s="44"/>
      <c r="W4320" s="72"/>
      <c r="X4320" s="64" t="e">
        <f>IF(X4316&lt;X4317,X4318,X4319)</f>
        <v>#NUM!</v>
      </c>
      <c r="Y4320" s="44"/>
      <c r="Z4320" s="72"/>
      <c r="AA4320" s="64" t="e">
        <f>IF(AA4316&lt;AA4317,AA4318,AA4319)</f>
        <v>#NUM!</v>
      </c>
      <c r="AB4320" s="44"/>
      <c r="AC4320" s="72"/>
      <c r="AD4320" s="64" t="e">
        <f>IF(AD4316&lt;AD4317,AD4318,AD4319)</f>
        <v>#NUM!</v>
      </c>
      <c r="AE4320" s="44"/>
      <c r="AF4320" s="72"/>
      <c r="AG4320" s="64" t="e">
        <f>IF(AG4316&lt;AG4317,AG4318,AG4319)</f>
        <v>#NUM!</v>
      </c>
      <c r="AH4320" s="44"/>
      <c r="AI4320" s="72"/>
      <c r="AJ4320" s="64" t="e">
        <f>IF(AJ4316&lt;AJ4317,AJ4318,AJ4319)</f>
        <v>#NUM!</v>
      </c>
      <c r="AK4320" s="44"/>
      <c r="AL4320" s="72"/>
      <c r="AM4320" s="64" t="e">
        <f>IF(AM4316&lt;AM4317,AM4318,AM4319)</f>
        <v>#NUM!</v>
      </c>
      <c r="AN4320" s="44"/>
      <c r="AO4320" s="72"/>
      <c r="AP4320" s="64" t="e">
        <f>IF(AP4316&lt;AP4317,AP4318,AP4319)</f>
        <v>#NUM!</v>
      </c>
      <c r="AQ4320" s="44"/>
      <c r="AR4320" s="72"/>
      <c r="AS4320" s="64" t="e">
        <f>IF(AS4316&lt;AS4317,AS4318,AS4319)</f>
        <v>#NUM!</v>
      </c>
      <c r="AT4320" s="44"/>
      <c r="AU4320" s="72"/>
    </row>
    <row r="4321" spans="15:47" ht="13" x14ac:dyDescent="0.3">
      <c r="O4321" s="7" t="s">
        <v>264</v>
      </c>
      <c r="Q4321" s="61"/>
      <c r="R4321" s="53"/>
      <c r="S4321" s="69">
        <f>IFERROR(ABS(C_h-R4320),Q_max*10)</f>
        <v>5500</v>
      </c>
      <c r="T4321" s="76">
        <f>R4312</f>
        <v>1772.3798436274319</v>
      </c>
      <c r="U4321" s="61"/>
      <c r="V4321" s="69">
        <f>IFERROR(ABS(U$23-U4320),Q_max*10)</f>
        <v>5500</v>
      </c>
      <c r="W4321" s="75">
        <f>U4312</f>
        <v>1355.6116909449465</v>
      </c>
      <c r="X4321" s="61"/>
      <c r="Y4321" s="69">
        <f>IFERROR(ABS(X$23-X4320),Q_max*10)</f>
        <v>5500</v>
      </c>
      <c r="Z4321" s="75">
        <f>X4312</f>
        <v>3253.9898839165503</v>
      </c>
      <c r="AA4321" s="61"/>
      <c r="AB4321" s="69">
        <f>IFERROR(ABS(AA$23-AA4320),Q_max*10)</f>
        <v>5500</v>
      </c>
      <c r="AC4321" s="75">
        <f>AA4312</f>
        <v>6213.0592372086021</v>
      </c>
      <c r="AD4321" s="61"/>
      <c r="AE4321" s="69">
        <f>IFERROR(ABS(AD$23-AD4320),Q_max*10)</f>
        <v>5500</v>
      </c>
      <c r="AF4321" s="75">
        <f>AD4312</f>
        <v>10218.194932514351</v>
      </c>
      <c r="AG4321" s="61"/>
      <c r="AH4321" s="69">
        <f>IFERROR(ABS(AG$23-AG4320),Q_max*10)</f>
        <v>5500</v>
      </c>
      <c r="AI4321" s="75">
        <f>AG4312</f>
        <v>15213.499857755562</v>
      </c>
      <c r="AJ4321" s="61"/>
      <c r="AK4321" s="69">
        <f>IFERROR(ABS(AJ$23-AJ4320),Q_max*10)</f>
        <v>5500</v>
      </c>
      <c r="AL4321" s="75">
        <f>AJ4312</f>
        <v>20302.474536329861</v>
      </c>
      <c r="AM4321" s="61"/>
      <c r="AN4321" s="69">
        <f>IFERROR(ABS(AM$23-AM4320),Q_max*10)</f>
        <v>5500</v>
      </c>
      <c r="AO4321" s="75">
        <f>AM4312</f>
        <v>24772.877215526914</v>
      </c>
      <c r="AP4321" s="61"/>
      <c r="AQ4321" s="69">
        <f>IFERROR(ABS(AP$23-AP4320),Q_max*10)</f>
        <v>5500</v>
      </c>
      <c r="AR4321" s="75">
        <f>AP4312</f>
        <v>28760.54138241952</v>
      </c>
      <c r="AS4321" s="61"/>
      <c r="AT4321" s="69">
        <f>IFERROR(ABS(AS$23-AS4320),Q_max*10)</f>
        <v>5500</v>
      </c>
      <c r="AU4321" s="75">
        <f>AS4312</f>
        <v>32732.178888955208</v>
      </c>
    </row>
    <row r="4322" spans="15:47" ht="14.5" x14ac:dyDescent="0.35">
      <c r="O4322" s="8"/>
      <c r="P4322" s="6"/>
      <c r="Q4322" s="60"/>
      <c r="R4322" s="67"/>
      <c r="S4322" s="56"/>
      <c r="T4322" s="72"/>
      <c r="V4322" s="11"/>
      <c r="W4322" s="38"/>
      <c r="Y4322" s="11"/>
      <c r="Z4322" s="38"/>
      <c r="AB4322" s="11"/>
      <c r="AC4322" s="38"/>
      <c r="AE4322" s="11"/>
      <c r="AF4322" s="38"/>
      <c r="AH4322" s="11"/>
      <c r="AI4322" s="38"/>
      <c r="AK4322" s="11"/>
      <c r="AL4322" s="38"/>
      <c r="AN4322" s="11"/>
      <c r="AO4322" s="38"/>
      <c r="AQ4322" s="11"/>
      <c r="AR4322" s="38"/>
      <c r="AT4322" s="11"/>
      <c r="AU4322" s="38"/>
    </row>
    <row r="4323" spans="15:47" ht="14" x14ac:dyDescent="0.3">
      <c r="O4323" s="8" t="s">
        <v>235</v>
      </c>
      <c r="P4323" s="6"/>
      <c r="Q4323" s="60"/>
      <c r="R4323" s="53">
        <f>R4312*1.02</f>
        <v>1807.8274404999806</v>
      </c>
      <c r="S4323" s="58" t="s">
        <v>238</v>
      </c>
      <c r="T4323" s="73" t="s">
        <v>241</v>
      </c>
      <c r="U4323" s="84">
        <f>U4312*1.01</f>
        <v>1369.167807854396</v>
      </c>
      <c r="V4323" s="58" t="s">
        <v>238</v>
      </c>
      <c r="W4323" s="73" t="s">
        <v>241</v>
      </c>
      <c r="X4323" s="84">
        <f>X4312*1.01</f>
        <v>3286.529782755716</v>
      </c>
      <c r="Y4323" s="58" t="s">
        <v>238</v>
      </c>
      <c r="Z4323" s="73" t="s">
        <v>241</v>
      </c>
      <c r="AA4323" s="84">
        <f>AA4312*1.01</f>
        <v>6275.1898295806877</v>
      </c>
      <c r="AB4323" s="58" t="s">
        <v>238</v>
      </c>
      <c r="AC4323" s="73" t="s">
        <v>241</v>
      </c>
      <c r="AD4323" s="84">
        <f>AD4312*1.01</f>
        <v>10320.376881839495</v>
      </c>
      <c r="AE4323" s="58" t="s">
        <v>238</v>
      </c>
      <c r="AF4323" s="73" t="s">
        <v>241</v>
      </c>
      <c r="AG4323" s="84">
        <f>AG4312*1.01</f>
        <v>15365.634856333118</v>
      </c>
      <c r="AH4323" s="58" t="s">
        <v>238</v>
      </c>
      <c r="AI4323" s="73" t="s">
        <v>241</v>
      </c>
      <c r="AJ4323" s="84">
        <f>AJ4312*1.01</f>
        <v>20505.499281693159</v>
      </c>
      <c r="AK4323" s="58" t="s">
        <v>238</v>
      </c>
      <c r="AL4323" s="73" t="s">
        <v>241</v>
      </c>
      <c r="AM4323" s="84">
        <f>AM4312*1.01</f>
        <v>25020.605987682186</v>
      </c>
      <c r="AN4323" s="58" t="s">
        <v>238</v>
      </c>
      <c r="AO4323" s="73" t="s">
        <v>241</v>
      </c>
      <c r="AP4323" s="84">
        <f>AP4312*1.01</f>
        <v>29048.146796243716</v>
      </c>
      <c r="AQ4323" s="58" t="s">
        <v>238</v>
      </c>
      <c r="AR4323" s="73" t="s">
        <v>241</v>
      </c>
      <c r="AS4323" s="84">
        <f>AS4312*1.01</f>
        <v>33059.500677844757</v>
      </c>
      <c r="AT4323" s="58" t="s">
        <v>238</v>
      </c>
      <c r="AU4323" s="73" t="s">
        <v>241</v>
      </c>
    </row>
    <row r="4324" spans="15:47" ht="13" x14ac:dyDescent="0.25">
      <c r="O4324" s="6"/>
      <c r="P4324" s="6"/>
      <c r="Q4324" s="60"/>
      <c r="R4324" s="70"/>
      <c r="S4324" s="63" t="s">
        <v>250</v>
      </c>
      <c r="T4324" s="71" t="s">
        <v>242</v>
      </c>
      <c r="U4324" s="61"/>
      <c r="V4324" s="63" t="s">
        <v>250</v>
      </c>
      <c r="W4324" s="71" t="s">
        <v>242</v>
      </c>
      <c r="X4324" s="61"/>
      <c r="Y4324" s="63" t="s">
        <v>250</v>
      </c>
      <c r="Z4324" s="71" t="s">
        <v>242</v>
      </c>
      <c r="AA4324" s="61"/>
      <c r="AB4324" s="63" t="s">
        <v>250</v>
      </c>
      <c r="AC4324" s="71" t="s">
        <v>242</v>
      </c>
      <c r="AD4324" s="61"/>
      <c r="AE4324" s="63" t="s">
        <v>250</v>
      </c>
      <c r="AF4324" s="71" t="s">
        <v>242</v>
      </c>
      <c r="AG4324" s="61"/>
      <c r="AH4324" s="63" t="s">
        <v>250</v>
      </c>
      <c r="AI4324" s="71" t="s">
        <v>242</v>
      </c>
      <c r="AJ4324" s="61"/>
      <c r="AK4324" s="63" t="s">
        <v>250</v>
      </c>
      <c r="AL4324" s="71" t="s">
        <v>242</v>
      </c>
      <c r="AM4324" s="61"/>
      <c r="AN4324" s="63" t="s">
        <v>250</v>
      </c>
      <c r="AO4324" s="71" t="s">
        <v>242</v>
      </c>
      <c r="AP4324" s="61"/>
      <c r="AQ4324" s="63" t="s">
        <v>250</v>
      </c>
      <c r="AR4324" s="71" t="s">
        <v>242</v>
      </c>
      <c r="AS4324" s="61"/>
      <c r="AT4324" s="63" t="s">
        <v>250</v>
      </c>
      <c r="AU4324" s="71" t="s">
        <v>242</v>
      </c>
    </row>
    <row r="4325" spans="15:47" ht="13" x14ac:dyDescent="0.3">
      <c r="O4325" s="6" t="s">
        <v>231</v>
      </c>
      <c r="P4325" s="6"/>
      <c r="Q4325" s="60"/>
      <c r="R4325" s="85">
        <f>P_1_minQ-(R4323^2*R_up)+dpup_minQ</f>
        <v>-53.460082898504261</v>
      </c>
      <c r="S4325" s="56"/>
      <c r="T4325" s="72"/>
      <c r="U4325" s="53">
        <f>P_1_minQ-(U4323^2*R_up)+dpup_minQ</f>
        <v>-6.3942413395748803</v>
      </c>
      <c r="V4325" s="44"/>
      <c r="W4325" s="72"/>
      <c r="X4325" s="53">
        <f>P_1_minQ-(X4323^2*R_up)+dpup_minQ</f>
        <v>-307.8686596737702</v>
      </c>
      <c r="Y4325" s="44"/>
      <c r="Z4325" s="72"/>
      <c r="AA4325" s="53">
        <f>P_1_minQ-(AA4323^2*R_up)+dpup_minQ</f>
        <v>-1272.9726577937488</v>
      </c>
      <c r="AB4325" s="44"/>
      <c r="AC4325" s="72"/>
      <c r="AD4325" s="53">
        <f>P_1_minQ-(AD4323^2*R_up)+dpup_minQ</f>
        <v>-3540.1854773119589</v>
      </c>
      <c r="AE4325" s="44"/>
      <c r="AF4325" s="72"/>
      <c r="AG4325" s="53">
        <f>P_1_minQ-(AG4323^2*R_up)+dpup_minQ</f>
        <v>-7916.8337567767412</v>
      </c>
      <c r="AH4325" s="44"/>
      <c r="AI4325" s="72"/>
      <c r="AJ4325" s="53">
        <f>P_1_minQ-(AJ4323^2*R_up)+dpup_minQ</f>
        <v>-14143.53981058827</v>
      </c>
      <c r="AK4325" s="44"/>
      <c r="AL4325" s="72"/>
      <c r="AM4325" s="53">
        <f>P_1_minQ-(AM4323^2*R_up)+dpup_minQ</f>
        <v>-21085.627726809784</v>
      </c>
      <c r="AN4325" s="44"/>
      <c r="AO4325" s="72"/>
      <c r="AP4325" s="53">
        <f>P_1_minQ-(AP4323^2*R_up)+dpup_minQ</f>
        <v>-28440.038679369271</v>
      </c>
      <c r="AQ4325" s="44"/>
      <c r="AR4325" s="72"/>
      <c r="AS4325" s="53">
        <f>P_1_minQ-(AS4323^2*R_up)+dpup_minQ</f>
        <v>-36853.944548072206</v>
      </c>
      <c r="AT4325" s="44"/>
      <c r="AU4325" s="72"/>
    </row>
    <row r="4326" spans="15:47" ht="13" x14ac:dyDescent="0.3">
      <c r="O4326" s="6" t="s">
        <v>233</v>
      </c>
      <c r="P4326" s="6"/>
      <c r="Q4326" s="60"/>
      <c r="R4326" s="85">
        <f>P_2_minQ+(R4323^2*R_dn)-dpdn_minQ</f>
        <v>46.732016579700854</v>
      </c>
      <c r="S4326" s="66"/>
      <c r="T4326" s="74"/>
      <c r="U4326" s="53">
        <f>P_2_minQ+(U4323^2*R_dn)-dpdn_minQ</f>
        <v>37.31884826791498</v>
      </c>
      <c r="V4326" s="45"/>
      <c r="W4326" s="74"/>
      <c r="X4326" s="53">
        <f>P_2_minQ+(X4323^2*R_dn)-dpdn_minQ</f>
        <v>97.613731934754028</v>
      </c>
      <c r="Y4326" s="45"/>
      <c r="Z4326" s="74"/>
      <c r="AA4326" s="53">
        <f>P_2_minQ+(AA4323^2*R_dn)-dpdn_minQ</f>
        <v>290.6345315587497</v>
      </c>
      <c r="AB4326" s="45"/>
      <c r="AC4326" s="74"/>
      <c r="AD4326" s="53">
        <f>P_2_minQ+(AD4323^2*R_dn)-dpdn_minQ</f>
        <v>744.07709546239175</v>
      </c>
      <c r="AE4326" s="45"/>
      <c r="AF4326" s="74"/>
      <c r="AG4326" s="53">
        <f>P_2_minQ+(AG4323^2*R_dn)-dpdn_minQ</f>
        <v>1619.4067513553482</v>
      </c>
      <c r="AH4326" s="45"/>
      <c r="AI4326" s="74"/>
      <c r="AJ4326" s="53">
        <f>P_2_minQ+(AJ4323^2*R_dn)-dpdn_minQ</f>
        <v>2864.747962117654</v>
      </c>
      <c r="AK4326" s="45"/>
      <c r="AL4326" s="74"/>
      <c r="AM4326" s="53">
        <f>P_2_minQ+(AM4323^2*R_dn)-dpdn_minQ</f>
        <v>4253.1655453619569</v>
      </c>
      <c r="AN4326" s="45"/>
      <c r="AO4326" s="74"/>
      <c r="AP4326" s="53">
        <f>P_2_minQ+(AP4323^2*R_dn)-dpdn_minQ</f>
        <v>5724.0477358738535</v>
      </c>
      <c r="AQ4326" s="45"/>
      <c r="AR4326" s="74"/>
      <c r="AS4326" s="53">
        <f>P_2_minQ+(AS4323^2*R_dn)-dpdn_minQ</f>
        <v>7406.8289096144408</v>
      </c>
      <c r="AT4326" s="45"/>
      <c r="AU4326" s="74"/>
    </row>
    <row r="4327" spans="15:47" x14ac:dyDescent="0.25">
      <c r="O4327" s="6" t="s">
        <v>243</v>
      </c>
      <c r="Q4327" s="60"/>
      <c r="R4327" s="53">
        <f>R4325-R4326</f>
        <v>-100.19209947820511</v>
      </c>
      <c r="S4327" s="56"/>
      <c r="T4327" s="72"/>
      <c r="U4327" s="64">
        <f>U4325-U4326</f>
        <v>-43.713089607489863</v>
      </c>
      <c r="V4327" s="44"/>
      <c r="W4327" s="72"/>
      <c r="X4327" s="64">
        <f>X4325-X4326</f>
        <v>-405.48239160852421</v>
      </c>
      <c r="Y4327" s="44"/>
      <c r="Z4327" s="72"/>
      <c r="AA4327" s="64">
        <f>AA4325-AA4326</f>
        <v>-1563.6071893524986</v>
      </c>
      <c r="AB4327" s="44"/>
      <c r="AC4327" s="72"/>
      <c r="AD4327" s="64">
        <f>AD4325-AD4326</f>
        <v>-4284.2625727743507</v>
      </c>
      <c r="AE4327" s="44"/>
      <c r="AF4327" s="72"/>
      <c r="AG4327" s="64">
        <f>AG4325-AG4326</f>
        <v>-9536.2405081320903</v>
      </c>
      <c r="AH4327" s="44"/>
      <c r="AI4327" s="72"/>
      <c r="AJ4327" s="64">
        <f>AJ4325-AJ4326</f>
        <v>-17008.287772705924</v>
      </c>
      <c r="AK4327" s="44"/>
      <c r="AL4327" s="72"/>
      <c r="AM4327" s="64">
        <f>AM4325-AM4326</f>
        <v>-25338.793272171741</v>
      </c>
      <c r="AN4327" s="44"/>
      <c r="AO4327" s="72"/>
      <c r="AP4327" s="64">
        <f>AP4325-AP4326</f>
        <v>-34164.086415243124</v>
      </c>
      <c r="AQ4327" s="44"/>
      <c r="AR4327" s="72"/>
      <c r="AS4327" s="64">
        <f>AS4325-AS4326</f>
        <v>-44260.77345768665</v>
      </c>
      <c r="AT4327" s="44"/>
      <c r="AU4327" s="72"/>
    </row>
    <row r="4328" spans="15:47" ht="13" x14ac:dyDescent="0.3">
      <c r="O4328" s="6" t="s">
        <v>75</v>
      </c>
      <c r="P4328" s="6">
        <v>3</v>
      </c>
      <c r="Q4328" s="65"/>
      <c r="R4328" s="85">
        <f>(F_LP_h/F_P_h)^2*(R4325-('Valve Sizing'!$V$4*'Valve Sizing'!$G$7))</f>
        <v>-44.632145604933825</v>
      </c>
      <c r="S4328" s="58"/>
      <c r="T4328" s="73"/>
      <c r="U4328" s="53">
        <f>(U$29/U$27)^2*(U4325-('Valve Sizing'!$V$4*'Valve Sizing'!$G$7))</f>
        <v>-5.6576158582339158</v>
      </c>
      <c r="V4328" s="41"/>
      <c r="W4328" s="73"/>
      <c r="X4328" s="53">
        <f>(X$29/X$27)^2*(X4325-('Valve Sizing'!$V$4*'Valve Sizing'!$G$7))</f>
        <v>-249.4690977241072</v>
      </c>
      <c r="Y4328" s="41"/>
      <c r="Z4328" s="73"/>
      <c r="AA4328" s="53">
        <f>(AA$29/AA$27)^2*(AA4325-('Valve Sizing'!$V$4*'Valve Sizing'!$G$7))</f>
        <v>-984.08980814559288</v>
      </c>
      <c r="AB4328" s="41"/>
      <c r="AC4328" s="73"/>
      <c r="AD4328" s="53">
        <f>(AD$29/AD$27)^2*(AD4325-('Valve Sizing'!$V$4*'Valve Sizing'!$G$7))</f>
        <v>-2553.4545493529304</v>
      </c>
      <c r="AE4328" s="41"/>
      <c r="AF4328" s="73"/>
      <c r="AG4328" s="53">
        <f>(AG$29/AG$27)^2*(AG4325-('Valve Sizing'!$V$4*'Valve Sizing'!$G$7))</f>
        <v>-5099.0723100541063</v>
      </c>
      <c r="AH4328" s="41"/>
      <c r="AI4328" s="73"/>
      <c r="AJ4328" s="53">
        <f>(AJ$29/AJ$27)^2*(AJ4325-('Valve Sizing'!$V$4*'Valve Sizing'!$G$7))</f>
        <v>-8180.373515372019</v>
      </c>
      <c r="AK4328" s="41"/>
      <c r="AL4328" s="73"/>
      <c r="AM4328" s="53">
        <f>(AM$29/AM$27)^2*(AM4325-('Valve Sizing'!$V$4*'Valve Sizing'!$G$7))</f>
        <v>-10089.09617322032</v>
      </c>
      <c r="AN4328" s="41"/>
      <c r="AO4328" s="73"/>
      <c r="AP4328" s="53">
        <f>(AP$29/AP$27)^2*(AP4325-('Valve Sizing'!$V$4*'Valve Sizing'!$G$7))</f>
        <v>-11223.375892551418</v>
      </c>
      <c r="AQ4328" s="41"/>
      <c r="AR4328" s="73"/>
      <c r="AS4328" s="53">
        <f>(AS$29/AS$27)^2*(AS4325-('Valve Sizing'!$V$4*'Valve Sizing'!$G$7))</f>
        <v>-13862.437491811061</v>
      </c>
      <c r="AT4328" s="41"/>
      <c r="AU4328" s="73"/>
    </row>
    <row r="4329" spans="15:47" ht="13" x14ac:dyDescent="0.25">
      <c r="O4329" s="1" t="s">
        <v>69</v>
      </c>
      <c r="P4329" s="17">
        <v>7</v>
      </c>
      <c r="Q4329" s="65"/>
      <c r="R4329" s="53" t="e">
        <f>(R4323/(N_1*F_P_h))*SQRT('Valve Sizing'!$G$6/R4327)</f>
        <v>#NUM!</v>
      </c>
      <c r="S4329" s="58"/>
      <c r="T4329" s="73"/>
      <c r="U4329" s="64" t="e">
        <f>(U4323/(N_1*U$27))*SQRT('Valve Sizing'!$G$6/U4327)</f>
        <v>#NUM!</v>
      </c>
      <c r="V4329" s="41"/>
      <c r="W4329" s="73"/>
      <c r="X4329" s="64" t="e">
        <f>(X4323/(N_1*X$27))*SQRT('Valve Sizing'!$G$6/X4327)</f>
        <v>#NUM!</v>
      </c>
      <c r="Y4329" s="41"/>
      <c r="Z4329" s="73"/>
      <c r="AA4329" s="64" t="e">
        <f>(AA4323/(N_1*AA$27))*SQRT('Valve Sizing'!$G$6/AA4327)</f>
        <v>#NUM!</v>
      </c>
      <c r="AB4329" s="41"/>
      <c r="AC4329" s="73"/>
      <c r="AD4329" s="64" t="e">
        <f>(AD4323/(N_1*AD$27))*SQRT('Valve Sizing'!$G$6/AD4327)</f>
        <v>#NUM!</v>
      </c>
      <c r="AE4329" s="41"/>
      <c r="AF4329" s="73"/>
      <c r="AG4329" s="64" t="e">
        <f>(AG4323/(N_1*AG$27))*SQRT('Valve Sizing'!$G$6/AG4327)</f>
        <v>#NUM!</v>
      </c>
      <c r="AH4329" s="41"/>
      <c r="AI4329" s="73"/>
      <c r="AJ4329" s="64" t="e">
        <f>(AJ4323/(N_1*AJ$27))*SQRT('Valve Sizing'!$G$6/AJ4327)</f>
        <v>#NUM!</v>
      </c>
      <c r="AK4329" s="41"/>
      <c r="AL4329" s="73"/>
      <c r="AM4329" s="64" t="e">
        <f>(AM4323/(N_1*AM$27))*SQRT('Valve Sizing'!$G$6/AM4327)</f>
        <v>#NUM!</v>
      </c>
      <c r="AN4329" s="41"/>
      <c r="AO4329" s="73"/>
      <c r="AP4329" s="64" t="e">
        <f>(AP4323/(N_1*AP$27))*SQRT('Valve Sizing'!$G$6/AP4327)</f>
        <v>#NUM!</v>
      </c>
      <c r="AQ4329" s="41"/>
      <c r="AR4329" s="73"/>
      <c r="AS4329" s="64" t="e">
        <f>(AS4323/(N_1*AS$27))*SQRT('Valve Sizing'!$G$6/AS4327)</f>
        <v>#NUM!</v>
      </c>
      <c r="AT4329" s="41"/>
      <c r="AU4329" s="73"/>
    </row>
    <row r="4330" spans="15:47" ht="13" x14ac:dyDescent="0.3">
      <c r="O4330" s="1" t="s">
        <v>72</v>
      </c>
      <c r="P4330" s="17">
        <v>7</v>
      </c>
      <c r="Q4330" s="65"/>
      <c r="R4330" s="53" t="e">
        <f>(R4323/(N_1*F_P_h))*SQRT('Valve Sizing'!$G$6/R4328)</f>
        <v>#NUM!</v>
      </c>
      <c r="S4330" s="56"/>
      <c r="T4330" s="72"/>
      <c r="U4330" s="85" t="e">
        <f>(U4323/(N_1*U$27))*SQRT('Valve Sizing'!$G$6/U4328)</f>
        <v>#NUM!</v>
      </c>
      <c r="V4330" s="44"/>
      <c r="W4330" s="72"/>
      <c r="X4330" s="85" t="e">
        <f>(X4323/(N_1*X$27))*SQRT('Valve Sizing'!$G$6/X4328)</f>
        <v>#NUM!</v>
      </c>
      <c r="Y4330" s="44"/>
      <c r="Z4330" s="72"/>
      <c r="AA4330" s="85" t="e">
        <f>(AA4323/(N_1*AA$27))*SQRT('Valve Sizing'!$G$6/AA4328)</f>
        <v>#NUM!</v>
      </c>
      <c r="AB4330" s="44"/>
      <c r="AC4330" s="72"/>
      <c r="AD4330" s="85" t="e">
        <f>(AD4323/(N_1*AD$27))*SQRT('Valve Sizing'!$G$6/AD4328)</f>
        <v>#NUM!</v>
      </c>
      <c r="AE4330" s="44"/>
      <c r="AF4330" s="72"/>
      <c r="AG4330" s="85" t="e">
        <f>(AG4323/(N_1*AG$27))*SQRT('Valve Sizing'!$G$6/AG4328)</f>
        <v>#NUM!</v>
      </c>
      <c r="AH4330" s="44"/>
      <c r="AI4330" s="72"/>
      <c r="AJ4330" s="85" t="e">
        <f>(AJ4323/(N_1*AJ$27))*SQRT('Valve Sizing'!$G$6/AJ4328)</f>
        <v>#NUM!</v>
      </c>
      <c r="AK4330" s="44"/>
      <c r="AL4330" s="72"/>
      <c r="AM4330" s="85" t="e">
        <f>(AM4323/(N_1*AM$27))*SQRT('Valve Sizing'!$G$6/AM4328)</f>
        <v>#NUM!</v>
      </c>
      <c r="AN4330" s="44"/>
      <c r="AO4330" s="72"/>
      <c r="AP4330" s="85" t="e">
        <f>(AP4323/(N_1*AP$27))*SQRT('Valve Sizing'!$G$6/AP4328)</f>
        <v>#NUM!</v>
      </c>
      <c r="AQ4330" s="44"/>
      <c r="AR4330" s="72"/>
      <c r="AS4330" s="85" t="e">
        <f>(AS4323/(N_1*AS$27))*SQRT('Valve Sizing'!$G$6/AS4328)</f>
        <v>#NUM!</v>
      </c>
      <c r="AT4330" s="44"/>
      <c r="AU4330" s="72"/>
    </row>
    <row r="4331" spans="15:47" x14ac:dyDescent="0.25">
      <c r="O4331" s="1" t="s">
        <v>246</v>
      </c>
      <c r="P4331" s="18"/>
      <c r="Q4331" s="65"/>
      <c r="R4331" s="53" t="e">
        <f>IF(R4327&lt;R4328,R4329,R4330)</f>
        <v>#NUM!</v>
      </c>
      <c r="S4331" s="49"/>
      <c r="T4331" s="72"/>
      <c r="U4331" s="64" t="e">
        <f>IF(U4327&lt;U4328,U4329,U4330)</f>
        <v>#NUM!</v>
      </c>
      <c r="V4331" s="44"/>
      <c r="W4331" s="72"/>
      <c r="X4331" s="64" t="e">
        <f>IF(X4327&lt;X4328,X4329,X4330)</f>
        <v>#NUM!</v>
      </c>
      <c r="Y4331" s="44"/>
      <c r="Z4331" s="72"/>
      <c r="AA4331" s="64" t="e">
        <f>IF(AA4327&lt;AA4328,AA4329,AA4330)</f>
        <v>#NUM!</v>
      </c>
      <c r="AB4331" s="44"/>
      <c r="AC4331" s="72"/>
      <c r="AD4331" s="64" t="e">
        <f>IF(AD4327&lt;AD4328,AD4329,AD4330)</f>
        <v>#NUM!</v>
      </c>
      <c r="AE4331" s="44"/>
      <c r="AF4331" s="72"/>
      <c r="AG4331" s="64" t="e">
        <f>IF(AG4327&lt;AG4328,AG4329,AG4330)</f>
        <v>#NUM!</v>
      </c>
      <c r="AH4331" s="44"/>
      <c r="AI4331" s="72"/>
      <c r="AJ4331" s="64" t="e">
        <f>IF(AJ4327&lt;AJ4328,AJ4329,AJ4330)</f>
        <v>#NUM!</v>
      </c>
      <c r="AK4331" s="44"/>
      <c r="AL4331" s="72"/>
      <c r="AM4331" s="64" t="e">
        <f>IF(AM4327&lt;AM4328,AM4329,AM4330)</f>
        <v>#NUM!</v>
      </c>
      <c r="AN4331" s="44"/>
      <c r="AO4331" s="72"/>
      <c r="AP4331" s="64" t="e">
        <f>IF(AP4327&lt;AP4328,AP4329,AP4330)</f>
        <v>#NUM!</v>
      </c>
      <c r="AQ4331" s="44"/>
      <c r="AR4331" s="72"/>
      <c r="AS4331" s="64" t="e">
        <f>IF(AS4327&lt;AS4328,AS4329,AS4330)</f>
        <v>#NUM!</v>
      </c>
      <c r="AT4331" s="44"/>
      <c r="AU4331" s="72"/>
    </row>
    <row r="4332" spans="15:47" ht="13" x14ac:dyDescent="0.3">
      <c r="O4332" s="7" t="s">
        <v>264</v>
      </c>
      <c r="Q4332" s="61"/>
      <c r="R4332" s="53"/>
      <c r="S4332" s="69">
        <f>IFERROR(ABS(C_h-R4331),Q_max*10)</f>
        <v>5500</v>
      </c>
      <c r="T4332" s="76">
        <f>R4323</f>
        <v>1807.8274404999806</v>
      </c>
      <c r="U4332" s="61"/>
      <c r="V4332" s="69">
        <f>IFERROR(ABS(U$23-U4331),Q_max*10)</f>
        <v>5500</v>
      </c>
      <c r="W4332" s="75">
        <f>U4323</f>
        <v>1369.167807854396</v>
      </c>
      <c r="X4332" s="61"/>
      <c r="Y4332" s="69">
        <f>IFERROR(ABS(X$23-X4331),Q_max*10)</f>
        <v>5500</v>
      </c>
      <c r="Z4332" s="75">
        <f>X4323</f>
        <v>3286.529782755716</v>
      </c>
      <c r="AA4332" s="61"/>
      <c r="AB4332" s="69">
        <f>IFERROR(ABS(AA$23-AA4331),Q_max*10)</f>
        <v>5500</v>
      </c>
      <c r="AC4332" s="75">
        <f>AA4323</f>
        <v>6275.1898295806877</v>
      </c>
      <c r="AD4332" s="61"/>
      <c r="AE4332" s="69">
        <f>IFERROR(ABS(AD$23-AD4331),Q_max*10)</f>
        <v>5500</v>
      </c>
      <c r="AF4332" s="75">
        <f>AD4323</f>
        <v>10320.376881839495</v>
      </c>
      <c r="AG4332" s="61"/>
      <c r="AH4332" s="69">
        <f>IFERROR(ABS(AG$23-AG4331),Q_max*10)</f>
        <v>5500</v>
      </c>
      <c r="AI4332" s="75">
        <f>AG4323</f>
        <v>15365.634856333118</v>
      </c>
      <c r="AJ4332" s="61"/>
      <c r="AK4332" s="69">
        <f>IFERROR(ABS(AJ$23-AJ4331),Q_max*10)</f>
        <v>5500</v>
      </c>
      <c r="AL4332" s="75">
        <f>AJ4323</f>
        <v>20505.499281693159</v>
      </c>
      <c r="AM4332" s="61"/>
      <c r="AN4332" s="69">
        <f>IFERROR(ABS(AM$23-AM4331),Q_max*10)</f>
        <v>5500</v>
      </c>
      <c r="AO4332" s="75">
        <f>AM4323</f>
        <v>25020.605987682186</v>
      </c>
      <c r="AP4332" s="61"/>
      <c r="AQ4332" s="69">
        <f>IFERROR(ABS(AP$23-AP4331),Q_max*10)</f>
        <v>5500</v>
      </c>
      <c r="AR4332" s="75">
        <f>AP4323</f>
        <v>29048.146796243716</v>
      </c>
      <c r="AS4332" s="61"/>
      <c r="AT4332" s="69">
        <f>IFERROR(ABS(AS$23-AS4331),Q_max*10)</f>
        <v>5500</v>
      </c>
      <c r="AU4332" s="75">
        <f>AS4323</f>
        <v>33059.500677844757</v>
      </c>
    </row>
    <row r="4333" spans="15:47" ht="14.5" x14ac:dyDescent="0.35">
      <c r="O4333" s="6"/>
      <c r="P4333" s="6"/>
      <c r="Q4333" s="60"/>
      <c r="R4333" s="67"/>
      <c r="S4333" s="58"/>
      <c r="T4333" s="73"/>
      <c r="V4333" s="11"/>
      <c r="W4333" s="38"/>
      <c r="Y4333" s="11"/>
      <c r="Z4333" s="38"/>
      <c r="AB4333" s="11"/>
      <c r="AC4333" s="38"/>
      <c r="AE4333" s="11"/>
      <c r="AF4333" s="38"/>
      <c r="AH4333" s="11"/>
      <c r="AI4333" s="38"/>
      <c r="AK4333" s="11"/>
      <c r="AL4333" s="38"/>
      <c r="AN4333" s="11"/>
      <c r="AO4333" s="38"/>
      <c r="AQ4333" s="11"/>
      <c r="AR4333" s="38"/>
      <c r="AT4333" s="11"/>
      <c r="AU4333" s="38"/>
    </row>
    <row r="4334" spans="15:47" ht="14" x14ac:dyDescent="0.3">
      <c r="O4334" s="8" t="s">
        <v>235</v>
      </c>
      <c r="P4334" s="6"/>
      <c r="Q4334" s="60"/>
      <c r="R4334" s="53">
        <f>R4323*1.02</f>
        <v>1843.9839893099802</v>
      </c>
      <c r="S4334" s="58" t="s">
        <v>238</v>
      </c>
      <c r="T4334" s="73" t="s">
        <v>241</v>
      </c>
      <c r="U4334" s="84">
        <f>U4323*1.01</f>
        <v>1382.8594859329398</v>
      </c>
      <c r="V4334" s="58" t="s">
        <v>238</v>
      </c>
      <c r="W4334" s="73" t="s">
        <v>241</v>
      </c>
      <c r="X4334" s="84">
        <f>X4323*1.01</f>
        <v>3319.3950805832733</v>
      </c>
      <c r="Y4334" s="58" t="s">
        <v>238</v>
      </c>
      <c r="Z4334" s="73" t="s">
        <v>241</v>
      </c>
      <c r="AA4334" s="84">
        <f>AA4323*1.01</f>
        <v>6337.941727876495</v>
      </c>
      <c r="AB4334" s="58" t="s">
        <v>238</v>
      </c>
      <c r="AC4334" s="73" t="s">
        <v>241</v>
      </c>
      <c r="AD4334" s="84">
        <f>AD4323*1.01</f>
        <v>10423.58065065789</v>
      </c>
      <c r="AE4334" s="58" t="s">
        <v>238</v>
      </c>
      <c r="AF4334" s="73" t="s">
        <v>241</v>
      </c>
      <c r="AG4334" s="84">
        <f>AG4323*1.01</f>
        <v>15519.291204896448</v>
      </c>
      <c r="AH4334" s="58" t="s">
        <v>238</v>
      </c>
      <c r="AI4334" s="73" t="s">
        <v>241</v>
      </c>
      <c r="AJ4334" s="84">
        <f>AJ4323*1.01</f>
        <v>20710.55427451009</v>
      </c>
      <c r="AK4334" s="58" t="s">
        <v>238</v>
      </c>
      <c r="AL4334" s="73" t="s">
        <v>241</v>
      </c>
      <c r="AM4334" s="84">
        <f>AM4323*1.01</f>
        <v>25270.812047559008</v>
      </c>
      <c r="AN4334" s="58" t="s">
        <v>238</v>
      </c>
      <c r="AO4334" s="73" t="s">
        <v>241</v>
      </c>
      <c r="AP4334" s="84">
        <f>AP4323*1.01</f>
        <v>29338.628264206152</v>
      </c>
      <c r="AQ4334" s="58" t="s">
        <v>238</v>
      </c>
      <c r="AR4334" s="73" t="s">
        <v>241</v>
      </c>
      <c r="AS4334" s="84">
        <f>AS4323*1.01</f>
        <v>33390.095684623207</v>
      </c>
      <c r="AT4334" s="58" t="s">
        <v>238</v>
      </c>
      <c r="AU4334" s="73" t="s">
        <v>241</v>
      </c>
    </row>
    <row r="4335" spans="15:47" ht="13" x14ac:dyDescent="0.25">
      <c r="O4335" s="6"/>
      <c r="P4335" s="6"/>
      <c r="Q4335" s="60"/>
      <c r="R4335" s="70"/>
      <c r="S4335" s="63" t="s">
        <v>250</v>
      </c>
      <c r="T4335" s="71" t="s">
        <v>242</v>
      </c>
      <c r="U4335" s="61"/>
      <c r="V4335" s="63" t="s">
        <v>250</v>
      </c>
      <c r="W4335" s="71" t="s">
        <v>242</v>
      </c>
      <c r="X4335" s="61"/>
      <c r="Y4335" s="63" t="s">
        <v>250</v>
      </c>
      <c r="Z4335" s="71" t="s">
        <v>242</v>
      </c>
      <c r="AA4335" s="61"/>
      <c r="AB4335" s="63" t="s">
        <v>250</v>
      </c>
      <c r="AC4335" s="71" t="s">
        <v>242</v>
      </c>
      <c r="AD4335" s="61"/>
      <c r="AE4335" s="63" t="s">
        <v>250</v>
      </c>
      <c r="AF4335" s="71" t="s">
        <v>242</v>
      </c>
      <c r="AG4335" s="61"/>
      <c r="AH4335" s="63" t="s">
        <v>250</v>
      </c>
      <c r="AI4335" s="71" t="s">
        <v>242</v>
      </c>
      <c r="AJ4335" s="61"/>
      <c r="AK4335" s="63" t="s">
        <v>250</v>
      </c>
      <c r="AL4335" s="71" t="s">
        <v>242</v>
      </c>
      <c r="AM4335" s="61"/>
      <c r="AN4335" s="63" t="s">
        <v>250</v>
      </c>
      <c r="AO4335" s="71" t="s">
        <v>242</v>
      </c>
      <c r="AP4335" s="61"/>
      <c r="AQ4335" s="63" t="s">
        <v>250</v>
      </c>
      <c r="AR4335" s="71" t="s">
        <v>242</v>
      </c>
      <c r="AS4335" s="61"/>
      <c r="AT4335" s="63" t="s">
        <v>250</v>
      </c>
      <c r="AU4335" s="71" t="s">
        <v>242</v>
      </c>
    </row>
    <row r="4336" spans="15:47" ht="13" x14ac:dyDescent="0.3">
      <c r="O4336" s="6" t="s">
        <v>231</v>
      </c>
      <c r="P4336" s="6"/>
      <c r="Q4336" s="60"/>
      <c r="R4336" s="85">
        <f>P_1_minQ-(R4334^2*R_up)+dpup_minQ</f>
        <v>-57.919282432676432</v>
      </c>
      <c r="S4336" s="56"/>
      <c r="T4336" s="72"/>
      <c r="U4336" s="53">
        <f>P_1_minQ-(U4334^2*R_up)+dpup_minQ</f>
        <v>-7.6667800687171495</v>
      </c>
      <c r="V4336" s="44"/>
      <c r="W4336" s="72"/>
      <c r="X4336" s="53">
        <f>P_1_minQ-(X4334^2*R_up)+dpup_minQ</f>
        <v>-315.20083421142976</v>
      </c>
      <c r="Y4336" s="44"/>
      <c r="Z4336" s="72"/>
      <c r="AA4336" s="53">
        <f>P_1_minQ-(AA4334^2*R_up)+dpup_minQ</f>
        <v>-1299.70342269362</v>
      </c>
      <c r="AB4336" s="44"/>
      <c r="AC4336" s="72"/>
      <c r="AD4336" s="53">
        <f>P_1_minQ-(AD4334^2*R_up)+dpup_minQ</f>
        <v>-3612.4872198841467</v>
      </c>
      <c r="AE4336" s="44"/>
      <c r="AF4336" s="72"/>
      <c r="AG4336" s="53">
        <f>P_1_minQ-(AG4334^2*R_up)+dpup_minQ</f>
        <v>-8077.1061297661699</v>
      </c>
      <c r="AH4336" s="44"/>
      <c r="AI4336" s="72"/>
      <c r="AJ4336" s="53">
        <f>P_1_minQ-(AJ4334^2*R_up)+dpup_minQ</f>
        <v>-14428.968975259311</v>
      </c>
      <c r="AK4336" s="44"/>
      <c r="AL4336" s="72"/>
      <c r="AM4336" s="53">
        <f>P_1_minQ-(AM4334^2*R_up)+dpup_minQ</f>
        <v>-21510.592858596876</v>
      </c>
      <c r="AN4336" s="44"/>
      <c r="AO4336" s="72"/>
      <c r="AP4336" s="53">
        <f>P_1_minQ-(AP4334^2*R_up)+dpup_minQ</f>
        <v>-29012.827471302811</v>
      </c>
      <c r="AQ4336" s="44"/>
      <c r="AR4336" s="72"/>
      <c r="AS4336" s="53">
        <f>P_1_minQ-(AS4334^2*R_up)+dpup_minQ</f>
        <v>-37595.852847966678</v>
      </c>
      <c r="AT4336" s="44"/>
      <c r="AU4336" s="72"/>
    </row>
    <row r="4337" spans="15:47" ht="13" x14ac:dyDescent="0.3">
      <c r="O4337" s="6" t="s">
        <v>233</v>
      </c>
      <c r="P4337" s="6"/>
      <c r="Q4337" s="60"/>
      <c r="R4337" s="85">
        <f>P_2_minQ+(R4334^2*R_dn)-dpdn_minQ</f>
        <v>47.623856486535288</v>
      </c>
      <c r="S4337" s="66"/>
      <c r="T4337" s="74"/>
      <c r="U4337" s="53">
        <f>P_2_minQ+(U4334^2*R_dn)-dpdn_minQ</f>
        <v>37.573356013743435</v>
      </c>
      <c r="V4337" s="45"/>
      <c r="W4337" s="74"/>
      <c r="X4337" s="53">
        <f>P_2_minQ+(X4334^2*R_dn)-dpdn_minQ</f>
        <v>99.080166842285948</v>
      </c>
      <c r="Y4337" s="45"/>
      <c r="Z4337" s="74"/>
      <c r="AA4337" s="53">
        <f>P_2_minQ+(AA4334^2*R_dn)-dpdn_minQ</f>
        <v>295.98068453872395</v>
      </c>
      <c r="AB4337" s="45"/>
      <c r="AC4337" s="74"/>
      <c r="AD4337" s="53">
        <f>P_2_minQ+(AD4334^2*R_dn)-dpdn_minQ</f>
        <v>758.53744397682919</v>
      </c>
      <c r="AE4337" s="45"/>
      <c r="AF4337" s="74"/>
      <c r="AG4337" s="53">
        <f>P_2_minQ+(AG4334^2*R_dn)-dpdn_minQ</f>
        <v>1651.4612259532339</v>
      </c>
      <c r="AH4337" s="45"/>
      <c r="AI4337" s="74"/>
      <c r="AJ4337" s="53">
        <f>P_2_minQ+(AJ4334^2*R_dn)-dpdn_minQ</f>
        <v>2921.8337950518621</v>
      </c>
      <c r="AK4337" s="45"/>
      <c r="AL4337" s="74"/>
      <c r="AM4337" s="53">
        <f>P_2_minQ+(AM4334^2*R_dn)-dpdn_minQ</f>
        <v>4338.1585717193748</v>
      </c>
      <c r="AN4337" s="45"/>
      <c r="AO4337" s="74"/>
      <c r="AP4337" s="53">
        <f>P_2_minQ+(AP4334^2*R_dn)-dpdn_minQ</f>
        <v>5838.6054942605615</v>
      </c>
      <c r="AQ4337" s="45"/>
      <c r="AR4337" s="74"/>
      <c r="AS4337" s="53">
        <f>P_2_minQ+(AS4334^2*R_dn)-dpdn_minQ</f>
        <v>7555.2105695933351</v>
      </c>
      <c r="AT4337" s="45"/>
      <c r="AU4337" s="74"/>
    </row>
    <row r="4338" spans="15:47" x14ac:dyDescent="0.25">
      <c r="O4338" s="6" t="s">
        <v>243</v>
      </c>
      <c r="Q4338" s="60"/>
      <c r="R4338" s="53">
        <f>R4336-R4337</f>
        <v>-105.54313891921171</v>
      </c>
      <c r="S4338" s="56"/>
      <c r="T4338" s="72"/>
      <c r="U4338" s="64">
        <f>U4336-U4337</f>
        <v>-45.240136082460587</v>
      </c>
      <c r="V4338" s="44"/>
      <c r="W4338" s="72"/>
      <c r="X4338" s="64">
        <f>X4336-X4337</f>
        <v>-414.28100105371573</v>
      </c>
      <c r="Y4338" s="44"/>
      <c r="Z4338" s="72"/>
      <c r="AA4338" s="64">
        <f>AA4336-AA4337</f>
        <v>-1595.6841072323441</v>
      </c>
      <c r="AB4338" s="44"/>
      <c r="AC4338" s="72"/>
      <c r="AD4338" s="64">
        <f>AD4336-AD4337</f>
        <v>-4371.024663860976</v>
      </c>
      <c r="AE4338" s="44"/>
      <c r="AF4338" s="72"/>
      <c r="AG4338" s="64">
        <f>AG4336-AG4337</f>
        <v>-9728.5673557194041</v>
      </c>
      <c r="AH4338" s="44"/>
      <c r="AI4338" s="72"/>
      <c r="AJ4338" s="64">
        <f>AJ4336-AJ4337</f>
        <v>-17350.802770311173</v>
      </c>
      <c r="AK4338" s="44"/>
      <c r="AL4338" s="72"/>
      <c r="AM4338" s="64">
        <f>AM4336-AM4337</f>
        <v>-25848.75143031625</v>
      </c>
      <c r="AN4338" s="44"/>
      <c r="AO4338" s="72"/>
      <c r="AP4338" s="64">
        <f>AP4336-AP4337</f>
        <v>-34851.43296556337</v>
      </c>
      <c r="AQ4338" s="44"/>
      <c r="AR4338" s="72"/>
      <c r="AS4338" s="64">
        <f>AS4336-AS4337</f>
        <v>-45151.063417560013</v>
      </c>
      <c r="AT4338" s="44"/>
      <c r="AU4338" s="72"/>
    </row>
    <row r="4339" spans="15:47" ht="13" x14ac:dyDescent="0.3">
      <c r="O4339" s="6" t="s">
        <v>75</v>
      </c>
      <c r="P4339" s="6">
        <v>3</v>
      </c>
      <c r="Q4339" s="65"/>
      <c r="R4339" s="85">
        <f>(F_LP_h/F_P_h)^2*(R4336-('Valve Sizing'!$V$4*'Valve Sizing'!$G$7))</f>
        <v>-48.324596882338518</v>
      </c>
      <c r="S4339" s="58"/>
      <c r="T4339" s="73"/>
      <c r="U4339" s="53">
        <f>(U$29/U$27)^2*(U4336-('Valve Sizing'!$V$4*'Valve Sizing'!$G$7))</f>
        <v>-6.7110575184863119</v>
      </c>
      <c r="V4339" s="41"/>
      <c r="W4339" s="73"/>
      <c r="X4339" s="53">
        <f>(X$29/X$27)^2*(X4336-('Valve Sizing'!$V$4*'Valve Sizing'!$G$7))</f>
        <v>-255.40195288964</v>
      </c>
      <c r="Y4339" s="41"/>
      <c r="Z4339" s="73"/>
      <c r="AA4339" s="53">
        <f>(AA$29/AA$27)^2*(AA4336-('Valve Sizing'!$V$4*'Valve Sizing'!$G$7))</f>
        <v>-1004.7472689848628</v>
      </c>
      <c r="AB4339" s="41"/>
      <c r="AC4339" s="73"/>
      <c r="AD4339" s="53">
        <f>(AD$29/AD$27)^2*(AD4336-('Valve Sizing'!$V$4*'Valve Sizing'!$G$7))</f>
        <v>-2605.5976556128508</v>
      </c>
      <c r="AE4339" s="41"/>
      <c r="AF4339" s="73"/>
      <c r="AG4339" s="53">
        <f>(AG$29/AG$27)^2*(AG4336-('Valve Sizing'!$V$4*'Valve Sizing'!$G$7))</f>
        <v>-5202.2947624197095</v>
      </c>
      <c r="AH4339" s="41"/>
      <c r="AI4339" s="73"/>
      <c r="AJ4339" s="53">
        <f>(AJ$29/AJ$27)^2*(AJ4336-('Valve Sizing'!$V$4*'Valve Sizing'!$G$7))</f>
        <v>-8345.4555644797038</v>
      </c>
      <c r="AK4339" s="41"/>
      <c r="AL4339" s="73"/>
      <c r="AM4339" s="53">
        <f>(AM$29/AM$27)^2*(AM4336-('Valve Sizing'!$V$4*'Valve Sizing'!$G$7))</f>
        <v>-10292.430153205967</v>
      </c>
      <c r="AN4339" s="41"/>
      <c r="AO4339" s="73"/>
      <c r="AP4339" s="53">
        <f>(AP$29/AP$27)^2*(AP4336-('Valve Sizing'!$V$4*'Valve Sizing'!$G$7))</f>
        <v>-11449.413716258601</v>
      </c>
      <c r="AQ4339" s="41"/>
      <c r="AR4339" s="73"/>
      <c r="AS4339" s="53">
        <f>(AS$29/AS$27)^2*(AS4336-('Valve Sizing'!$V$4*'Valve Sizing'!$G$7))</f>
        <v>-14141.499468885582</v>
      </c>
      <c r="AT4339" s="41"/>
      <c r="AU4339" s="73"/>
    </row>
    <row r="4340" spans="15:47" ht="13" x14ac:dyDescent="0.25">
      <c r="O4340" s="1" t="s">
        <v>69</v>
      </c>
      <c r="P4340" s="17">
        <v>7</v>
      </c>
      <c r="Q4340" s="65"/>
      <c r="R4340" s="53" t="e">
        <f>(R4334/(N_1*F_P_h))*SQRT('Valve Sizing'!$G$6/R4338)</f>
        <v>#NUM!</v>
      </c>
      <c r="S4340" s="58"/>
      <c r="T4340" s="73"/>
      <c r="U4340" s="64" t="e">
        <f>(U4334/(N_1*U$27))*SQRT('Valve Sizing'!$G$6/U4338)</f>
        <v>#NUM!</v>
      </c>
      <c r="V4340" s="41"/>
      <c r="W4340" s="73"/>
      <c r="X4340" s="64" t="e">
        <f>(X4334/(N_1*X$27))*SQRT('Valve Sizing'!$G$6/X4338)</f>
        <v>#NUM!</v>
      </c>
      <c r="Y4340" s="41"/>
      <c r="Z4340" s="73"/>
      <c r="AA4340" s="64" t="e">
        <f>(AA4334/(N_1*AA$27))*SQRT('Valve Sizing'!$G$6/AA4338)</f>
        <v>#NUM!</v>
      </c>
      <c r="AB4340" s="41"/>
      <c r="AC4340" s="73"/>
      <c r="AD4340" s="64" t="e">
        <f>(AD4334/(N_1*AD$27))*SQRT('Valve Sizing'!$G$6/AD4338)</f>
        <v>#NUM!</v>
      </c>
      <c r="AE4340" s="41"/>
      <c r="AF4340" s="73"/>
      <c r="AG4340" s="64" t="e">
        <f>(AG4334/(N_1*AG$27))*SQRT('Valve Sizing'!$G$6/AG4338)</f>
        <v>#NUM!</v>
      </c>
      <c r="AH4340" s="41"/>
      <c r="AI4340" s="73"/>
      <c r="AJ4340" s="64" t="e">
        <f>(AJ4334/(N_1*AJ$27))*SQRT('Valve Sizing'!$G$6/AJ4338)</f>
        <v>#NUM!</v>
      </c>
      <c r="AK4340" s="41"/>
      <c r="AL4340" s="73"/>
      <c r="AM4340" s="64" t="e">
        <f>(AM4334/(N_1*AM$27))*SQRT('Valve Sizing'!$G$6/AM4338)</f>
        <v>#NUM!</v>
      </c>
      <c r="AN4340" s="41"/>
      <c r="AO4340" s="73"/>
      <c r="AP4340" s="64" t="e">
        <f>(AP4334/(N_1*AP$27))*SQRT('Valve Sizing'!$G$6/AP4338)</f>
        <v>#NUM!</v>
      </c>
      <c r="AQ4340" s="41"/>
      <c r="AR4340" s="73"/>
      <c r="AS4340" s="64" t="e">
        <f>(AS4334/(N_1*AS$27))*SQRT('Valve Sizing'!$G$6/AS4338)</f>
        <v>#NUM!</v>
      </c>
      <c r="AT4340" s="41"/>
      <c r="AU4340" s="73"/>
    </row>
    <row r="4341" spans="15:47" ht="13" x14ac:dyDescent="0.3">
      <c r="O4341" s="1" t="s">
        <v>72</v>
      </c>
      <c r="P4341" s="17">
        <v>7</v>
      </c>
      <c r="Q4341" s="65"/>
      <c r="R4341" s="53" t="e">
        <f>(R4334/(N_1*F_P_h))*SQRT('Valve Sizing'!$G$6/R4339)</f>
        <v>#NUM!</v>
      </c>
      <c r="S4341" s="56"/>
      <c r="T4341" s="72"/>
      <c r="U4341" s="85" t="e">
        <f>(U4334/(N_1*U$27))*SQRT('Valve Sizing'!$G$6/U4339)</f>
        <v>#NUM!</v>
      </c>
      <c r="V4341" s="44"/>
      <c r="W4341" s="72"/>
      <c r="X4341" s="85" t="e">
        <f>(X4334/(N_1*X$27))*SQRT('Valve Sizing'!$G$6/X4339)</f>
        <v>#NUM!</v>
      </c>
      <c r="Y4341" s="44"/>
      <c r="Z4341" s="72"/>
      <c r="AA4341" s="85" t="e">
        <f>(AA4334/(N_1*AA$27))*SQRT('Valve Sizing'!$G$6/AA4339)</f>
        <v>#NUM!</v>
      </c>
      <c r="AB4341" s="44"/>
      <c r="AC4341" s="72"/>
      <c r="AD4341" s="85" t="e">
        <f>(AD4334/(N_1*AD$27))*SQRT('Valve Sizing'!$G$6/AD4339)</f>
        <v>#NUM!</v>
      </c>
      <c r="AE4341" s="44"/>
      <c r="AF4341" s="72"/>
      <c r="AG4341" s="85" t="e">
        <f>(AG4334/(N_1*AG$27))*SQRT('Valve Sizing'!$G$6/AG4339)</f>
        <v>#NUM!</v>
      </c>
      <c r="AH4341" s="44"/>
      <c r="AI4341" s="72"/>
      <c r="AJ4341" s="85" t="e">
        <f>(AJ4334/(N_1*AJ$27))*SQRT('Valve Sizing'!$G$6/AJ4339)</f>
        <v>#NUM!</v>
      </c>
      <c r="AK4341" s="44"/>
      <c r="AL4341" s="72"/>
      <c r="AM4341" s="85" t="e">
        <f>(AM4334/(N_1*AM$27))*SQRT('Valve Sizing'!$G$6/AM4339)</f>
        <v>#NUM!</v>
      </c>
      <c r="AN4341" s="44"/>
      <c r="AO4341" s="72"/>
      <c r="AP4341" s="85" t="e">
        <f>(AP4334/(N_1*AP$27))*SQRT('Valve Sizing'!$G$6/AP4339)</f>
        <v>#NUM!</v>
      </c>
      <c r="AQ4341" s="44"/>
      <c r="AR4341" s="72"/>
      <c r="AS4341" s="85" t="e">
        <f>(AS4334/(N_1*AS$27))*SQRT('Valve Sizing'!$G$6/AS4339)</f>
        <v>#NUM!</v>
      </c>
      <c r="AT4341" s="44"/>
      <c r="AU4341" s="72"/>
    </row>
    <row r="4342" spans="15:47" x14ac:dyDescent="0.25">
      <c r="O4342" s="1" t="s">
        <v>246</v>
      </c>
      <c r="P4342" s="18"/>
      <c r="Q4342" s="65"/>
      <c r="R4342" s="53" t="e">
        <f>IF(R4338&lt;R4339,R4340,R4341)</f>
        <v>#NUM!</v>
      </c>
      <c r="S4342" s="49"/>
      <c r="T4342" s="72"/>
      <c r="U4342" s="64" t="e">
        <f>IF(U4338&lt;U4339,U4340,U4341)</f>
        <v>#NUM!</v>
      </c>
      <c r="V4342" s="44"/>
      <c r="W4342" s="72"/>
      <c r="X4342" s="64" t="e">
        <f>IF(X4338&lt;X4339,X4340,X4341)</f>
        <v>#NUM!</v>
      </c>
      <c r="Y4342" s="44"/>
      <c r="Z4342" s="72"/>
      <c r="AA4342" s="64" t="e">
        <f>IF(AA4338&lt;AA4339,AA4340,AA4341)</f>
        <v>#NUM!</v>
      </c>
      <c r="AB4342" s="44"/>
      <c r="AC4342" s="72"/>
      <c r="AD4342" s="64" t="e">
        <f>IF(AD4338&lt;AD4339,AD4340,AD4341)</f>
        <v>#NUM!</v>
      </c>
      <c r="AE4342" s="44"/>
      <c r="AF4342" s="72"/>
      <c r="AG4342" s="64" t="e">
        <f>IF(AG4338&lt;AG4339,AG4340,AG4341)</f>
        <v>#NUM!</v>
      </c>
      <c r="AH4342" s="44"/>
      <c r="AI4342" s="72"/>
      <c r="AJ4342" s="64" t="e">
        <f>IF(AJ4338&lt;AJ4339,AJ4340,AJ4341)</f>
        <v>#NUM!</v>
      </c>
      <c r="AK4342" s="44"/>
      <c r="AL4342" s="72"/>
      <c r="AM4342" s="64" t="e">
        <f>IF(AM4338&lt;AM4339,AM4340,AM4341)</f>
        <v>#NUM!</v>
      </c>
      <c r="AN4342" s="44"/>
      <c r="AO4342" s="72"/>
      <c r="AP4342" s="64" t="e">
        <f>IF(AP4338&lt;AP4339,AP4340,AP4341)</f>
        <v>#NUM!</v>
      </c>
      <c r="AQ4342" s="44"/>
      <c r="AR4342" s="72"/>
      <c r="AS4342" s="64" t="e">
        <f>IF(AS4338&lt;AS4339,AS4340,AS4341)</f>
        <v>#NUM!</v>
      </c>
      <c r="AT4342" s="44"/>
      <c r="AU4342" s="72"/>
    </row>
    <row r="4343" spans="15:47" ht="13" x14ac:dyDescent="0.3">
      <c r="O4343" s="7" t="s">
        <v>264</v>
      </c>
      <c r="Q4343" s="61"/>
      <c r="R4343" s="53"/>
      <c r="S4343" s="69">
        <f>IFERROR(ABS(C_h-R4342),Q_max*10)</f>
        <v>5500</v>
      </c>
      <c r="T4343" s="76">
        <f>R4334</f>
        <v>1843.9839893099802</v>
      </c>
      <c r="U4343" s="61"/>
      <c r="V4343" s="69">
        <f>IFERROR(ABS(U$23-U4342),Q_max*10)</f>
        <v>5500</v>
      </c>
      <c r="W4343" s="75">
        <f>U4334</f>
        <v>1382.8594859329398</v>
      </c>
      <c r="X4343" s="61"/>
      <c r="Y4343" s="69">
        <f>IFERROR(ABS(X$23-X4342),Q_max*10)</f>
        <v>5500</v>
      </c>
      <c r="Z4343" s="75">
        <f>X4334</f>
        <v>3319.3950805832733</v>
      </c>
      <c r="AA4343" s="61"/>
      <c r="AB4343" s="69">
        <f>IFERROR(ABS(AA$23-AA4342),Q_max*10)</f>
        <v>5500</v>
      </c>
      <c r="AC4343" s="75">
        <f>AA4334</f>
        <v>6337.941727876495</v>
      </c>
      <c r="AD4343" s="61"/>
      <c r="AE4343" s="69">
        <f>IFERROR(ABS(AD$23-AD4342),Q_max*10)</f>
        <v>5500</v>
      </c>
      <c r="AF4343" s="75">
        <f>AD4334</f>
        <v>10423.58065065789</v>
      </c>
      <c r="AG4343" s="61"/>
      <c r="AH4343" s="69">
        <f>IFERROR(ABS(AG$23-AG4342),Q_max*10)</f>
        <v>5500</v>
      </c>
      <c r="AI4343" s="75">
        <f>AG4334</f>
        <v>15519.291204896448</v>
      </c>
      <c r="AJ4343" s="61"/>
      <c r="AK4343" s="69">
        <f>IFERROR(ABS(AJ$23-AJ4342),Q_max*10)</f>
        <v>5500</v>
      </c>
      <c r="AL4343" s="75">
        <f>AJ4334</f>
        <v>20710.55427451009</v>
      </c>
      <c r="AM4343" s="61"/>
      <c r="AN4343" s="69">
        <f>IFERROR(ABS(AM$23-AM4342),Q_max*10)</f>
        <v>5500</v>
      </c>
      <c r="AO4343" s="75">
        <f>AM4334</f>
        <v>25270.812047559008</v>
      </c>
      <c r="AP4343" s="61"/>
      <c r="AQ4343" s="69">
        <f>IFERROR(ABS(AP$23-AP4342),Q_max*10)</f>
        <v>5500</v>
      </c>
      <c r="AR4343" s="75">
        <f>AP4334</f>
        <v>29338.628264206152</v>
      </c>
      <c r="AS4343" s="61"/>
      <c r="AT4343" s="69">
        <f>IFERROR(ABS(AS$23-AS4342),Q_max*10)</f>
        <v>5500</v>
      </c>
      <c r="AU4343" s="75">
        <f>AS4334</f>
        <v>33390.095684623207</v>
      </c>
    </row>
    <row r="4344" spans="15:47" ht="14.5" x14ac:dyDescent="0.35">
      <c r="O4344" s="8"/>
      <c r="P4344" s="6"/>
      <c r="Q4344" s="60"/>
      <c r="R4344" s="67"/>
      <c r="S4344" s="56"/>
      <c r="T4344" s="72"/>
      <c r="V4344" s="11"/>
      <c r="W4344" s="38"/>
      <c r="Y4344" s="11"/>
      <c r="Z4344" s="38"/>
      <c r="AB4344" s="11"/>
      <c r="AC4344" s="38"/>
      <c r="AE4344" s="11"/>
      <c r="AF4344" s="38"/>
      <c r="AH4344" s="11"/>
      <c r="AI4344" s="38"/>
      <c r="AK4344" s="11"/>
      <c r="AL4344" s="38"/>
      <c r="AN4344" s="11"/>
      <c r="AO4344" s="38"/>
      <c r="AQ4344" s="11"/>
      <c r="AR4344" s="38"/>
      <c r="AT4344" s="11"/>
      <c r="AU4344" s="38"/>
    </row>
    <row r="4345" spans="15:47" ht="14" x14ac:dyDescent="0.3">
      <c r="O4345" s="8" t="s">
        <v>235</v>
      </c>
      <c r="P4345" s="6"/>
      <c r="Q4345" s="60"/>
      <c r="R4345" s="53">
        <f>R4334*1.02</f>
        <v>1880.8636690961798</v>
      </c>
      <c r="S4345" s="58" t="s">
        <v>238</v>
      </c>
      <c r="T4345" s="73" t="s">
        <v>241</v>
      </c>
      <c r="U4345" s="84">
        <f>U4334*1.01</f>
        <v>1396.6880807922691</v>
      </c>
      <c r="V4345" s="58" t="s">
        <v>238</v>
      </c>
      <c r="W4345" s="73" t="s">
        <v>241</v>
      </c>
      <c r="X4345" s="84">
        <f>X4334*1.01</f>
        <v>3352.5890313891059</v>
      </c>
      <c r="Y4345" s="58" t="s">
        <v>238</v>
      </c>
      <c r="Z4345" s="73" t="s">
        <v>241</v>
      </c>
      <c r="AA4345" s="84">
        <f>AA4334*1.01</f>
        <v>6401.3211451552597</v>
      </c>
      <c r="AB4345" s="58" t="s">
        <v>238</v>
      </c>
      <c r="AC4345" s="73" t="s">
        <v>241</v>
      </c>
      <c r="AD4345" s="84">
        <f>AD4334*1.01</f>
        <v>10527.816457164468</v>
      </c>
      <c r="AE4345" s="58" t="s">
        <v>238</v>
      </c>
      <c r="AF4345" s="73" t="s">
        <v>241</v>
      </c>
      <c r="AG4345" s="84">
        <f>AG4334*1.01</f>
        <v>15674.484116945412</v>
      </c>
      <c r="AH4345" s="58" t="s">
        <v>238</v>
      </c>
      <c r="AI4345" s="73" t="s">
        <v>241</v>
      </c>
      <c r="AJ4345" s="84">
        <f>AJ4334*1.01</f>
        <v>20917.659817255193</v>
      </c>
      <c r="AK4345" s="58" t="s">
        <v>238</v>
      </c>
      <c r="AL4345" s="73" t="s">
        <v>241</v>
      </c>
      <c r="AM4345" s="84">
        <f>AM4334*1.01</f>
        <v>25523.520168034596</v>
      </c>
      <c r="AN4345" s="58" t="s">
        <v>238</v>
      </c>
      <c r="AO4345" s="73" t="s">
        <v>241</v>
      </c>
      <c r="AP4345" s="84">
        <f>AP4334*1.01</f>
        <v>29632.014546848215</v>
      </c>
      <c r="AQ4345" s="58" t="s">
        <v>238</v>
      </c>
      <c r="AR4345" s="73" t="s">
        <v>241</v>
      </c>
      <c r="AS4345" s="84">
        <f>AS4334*1.01</f>
        <v>33723.996641469443</v>
      </c>
      <c r="AT4345" s="58" t="s">
        <v>238</v>
      </c>
      <c r="AU4345" s="73" t="s">
        <v>241</v>
      </c>
    </row>
    <row r="4346" spans="15:47" ht="13" x14ac:dyDescent="0.25">
      <c r="O4346" s="6"/>
      <c r="P4346" s="6"/>
      <c r="Q4346" s="60"/>
      <c r="R4346" s="70"/>
      <c r="S4346" s="63" t="s">
        <v>250</v>
      </c>
      <c r="T4346" s="71" t="s">
        <v>242</v>
      </c>
      <c r="U4346" s="61"/>
      <c r="V4346" s="63" t="s">
        <v>250</v>
      </c>
      <c r="W4346" s="71" t="s">
        <v>242</v>
      </c>
      <c r="X4346" s="61"/>
      <c r="Y4346" s="63" t="s">
        <v>250</v>
      </c>
      <c r="Z4346" s="71" t="s">
        <v>242</v>
      </c>
      <c r="AA4346" s="61"/>
      <c r="AB4346" s="63" t="s">
        <v>250</v>
      </c>
      <c r="AC4346" s="71" t="s">
        <v>242</v>
      </c>
      <c r="AD4346" s="61"/>
      <c r="AE4346" s="63" t="s">
        <v>250</v>
      </c>
      <c r="AF4346" s="71" t="s">
        <v>242</v>
      </c>
      <c r="AG4346" s="61"/>
      <c r="AH4346" s="63" t="s">
        <v>250</v>
      </c>
      <c r="AI4346" s="71" t="s">
        <v>242</v>
      </c>
      <c r="AJ4346" s="61"/>
      <c r="AK4346" s="63" t="s">
        <v>250</v>
      </c>
      <c r="AL4346" s="71" t="s">
        <v>242</v>
      </c>
      <c r="AM4346" s="61"/>
      <c r="AN4346" s="63" t="s">
        <v>250</v>
      </c>
      <c r="AO4346" s="71" t="s">
        <v>242</v>
      </c>
      <c r="AP4346" s="61"/>
      <c r="AQ4346" s="63" t="s">
        <v>250</v>
      </c>
      <c r="AR4346" s="71" t="s">
        <v>242</v>
      </c>
      <c r="AS4346" s="61"/>
      <c r="AT4346" s="63" t="s">
        <v>250</v>
      </c>
      <c r="AU4346" s="71" t="s">
        <v>242</v>
      </c>
    </row>
    <row r="4347" spans="15:47" ht="13" x14ac:dyDescent="0.3">
      <c r="O4347" s="6" t="s">
        <v>231</v>
      </c>
      <c r="P4347" s="6"/>
      <c r="Q4347" s="60"/>
      <c r="R4347" s="85">
        <f>P_1_minQ-(R4345^2*R_up)+dpup_minQ</f>
        <v>-62.558633628029177</v>
      </c>
      <c r="S4347" s="56"/>
      <c r="T4347" s="72"/>
      <c r="U4347" s="53">
        <f>P_1_minQ-(U4345^2*R_up)+dpup_minQ</f>
        <v>-8.9648968263151723</v>
      </c>
      <c r="V4347" s="44"/>
      <c r="W4347" s="72"/>
      <c r="X4347" s="53">
        <f>P_1_minQ-(X4345^2*R_up)+dpup_minQ</f>
        <v>-322.68038545729632</v>
      </c>
      <c r="Y4347" s="44"/>
      <c r="Z4347" s="72"/>
      <c r="AA4347" s="53">
        <f>P_1_minQ-(AA4345^2*R_up)+dpup_minQ</f>
        <v>-1326.9714759679784</v>
      </c>
      <c r="AB4347" s="44"/>
      <c r="AC4347" s="72"/>
      <c r="AD4347" s="53">
        <f>P_1_minQ-(AD4345^2*R_up)+dpup_minQ</f>
        <v>-3686.2422274820342</v>
      </c>
      <c r="AE4347" s="44"/>
      <c r="AF4347" s="72"/>
      <c r="AG4347" s="53">
        <f>P_1_minQ-(AG4345^2*R_up)+dpup_minQ</f>
        <v>-8240.5999774526863</v>
      </c>
      <c r="AH4347" s="44"/>
      <c r="AI4347" s="72"/>
      <c r="AJ4347" s="53">
        <f>P_1_minQ-(AJ4345^2*R_up)+dpup_minQ</f>
        <v>-14720.135266140242</v>
      </c>
      <c r="AK4347" s="44"/>
      <c r="AL4347" s="72"/>
      <c r="AM4347" s="53">
        <f>P_1_minQ-(AM4345^2*R_up)+dpup_minQ</f>
        <v>-21944.099789532887</v>
      </c>
      <c r="AN4347" s="44"/>
      <c r="AO4347" s="72"/>
      <c r="AP4347" s="53">
        <f>P_1_minQ-(AP4345^2*R_up)+dpup_minQ</f>
        <v>-29597.129317954215</v>
      </c>
      <c r="AQ4347" s="44"/>
      <c r="AR4347" s="72"/>
      <c r="AS4347" s="53">
        <f>P_1_minQ-(AS4345^2*R_up)+dpup_minQ</f>
        <v>-38352.673504689032</v>
      </c>
      <c r="AT4347" s="44"/>
      <c r="AU4347" s="72"/>
    </row>
    <row r="4348" spans="15:47" ht="13" x14ac:dyDescent="0.3">
      <c r="O4348" s="6" t="s">
        <v>233</v>
      </c>
      <c r="P4348" s="6"/>
      <c r="Q4348" s="60"/>
      <c r="R4348" s="85">
        <f>P_2_minQ+(R4345^2*R_dn)-dpdn_minQ</f>
        <v>48.551726725605839</v>
      </c>
      <c r="S4348" s="66"/>
      <c r="T4348" s="74"/>
      <c r="U4348" s="53">
        <f>P_2_minQ+(U4345^2*R_dn)-dpdn_minQ</f>
        <v>37.832979365263043</v>
      </c>
      <c r="V4348" s="45"/>
      <c r="W4348" s="74"/>
      <c r="X4348" s="53">
        <f>P_2_minQ+(X4345^2*R_dn)-dpdn_minQ</f>
        <v>100.57607709145927</v>
      </c>
      <c r="Y4348" s="45"/>
      <c r="Z4348" s="74"/>
      <c r="AA4348" s="53">
        <f>P_2_minQ+(AA4345^2*R_dn)-dpdn_minQ</f>
        <v>301.43429519359563</v>
      </c>
      <c r="AB4348" s="45"/>
      <c r="AC4348" s="74"/>
      <c r="AD4348" s="53">
        <f>P_2_minQ+(AD4345^2*R_dn)-dpdn_minQ</f>
        <v>773.28844549640678</v>
      </c>
      <c r="AE4348" s="45"/>
      <c r="AF4348" s="74"/>
      <c r="AG4348" s="53">
        <f>P_2_minQ+(AG4345^2*R_dn)-dpdn_minQ</f>
        <v>1684.1599954905371</v>
      </c>
      <c r="AH4348" s="45"/>
      <c r="AI4348" s="74"/>
      <c r="AJ4348" s="53">
        <f>P_2_minQ+(AJ4345^2*R_dn)-dpdn_minQ</f>
        <v>2980.0670532280483</v>
      </c>
      <c r="AK4348" s="45"/>
      <c r="AL4348" s="74"/>
      <c r="AM4348" s="53">
        <f>P_2_minQ+(AM4345^2*R_dn)-dpdn_minQ</f>
        <v>4424.8599579065776</v>
      </c>
      <c r="AN4348" s="45"/>
      <c r="AO4348" s="74"/>
      <c r="AP4348" s="53">
        <f>P_2_minQ+(AP4345^2*R_dn)-dpdn_minQ</f>
        <v>5955.4658635908427</v>
      </c>
      <c r="AQ4348" s="45"/>
      <c r="AR4348" s="74"/>
      <c r="AS4348" s="53">
        <f>P_2_minQ+(AS4345^2*R_dn)-dpdn_minQ</f>
        <v>7706.5747009378056</v>
      </c>
      <c r="AT4348" s="45"/>
      <c r="AU4348" s="74"/>
    </row>
    <row r="4349" spans="15:47" x14ac:dyDescent="0.25">
      <c r="O4349" s="6" t="s">
        <v>243</v>
      </c>
      <c r="Q4349" s="60"/>
      <c r="R4349" s="53">
        <f>R4347-R4348</f>
        <v>-111.11036035363502</v>
      </c>
      <c r="S4349" s="56"/>
      <c r="T4349" s="72"/>
      <c r="U4349" s="64">
        <f>U4347-U4348</f>
        <v>-46.797876191578212</v>
      </c>
      <c r="V4349" s="44"/>
      <c r="W4349" s="72"/>
      <c r="X4349" s="64">
        <f>X4347-X4348</f>
        <v>-423.25646254875562</v>
      </c>
      <c r="Y4349" s="44"/>
      <c r="Z4349" s="72"/>
      <c r="AA4349" s="64">
        <f>AA4347-AA4348</f>
        <v>-1628.4057711615742</v>
      </c>
      <c r="AB4349" s="44"/>
      <c r="AC4349" s="72"/>
      <c r="AD4349" s="64">
        <f>AD4347-AD4348</f>
        <v>-4459.5306729784406</v>
      </c>
      <c r="AE4349" s="44"/>
      <c r="AF4349" s="72"/>
      <c r="AG4349" s="64">
        <f>AG4347-AG4348</f>
        <v>-9924.7599729432241</v>
      </c>
      <c r="AH4349" s="44"/>
      <c r="AI4349" s="72"/>
      <c r="AJ4349" s="64">
        <f>AJ4347-AJ4348</f>
        <v>-17700.202319368291</v>
      </c>
      <c r="AK4349" s="44"/>
      <c r="AL4349" s="72"/>
      <c r="AM4349" s="64">
        <f>AM4347-AM4348</f>
        <v>-26368.959747439465</v>
      </c>
      <c r="AN4349" s="44"/>
      <c r="AO4349" s="72"/>
      <c r="AP4349" s="64">
        <f>AP4347-AP4348</f>
        <v>-35552.595181545061</v>
      </c>
      <c r="AQ4349" s="44"/>
      <c r="AR4349" s="72"/>
      <c r="AS4349" s="64">
        <f>AS4347-AS4348</f>
        <v>-46059.248205626835</v>
      </c>
      <c r="AT4349" s="44"/>
      <c r="AU4349" s="72"/>
    </row>
    <row r="4350" spans="15:47" ht="13" x14ac:dyDescent="0.3">
      <c r="O4350" s="6" t="s">
        <v>75</v>
      </c>
      <c r="P4350" s="6">
        <v>3</v>
      </c>
      <c r="Q4350" s="65"/>
      <c r="R4350" s="85">
        <f>(F_LP_h/F_P_h)^2*(R4347-('Valve Sizing'!$V$4*'Valve Sizing'!$G$7))</f>
        <v>-52.166223191350376</v>
      </c>
      <c r="S4350" s="58"/>
      <c r="T4350" s="73"/>
      <c r="U4350" s="53">
        <f>(U$29/U$27)^2*(U4347-('Valve Sizing'!$V$4*'Valve Sizing'!$G$7))</f>
        <v>-7.7856733561097764</v>
      </c>
      <c r="V4350" s="41"/>
      <c r="W4350" s="73"/>
      <c r="X4350" s="53">
        <f>(X$29/X$27)^2*(X4347-('Valve Sizing'!$V$4*'Valve Sizing'!$G$7))</f>
        <v>-261.45405844400005</v>
      </c>
      <c r="Y4350" s="41"/>
      <c r="Z4350" s="73"/>
      <c r="AA4350" s="53">
        <f>(AA$29/AA$27)^2*(AA4347-('Valve Sizing'!$V$4*'Valve Sizing'!$G$7))</f>
        <v>-1025.8199447870018</v>
      </c>
      <c r="AB4350" s="41"/>
      <c r="AC4350" s="73"/>
      <c r="AD4350" s="53">
        <f>(AD$29/AD$27)^2*(AD4347-('Valve Sizing'!$V$4*'Valve Sizing'!$G$7))</f>
        <v>-2658.7888383085942</v>
      </c>
      <c r="AE4350" s="41"/>
      <c r="AF4350" s="73"/>
      <c r="AG4350" s="53">
        <f>(AG$29/AG$27)^2*(AG4347-('Valve Sizing'!$V$4*'Valve Sizing'!$G$7))</f>
        <v>-5307.5919860778622</v>
      </c>
      <c r="AH4350" s="41"/>
      <c r="AI4350" s="73"/>
      <c r="AJ4350" s="53">
        <f>(AJ$29/AJ$27)^2*(AJ4347-('Valve Sizing'!$V$4*'Valve Sizing'!$G$7))</f>
        <v>-8513.855762774454</v>
      </c>
      <c r="AK4350" s="41"/>
      <c r="AL4350" s="73"/>
      <c r="AM4350" s="53">
        <f>(AM$29/AM$27)^2*(AM4347-('Valve Sizing'!$V$4*'Valve Sizing'!$G$7))</f>
        <v>-10499.851146189327</v>
      </c>
      <c r="AN4350" s="41"/>
      <c r="AO4350" s="73"/>
      <c r="AP4350" s="53">
        <f>(AP$29/AP$27)^2*(AP4347-('Valve Sizing'!$V$4*'Valve Sizing'!$G$7))</f>
        <v>-11679.9949002223</v>
      </c>
      <c r="AQ4350" s="41"/>
      <c r="AR4350" s="73"/>
      <c r="AS4350" s="53">
        <f>(AS$29/AS$27)^2*(AS4347-('Valve Sizing'!$V$4*'Valve Sizing'!$G$7))</f>
        <v>-14426.170591699301</v>
      </c>
      <c r="AT4350" s="41"/>
      <c r="AU4350" s="73"/>
    </row>
    <row r="4351" spans="15:47" ht="13" x14ac:dyDescent="0.25">
      <c r="O4351" s="1" t="s">
        <v>69</v>
      </c>
      <c r="P4351" s="17">
        <v>7</v>
      </c>
      <c r="Q4351" s="65"/>
      <c r="R4351" s="53" t="e">
        <f>(R4345/(N_1*F_P_h))*SQRT('Valve Sizing'!$G$6/R4349)</f>
        <v>#NUM!</v>
      </c>
      <c r="S4351" s="58"/>
      <c r="T4351" s="73"/>
      <c r="U4351" s="64" t="e">
        <f>(U4345/(N_1*U$27))*SQRT('Valve Sizing'!$G$6/U4349)</f>
        <v>#NUM!</v>
      </c>
      <c r="V4351" s="41"/>
      <c r="W4351" s="73"/>
      <c r="X4351" s="64" t="e">
        <f>(X4345/(N_1*X$27))*SQRT('Valve Sizing'!$G$6/X4349)</f>
        <v>#NUM!</v>
      </c>
      <c r="Y4351" s="41"/>
      <c r="Z4351" s="73"/>
      <c r="AA4351" s="64" t="e">
        <f>(AA4345/(N_1*AA$27))*SQRT('Valve Sizing'!$G$6/AA4349)</f>
        <v>#NUM!</v>
      </c>
      <c r="AB4351" s="41"/>
      <c r="AC4351" s="73"/>
      <c r="AD4351" s="64" t="e">
        <f>(AD4345/(N_1*AD$27))*SQRT('Valve Sizing'!$G$6/AD4349)</f>
        <v>#NUM!</v>
      </c>
      <c r="AE4351" s="41"/>
      <c r="AF4351" s="73"/>
      <c r="AG4351" s="64" t="e">
        <f>(AG4345/(N_1*AG$27))*SQRT('Valve Sizing'!$G$6/AG4349)</f>
        <v>#NUM!</v>
      </c>
      <c r="AH4351" s="41"/>
      <c r="AI4351" s="73"/>
      <c r="AJ4351" s="64" t="e">
        <f>(AJ4345/(N_1*AJ$27))*SQRT('Valve Sizing'!$G$6/AJ4349)</f>
        <v>#NUM!</v>
      </c>
      <c r="AK4351" s="41"/>
      <c r="AL4351" s="73"/>
      <c r="AM4351" s="64" t="e">
        <f>(AM4345/(N_1*AM$27))*SQRT('Valve Sizing'!$G$6/AM4349)</f>
        <v>#NUM!</v>
      </c>
      <c r="AN4351" s="41"/>
      <c r="AO4351" s="73"/>
      <c r="AP4351" s="64" t="e">
        <f>(AP4345/(N_1*AP$27))*SQRT('Valve Sizing'!$G$6/AP4349)</f>
        <v>#NUM!</v>
      </c>
      <c r="AQ4351" s="41"/>
      <c r="AR4351" s="73"/>
      <c r="AS4351" s="64" t="e">
        <f>(AS4345/(N_1*AS$27))*SQRT('Valve Sizing'!$G$6/AS4349)</f>
        <v>#NUM!</v>
      </c>
      <c r="AT4351" s="41"/>
      <c r="AU4351" s="73"/>
    </row>
    <row r="4352" spans="15:47" ht="13" x14ac:dyDescent="0.3">
      <c r="O4352" s="1" t="s">
        <v>72</v>
      </c>
      <c r="P4352" s="17">
        <v>7</v>
      </c>
      <c r="Q4352" s="65"/>
      <c r="R4352" s="53" t="e">
        <f>(R4345/(N_1*F_P_h))*SQRT('Valve Sizing'!$G$6/R4350)</f>
        <v>#NUM!</v>
      </c>
      <c r="S4352" s="56"/>
      <c r="T4352" s="72"/>
      <c r="U4352" s="85" t="e">
        <f>(U4345/(N_1*U$27))*SQRT('Valve Sizing'!$G$6/U4350)</f>
        <v>#NUM!</v>
      </c>
      <c r="V4352" s="44"/>
      <c r="W4352" s="72"/>
      <c r="X4352" s="85" t="e">
        <f>(X4345/(N_1*X$27))*SQRT('Valve Sizing'!$G$6/X4350)</f>
        <v>#NUM!</v>
      </c>
      <c r="Y4352" s="44"/>
      <c r="Z4352" s="72"/>
      <c r="AA4352" s="85" t="e">
        <f>(AA4345/(N_1*AA$27))*SQRT('Valve Sizing'!$G$6/AA4350)</f>
        <v>#NUM!</v>
      </c>
      <c r="AB4352" s="44"/>
      <c r="AC4352" s="72"/>
      <c r="AD4352" s="85" t="e">
        <f>(AD4345/(N_1*AD$27))*SQRT('Valve Sizing'!$G$6/AD4350)</f>
        <v>#NUM!</v>
      </c>
      <c r="AE4352" s="44"/>
      <c r="AF4352" s="72"/>
      <c r="AG4352" s="85" t="e">
        <f>(AG4345/(N_1*AG$27))*SQRT('Valve Sizing'!$G$6/AG4350)</f>
        <v>#NUM!</v>
      </c>
      <c r="AH4352" s="44"/>
      <c r="AI4352" s="72"/>
      <c r="AJ4352" s="85" t="e">
        <f>(AJ4345/(N_1*AJ$27))*SQRT('Valve Sizing'!$G$6/AJ4350)</f>
        <v>#NUM!</v>
      </c>
      <c r="AK4352" s="44"/>
      <c r="AL4352" s="72"/>
      <c r="AM4352" s="85" t="e">
        <f>(AM4345/(N_1*AM$27))*SQRT('Valve Sizing'!$G$6/AM4350)</f>
        <v>#NUM!</v>
      </c>
      <c r="AN4352" s="44"/>
      <c r="AO4352" s="72"/>
      <c r="AP4352" s="85" t="e">
        <f>(AP4345/(N_1*AP$27))*SQRT('Valve Sizing'!$G$6/AP4350)</f>
        <v>#NUM!</v>
      </c>
      <c r="AQ4352" s="44"/>
      <c r="AR4352" s="72"/>
      <c r="AS4352" s="85" t="e">
        <f>(AS4345/(N_1*AS$27))*SQRT('Valve Sizing'!$G$6/AS4350)</f>
        <v>#NUM!</v>
      </c>
      <c r="AT4352" s="44"/>
      <c r="AU4352" s="72"/>
    </row>
    <row r="4353" spans="15:47" x14ac:dyDescent="0.25">
      <c r="O4353" s="1" t="s">
        <v>246</v>
      </c>
      <c r="P4353" s="18"/>
      <c r="Q4353" s="65"/>
      <c r="R4353" s="53" t="e">
        <f>IF(R4349&lt;R4350,R4351,R4352)</f>
        <v>#NUM!</v>
      </c>
      <c r="S4353" s="49"/>
      <c r="T4353" s="72"/>
      <c r="U4353" s="64" t="e">
        <f>IF(U4349&lt;U4350,U4351,U4352)</f>
        <v>#NUM!</v>
      </c>
      <c r="V4353" s="44"/>
      <c r="W4353" s="72"/>
      <c r="X4353" s="64" t="e">
        <f>IF(X4349&lt;X4350,X4351,X4352)</f>
        <v>#NUM!</v>
      </c>
      <c r="Y4353" s="44"/>
      <c r="Z4353" s="72"/>
      <c r="AA4353" s="64" t="e">
        <f>IF(AA4349&lt;AA4350,AA4351,AA4352)</f>
        <v>#NUM!</v>
      </c>
      <c r="AB4353" s="44"/>
      <c r="AC4353" s="72"/>
      <c r="AD4353" s="64" t="e">
        <f>IF(AD4349&lt;AD4350,AD4351,AD4352)</f>
        <v>#NUM!</v>
      </c>
      <c r="AE4353" s="44"/>
      <c r="AF4353" s="72"/>
      <c r="AG4353" s="64" t="e">
        <f>IF(AG4349&lt;AG4350,AG4351,AG4352)</f>
        <v>#NUM!</v>
      </c>
      <c r="AH4353" s="44"/>
      <c r="AI4353" s="72"/>
      <c r="AJ4353" s="64" t="e">
        <f>IF(AJ4349&lt;AJ4350,AJ4351,AJ4352)</f>
        <v>#NUM!</v>
      </c>
      <c r="AK4353" s="44"/>
      <c r="AL4353" s="72"/>
      <c r="AM4353" s="64" t="e">
        <f>IF(AM4349&lt;AM4350,AM4351,AM4352)</f>
        <v>#NUM!</v>
      </c>
      <c r="AN4353" s="44"/>
      <c r="AO4353" s="72"/>
      <c r="AP4353" s="64" t="e">
        <f>IF(AP4349&lt;AP4350,AP4351,AP4352)</f>
        <v>#NUM!</v>
      </c>
      <c r="AQ4353" s="44"/>
      <c r="AR4353" s="72"/>
      <c r="AS4353" s="64" t="e">
        <f>IF(AS4349&lt;AS4350,AS4351,AS4352)</f>
        <v>#NUM!</v>
      </c>
      <c r="AT4353" s="44"/>
      <c r="AU4353" s="72"/>
    </row>
    <row r="4354" spans="15:47" ht="13" x14ac:dyDescent="0.3">
      <c r="O4354" s="7" t="s">
        <v>264</v>
      </c>
      <c r="Q4354" s="61"/>
      <c r="R4354" s="53"/>
      <c r="S4354" s="69">
        <f>IFERROR(ABS(C_h-R4353),Q_max*10)</f>
        <v>5500</v>
      </c>
      <c r="T4354" s="76">
        <f>R4345</f>
        <v>1880.8636690961798</v>
      </c>
      <c r="U4354" s="61"/>
      <c r="V4354" s="69">
        <f>IFERROR(ABS(U$23-U4353),Q_max*10)</f>
        <v>5500</v>
      </c>
      <c r="W4354" s="75">
        <f>U4345</f>
        <v>1396.6880807922691</v>
      </c>
      <c r="X4354" s="61"/>
      <c r="Y4354" s="69">
        <f>IFERROR(ABS(X$23-X4353),Q_max*10)</f>
        <v>5500</v>
      </c>
      <c r="Z4354" s="75">
        <f>X4345</f>
        <v>3352.5890313891059</v>
      </c>
      <c r="AA4354" s="61"/>
      <c r="AB4354" s="69">
        <f>IFERROR(ABS(AA$23-AA4353),Q_max*10)</f>
        <v>5500</v>
      </c>
      <c r="AC4354" s="75">
        <f>AA4345</f>
        <v>6401.3211451552597</v>
      </c>
      <c r="AD4354" s="61"/>
      <c r="AE4354" s="69">
        <f>IFERROR(ABS(AD$23-AD4353),Q_max*10)</f>
        <v>5500</v>
      </c>
      <c r="AF4354" s="75">
        <f>AD4345</f>
        <v>10527.816457164468</v>
      </c>
      <c r="AG4354" s="61"/>
      <c r="AH4354" s="69">
        <f>IFERROR(ABS(AG$23-AG4353),Q_max*10)</f>
        <v>5500</v>
      </c>
      <c r="AI4354" s="75">
        <f>AG4345</f>
        <v>15674.484116945412</v>
      </c>
      <c r="AJ4354" s="61"/>
      <c r="AK4354" s="69">
        <f>IFERROR(ABS(AJ$23-AJ4353),Q_max*10)</f>
        <v>5500</v>
      </c>
      <c r="AL4354" s="75">
        <f>AJ4345</f>
        <v>20917.659817255193</v>
      </c>
      <c r="AM4354" s="61"/>
      <c r="AN4354" s="69">
        <f>IFERROR(ABS(AM$23-AM4353),Q_max*10)</f>
        <v>5500</v>
      </c>
      <c r="AO4354" s="75">
        <f>AM4345</f>
        <v>25523.520168034596</v>
      </c>
      <c r="AP4354" s="61"/>
      <c r="AQ4354" s="69">
        <f>IFERROR(ABS(AP$23-AP4353),Q_max*10)</f>
        <v>5500</v>
      </c>
      <c r="AR4354" s="75">
        <f>AP4345</f>
        <v>29632.014546848215</v>
      </c>
      <c r="AS4354" s="61"/>
      <c r="AT4354" s="69">
        <f>IFERROR(ABS(AS$23-AS4353),Q_max*10)</f>
        <v>5500</v>
      </c>
      <c r="AU4354" s="75">
        <f>AS4345</f>
        <v>33723.996641469443</v>
      </c>
    </row>
    <row r="4355" spans="15:47" ht="14.5" x14ac:dyDescent="0.35">
      <c r="O4355" s="6"/>
      <c r="P4355" s="6"/>
      <c r="Q4355" s="60"/>
      <c r="R4355" s="67"/>
      <c r="S4355" s="66"/>
      <c r="T4355" s="74"/>
      <c r="V4355" s="11"/>
      <c r="W4355" s="38"/>
      <c r="Y4355" s="11"/>
      <c r="Z4355" s="38"/>
      <c r="AB4355" s="11"/>
      <c r="AC4355" s="38"/>
      <c r="AE4355" s="11"/>
      <c r="AF4355" s="38"/>
      <c r="AH4355" s="11"/>
      <c r="AI4355" s="38"/>
      <c r="AK4355" s="11"/>
      <c r="AL4355" s="38"/>
      <c r="AN4355" s="11"/>
      <c r="AO4355" s="38"/>
      <c r="AQ4355" s="11"/>
      <c r="AR4355" s="38"/>
      <c r="AT4355" s="11"/>
      <c r="AU4355" s="38"/>
    </row>
    <row r="4356" spans="15:47" ht="14" x14ac:dyDescent="0.3">
      <c r="O4356" s="8" t="s">
        <v>235</v>
      </c>
      <c r="P4356" s="6"/>
      <c r="Q4356" s="60"/>
      <c r="R4356" s="53">
        <f>R4345*1.02</f>
        <v>1918.4809424781035</v>
      </c>
      <c r="S4356" s="58" t="s">
        <v>238</v>
      </c>
      <c r="T4356" s="73" t="s">
        <v>241</v>
      </c>
      <c r="U4356" s="84">
        <f>U4345*1.01</f>
        <v>1410.6549616001919</v>
      </c>
      <c r="V4356" s="58" t="s">
        <v>238</v>
      </c>
      <c r="W4356" s="73" t="s">
        <v>241</v>
      </c>
      <c r="X4356" s="84">
        <f>X4345*1.01</f>
        <v>3386.114921702997</v>
      </c>
      <c r="Y4356" s="58" t="s">
        <v>238</v>
      </c>
      <c r="Z4356" s="73" t="s">
        <v>241</v>
      </c>
      <c r="AA4356" s="84">
        <f>AA4345*1.01</f>
        <v>6465.3343566068124</v>
      </c>
      <c r="AB4356" s="58" t="s">
        <v>238</v>
      </c>
      <c r="AC4356" s="73" t="s">
        <v>241</v>
      </c>
      <c r="AD4356" s="84">
        <f>AD4345*1.01</f>
        <v>10633.094621736112</v>
      </c>
      <c r="AE4356" s="58" t="s">
        <v>238</v>
      </c>
      <c r="AF4356" s="73" t="s">
        <v>241</v>
      </c>
      <c r="AG4356" s="84">
        <f>AG4345*1.01</f>
        <v>15831.228958114867</v>
      </c>
      <c r="AH4356" s="58" t="s">
        <v>238</v>
      </c>
      <c r="AI4356" s="73" t="s">
        <v>241</v>
      </c>
      <c r="AJ4356" s="84">
        <f>AJ4345*1.01</f>
        <v>21126.836415427744</v>
      </c>
      <c r="AK4356" s="58" t="s">
        <v>238</v>
      </c>
      <c r="AL4356" s="73" t="s">
        <v>241</v>
      </c>
      <c r="AM4356" s="84">
        <f>AM4345*1.01</f>
        <v>25778.755369714941</v>
      </c>
      <c r="AN4356" s="58" t="s">
        <v>238</v>
      </c>
      <c r="AO4356" s="73" t="s">
        <v>241</v>
      </c>
      <c r="AP4356" s="84">
        <f>AP4345*1.01</f>
        <v>29928.334692316697</v>
      </c>
      <c r="AQ4356" s="58" t="s">
        <v>238</v>
      </c>
      <c r="AR4356" s="73" t="s">
        <v>241</v>
      </c>
      <c r="AS4356" s="84">
        <f>AS4345*1.01</f>
        <v>34061.236607884137</v>
      </c>
      <c r="AT4356" s="58" t="s">
        <v>238</v>
      </c>
      <c r="AU4356" s="73" t="s">
        <v>241</v>
      </c>
    </row>
    <row r="4357" spans="15:47" ht="13" x14ac:dyDescent="0.25">
      <c r="O4357" s="6"/>
      <c r="P4357" s="6"/>
      <c r="Q4357" s="60"/>
      <c r="R4357" s="70"/>
      <c r="S4357" s="63" t="s">
        <v>250</v>
      </c>
      <c r="T4357" s="71" t="s">
        <v>242</v>
      </c>
      <c r="U4357" s="61"/>
      <c r="V4357" s="63" t="s">
        <v>250</v>
      </c>
      <c r="W4357" s="71" t="s">
        <v>242</v>
      </c>
      <c r="X4357" s="61"/>
      <c r="Y4357" s="63" t="s">
        <v>250</v>
      </c>
      <c r="Z4357" s="71" t="s">
        <v>242</v>
      </c>
      <c r="AA4357" s="61"/>
      <c r="AB4357" s="63" t="s">
        <v>250</v>
      </c>
      <c r="AC4357" s="71" t="s">
        <v>242</v>
      </c>
      <c r="AD4357" s="61"/>
      <c r="AE4357" s="63" t="s">
        <v>250</v>
      </c>
      <c r="AF4357" s="71" t="s">
        <v>242</v>
      </c>
      <c r="AG4357" s="61"/>
      <c r="AH4357" s="63" t="s">
        <v>250</v>
      </c>
      <c r="AI4357" s="71" t="s">
        <v>242</v>
      </c>
      <c r="AJ4357" s="61"/>
      <c r="AK4357" s="63" t="s">
        <v>250</v>
      </c>
      <c r="AL4357" s="71" t="s">
        <v>242</v>
      </c>
      <c r="AM4357" s="61"/>
      <c r="AN4357" s="63" t="s">
        <v>250</v>
      </c>
      <c r="AO4357" s="71" t="s">
        <v>242</v>
      </c>
      <c r="AP4357" s="61"/>
      <c r="AQ4357" s="63" t="s">
        <v>250</v>
      </c>
      <c r="AR4357" s="71" t="s">
        <v>242</v>
      </c>
      <c r="AS4357" s="61"/>
      <c r="AT4357" s="63" t="s">
        <v>250</v>
      </c>
      <c r="AU4357" s="71" t="s">
        <v>242</v>
      </c>
    </row>
    <row r="4358" spans="15:47" ht="13" x14ac:dyDescent="0.3">
      <c r="O4358" s="6" t="s">
        <v>231</v>
      </c>
      <c r="P4358" s="6"/>
      <c r="Q4358" s="60"/>
      <c r="R4358" s="85">
        <f>P_1_minQ-(R4356^2*R_up)+dpup_minQ</f>
        <v>-67.385414611674193</v>
      </c>
      <c r="S4358" s="56"/>
      <c r="T4358" s="72"/>
      <c r="U4358" s="53">
        <f>P_1_minQ-(U4356^2*R_up)+dpup_minQ</f>
        <v>-10.289105730740932</v>
      </c>
      <c r="V4358" s="44"/>
      <c r="W4358" s="72"/>
      <c r="X4358" s="53">
        <f>P_1_minQ-(X4356^2*R_up)+dpup_minQ</f>
        <v>-330.31027568320479</v>
      </c>
      <c r="Y4358" s="44"/>
      <c r="Z4358" s="72"/>
      <c r="AA4358" s="53">
        <f>P_1_minQ-(AA4356^2*R_up)+dpup_minQ</f>
        <v>-1354.7876171131518</v>
      </c>
      <c r="AB4358" s="44"/>
      <c r="AC4358" s="72"/>
      <c r="AD4358" s="53">
        <f>P_1_minQ-(AD4356^2*R_up)+dpup_minQ</f>
        <v>-3761.4797107326394</v>
      </c>
      <c r="AE4358" s="44"/>
      <c r="AF4358" s="72"/>
      <c r="AG4358" s="53">
        <f>P_1_minQ-(AG4356^2*R_up)+dpup_minQ</f>
        <v>-8407.3800514777013</v>
      </c>
      <c r="AH4358" s="44"/>
      <c r="AI4358" s="72"/>
      <c r="AJ4358" s="53">
        <f>P_1_minQ-(AJ4356^2*R_up)+dpup_minQ</f>
        <v>-15017.153999467877</v>
      </c>
      <c r="AK4358" s="44"/>
      <c r="AL4358" s="72"/>
      <c r="AM4358" s="53">
        <f>P_1_minQ-(AM4356^2*R_up)+dpup_minQ</f>
        <v>-22386.320209780715</v>
      </c>
      <c r="AN4358" s="44"/>
      <c r="AO4358" s="72"/>
      <c r="AP4358" s="53">
        <f>P_1_minQ-(AP4356^2*R_up)+dpup_minQ</f>
        <v>-30193.175631723308</v>
      </c>
      <c r="AQ4358" s="44"/>
      <c r="AR4358" s="72"/>
      <c r="AS4358" s="53">
        <f>P_1_minQ-(AS4356^2*R_up)+dpup_minQ</f>
        <v>-39124.706256611498</v>
      </c>
      <c r="AT4358" s="44"/>
      <c r="AU4358" s="72"/>
    </row>
    <row r="4359" spans="15:47" ht="13" x14ac:dyDescent="0.3">
      <c r="O4359" s="6" t="s">
        <v>233</v>
      </c>
      <c r="P4359" s="6"/>
      <c r="Q4359" s="60"/>
      <c r="R4359" s="85">
        <f>P_2_minQ+(R4356^2*R_dn)-dpdn_minQ</f>
        <v>49.517082922334836</v>
      </c>
      <c r="S4359" s="66"/>
      <c r="T4359" s="74"/>
      <c r="U4359" s="53">
        <f>P_2_minQ+(U4356^2*R_dn)-dpdn_minQ</f>
        <v>38.097821146148192</v>
      </c>
      <c r="V4359" s="45"/>
      <c r="W4359" s="74"/>
      <c r="X4359" s="53">
        <f>P_2_minQ+(X4356^2*R_dn)-dpdn_minQ</f>
        <v>102.10205513664096</v>
      </c>
      <c r="Y4359" s="45"/>
      <c r="Z4359" s="74"/>
      <c r="AA4359" s="53">
        <f>P_2_minQ+(AA4356^2*R_dn)-dpdn_minQ</f>
        <v>306.99752342263031</v>
      </c>
      <c r="AB4359" s="45"/>
      <c r="AC4359" s="74"/>
      <c r="AD4359" s="53">
        <f>P_2_minQ+(AD4356^2*R_dn)-dpdn_minQ</f>
        <v>788.33594214652783</v>
      </c>
      <c r="AE4359" s="45"/>
      <c r="AF4359" s="74"/>
      <c r="AG4359" s="53">
        <f>P_2_minQ+(AG4356^2*R_dn)-dpdn_minQ</f>
        <v>1717.5160102955404</v>
      </c>
      <c r="AH4359" s="45"/>
      <c r="AI4359" s="74"/>
      <c r="AJ4359" s="53">
        <f>P_2_minQ+(AJ4356^2*R_dn)-dpdn_minQ</f>
        <v>3039.4707998935751</v>
      </c>
      <c r="AK4359" s="45"/>
      <c r="AL4359" s="74"/>
      <c r="AM4359" s="53">
        <f>P_2_minQ+(AM4356^2*R_dn)-dpdn_minQ</f>
        <v>4513.3040419561421</v>
      </c>
      <c r="AN4359" s="45"/>
      <c r="AO4359" s="74"/>
      <c r="AP4359" s="53">
        <f>P_2_minQ+(AP4356^2*R_dn)-dpdn_minQ</f>
        <v>6074.6751263446613</v>
      </c>
      <c r="AQ4359" s="45"/>
      <c r="AR4359" s="74"/>
      <c r="AS4359" s="53">
        <f>P_2_minQ+(AS4356^2*R_dn)-dpdn_minQ</f>
        <v>7860.9812513222996</v>
      </c>
      <c r="AT4359" s="45"/>
      <c r="AU4359" s="74"/>
    </row>
    <row r="4360" spans="15:47" x14ac:dyDescent="0.25">
      <c r="O4360" s="6" t="s">
        <v>243</v>
      </c>
      <c r="Q4360" s="60"/>
      <c r="R4360" s="53">
        <f>R4358-R4359</f>
        <v>-116.90249753400903</v>
      </c>
      <c r="S4360" s="56"/>
      <c r="T4360" s="72"/>
      <c r="U4360" s="64">
        <f>U4358-U4359</f>
        <v>-48.38692687688912</v>
      </c>
      <c r="V4360" s="44"/>
      <c r="W4360" s="72"/>
      <c r="X4360" s="64">
        <f>X4358-X4359</f>
        <v>-432.41233081984575</v>
      </c>
      <c r="Y4360" s="44"/>
      <c r="Z4360" s="72"/>
      <c r="AA4360" s="64">
        <f>AA4358-AA4359</f>
        <v>-1661.7851405357821</v>
      </c>
      <c r="AB4360" s="44"/>
      <c r="AC4360" s="72"/>
      <c r="AD4360" s="64">
        <f>AD4358-AD4359</f>
        <v>-4549.8156528791669</v>
      </c>
      <c r="AE4360" s="44"/>
      <c r="AF4360" s="72"/>
      <c r="AG4360" s="64">
        <f>AG4358-AG4359</f>
        <v>-10124.896061773241</v>
      </c>
      <c r="AH4360" s="44"/>
      <c r="AI4360" s="72"/>
      <c r="AJ4360" s="64">
        <f>AJ4358-AJ4359</f>
        <v>-18056.624799361452</v>
      </c>
      <c r="AK4360" s="44"/>
      <c r="AL4360" s="72"/>
      <c r="AM4360" s="64">
        <f>AM4358-AM4359</f>
        <v>-26899.624251736859</v>
      </c>
      <c r="AN4360" s="44"/>
      <c r="AO4360" s="72"/>
      <c r="AP4360" s="64">
        <f>AP4358-AP4359</f>
        <v>-36267.850758067972</v>
      </c>
      <c r="AQ4360" s="44"/>
      <c r="AR4360" s="72"/>
      <c r="AS4360" s="64">
        <f>AS4358-AS4359</f>
        <v>-46985.687507933799</v>
      </c>
      <c r="AT4360" s="44"/>
      <c r="AU4360" s="72"/>
    </row>
    <row r="4361" spans="15:47" ht="13" x14ac:dyDescent="0.3">
      <c r="O4361" s="6" t="s">
        <v>75</v>
      </c>
      <c r="P4361" s="6">
        <v>3</v>
      </c>
      <c r="Q4361" s="65"/>
      <c r="R4361" s="85">
        <f>(F_LP_h/F_P_h)^2*(R4358-('Valve Sizing'!$V$4*'Valve Sizing'!$G$7))</f>
        <v>-56.163051203246333</v>
      </c>
      <c r="S4361" s="58"/>
      <c r="T4361" s="73"/>
      <c r="U4361" s="53">
        <f>(U$29/U$27)^2*(U4358-('Valve Sizing'!$V$4*'Valve Sizing'!$G$7))</f>
        <v>-8.8818889720694862</v>
      </c>
      <c r="V4361" s="41"/>
      <c r="W4361" s="73"/>
      <c r="X4361" s="53">
        <f>(X$29/X$27)^2*(X4358-('Valve Sizing'!$V$4*'Valve Sizing'!$G$7))</f>
        <v>-267.62781132000271</v>
      </c>
      <c r="Y4361" s="41"/>
      <c r="Z4361" s="73"/>
      <c r="AA4361" s="53">
        <f>(AA$29/AA$27)^2*(AA4358-('Valve Sizing'!$V$4*'Valve Sizing'!$G$7))</f>
        <v>-1047.316181372764</v>
      </c>
      <c r="AB4361" s="41"/>
      <c r="AC4361" s="73"/>
      <c r="AD4361" s="53">
        <f>(AD$29/AD$27)^2*(AD4358-('Valve Sizing'!$V$4*'Valve Sizing'!$G$7))</f>
        <v>-2713.0491637765226</v>
      </c>
      <c r="AE4361" s="41"/>
      <c r="AF4361" s="73"/>
      <c r="AG4361" s="53">
        <f>(AG$29/AG$27)^2*(AG4358-('Valve Sizing'!$V$4*'Valve Sizing'!$G$7))</f>
        <v>-5415.005683931543</v>
      </c>
      <c r="AH4361" s="41"/>
      <c r="AI4361" s="73"/>
      <c r="AJ4361" s="53">
        <f>(AJ$29/AJ$27)^2*(AJ4358-('Valve Sizing'!$V$4*'Valve Sizing'!$G$7))</f>
        <v>-8685.6408050549271</v>
      </c>
      <c r="AK4361" s="41"/>
      <c r="AL4361" s="73"/>
      <c r="AM4361" s="53">
        <f>(AM$29/AM$27)^2*(AM4358-('Valve Sizing'!$V$4*'Valve Sizing'!$G$7))</f>
        <v>-10711.441301131652</v>
      </c>
      <c r="AN4361" s="41"/>
      <c r="AO4361" s="73"/>
      <c r="AP4361" s="53">
        <f>(AP$29/AP$27)^2*(AP4358-('Valve Sizing'!$V$4*'Valve Sizing'!$G$7))</f>
        <v>-11915.210765983666</v>
      </c>
      <c r="AQ4361" s="41"/>
      <c r="AR4361" s="73"/>
      <c r="AS4361" s="53">
        <f>(AS$29/AS$27)^2*(AS4358-('Valve Sizing'!$V$4*'Valve Sizing'!$G$7))</f>
        <v>-14716.563604081575</v>
      </c>
      <c r="AT4361" s="41"/>
      <c r="AU4361" s="73"/>
    </row>
    <row r="4362" spans="15:47" ht="13" x14ac:dyDescent="0.25">
      <c r="O4362" s="1" t="s">
        <v>69</v>
      </c>
      <c r="P4362" s="17">
        <v>7</v>
      </c>
      <c r="Q4362" s="65"/>
      <c r="R4362" s="53" t="e">
        <f>(R4356/(N_1*F_P_h))*SQRT('Valve Sizing'!$G$6/R4360)</f>
        <v>#NUM!</v>
      </c>
      <c r="S4362" s="58"/>
      <c r="T4362" s="73"/>
      <c r="U4362" s="64" t="e">
        <f>(U4356/(N_1*U$27))*SQRT('Valve Sizing'!$G$6/U4360)</f>
        <v>#NUM!</v>
      </c>
      <c r="V4362" s="41"/>
      <c r="W4362" s="73"/>
      <c r="X4362" s="64" t="e">
        <f>(X4356/(N_1*X$27))*SQRT('Valve Sizing'!$G$6/X4360)</f>
        <v>#NUM!</v>
      </c>
      <c r="Y4362" s="41"/>
      <c r="Z4362" s="73"/>
      <c r="AA4362" s="64" t="e">
        <f>(AA4356/(N_1*AA$27))*SQRT('Valve Sizing'!$G$6/AA4360)</f>
        <v>#NUM!</v>
      </c>
      <c r="AB4362" s="41"/>
      <c r="AC4362" s="73"/>
      <c r="AD4362" s="64" t="e">
        <f>(AD4356/(N_1*AD$27))*SQRT('Valve Sizing'!$G$6/AD4360)</f>
        <v>#NUM!</v>
      </c>
      <c r="AE4362" s="41"/>
      <c r="AF4362" s="73"/>
      <c r="AG4362" s="64" t="e">
        <f>(AG4356/(N_1*AG$27))*SQRT('Valve Sizing'!$G$6/AG4360)</f>
        <v>#NUM!</v>
      </c>
      <c r="AH4362" s="41"/>
      <c r="AI4362" s="73"/>
      <c r="AJ4362" s="64" t="e">
        <f>(AJ4356/(N_1*AJ$27))*SQRT('Valve Sizing'!$G$6/AJ4360)</f>
        <v>#NUM!</v>
      </c>
      <c r="AK4362" s="41"/>
      <c r="AL4362" s="73"/>
      <c r="AM4362" s="64" t="e">
        <f>(AM4356/(N_1*AM$27))*SQRT('Valve Sizing'!$G$6/AM4360)</f>
        <v>#NUM!</v>
      </c>
      <c r="AN4362" s="41"/>
      <c r="AO4362" s="73"/>
      <c r="AP4362" s="64" t="e">
        <f>(AP4356/(N_1*AP$27))*SQRT('Valve Sizing'!$G$6/AP4360)</f>
        <v>#NUM!</v>
      </c>
      <c r="AQ4362" s="41"/>
      <c r="AR4362" s="73"/>
      <c r="AS4362" s="64" t="e">
        <f>(AS4356/(N_1*AS$27))*SQRT('Valve Sizing'!$G$6/AS4360)</f>
        <v>#NUM!</v>
      </c>
      <c r="AT4362" s="41"/>
      <c r="AU4362" s="73"/>
    </row>
    <row r="4363" spans="15:47" ht="13" x14ac:dyDescent="0.3">
      <c r="O4363" s="1" t="s">
        <v>72</v>
      </c>
      <c r="P4363" s="17">
        <v>7</v>
      </c>
      <c r="Q4363" s="65"/>
      <c r="R4363" s="53" t="e">
        <f>(R4356/(N_1*F_P_h))*SQRT('Valve Sizing'!$G$6/R4361)</f>
        <v>#NUM!</v>
      </c>
      <c r="S4363" s="56"/>
      <c r="T4363" s="72"/>
      <c r="U4363" s="85" t="e">
        <f>(U4356/(N_1*U$27))*SQRT('Valve Sizing'!$G$6/U4361)</f>
        <v>#NUM!</v>
      </c>
      <c r="V4363" s="44"/>
      <c r="W4363" s="72"/>
      <c r="X4363" s="85" t="e">
        <f>(X4356/(N_1*X$27))*SQRT('Valve Sizing'!$G$6/X4361)</f>
        <v>#NUM!</v>
      </c>
      <c r="Y4363" s="44"/>
      <c r="Z4363" s="72"/>
      <c r="AA4363" s="85" t="e">
        <f>(AA4356/(N_1*AA$27))*SQRT('Valve Sizing'!$G$6/AA4361)</f>
        <v>#NUM!</v>
      </c>
      <c r="AB4363" s="44"/>
      <c r="AC4363" s="72"/>
      <c r="AD4363" s="85" t="e">
        <f>(AD4356/(N_1*AD$27))*SQRT('Valve Sizing'!$G$6/AD4361)</f>
        <v>#NUM!</v>
      </c>
      <c r="AE4363" s="44"/>
      <c r="AF4363" s="72"/>
      <c r="AG4363" s="85" t="e">
        <f>(AG4356/(N_1*AG$27))*SQRT('Valve Sizing'!$G$6/AG4361)</f>
        <v>#NUM!</v>
      </c>
      <c r="AH4363" s="44"/>
      <c r="AI4363" s="72"/>
      <c r="AJ4363" s="85" t="e">
        <f>(AJ4356/(N_1*AJ$27))*SQRT('Valve Sizing'!$G$6/AJ4361)</f>
        <v>#NUM!</v>
      </c>
      <c r="AK4363" s="44"/>
      <c r="AL4363" s="72"/>
      <c r="AM4363" s="85" t="e">
        <f>(AM4356/(N_1*AM$27))*SQRT('Valve Sizing'!$G$6/AM4361)</f>
        <v>#NUM!</v>
      </c>
      <c r="AN4363" s="44"/>
      <c r="AO4363" s="72"/>
      <c r="AP4363" s="85" t="e">
        <f>(AP4356/(N_1*AP$27))*SQRT('Valve Sizing'!$G$6/AP4361)</f>
        <v>#NUM!</v>
      </c>
      <c r="AQ4363" s="44"/>
      <c r="AR4363" s="72"/>
      <c r="AS4363" s="85" t="e">
        <f>(AS4356/(N_1*AS$27))*SQRT('Valve Sizing'!$G$6/AS4361)</f>
        <v>#NUM!</v>
      </c>
      <c r="AT4363" s="44"/>
      <c r="AU4363" s="72"/>
    </row>
    <row r="4364" spans="15:47" x14ac:dyDescent="0.25">
      <c r="O4364" s="1" t="s">
        <v>246</v>
      </c>
      <c r="P4364" s="18"/>
      <c r="Q4364" s="65"/>
      <c r="R4364" s="53" t="e">
        <f>IF(R4360&lt;R4361,R4362,R4363)</f>
        <v>#NUM!</v>
      </c>
      <c r="S4364" s="49"/>
      <c r="T4364" s="72"/>
      <c r="U4364" s="64" t="e">
        <f>IF(U4360&lt;U4361,U4362,U4363)</f>
        <v>#NUM!</v>
      </c>
      <c r="V4364" s="44"/>
      <c r="W4364" s="72"/>
      <c r="X4364" s="64" t="e">
        <f>IF(X4360&lt;X4361,X4362,X4363)</f>
        <v>#NUM!</v>
      </c>
      <c r="Y4364" s="44"/>
      <c r="Z4364" s="72"/>
      <c r="AA4364" s="64" t="e">
        <f>IF(AA4360&lt;AA4361,AA4362,AA4363)</f>
        <v>#NUM!</v>
      </c>
      <c r="AB4364" s="44"/>
      <c r="AC4364" s="72"/>
      <c r="AD4364" s="64" t="e">
        <f>IF(AD4360&lt;AD4361,AD4362,AD4363)</f>
        <v>#NUM!</v>
      </c>
      <c r="AE4364" s="44"/>
      <c r="AF4364" s="72"/>
      <c r="AG4364" s="64" t="e">
        <f>IF(AG4360&lt;AG4361,AG4362,AG4363)</f>
        <v>#NUM!</v>
      </c>
      <c r="AH4364" s="44"/>
      <c r="AI4364" s="72"/>
      <c r="AJ4364" s="64" t="e">
        <f>IF(AJ4360&lt;AJ4361,AJ4362,AJ4363)</f>
        <v>#NUM!</v>
      </c>
      <c r="AK4364" s="44"/>
      <c r="AL4364" s="72"/>
      <c r="AM4364" s="64" t="e">
        <f>IF(AM4360&lt;AM4361,AM4362,AM4363)</f>
        <v>#NUM!</v>
      </c>
      <c r="AN4364" s="44"/>
      <c r="AO4364" s="72"/>
      <c r="AP4364" s="64" t="e">
        <f>IF(AP4360&lt;AP4361,AP4362,AP4363)</f>
        <v>#NUM!</v>
      </c>
      <c r="AQ4364" s="44"/>
      <c r="AR4364" s="72"/>
      <c r="AS4364" s="64" t="e">
        <f>IF(AS4360&lt;AS4361,AS4362,AS4363)</f>
        <v>#NUM!</v>
      </c>
      <c r="AT4364" s="44"/>
      <c r="AU4364" s="72"/>
    </row>
    <row r="4365" spans="15:47" ht="13" x14ac:dyDescent="0.3">
      <c r="O4365" s="7" t="s">
        <v>264</v>
      </c>
      <c r="Q4365" s="61"/>
      <c r="R4365" s="53"/>
      <c r="S4365" s="69">
        <f>IFERROR(ABS(C_h-R4364),Q_max*10)</f>
        <v>5500</v>
      </c>
      <c r="T4365" s="76">
        <f>R4356</f>
        <v>1918.4809424781035</v>
      </c>
      <c r="U4365" s="61"/>
      <c r="V4365" s="69">
        <f>IFERROR(ABS(U$23-U4364),Q_max*10)</f>
        <v>5500</v>
      </c>
      <c r="W4365" s="75">
        <f>U4356</f>
        <v>1410.6549616001919</v>
      </c>
      <c r="X4365" s="61"/>
      <c r="Y4365" s="69">
        <f>IFERROR(ABS(X$23-X4364),Q_max*10)</f>
        <v>5500</v>
      </c>
      <c r="Z4365" s="75">
        <f>X4356</f>
        <v>3386.114921702997</v>
      </c>
      <c r="AA4365" s="61"/>
      <c r="AB4365" s="69">
        <f>IFERROR(ABS(AA$23-AA4364),Q_max*10)</f>
        <v>5500</v>
      </c>
      <c r="AC4365" s="75">
        <f>AA4356</f>
        <v>6465.3343566068124</v>
      </c>
      <c r="AD4365" s="61"/>
      <c r="AE4365" s="69">
        <f>IFERROR(ABS(AD$23-AD4364),Q_max*10)</f>
        <v>5500</v>
      </c>
      <c r="AF4365" s="75">
        <f>AD4356</f>
        <v>10633.094621736112</v>
      </c>
      <c r="AG4365" s="61"/>
      <c r="AH4365" s="69">
        <f>IFERROR(ABS(AG$23-AG4364),Q_max*10)</f>
        <v>5500</v>
      </c>
      <c r="AI4365" s="75">
        <f>AG4356</f>
        <v>15831.228958114867</v>
      </c>
      <c r="AJ4365" s="61"/>
      <c r="AK4365" s="69">
        <f>IFERROR(ABS(AJ$23-AJ4364),Q_max*10)</f>
        <v>5500</v>
      </c>
      <c r="AL4365" s="75">
        <f>AJ4356</f>
        <v>21126.836415427744</v>
      </c>
      <c r="AM4365" s="61"/>
      <c r="AN4365" s="69">
        <f>IFERROR(ABS(AM$23-AM4364),Q_max*10)</f>
        <v>5500</v>
      </c>
      <c r="AO4365" s="75">
        <f>AM4356</f>
        <v>25778.755369714941</v>
      </c>
      <c r="AP4365" s="61"/>
      <c r="AQ4365" s="69">
        <f>IFERROR(ABS(AP$23-AP4364),Q_max*10)</f>
        <v>5500</v>
      </c>
      <c r="AR4365" s="75">
        <f>AP4356</f>
        <v>29928.334692316697</v>
      </c>
      <c r="AS4365" s="61"/>
      <c r="AT4365" s="69">
        <f>IFERROR(ABS(AS$23-AS4364),Q_max*10)</f>
        <v>5500</v>
      </c>
      <c r="AU4365" s="75">
        <f>AS4356</f>
        <v>34061.236607884137</v>
      </c>
    </row>
    <row r="4366" spans="15:47" ht="14.5" x14ac:dyDescent="0.35">
      <c r="O4366" s="6"/>
      <c r="P4366" s="6"/>
      <c r="Q4366" s="60"/>
      <c r="R4366" s="67"/>
      <c r="S4366" s="56"/>
      <c r="T4366" s="72"/>
      <c r="V4366" s="11"/>
      <c r="W4366" s="38"/>
      <c r="Y4366" s="11"/>
      <c r="Z4366" s="38"/>
      <c r="AB4366" s="11"/>
      <c r="AC4366" s="38"/>
      <c r="AE4366" s="11"/>
      <c r="AF4366" s="38"/>
      <c r="AH4366" s="11"/>
      <c r="AI4366" s="38"/>
      <c r="AK4366" s="11"/>
      <c r="AL4366" s="38"/>
      <c r="AN4366" s="11"/>
      <c r="AO4366" s="38"/>
      <c r="AQ4366" s="11"/>
      <c r="AR4366" s="38"/>
      <c r="AT4366" s="11"/>
      <c r="AU4366" s="38"/>
    </row>
    <row r="4367" spans="15:47" ht="14" x14ac:dyDescent="0.3">
      <c r="O4367" s="8" t="s">
        <v>235</v>
      </c>
      <c r="P4367" s="6"/>
      <c r="Q4367" s="60"/>
      <c r="R4367" s="53">
        <f>R4356*1.02</f>
        <v>1956.8505613276657</v>
      </c>
      <c r="S4367" s="58" t="s">
        <v>238</v>
      </c>
      <c r="T4367" s="73" t="s">
        <v>241</v>
      </c>
      <c r="U4367" s="84">
        <f>U4356*1.01</f>
        <v>1424.7615112161939</v>
      </c>
      <c r="V4367" s="58" t="s">
        <v>238</v>
      </c>
      <c r="W4367" s="73" t="s">
        <v>241</v>
      </c>
      <c r="X4367" s="84">
        <f>X4356*1.01</f>
        <v>3419.9760709200268</v>
      </c>
      <c r="Y4367" s="58" t="s">
        <v>238</v>
      </c>
      <c r="Z4367" s="73" t="s">
        <v>241</v>
      </c>
      <c r="AA4367" s="84">
        <f>AA4356*1.01</f>
        <v>6529.987700172881</v>
      </c>
      <c r="AB4367" s="58" t="s">
        <v>238</v>
      </c>
      <c r="AC4367" s="73" t="s">
        <v>241</v>
      </c>
      <c r="AD4367" s="84">
        <f>AD4356*1.01</f>
        <v>10739.425567953474</v>
      </c>
      <c r="AE4367" s="58" t="s">
        <v>238</v>
      </c>
      <c r="AF4367" s="73" t="s">
        <v>241</v>
      </c>
      <c r="AG4367" s="84">
        <f>AG4356*1.01</f>
        <v>15989.541247696015</v>
      </c>
      <c r="AH4367" s="58" t="s">
        <v>238</v>
      </c>
      <c r="AI4367" s="73" t="s">
        <v>241</v>
      </c>
      <c r="AJ4367" s="84">
        <f>AJ4356*1.01</f>
        <v>21338.104779582023</v>
      </c>
      <c r="AK4367" s="58" t="s">
        <v>238</v>
      </c>
      <c r="AL4367" s="73" t="s">
        <v>241</v>
      </c>
      <c r="AM4367" s="84">
        <f>AM4356*1.01</f>
        <v>26036.542923412093</v>
      </c>
      <c r="AN4367" s="58" t="s">
        <v>238</v>
      </c>
      <c r="AO4367" s="73" t="s">
        <v>241</v>
      </c>
      <c r="AP4367" s="84">
        <f>AP4356*1.01</f>
        <v>30227.618039239864</v>
      </c>
      <c r="AQ4367" s="58" t="s">
        <v>238</v>
      </c>
      <c r="AR4367" s="73" t="s">
        <v>241</v>
      </c>
      <c r="AS4367" s="84">
        <f>AS4356*1.01</f>
        <v>34401.84897396298</v>
      </c>
      <c r="AT4367" s="58" t="s">
        <v>238</v>
      </c>
      <c r="AU4367" s="73" t="s">
        <v>241</v>
      </c>
    </row>
    <row r="4368" spans="15:47" ht="13" x14ac:dyDescent="0.25">
      <c r="O4368" s="6"/>
      <c r="P4368" s="6"/>
      <c r="Q4368" s="60"/>
      <c r="R4368" s="70"/>
      <c r="S4368" s="63" t="s">
        <v>250</v>
      </c>
      <c r="T4368" s="71" t="s">
        <v>242</v>
      </c>
      <c r="U4368" s="61"/>
      <c r="V4368" s="63" t="s">
        <v>250</v>
      </c>
      <c r="W4368" s="71" t="s">
        <v>242</v>
      </c>
      <c r="X4368" s="61"/>
      <c r="Y4368" s="63" t="s">
        <v>250</v>
      </c>
      <c r="Z4368" s="71" t="s">
        <v>242</v>
      </c>
      <c r="AA4368" s="61"/>
      <c r="AB4368" s="63" t="s">
        <v>250</v>
      </c>
      <c r="AC4368" s="71" t="s">
        <v>242</v>
      </c>
      <c r="AD4368" s="61"/>
      <c r="AE4368" s="63" t="s">
        <v>250</v>
      </c>
      <c r="AF4368" s="71" t="s">
        <v>242</v>
      </c>
      <c r="AG4368" s="61"/>
      <c r="AH4368" s="63" t="s">
        <v>250</v>
      </c>
      <c r="AI4368" s="71" t="s">
        <v>242</v>
      </c>
      <c r="AJ4368" s="61"/>
      <c r="AK4368" s="63" t="s">
        <v>250</v>
      </c>
      <c r="AL4368" s="71" t="s">
        <v>242</v>
      </c>
      <c r="AM4368" s="61"/>
      <c r="AN4368" s="63" t="s">
        <v>250</v>
      </c>
      <c r="AO4368" s="71" t="s">
        <v>242</v>
      </c>
      <c r="AP4368" s="61"/>
      <c r="AQ4368" s="63" t="s">
        <v>250</v>
      </c>
      <c r="AR4368" s="71" t="s">
        <v>242</v>
      </c>
      <c r="AS4368" s="61"/>
      <c r="AT4368" s="63" t="s">
        <v>250</v>
      </c>
      <c r="AU4368" s="71" t="s">
        <v>242</v>
      </c>
    </row>
    <row r="4369" spans="15:47" ht="13" x14ac:dyDescent="0.3">
      <c r="O4369" s="6" t="s">
        <v>231</v>
      </c>
      <c r="P4369" s="6"/>
      <c r="Q4369" s="60"/>
      <c r="R4369" s="85">
        <f>P_1_minQ-(R4367^2*R_up)+dpup_minQ</f>
        <v>-72.407197547058445</v>
      </c>
      <c r="S4369" s="56"/>
      <c r="T4369" s="72"/>
      <c r="U4369" s="53">
        <f>P_1_minQ-(U4367^2*R_up)+dpup_minQ</f>
        <v>-11.639931234145639</v>
      </c>
      <c r="V4369" s="44"/>
      <c r="W4369" s="72"/>
      <c r="X4369" s="53">
        <f>P_1_minQ-(X4367^2*R_up)+dpup_minQ</f>
        <v>-338.093526702654</v>
      </c>
      <c r="Y4369" s="44"/>
      <c r="Z4369" s="72"/>
      <c r="AA4369" s="53">
        <f>P_1_minQ-(AA4367^2*R_up)+dpup_minQ</f>
        <v>-1383.1628626953432</v>
      </c>
      <c r="AB4369" s="44"/>
      <c r="AC4369" s="72"/>
      <c r="AD4369" s="53">
        <f>P_1_minQ-(AD4367^2*R_up)+dpup_minQ</f>
        <v>-3838.229467396583</v>
      </c>
      <c r="AE4369" s="44"/>
      <c r="AF4369" s="72"/>
      <c r="AG4369" s="53">
        <f>P_1_minQ-(AG4367^2*R_up)+dpup_minQ</f>
        <v>-8577.5124049906208</v>
      </c>
      <c r="AH4369" s="44"/>
      <c r="AI4369" s="72"/>
      <c r="AJ4369" s="53">
        <f>P_1_minQ-(AJ4367^2*R_up)+dpup_minQ</f>
        <v>-15320.142809335399</v>
      </c>
      <c r="AK4369" s="44"/>
      <c r="AL4369" s="72"/>
      <c r="AM4369" s="53">
        <f>P_1_minQ-(AM4367^2*R_up)+dpup_minQ</f>
        <v>-22837.429260475525</v>
      </c>
      <c r="AN4369" s="44"/>
      <c r="AO4369" s="72"/>
      <c r="AP4369" s="53">
        <f>P_1_minQ-(AP4367^2*R_up)+dpup_minQ</f>
        <v>-30801.202476399165</v>
      </c>
      <c r="AQ4369" s="44"/>
      <c r="AR4369" s="72"/>
      <c r="AS4369" s="53">
        <f>P_1_minQ-(AS4367^2*R_up)+dpup_minQ</f>
        <v>-39912.256866847616</v>
      </c>
      <c r="AT4369" s="44"/>
      <c r="AU4369" s="72"/>
    </row>
    <row r="4370" spans="15:47" ht="13" x14ac:dyDescent="0.3">
      <c r="O4370" s="6" t="s">
        <v>233</v>
      </c>
      <c r="P4370" s="6"/>
      <c r="Q4370" s="60"/>
      <c r="R4370" s="85">
        <f>P_2_minQ+(R4367^2*R_dn)-dpdn_minQ</f>
        <v>50.521439509411692</v>
      </c>
      <c r="S4370" s="66"/>
      <c r="T4370" s="74"/>
      <c r="U4370" s="53">
        <f>P_2_minQ+(U4367^2*R_dn)-dpdn_minQ</f>
        <v>38.367986246829133</v>
      </c>
      <c r="V4370" s="45"/>
      <c r="W4370" s="74"/>
      <c r="X4370" s="53">
        <f>P_2_minQ+(X4367^2*R_dn)-dpdn_minQ</f>
        <v>103.6587053405308</v>
      </c>
      <c r="Y4370" s="45"/>
      <c r="Z4370" s="74"/>
      <c r="AA4370" s="53">
        <f>P_2_minQ+(AA4367^2*R_dn)-dpdn_minQ</f>
        <v>312.6725725390686</v>
      </c>
      <c r="AB4370" s="45"/>
      <c r="AC4370" s="74"/>
      <c r="AD4370" s="53">
        <f>P_2_minQ+(AD4367^2*R_dn)-dpdn_minQ</f>
        <v>803.68589347931652</v>
      </c>
      <c r="AE4370" s="45"/>
      <c r="AF4370" s="74"/>
      <c r="AG4370" s="53">
        <f>P_2_minQ+(AG4367^2*R_dn)-dpdn_minQ</f>
        <v>1751.5424809981241</v>
      </c>
      <c r="AH4370" s="45"/>
      <c r="AI4370" s="74"/>
      <c r="AJ4370" s="53">
        <f>P_2_minQ+(AJ4367^2*R_dn)-dpdn_minQ</f>
        <v>3100.0685618670796</v>
      </c>
      <c r="AK4370" s="45"/>
      <c r="AL4370" s="74"/>
      <c r="AM4370" s="53">
        <f>P_2_minQ+(AM4367^2*R_dn)-dpdn_minQ</f>
        <v>4603.5258520951047</v>
      </c>
      <c r="AN4370" s="45"/>
      <c r="AO4370" s="74"/>
      <c r="AP4370" s="53">
        <f>P_2_minQ+(AP4367^2*R_dn)-dpdn_minQ</f>
        <v>6196.2804952798324</v>
      </c>
      <c r="AQ4370" s="45"/>
      <c r="AR4370" s="74"/>
      <c r="AS4370" s="53">
        <f>P_2_minQ+(AS4367^2*R_dn)-dpdn_minQ</f>
        <v>8018.4913733695221</v>
      </c>
      <c r="AT4370" s="45"/>
      <c r="AU4370" s="74"/>
    </row>
    <row r="4371" spans="15:47" x14ac:dyDescent="0.25">
      <c r="O4371" s="6" t="s">
        <v>243</v>
      </c>
      <c r="Q4371" s="60"/>
      <c r="R4371" s="53">
        <f>R4369-R4370</f>
        <v>-122.92863705647014</v>
      </c>
      <c r="S4371" s="56"/>
      <c r="T4371" s="72"/>
      <c r="U4371" s="64">
        <f>U4369-U4370</f>
        <v>-50.007917480974768</v>
      </c>
      <c r="V4371" s="44"/>
      <c r="W4371" s="72"/>
      <c r="X4371" s="64">
        <f>X4369-X4370</f>
        <v>-441.75223204318479</v>
      </c>
      <c r="Y4371" s="44"/>
      <c r="Z4371" s="72"/>
      <c r="AA4371" s="64">
        <f>AA4369-AA4370</f>
        <v>-1695.8354352344118</v>
      </c>
      <c r="AB4371" s="44"/>
      <c r="AC4371" s="72"/>
      <c r="AD4371" s="64">
        <f>AD4369-AD4370</f>
        <v>-4641.9153608758998</v>
      </c>
      <c r="AE4371" s="44"/>
      <c r="AF4371" s="72"/>
      <c r="AG4371" s="64">
        <f>AG4369-AG4370</f>
        <v>-10329.054885988746</v>
      </c>
      <c r="AH4371" s="44"/>
      <c r="AI4371" s="72"/>
      <c r="AJ4371" s="64">
        <f>AJ4369-AJ4370</f>
        <v>-18420.21137120248</v>
      </c>
      <c r="AK4371" s="44"/>
      <c r="AL4371" s="72"/>
      <c r="AM4371" s="64">
        <f>AM4369-AM4370</f>
        <v>-27440.955112570628</v>
      </c>
      <c r="AN4371" s="44"/>
      <c r="AO4371" s="72"/>
      <c r="AP4371" s="64">
        <f>AP4369-AP4370</f>
        <v>-36997.482971678997</v>
      </c>
      <c r="AQ4371" s="44"/>
      <c r="AR4371" s="72"/>
      <c r="AS4371" s="64">
        <f>AS4369-AS4370</f>
        <v>-47930.748240217137</v>
      </c>
      <c r="AT4371" s="44"/>
      <c r="AU4371" s="72"/>
    </row>
    <row r="4372" spans="15:47" ht="13" x14ac:dyDescent="0.3">
      <c r="O4372" s="6" t="s">
        <v>75</v>
      </c>
      <c r="P4372" s="6">
        <v>3</v>
      </c>
      <c r="Q4372" s="65"/>
      <c r="R4372" s="85">
        <f>(F_LP_h/F_P_h)^2*(R4369-('Valve Sizing'!$V$4*'Valve Sizing'!$G$7))</f>
        <v>-60.321351066822864</v>
      </c>
      <c r="S4372" s="58"/>
      <c r="T4372" s="73"/>
      <c r="U4372" s="53">
        <f>(U$29/U$27)^2*(U4369-('Valve Sizing'!$V$4*'Valve Sizing'!$G$7))</f>
        <v>-10.000138521909978</v>
      </c>
      <c r="V4372" s="41"/>
      <c r="W4372" s="73"/>
      <c r="X4372" s="53">
        <f>(X$29/X$27)^2*(X4369-('Valve Sizing'!$V$4*'Valve Sizing'!$G$7))</f>
        <v>-273.92565662881299</v>
      </c>
      <c r="Y4372" s="41"/>
      <c r="Z4372" s="73"/>
      <c r="AA4372" s="53">
        <f>(AA$29/AA$27)^2*(AA4369-('Valve Sizing'!$V$4*'Valve Sizing'!$G$7))</f>
        <v>-1069.2444923139003</v>
      </c>
      <c r="AB4372" s="41"/>
      <c r="AC4372" s="73"/>
      <c r="AD4372" s="53">
        <f>(AD$29/AD$27)^2*(AD4369-('Valve Sizing'!$V$4*'Valve Sizing'!$G$7))</f>
        <v>-2768.4001217863574</v>
      </c>
      <c r="AE4372" s="41"/>
      <c r="AF4372" s="73"/>
      <c r="AG4372" s="53">
        <f>(AG$29/AG$27)^2*(AG4369-('Valve Sizing'!$V$4*'Valve Sizing'!$G$7))</f>
        <v>-5524.5783971120836</v>
      </c>
      <c r="AH4372" s="41"/>
      <c r="AI4372" s="73"/>
      <c r="AJ4372" s="53">
        <f>(AJ$29/AJ$27)^2*(AJ4369-('Valve Sizing'!$V$4*'Valve Sizing'!$G$7))</f>
        <v>-8860.8787266852378</v>
      </c>
      <c r="AK4372" s="41"/>
      <c r="AL4372" s="73"/>
      <c r="AM4372" s="53">
        <f>(AM$29/AM$27)^2*(AM4369-('Valve Sizing'!$V$4*'Valve Sizing'!$G$7))</f>
        <v>-10927.284418188319</v>
      </c>
      <c r="AN4372" s="41"/>
      <c r="AO4372" s="73"/>
      <c r="AP4372" s="53">
        <f>(AP$29/AP$27)^2*(AP4369-('Valve Sizing'!$V$4*'Valve Sizing'!$G$7))</f>
        <v>-12155.154470646838</v>
      </c>
      <c r="AQ4372" s="41"/>
      <c r="AR4372" s="73"/>
      <c r="AS4372" s="53">
        <f>(AS$29/AS$27)^2*(AS4369-('Valve Sizing'!$V$4*'Valve Sizing'!$G$7))</f>
        <v>-15012.793516012736</v>
      </c>
      <c r="AT4372" s="41"/>
      <c r="AU4372" s="73"/>
    </row>
    <row r="4373" spans="15:47" ht="13" x14ac:dyDescent="0.25">
      <c r="O4373" s="1" t="s">
        <v>69</v>
      </c>
      <c r="P4373" s="17">
        <v>7</v>
      </c>
      <c r="Q4373" s="65"/>
      <c r="R4373" s="53" t="e">
        <f>(R4367/(N_1*F_P_h))*SQRT('Valve Sizing'!$G$6/R4371)</f>
        <v>#NUM!</v>
      </c>
      <c r="S4373" s="58"/>
      <c r="T4373" s="73"/>
      <c r="U4373" s="64" t="e">
        <f>(U4367/(N_1*U$27))*SQRT('Valve Sizing'!$G$6/U4371)</f>
        <v>#NUM!</v>
      </c>
      <c r="V4373" s="41"/>
      <c r="W4373" s="73"/>
      <c r="X4373" s="64" t="e">
        <f>(X4367/(N_1*X$27))*SQRT('Valve Sizing'!$G$6/X4371)</f>
        <v>#NUM!</v>
      </c>
      <c r="Y4373" s="41"/>
      <c r="Z4373" s="73"/>
      <c r="AA4373" s="64" t="e">
        <f>(AA4367/(N_1*AA$27))*SQRT('Valve Sizing'!$G$6/AA4371)</f>
        <v>#NUM!</v>
      </c>
      <c r="AB4373" s="41"/>
      <c r="AC4373" s="73"/>
      <c r="AD4373" s="64" t="e">
        <f>(AD4367/(N_1*AD$27))*SQRT('Valve Sizing'!$G$6/AD4371)</f>
        <v>#NUM!</v>
      </c>
      <c r="AE4373" s="41"/>
      <c r="AF4373" s="73"/>
      <c r="AG4373" s="64" t="e">
        <f>(AG4367/(N_1*AG$27))*SQRT('Valve Sizing'!$G$6/AG4371)</f>
        <v>#NUM!</v>
      </c>
      <c r="AH4373" s="41"/>
      <c r="AI4373" s="73"/>
      <c r="AJ4373" s="64" t="e">
        <f>(AJ4367/(N_1*AJ$27))*SQRT('Valve Sizing'!$G$6/AJ4371)</f>
        <v>#NUM!</v>
      </c>
      <c r="AK4373" s="41"/>
      <c r="AL4373" s="73"/>
      <c r="AM4373" s="64" t="e">
        <f>(AM4367/(N_1*AM$27))*SQRT('Valve Sizing'!$G$6/AM4371)</f>
        <v>#NUM!</v>
      </c>
      <c r="AN4373" s="41"/>
      <c r="AO4373" s="73"/>
      <c r="AP4373" s="64" t="e">
        <f>(AP4367/(N_1*AP$27))*SQRT('Valve Sizing'!$G$6/AP4371)</f>
        <v>#NUM!</v>
      </c>
      <c r="AQ4373" s="41"/>
      <c r="AR4373" s="73"/>
      <c r="AS4373" s="64" t="e">
        <f>(AS4367/(N_1*AS$27))*SQRT('Valve Sizing'!$G$6/AS4371)</f>
        <v>#NUM!</v>
      </c>
      <c r="AT4373" s="41"/>
      <c r="AU4373" s="73"/>
    </row>
    <row r="4374" spans="15:47" ht="13" x14ac:dyDescent="0.3">
      <c r="O4374" s="1" t="s">
        <v>72</v>
      </c>
      <c r="P4374" s="17">
        <v>7</v>
      </c>
      <c r="Q4374" s="65"/>
      <c r="R4374" s="53" t="e">
        <f>(R4367/(N_1*F_P_h))*SQRT('Valve Sizing'!$G$6/R4372)</f>
        <v>#NUM!</v>
      </c>
      <c r="S4374" s="56"/>
      <c r="T4374" s="72"/>
      <c r="U4374" s="85" t="e">
        <f>(U4367/(N_1*U$27))*SQRT('Valve Sizing'!$G$6/U4372)</f>
        <v>#NUM!</v>
      </c>
      <c r="V4374" s="44"/>
      <c r="W4374" s="72"/>
      <c r="X4374" s="85" t="e">
        <f>(X4367/(N_1*X$27))*SQRT('Valve Sizing'!$G$6/X4372)</f>
        <v>#NUM!</v>
      </c>
      <c r="Y4374" s="44"/>
      <c r="Z4374" s="72"/>
      <c r="AA4374" s="85" t="e">
        <f>(AA4367/(N_1*AA$27))*SQRT('Valve Sizing'!$G$6/AA4372)</f>
        <v>#NUM!</v>
      </c>
      <c r="AB4374" s="44"/>
      <c r="AC4374" s="72"/>
      <c r="AD4374" s="85" t="e">
        <f>(AD4367/(N_1*AD$27))*SQRT('Valve Sizing'!$G$6/AD4372)</f>
        <v>#NUM!</v>
      </c>
      <c r="AE4374" s="44"/>
      <c r="AF4374" s="72"/>
      <c r="AG4374" s="85" t="e">
        <f>(AG4367/(N_1*AG$27))*SQRT('Valve Sizing'!$G$6/AG4372)</f>
        <v>#NUM!</v>
      </c>
      <c r="AH4374" s="44"/>
      <c r="AI4374" s="72"/>
      <c r="AJ4374" s="85" t="e">
        <f>(AJ4367/(N_1*AJ$27))*SQRT('Valve Sizing'!$G$6/AJ4372)</f>
        <v>#NUM!</v>
      </c>
      <c r="AK4374" s="44"/>
      <c r="AL4374" s="72"/>
      <c r="AM4374" s="85" t="e">
        <f>(AM4367/(N_1*AM$27))*SQRT('Valve Sizing'!$G$6/AM4372)</f>
        <v>#NUM!</v>
      </c>
      <c r="AN4374" s="44"/>
      <c r="AO4374" s="72"/>
      <c r="AP4374" s="85" t="e">
        <f>(AP4367/(N_1*AP$27))*SQRT('Valve Sizing'!$G$6/AP4372)</f>
        <v>#NUM!</v>
      </c>
      <c r="AQ4374" s="44"/>
      <c r="AR4374" s="72"/>
      <c r="AS4374" s="85" t="e">
        <f>(AS4367/(N_1*AS$27))*SQRT('Valve Sizing'!$G$6/AS4372)</f>
        <v>#NUM!</v>
      </c>
      <c r="AT4374" s="44"/>
      <c r="AU4374" s="72"/>
    </row>
    <row r="4375" spans="15:47" x14ac:dyDescent="0.25">
      <c r="O4375" s="1" t="s">
        <v>246</v>
      </c>
      <c r="P4375" s="18"/>
      <c r="Q4375" s="65"/>
      <c r="R4375" s="53" t="e">
        <f>IF(R4371&lt;R4372,R4373,R4374)</f>
        <v>#NUM!</v>
      </c>
      <c r="S4375" s="49"/>
      <c r="T4375" s="72"/>
      <c r="U4375" s="64" t="e">
        <f>IF(U4371&lt;U4372,U4373,U4374)</f>
        <v>#NUM!</v>
      </c>
      <c r="V4375" s="44"/>
      <c r="W4375" s="72"/>
      <c r="X4375" s="64" t="e">
        <f>IF(X4371&lt;X4372,X4373,X4374)</f>
        <v>#NUM!</v>
      </c>
      <c r="Y4375" s="44"/>
      <c r="Z4375" s="72"/>
      <c r="AA4375" s="64" t="e">
        <f>IF(AA4371&lt;AA4372,AA4373,AA4374)</f>
        <v>#NUM!</v>
      </c>
      <c r="AB4375" s="44"/>
      <c r="AC4375" s="72"/>
      <c r="AD4375" s="64" t="e">
        <f>IF(AD4371&lt;AD4372,AD4373,AD4374)</f>
        <v>#NUM!</v>
      </c>
      <c r="AE4375" s="44"/>
      <c r="AF4375" s="72"/>
      <c r="AG4375" s="64" t="e">
        <f>IF(AG4371&lt;AG4372,AG4373,AG4374)</f>
        <v>#NUM!</v>
      </c>
      <c r="AH4375" s="44"/>
      <c r="AI4375" s="72"/>
      <c r="AJ4375" s="64" t="e">
        <f>IF(AJ4371&lt;AJ4372,AJ4373,AJ4374)</f>
        <v>#NUM!</v>
      </c>
      <c r="AK4375" s="44"/>
      <c r="AL4375" s="72"/>
      <c r="AM4375" s="64" t="e">
        <f>IF(AM4371&lt;AM4372,AM4373,AM4374)</f>
        <v>#NUM!</v>
      </c>
      <c r="AN4375" s="44"/>
      <c r="AO4375" s="72"/>
      <c r="AP4375" s="64" t="e">
        <f>IF(AP4371&lt;AP4372,AP4373,AP4374)</f>
        <v>#NUM!</v>
      </c>
      <c r="AQ4375" s="44"/>
      <c r="AR4375" s="72"/>
      <c r="AS4375" s="64" t="e">
        <f>IF(AS4371&lt;AS4372,AS4373,AS4374)</f>
        <v>#NUM!</v>
      </c>
      <c r="AT4375" s="44"/>
      <c r="AU4375" s="72"/>
    </row>
    <row r="4376" spans="15:47" ht="13" x14ac:dyDescent="0.3">
      <c r="O4376" s="7" t="s">
        <v>264</v>
      </c>
      <c r="Q4376" s="61"/>
      <c r="R4376" s="53"/>
      <c r="S4376" s="69">
        <f>IFERROR(ABS(C_h-R4375),Q_max*10)</f>
        <v>5500</v>
      </c>
      <c r="T4376" s="76">
        <f>R4367</f>
        <v>1956.8505613276657</v>
      </c>
      <c r="U4376" s="61"/>
      <c r="V4376" s="69">
        <f>IFERROR(ABS(U$23-U4375),Q_max*10)</f>
        <v>5500</v>
      </c>
      <c r="W4376" s="75">
        <f>U4367</f>
        <v>1424.7615112161939</v>
      </c>
      <c r="X4376" s="61"/>
      <c r="Y4376" s="69">
        <f>IFERROR(ABS(X$23-X4375),Q_max*10)</f>
        <v>5500</v>
      </c>
      <c r="Z4376" s="75">
        <f>X4367</f>
        <v>3419.9760709200268</v>
      </c>
      <c r="AA4376" s="61"/>
      <c r="AB4376" s="69">
        <f>IFERROR(ABS(AA$23-AA4375),Q_max*10)</f>
        <v>5500</v>
      </c>
      <c r="AC4376" s="75">
        <f>AA4367</f>
        <v>6529.987700172881</v>
      </c>
      <c r="AD4376" s="61"/>
      <c r="AE4376" s="69">
        <f>IFERROR(ABS(AD$23-AD4375),Q_max*10)</f>
        <v>5500</v>
      </c>
      <c r="AF4376" s="75">
        <f>AD4367</f>
        <v>10739.425567953474</v>
      </c>
      <c r="AG4376" s="61"/>
      <c r="AH4376" s="69">
        <f>IFERROR(ABS(AG$23-AG4375),Q_max*10)</f>
        <v>5500</v>
      </c>
      <c r="AI4376" s="75">
        <f>AG4367</f>
        <v>15989.541247696015</v>
      </c>
      <c r="AJ4376" s="61"/>
      <c r="AK4376" s="69">
        <f>IFERROR(ABS(AJ$23-AJ4375),Q_max*10)</f>
        <v>5500</v>
      </c>
      <c r="AL4376" s="75">
        <f>AJ4367</f>
        <v>21338.104779582023</v>
      </c>
      <c r="AM4376" s="61"/>
      <c r="AN4376" s="69">
        <f>IFERROR(ABS(AM$23-AM4375),Q_max*10)</f>
        <v>5500</v>
      </c>
      <c r="AO4376" s="75">
        <f>AM4367</f>
        <v>26036.542923412093</v>
      </c>
      <c r="AP4376" s="61"/>
      <c r="AQ4376" s="69">
        <f>IFERROR(ABS(AP$23-AP4375),Q_max*10)</f>
        <v>5500</v>
      </c>
      <c r="AR4376" s="75">
        <f>AP4367</f>
        <v>30227.618039239864</v>
      </c>
      <c r="AS4376" s="61"/>
      <c r="AT4376" s="69">
        <f>IFERROR(ABS(AS$23-AS4375),Q_max*10)</f>
        <v>5500</v>
      </c>
      <c r="AU4376" s="75">
        <f>AS4367</f>
        <v>34401.84897396298</v>
      </c>
    </row>
    <row r="4377" spans="15:47" ht="14.5" x14ac:dyDescent="0.35">
      <c r="O4377" s="6"/>
      <c r="P4377" s="6"/>
      <c r="Q4377" s="60"/>
      <c r="R4377" s="67"/>
      <c r="S4377" s="58"/>
      <c r="T4377" s="73"/>
      <c r="V4377" s="11"/>
      <c r="W4377" s="38"/>
      <c r="Y4377" s="11"/>
      <c r="Z4377" s="38"/>
      <c r="AB4377" s="11"/>
      <c r="AC4377" s="38"/>
      <c r="AE4377" s="11"/>
      <c r="AF4377" s="38"/>
      <c r="AH4377" s="11"/>
      <c r="AI4377" s="38"/>
      <c r="AK4377" s="11"/>
      <c r="AL4377" s="38"/>
      <c r="AN4377" s="11"/>
      <c r="AO4377" s="38"/>
      <c r="AQ4377" s="11"/>
      <c r="AR4377" s="38"/>
      <c r="AT4377" s="11"/>
      <c r="AU4377" s="38"/>
    </row>
    <row r="4378" spans="15:47" ht="14" x14ac:dyDescent="0.3">
      <c r="O4378" s="8" t="s">
        <v>235</v>
      </c>
      <c r="P4378" s="6"/>
      <c r="Q4378" s="60"/>
      <c r="R4378" s="53">
        <f>R4367*1.02</f>
        <v>1995.987572554219</v>
      </c>
      <c r="S4378" s="58" t="s">
        <v>238</v>
      </c>
      <c r="T4378" s="73" t="s">
        <v>241</v>
      </c>
      <c r="U4378" s="84">
        <f>U4367*1.01</f>
        <v>1439.0091263283557</v>
      </c>
      <c r="V4378" s="58" t="s">
        <v>238</v>
      </c>
      <c r="W4378" s="73" t="s">
        <v>241</v>
      </c>
      <c r="X4378" s="84">
        <f>X4367*1.01</f>
        <v>3454.1758316292271</v>
      </c>
      <c r="Y4378" s="58" t="s">
        <v>238</v>
      </c>
      <c r="Z4378" s="73" t="s">
        <v>241</v>
      </c>
      <c r="AA4378" s="84">
        <f>AA4367*1.01</f>
        <v>6595.2875771746094</v>
      </c>
      <c r="AB4378" s="58" t="s">
        <v>238</v>
      </c>
      <c r="AC4378" s="73" t="s">
        <v>241</v>
      </c>
      <c r="AD4378" s="84">
        <f>AD4367*1.01</f>
        <v>10846.81982363301</v>
      </c>
      <c r="AE4378" s="58" t="s">
        <v>238</v>
      </c>
      <c r="AF4378" s="73" t="s">
        <v>241</v>
      </c>
      <c r="AG4378" s="84">
        <f>AG4367*1.01</f>
        <v>16149.436660172976</v>
      </c>
      <c r="AH4378" s="58" t="s">
        <v>238</v>
      </c>
      <c r="AI4378" s="73" t="s">
        <v>241</v>
      </c>
      <c r="AJ4378" s="84">
        <f>AJ4367*1.01</f>
        <v>21551.485827377845</v>
      </c>
      <c r="AK4378" s="58" t="s">
        <v>238</v>
      </c>
      <c r="AL4378" s="73" t="s">
        <v>241</v>
      </c>
      <c r="AM4378" s="84">
        <f>AM4367*1.01</f>
        <v>26296.908352646213</v>
      </c>
      <c r="AN4378" s="58" t="s">
        <v>238</v>
      </c>
      <c r="AO4378" s="73" t="s">
        <v>241</v>
      </c>
      <c r="AP4378" s="84">
        <f>AP4367*1.01</f>
        <v>30529.894219632264</v>
      </c>
      <c r="AQ4378" s="58" t="s">
        <v>238</v>
      </c>
      <c r="AR4378" s="73" t="s">
        <v>241</v>
      </c>
      <c r="AS4378" s="84">
        <f>AS4367*1.01</f>
        <v>34745.867463702612</v>
      </c>
      <c r="AT4378" s="58" t="s">
        <v>238</v>
      </c>
      <c r="AU4378" s="73" t="s">
        <v>241</v>
      </c>
    </row>
    <row r="4379" spans="15:47" ht="13" x14ac:dyDescent="0.25">
      <c r="O4379" s="6"/>
      <c r="P4379" s="6"/>
      <c r="Q4379" s="60"/>
      <c r="R4379" s="70"/>
      <c r="S4379" s="63" t="s">
        <v>250</v>
      </c>
      <c r="T4379" s="71" t="s">
        <v>242</v>
      </c>
      <c r="U4379" s="61"/>
      <c r="V4379" s="63" t="s">
        <v>250</v>
      </c>
      <c r="W4379" s="71" t="s">
        <v>242</v>
      </c>
      <c r="X4379" s="61"/>
      <c r="Y4379" s="63" t="s">
        <v>250</v>
      </c>
      <c r="Z4379" s="71" t="s">
        <v>242</v>
      </c>
      <c r="AA4379" s="61"/>
      <c r="AB4379" s="63" t="s">
        <v>250</v>
      </c>
      <c r="AC4379" s="71" t="s">
        <v>242</v>
      </c>
      <c r="AD4379" s="61"/>
      <c r="AE4379" s="63" t="s">
        <v>250</v>
      </c>
      <c r="AF4379" s="71" t="s">
        <v>242</v>
      </c>
      <c r="AG4379" s="61"/>
      <c r="AH4379" s="63" t="s">
        <v>250</v>
      </c>
      <c r="AI4379" s="71" t="s">
        <v>242</v>
      </c>
      <c r="AJ4379" s="61"/>
      <c r="AK4379" s="63" t="s">
        <v>250</v>
      </c>
      <c r="AL4379" s="71" t="s">
        <v>242</v>
      </c>
      <c r="AM4379" s="61"/>
      <c r="AN4379" s="63" t="s">
        <v>250</v>
      </c>
      <c r="AO4379" s="71" t="s">
        <v>242</v>
      </c>
      <c r="AP4379" s="61"/>
      <c r="AQ4379" s="63" t="s">
        <v>250</v>
      </c>
      <c r="AR4379" s="71" t="s">
        <v>242</v>
      </c>
      <c r="AS4379" s="61"/>
      <c r="AT4379" s="63" t="s">
        <v>250</v>
      </c>
      <c r="AU4379" s="71" t="s">
        <v>242</v>
      </c>
    </row>
    <row r="4380" spans="15:47" ht="13" x14ac:dyDescent="0.3">
      <c r="O4380" s="6" t="s">
        <v>231</v>
      </c>
      <c r="P4380" s="6"/>
      <c r="Q4380" s="60"/>
      <c r="R4380" s="85">
        <f>P_1_minQ-(R4378^2*R_up)+dpup_minQ</f>
        <v>-77.631860513032223</v>
      </c>
      <c r="S4380" s="56"/>
      <c r="T4380" s="72"/>
      <c r="U4380" s="53">
        <f>P_1_minQ-(U4378^2*R_up)+dpup_minQ</f>
        <v>-13.017908330168783</v>
      </c>
      <c r="V4380" s="44"/>
      <c r="W4380" s="72"/>
      <c r="X4380" s="53">
        <f>P_1_minQ-(X4378^2*R_up)+dpup_minQ</f>
        <v>-346.03322106759413</v>
      </c>
      <c r="Y4380" s="44"/>
      <c r="Z4380" s="72"/>
      <c r="AA4380" s="53">
        <f>P_1_minQ-(AA4378^2*R_up)+dpup_minQ</f>
        <v>-1412.1084507137364</v>
      </c>
      <c r="AB4380" s="44"/>
      <c r="AC4380" s="72"/>
      <c r="AD4380" s="53">
        <f>P_1_minQ-(AD4378^2*R_up)+dpup_minQ</f>
        <v>-3916.5218941694716</v>
      </c>
      <c r="AE4380" s="44"/>
      <c r="AF4380" s="72"/>
      <c r="AG4380" s="53">
        <f>P_1_minQ-(AG4378^2*R_up)+dpup_minQ</f>
        <v>-8751.0644188091483</v>
      </c>
      <c r="AH4380" s="44"/>
      <c r="AI4380" s="72"/>
      <c r="AJ4380" s="53">
        <f>P_1_minQ-(AJ4378^2*R_up)+dpup_minQ</f>
        <v>-15629.221694281261</v>
      </c>
      <c r="AK4380" s="44"/>
      <c r="AL4380" s="72"/>
      <c r="AM4380" s="53">
        <f>P_1_minQ-(AM4378^2*R_up)+dpup_minQ</f>
        <v>-23297.605603089301</v>
      </c>
      <c r="AN4380" s="44"/>
      <c r="AO4380" s="72"/>
      <c r="AP4380" s="53">
        <f>P_1_minQ-(AP4378^2*R_up)+dpup_minQ</f>
        <v>-31421.450660653009</v>
      </c>
      <c r="AQ4380" s="44"/>
      <c r="AR4380" s="72"/>
      <c r="AS4380" s="53">
        <f>P_1_minQ-(AS4378^2*R_up)+dpup_minQ</f>
        <v>-40715.637244349469</v>
      </c>
      <c r="AT4380" s="44"/>
      <c r="AU4380" s="72"/>
    </row>
    <row r="4381" spans="15:47" ht="13" x14ac:dyDescent="0.3">
      <c r="O4381" s="6" t="s">
        <v>233</v>
      </c>
      <c r="P4381" s="6"/>
      <c r="Q4381" s="60"/>
      <c r="R4381" s="85">
        <f>P_2_minQ+(R4378^2*R_dn)-dpdn_minQ</f>
        <v>51.566372102606451</v>
      </c>
      <c r="S4381" s="66"/>
      <c r="T4381" s="74"/>
      <c r="U4381" s="53">
        <f>P_2_minQ+(U4378^2*R_dn)-dpdn_minQ</f>
        <v>38.643581666033761</v>
      </c>
      <c r="V4381" s="45"/>
      <c r="W4381" s="74"/>
      <c r="X4381" s="53">
        <f>P_2_minQ+(X4378^2*R_dn)-dpdn_minQ</f>
        <v>105.24664421351883</v>
      </c>
      <c r="Y4381" s="45"/>
      <c r="Z4381" s="74"/>
      <c r="AA4381" s="53">
        <f>P_2_minQ+(AA4378^2*R_dn)-dpdn_minQ</f>
        <v>318.46169014274722</v>
      </c>
      <c r="AB4381" s="45"/>
      <c r="AC4381" s="74"/>
      <c r="AD4381" s="53">
        <f>P_2_minQ+(AD4378^2*R_dn)-dpdn_minQ</f>
        <v>819.34437883389421</v>
      </c>
      <c r="AE4381" s="45"/>
      <c r="AF4381" s="74"/>
      <c r="AG4381" s="53">
        <f>P_2_minQ+(AG4378^2*R_dn)-dpdn_minQ</f>
        <v>1786.2528837618297</v>
      </c>
      <c r="AH4381" s="45"/>
      <c r="AI4381" s="74"/>
      <c r="AJ4381" s="53">
        <f>P_2_minQ+(AJ4378^2*R_dn)-dpdn_minQ</f>
        <v>3161.8843388562518</v>
      </c>
      <c r="AK4381" s="45"/>
      <c r="AL4381" s="74"/>
      <c r="AM4381" s="53">
        <f>P_2_minQ+(AM4378^2*R_dn)-dpdn_minQ</f>
        <v>4695.5611206178601</v>
      </c>
      <c r="AN4381" s="45"/>
      <c r="AO4381" s="74"/>
      <c r="AP4381" s="53">
        <f>P_2_minQ+(AP4378^2*R_dn)-dpdn_minQ</f>
        <v>6320.3301321306008</v>
      </c>
      <c r="AQ4381" s="45"/>
      <c r="AR4381" s="74"/>
      <c r="AS4381" s="53">
        <f>P_2_minQ+(AS4378^2*R_dn)-dpdn_minQ</f>
        <v>8179.1674488698927</v>
      </c>
      <c r="AT4381" s="45"/>
      <c r="AU4381" s="74"/>
    </row>
    <row r="4382" spans="15:47" x14ac:dyDescent="0.25">
      <c r="O4382" s="6" t="s">
        <v>243</v>
      </c>
      <c r="Q4382" s="60"/>
      <c r="R4382" s="53">
        <f>R4380-R4381</f>
        <v>-129.19823261563869</v>
      </c>
      <c r="S4382" s="56"/>
      <c r="T4382" s="72"/>
      <c r="U4382" s="64">
        <f>U4380-U4381</f>
        <v>-51.661489996202548</v>
      </c>
      <c r="V4382" s="44"/>
      <c r="W4382" s="72"/>
      <c r="X4382" s="64">
        <f>X4380-X4381</f>
        <v>-451.27986528111296</v>
      </c>
      <c r="Y4382" s="44"/>
      <c r="Z4382" s="72"/>
      <c r="AA4382" s="64">
        <f>AA4380-AA4381</f>
        <v>-1730.5701408564837</v>
      </c>
      <c r="AB4382" s="44"/>
      <c r="AC4382" s="72"/>
      <c r="AD4382" s="64">
        <f>AD4380-AD4381</f>
        <v>-4735.8662730033657</v>
      </c>
      <c r="AE4382" s="44"/>
      <c r="AF4382" s="72"/>
      <c r="AG4382" s="64">
        <f>AG4380-AG4381</f>
        <v>-10537.317302570978</v>
      </c>
      <c r="AH4382" s="44"/>
      <c r="AI4382" s="72"/>
      <c r="AJ4382" s="64">
        <f>AJ4380-AJ4381</f>
        <v>-18791.106033137512</v>
      </c>
      <c r="AK4382" s="44"/>
      <c r="AL4382" s="72"/>
      <c r="AM4382" s="64">
        <f>AM4380-AM4381</f>
        <v>-27993.16672370716</v>
      </c>
      <c r="AN4382" s="44"/>
      <c r="AO4382" s="72"/>
      <c r="AP4382" s="64">
        <f>AP4380-AP4381</f>
        <v>-37741.780792783611</v>
      </c>
      <c r="AQ4382" s="44"/>
      <c r="AR4382" s="72"/>
      <c r="AS4382" s="64">
        <f>AS4380-AS4381</f>
        <v>-48894.804693219361</v>
      </c>
      <c r="AT4382" s="44"/>
      <c r="AU4382" s="72"/>
    </row>
    <row r="4383" spans="15:47" ht="13" x14ac:dyDescent="0.3">
      <c r="O4383" s="6" t="s">
        <v>75</v>
      </c>
      <c r="P4383" s="6">
        <v>3</v>
      </c>
      <c r="Q4383" s="65"/>
      <c r="R4383" s="85">
        <f>(F_LP_h/F_P_h)^2*(R4380-('Valve Sizing'!$V$4*'Valve Sizing'!$G$7))</f>
        <v>-64.647646244887895</v>
      </c>
      <c r="S4383" s="58"/>
      <c r="T4383" s="73"/>
      <c r="U4383" s="53">
        <f>(U$29/U$27)^2*(U4380-('Valve Sizing'!$V$4*'Valve Sizing'!$G$7))</f>
        <v>-11.140864887702266</v>
      </c>
      <c r="V4383" s="41"/>
      <c r="W4383" s="73"/>
      <c r="X4383" s="53">
        <f>(X$29/X$27)^2*(X4380-('Valve Sizing'!$V$4*'Valve Sizing'!$G$7))</f>
        <v>-280.35008862833035</v>
      </c>
      <c r="Y4383" s="41"/>
      <c r="Z4383" s="73"/>
      <c r="AA4383" s="53">
        <f>(AA$29/AA$27)^2*(AA4380-('Valve Sizing'!$V$4*'Valve Sizing'!$G$7))</f>
        <v>-1091.6135623049531</v>
      </c>
      <c r="AB4383" s="41"/>
      <c r="AC4383" s="73"/>
      <c r="AD4383" s="53">
        <f>(AD$29/AD$27)^2*(AD4380-('Valve Sizing'!$V$4*'Valve Sizing'!$G$7))</f>
        <v>-2824.8636340521894</v>
      </c>
      <c r="AE4383" s="41"/>
      <c r="AF4383" s="73"/>
      <c r="AG4383" s="53">
        <f>(AG$29/AG$27)^2*(AG4380-('Valve Sizing'!$V$4*'Valve Sizing'!$G$7))</f>
        <v>-5636.353521827552</v>
      </c>
      <c r="AH4383" s="41"/>
      <c r="AI4383" s="73"/>
      <c r="AJ4383" s="53">
        <f>(AJ$29/AJ$27)^2*(AJ4380-('Valve Sizing'!$V$4*'Valve Sizing'!$G$7))</f>
        <v>-9039.6389305403209</v>
      </c>
      <c r="AK4383" s="41"/>
      <c r="AL4383" s="73"/>
      <c r="AM4383" s="53">
        <f>(AM$29/AM$27)^2*(AM4380-('Valve Sizing'!$V$4*'Valve Sizing'!$G$7))</f>
        <v>-11147.465981897825</v>
      </c>
      <c r="AN4383" s="41"/>
      <c r="AO4383" s="73"/>
      <c r="AP4383" s="53">
        <f>(AP$29/AP$27)^2*(AP4380-('Valve Sizing'!$V$4*'Valve Sizing'!$G$7))</f>
        <v>-12399.92104377374</v>
      </c>
      <c r="AQ4383" s="41"/>
      <c r="AR4383" s="73"/>
      <c r="AS4383" s="53">
        <f>(AS$29/AS$27)^2*(AS4380-('Valve Sizing'!$V$4*'Valve Sizing'!$G$7))</f>
        <v>-15314.97764917371</v>
      </c>
      <c r="AT4383" s="41"/>
      <c r="AU4383" s="73"/>
    </row>
    <row r="4384" spans="15:47" ht="13" x14ac:dyDescent="0.25">
      <c r="O4384" s="1" t="s">
        <v>69</v>
      </c>
      <c r="P4384" s="17">
        <v>7</v>
      </c>
      <c r="Q4384" s="65"/>
      <c r="R4384" s="53" t="e">
        <f>(R4378/(N_1*F_P_h))*SQRT('Valve Sizing'!$G$6/R4382)</f>
        <v>#NUM!</v>
      </c>
      <c r="S4384" s="58"/>
      <c r="T4384" s="73"/>
      <c r="U4384" s="64" t="e">
        <f>(U4378/(N_1*U$27))*SQRT('Valve Sizing'!$G$6/U4382)</f>
        <v>#NUM!</v>
      </c>
      <c r="V4384" s="41"/>
      <c r="W4384" s="73"/>
      <c r="X4384" s="64" t="e">
        <f>(X4378/(N_1*X$27))*SQRT('Valve Sizing'!$G$6/X4382)</f>
        <v>#NUM!</v>
      </c>
      <c r="Y4384" s="41"/>
      <c r="Z4384" s="73"/>
      <c r="AA4384" s="64" t="e">
        <f>(AA4378/(N_1*AA$27))*SQRT('Valve Sizing'!$G$6/AA4382)</f>
        <v>#NUM!</v>
      </c>
      <c r="AB4384" s="41"/>
      <c r="AC4384" s="73"/>
      <c r="AD4384" s="64" t="e">
        <f>(AD4378/(N_1*AD$27))*SQRT('Valve Sizing'!$G$6/AD4382)</f>
        <v>#NUM!</v>
      </c>
      <c r="AE4384" s="41"/>
      <c r="AF4384" s="73"/>
      <c r="AG4384" s="64" t="e">
        <f>(AG4378/(N_1*AG$27))*SQRT('Valve Sizing'!$G$6/AG4382)</f>
        <v>#NUM!</v>
      </c>
      <c r="AH4384" s="41"/>
      <c r="AI4384" s="73"/>
      <c r="AJ4384" s="64" t="e">
        <f>(AJ4378/(N_1*AJ$27))*SQRT('Valve Sizing'!$G$6/AJ4382)</f>
        <v>#NUM!</v>
      </c>
      <c r="AK4384" s="41"/>
      <c r="AL4384" s="73"/>
      <c r="AM4384" s="64" t="e">
        <f>(AM4378/(N_1*AM$27))*SQRT('Valve Sizing'!$G$6/AM4382)</f>
        <v>#NUM!</v>
      </c>
      <c r="AN4384" s="41"/>
      <c r="AO4384" s="73"/>
      <c r="AP4384" s="64" t="e">
        <f>(AP4378/(N_1*AP$27))*SQRT('Valve Sizing'!$G$6/AP4382)</f>
        <v>#NUM!</v>
      </c>
      <c r="AQ4384" s="41"/>
      <c r="AR4384" s="73"/>
      <c r="AS4384" s="64" t="e">
        <f>(AS4378/(N_1*AS$27))*SQRT('Valve Sizing'!$G$6/AS4382)</f>
        <v>#NUM!</v>
      </c>
      <c r="AT4384" s="41"/>
      <c r="AU4384" s="73"/>
    </row>
    <row r="4385" spans="15:47" ht="13" x14ac:dyDescent="0.3">
      <c r="O4385" s="1" t="s">
        <v>72</v>
      </c>
      <c r="P4385" s="17">
        <v>7</v>
      </c>
      <c r="Q4385" s="65"/>
      <c r="R4385" s="53" t="e">
        <f>(R4378/(N_1*F_P_h))*SQRT('Valve Sizing'!$G$6/R4383)</f>
        <v>#NUM!</v>
      </c>
      <c r="S4385" s="56"/>
      <c r="T4385" s="72"/>
      <c r="U4385" s="85" t="e">
        <f>(U4378/(N_1*U$27))*SQRT('Valve Sizing'!$G$6/U4383)</f>
        <v>#NUM!</v>
      </c>
      <c r="V4385" s="44"/>
      <c r="W4385" s="72"/>
      <c r="X4385" s="85" t="e">
        <f>(X4378/(N_1*X$27))*SQRT('Valve Sizing'!$G$6/X4383)</f>
        <v>#NUM!</v>
      </c>
      <c r="Y4385" s="44"/>
      <c r="Z4385" s="72"/>
      <c r="AA4385" s="85" t="e">
        <f>(AA4378/(N_1*AA$27))*SQRT('Valve Sizing'!$G$6/AA4383)</f>
        <v>#NUM!</v>
      </c>
      <c r="AB4385" s="44"/>
      <c r="AC4385" s="72"/>
      <c r="AD4385" s="85" t="e">
        <f>(AD4378/(N_1*AD$27))*SQRT('Valve Sizing'!$G$6/AD4383)</f>
        <v>#NUM!</v>
      </c>
      <c r="AE4385" s="44"/>
      <c r="AF4385" s="72"/>
      <c r="AG4385" s="85" t="e">
        <f>(AG4378/(N_1*AG$27))*SQRT('Valve Sizing'!$G$6/AG4383)</f>
        <v>#NUM!</v>
      </c>
      <c r="AH4385" s="44"/>
      <c r="AI4385" s="72"/>
      <c r="AJ4385" s="85" t="e">
        <f>(AJ4378/(N_1*AJ$27))*SQRT('Valve Sizing'!$G$6/AJ4383)</f>
        <v>#NUM!</v>
      </c>
      <c r="AK4385" s="44"/>
      <c r="AL4385" s="72"/>
      <c r="AM4385" s="85" t="e">
        <f>(AM4378/(N_1*AM$27))*SQRT('Valve Sizing'!$G$6/AM4383)</f>
        <v>#NUM!</v>
      </c>
      <c r="AN4385" s="44"/>
      <c r="AO4385" s="72"/>
      <c r="AP4385" s="85" t="e">
        <f>(AP4378/(N_1*AP$27))*SQRT('Valve Sizing'!$G$6/AP4383)</f>
        <v>#NUM!</v>
      </c>
      <c r="AQ4385" s="44"/>
      <c r="AR4385" s="72"/>
      <c r="AS4385" s="85" t="e">
        <f>(AS4378/(N_1*AS$27))*SQRT('Valve Sizing'!$G$6/AS4383)</f>
        <v>#NUM!</v>
      </c>
      <c r="AT4385" s="44"/>
      <c r="AU4385" s="72"/>
    </row>
    <row r="4386" spans="15:47" x14ac:dyDescent="0.25">
      <c r="O4386" s="1" t="s">
        <v>246</v>
      </c>
      <c r="P4386" s="18"/>
      <c r="Q4386" s="65"/>
      <c r="R4386" s="53" t="e">
        <f>IF(R4382&lt;R4383,R4384,R4385)</f>
        <v>#NUM!</v>
      </c>
      <c r="S4386" s="49"/>
      <c r="T4386" s="72"/>
      <c r="U4386" s="64" t="e">
        <f>IF(U4382&lt;U4383,U4384,U4385)</f>
        <v>#NUM!</v>
      </c>
      <c r="V4386" s="44"/>
      <c r="W4386" s="72"/>
      <c r="X4386" s="64" t="e">
        <f>IF(X4382&lt;X4383,X4384,X4385)</f>
        <v>#NUM!</v>
      </c>
      <c r="Y4386" s="44"/>
      <c r="Z4386" s="72"/>
      <c r="AA4386" s="64" t="e">
        <f>IF(AA4382&lt;AA4383,AA4384,AA4385)</f>
        <v>#NUM!</v>
      </c>
      <c r="AB4386" s="44"/>
      <c r="AC4386" s="72"/>
      <c r="AD4386" s="64" t="e">
        <f>IF(AD4382&lt;AD4383,AD4384,AD4385)</f>
        <v>#NUM!</v>
      </c>
      <c r="AE4386" s="44"/>
      <c r="AF4386" s="72"/>
      <c r="AG4386" s="64" t="e">
        <f>IF(AG4382&lt;AG4383,AG4384,AG4385)</f>
        <v>#NUM!</v>
      </c>
      <c r="AH4386" s="44"/>
      <c r="AI4386" s="72"/>
      <c r="AJ4386" s="64" t="e">
        <f>IF(AJ4382&lt;AJ4383,AJ4384,AJ4385)</f>
        <v>#NUM!</v>
      </c>
      <c r="AK4386" s="44"/>
      <c r="AL4386" s="72"/>
      <c r="AM4386" s="64" t="e">
        <f>IF(AM4382&lt;AM4383,AM4384,AM4385)</f>
        <v>#NUM!</v>
      </c>
      <c r="AN4386" s="44"/>
      <c r="AO4386" s="72"/>
      <c r="AP4386" s="64" t="e">
        <f>IF(AP4382&lt;AP4383,AP4384,AP4385)</f>
        <v>#NUM!</v>
      </c>
      <c r="AQ4386" s="44"/>
      <c r="AR4386" s="72"/>
      <c r="AS4386" s="64" t="e">
        <f>IF(AS4382&lt;AS4383,AS4384,AS4385)</f>
        <v>#NUM!</v>
      </c>
      <c r="AT4386" s="44"/>
      <c r="AU4386" s="72"/>
    </row>
    <row r="4387" spans="15:47" ht="13" x14ac:dyDescent="0.3">
      <c r="O4387" s="7" t="s">
        <v>264</v>
      </c>
      <c r="Q4387" s="61"/>
      <c r="R4387" s="53"/>
      <c r="S4387" s="69">
        <f>IFERROR(ABS(C_h-R4386),Q_max*10)</f>
        <v>5500</v>
      </c>
      <c r="T4387" s="76">
        <f>R4378</f>
        <v>1995.987572554219</v>
      </c>
      <c r="U4387" s="61"/>
      <c r="V4387" s="69">
        <f>IFERROR(ABS(U$23-U4386),Q_max*10)</f>
        <v>5500</v>
      </c>
      <c r="W4387" s="75">
        <f>U4378</f>
        <v>1439.0091263283557</v>
      </c>
      <c r="X4387" s="61"/>
      <c r="Y4387" s="69">
        <f>IFERROR(ABS(X$23-X4386),Q_max*10)</f>
        <v>5500</v>
      </c>
      <c r="Z4387" s="75">
        <f>X4378</f>
        <v>3454.1758316292271</v>
      </c>
      <c r="AA4387" s="61"/>
      <c r="AB4387" s="69">
        <f>IFERROR(ABS(AA$23-AA4386),Q_max*10)</f>
        <v>5500</v>
      </c>
      <c r="AC4387" s="75">
        <f>AA4378</f>
        <v>6595.2875771746094</v>
      </c>
      <c r="AD4387" s="61"/>
      <c r="AE4387" s="69">
        <f>IFERROR(ABS(AD$23-AD4386),Q_max*10)</f>
        <v>5500</v>
      </c>
      <c r="AF4387" s="75">
        <f>AD4378</f>
        <v>10846.81982363301</v>
      </c>
      <c r="AG4387" s="61"/>
      <c r="AH4387" s="69">
        <f>IFERROR(ABS(AG$23-AG4386),Q_max*10)</f>
        <v>5500</v>
      </c>
      <c r="AI4387" s="75">
        <f>AG4378</f>
        <v>16149.436660172976</v>
      </c>
      <c r="AJ4387" s="61"/>
      <c r="AK4387" s="69">
        <f>IFERROR(ABS(AJ$23-AJ4386),Q_max*10)</f>
        <v>5500</v>
      </c>
      <c r="AL4387" s="75">
        <f>AJ4378</f>
        <v>21551.485827377845</v>
      </c>
      <c r="AM4387" s="61"/>
      <c r="AN4387" s="69">
        <f>IFERROR(ABS(AM$23-AM4386),Q_max*10)</f>
        <v>5500</v>
      </c>
      <c r="AO4387" s="75">
        <f>AM4378</f>
        <v>26296.908352646213</v>
      </c>
      <c r="AP4387" s="61"/>
      <c r="AQ4387" s="69">
        <f>IFERROR(ABS(AP$23-AP4386),Q_max*10)</f>
        <v>5500</v>
      </c>
      <c r="AR4387" s="75">
        <f>AP4378</f>
        <v>30529.894219632264</v>
      </c>
      <c r="AS4387" s="61"/>
      <c r="AT4387" s="69">
        <f>IFERROR(ABS(AS$23-AS4386),Q_max*10)</f>
        <v>5500</v>
      </c>
      <c r="AU4387" s="75">
        <f>AS4378</f>
        <v>34745.867463702612</v>
      </c>
    </row>
    <row r="4388" spans="15:47" ht="14.5" x14ac:dyDescent="0.35">
      <c r="O4388" s="8"/>
      <c r="P4388" s="6"/>
      <c r="Q4388" s="60"/>
      <c r="R4388" s="67"/>
      <c r="S4388" s="56"/>
      <c r="T4388" s="72"/>
      <c r="V4388" s="11"/>
      <c r="W4388" s="38"/>
      <c r="Y4388" s="11"/>
      <c r="Z4388" s="38"/>
      <c r="AB4388" s="11"/>
      <c r="AC4388" s="38"/>
      <c r="AE4388" s="11"/>
      <c r="AF4388" s="38"/>
      <c r="AH4388" s="11"/>
      <c r="AI4388" s="38"/>
      <c r="AK4388" s="11"/>
      <c r="AL4388" s="38"/>
      <c r="AN4388" s="11"/>
      <c r="AO4388" s="38"/>
      <c r="AQ4388" s="11"/>
      <c r="AR4388" s="38"/>
      <c r="AT4388" s="11"/>
      <c r="AU4388" s="38"/>
    </row>
    <row r="4389" spans="15:47" ht="14" x14ac:dyDescent="0.3">
      <c r="O4389" s="8" t="s">
        <v>235</v>
      </c>
      <c r="P4389" s="6"/>
      <c r="Q4389" s="60"/>
      <c r="R4389" s="53">
        <f>R4378*1.02</f>
        <v>2035.9073240053035</v>
      </c>
      <c r="S4389" s="58" t="s">
        <v>238</v>
      </c>
      <c r="T4389" s="73" t="s">
        <v>241</v>
      </c>
      <c r="U4389" s="84">
        <f>U4378*1.01</f>
        <v>1453.3992175916392</v>
      </c>
      <c r="V4389" s="58" t="s">
        <v>238</v>
      </c>
      <c r="W4389" s="73" t="s">
        <v>241</v>
      </c>
      <c r="X4389" s="84">
        <f>X4378*1.01</f>
        <v>3488.7175899455192</v>
      </c>
      <c r="Y4389" s="58" t="s">
        <v>238</v>
      </c>
      <c r="Z4389" s="73" t="s">
        <v>241</v>
      </c>
      <c r="AA4389" s="84">
        <f>AA4378*1.01</f>
        <v>6661.2404529463556</v>
      </c>
      <c r="AB4389" s="58" t="s">
        <v>238</v>
      </c>
      <c r="AC4389" s="73" t="s">
        <v>241</v>
      </c>
      <c r="AD4389" s="84">
        <f>AD4378*1.01</f>
        <v>10955.288021869341</v>
      </c>
      <c r="AE4389" s="58" t="s">
        <v>238</v>
      </c>
      <c r="AF4389" s="73" t="s">
        <v>241</v>
      </c>
      <c r="AG4389" s="84">
        <f>AG4378*1.01</f>
        <v>16310.931026774706</v>
      </c>
      <c r="AH4389" s="58" t="s">
        <v>238</v>
      </c>
      <c r="AI4389" s="73" t="s">
        <v>241</v>
      </c>
      <c r="AJ4389" s="84">
        <f>AJ4378*1.01</f>
        <v>21767.000685651623</v>
      </c>
      <c r="AK4389" s="58" t="s">
        <v>238</v>
      </c>
      <c r="AL4389" s="73" t="s">
        <v>241</v>
      </c>
      <c r="AM4389" s="84">
        <f>AM4378*1.01</f>
        <v>26559.877436172676</v>
      </c>
      <c r="AN4389" s="58" t="s">
        <v>238</v>
      </c>
      <c r="AO4389" s="73" t="s">
        <v>241</v>
      </c>
      <c r="AP4389" s="84">
        <f>AP4378*1.01</f>
        <v>30835.193161828585</v>
      </c>
      <c r="AQ4389" s="58" t="s">
        <v>238</v>
      </c>
      <c r="AR4389" s="73" t="s">
        <v>241</v>
      </c>
      <c r="AS4389" s="84">
        <f>AS4378*1.01</f>
        <v>35093.326138339638</v>
      </c>
      <c r="AT4389" s="58" t="s">
        <v>238</v>
      </c>
      <c r="AU4389" s="73" t="s">
        <v>241</v>
      </c>
    </row>
    <row r="4390" spans="15:47" ht="13" x14ac:dyDescent="0.25">
      <c r="O4390" s="6"/>
      <c r="P4390" s="6"/>
      <c r="Q4390" s="60"/>
      <c r="R4390" s="70"/>
      <c r="S4390" s="63" t="s">
        <v>250</v>
      </c>
      <c r="T4390" s="71" t="s">
        <v>242</v>
      </c>
      <c r="U4390" s="61"/>
      <c r="V4390" s="63" t="s">
        <v>250</v>
      </c>
      <c r="W4390" s="71" t="s">
        <v>242</v>
      </c>
      <c r="X4390" s="61"/>
      <c r="Y4390" s="63" t="s">
        <v>250</v>
      </c>
      <c r="Z4390" s="71" t="s">
        <v>242</v>
      </c>
      <c r="AA4390" s="61"/>
      <c r="AB4390" s="63" t="s">
        <v>250</v>
      </c>
      <c r="AC4390" s="71" t="s">
        <v>242</v>
      </c>
      <c r="AD4390" s="61"/>
      <c r="AE4390" s="63" t="s">
        <v>250</v>
      </c>
      <c r="AF4390" s="71" t="s">
        <v>242</v>
      </c>
      <c r="AG4390" s="61"/>
      <c r="AH4390" s="63" t="s">
        <v>250</v>
      </c>
      <c r="AI4390" s="71" t="s">
        <v>242</v>
      </c>
      <c r="AJ4390" s="61"/>
      <c r="AK4390" s="63" t="s">
        <v>250</v>
      </c>
      <c r="AL4390" s="71" t="s">
        <v>242</v>
      </c>
      <c r="AM4390" s="61"/>
      <c r="AN4390" s="63" t="s">
        <v>250</v>
      </c>
      <c r="AO4390" s="71" t="s">
        <v>242</v>
      </c>
      <c r="AP4390" s="61"/>
      <c r="AQ4390" s="63" t="s">
        <v>250</v>
      </c>
      <c r="AR4390" s="71" t="s">
        <v>242</v>
      </c>
      <c r="AS4390" s="61"/>
      <c r="AT4390" s="63" t="s">
        <v>250</v>
      </c>
      <c r="AU4390" s="71" t="s">
        <v>242</v>
      </c>
    </row>
    <row r="4391" spans="15:47" ht="13" x14ac:dyDescent="0.3">
      <c r="O4391" s="6" t="s">
        <v>231</v>
      </c>
      <c r="P4391" s="6"/>
      <c r="Q4391" s="60"/>
      <c r="R4391" s="85">
        <f>P_1_minQ-(R4389^2*R_up)+dpup_minQ</f>
        <v>-83.067599862831344</v>
      </c>
      <c r="S4391" s="56"/>
      <c r="T4391" s="72"/>
      <c r="U4391" s="53">
        <f>P_1_minQ-(U4389^2*R_up)+dpup_minQ</f>
        <v>-14.42358276582198</v>
      </c>
      <c r="V4391" s="44"/>
      <c r="W4391" s="72"/>
      <c r="X4391" s="53">
        <f>P_1_minQ-(X4389^2*R_up)+dpup_minQ</f>
        <v>-354.13250328926961</v>
      </c>
      <c r="Y4391" s="44"/>
      <c r="Z4391" s="72"/>
      <c r="AA4391" s="53">
        <f>P_1_minQ-(AA4389^2*R_up)+dpup_minQ</f>
        <v>-1441.6358450512992</v>
      </c>
      <c r="AB4391" s="44"/>
      <c r="AC4391" s="72"/>
      <c r="AD4391" s="53">
        <f>P_1_minQ-(AD4389^2*R_up)+dpup_minQ</f>
        <v>-3996.387998720495</v>
      </c>
      <c r="AE4391" s="44"/>
      <c r="AF4391" s="72"/>
      <c r="AG4391" s="53">
        <f>P_1_minQ-(AG4389^2*R_up)+dpup_minQ</f>
        <v>-8928.10482810543</v>
      </c>
      <c r="AH4391" s="44"/>
      <c r="AI4391" s="72"/>
      <c r="AJ4391" s="53">
        <f>P_1_minQ-(AJ4389^2*R_up)+dpup_minQ</f>
        <v>-15944.513064814531</v>
      </c>
      <c r="AK4391" s="44"/>
      <c r="AL4391" s="72"/>
      <c r="AM4391" s="53">
        <f>P_1_minQ-(AM4389^2*R_up)+dpup_minQ</f>
        <v>-23767.031490189613</v>
      </c>
      <c r="AN4391" s="44"/>
      <c r="AO4391" s="72"/>
      <c r="AP4391" s="53">
        <f>P_1_minQ-(AP4389^2*R_up)+dpup_minQ</f>
        <v>-32054.165833410349</v>
      </c>
      <c r="AQ4391" s="44"/>
      <c r="AR4391" s="72"/>
      <c r="AS4391" s="53">
        <f>P_1_minQ-(AS4389^2*R_up)+dpup_minQ</f>
        <v>-41535.165567439115</v>
      </c>
      <c r="AT4391" s="44"/>
      <c r="AU4391" s="72"/>
    </row>
    <row r="4392" spans="15:47" ht="13" x14ac:dyDescent="0.3">
      <c r="O4392" s="6" t="s">
        <v>233</v>
      </c>
      <c r="P4392" s="6"/>
      <c r="Q4392" s="60"/>
      <c r="R4392" s="85">
        <f>P_2_minQ+(R4389^2*R_dn)-dpdn_minQ</f>
        <v>52.653519972566272</v>
      </c>
      <c r="S4392" s="66"/>
      <c r="T4392" s="74"/>
      <c r="U4392" s="53">
        <f>P_2_minQ+(U4389^2*R_dn)-dpdn_minQ</f>
        <v>38.924716553164401</v>
      </c>
      <c r="V4392" s="45"/>
      <c r="W4392" s="74"/>
      <c r="X4392" s="53">
        <f>P_2_minQ+(X4389^2*R_dn)-dpdn_minQ</f>
        <v>106.86650065785392</v>
      </c>
      <c r="Y4392" s="45"/>
      <c r="Z4392" s="74"/>
      <c r="AA4392" s="53">
        <f>P_2_minQ+(AA4389^2*R_dn)-dpdn_minQ</f>
        <v>324.36716901025977</v>
      </c>
      <c r="AB4392" s="45"/>
      <c r="AC4392" s="74"/>
      <c r="AD4392" s="53">
        <f>P_2_minQ+(AD4389^2*R_dn)-dpdn_minQ</f>
        <v>835.31759974409897</v>
      </c>
      <c r="AE4392" s="45"/>
      <c r="AF4392" s="74"/>
      <c r="AG4392" s="53">
        <f>P_2_minQ+(AG4389^2*R_dn)-dpdn_minQ</f>
        <v>1821.660965621086</v>
      </c>
      <c r="AH4392" s="45"/>
      <c r="AI4392" s="74"/>
      <c r="AJ4392" s="53">
        <f>P_2_minQ+(AJ4389^2*R_dn)-dpdn_minQ</f>
        <v>3224.942612962906</v>
      </c>
      <c r="AK4392" s="45"/>
      <c r="AL4392" s="74"/>
      <c r="AM4392" s="53">
        <f>P_2_minQ+(AM4389^2*R_dn)-dpdn_minQ</f>
        <v>4789.4462980379221</v>
      </c>
      <c r="AN4392" s="45"/>
      <c r="AO4392" s="74"/>
      <c r="AP4392" s="53">
        <f>P_2_minQ+(AP4389^2*R_dn)-dpdn_minQ</f>
        <v>6446.8731666820695</v>
      </c>
      <c r="AQ4392" s="45"/>
      <c r="AR4392" s="74"/>
      <c r="AS4392" s="53">
        <f>P_2_minQ+(AS4389^2*R_dn)-dpdn_minQ</f>
        <v>8343.0731134878224</v>
      </c>
      <c r="AT4392" s="45"/>
      <c r="AU4392" s="74"/>
    </row>
    <row r="4393" spans="15:47" x14ac:dyDescent="0.25">
      <c r="O4393" s="6" t="s">
        <v>243</v>
      </c>
      <c r="Q4393" s="60"/>
      <c r="R4393" s="53">
        <f>R4391-R4392</f>
        <v>-135.72111983539762</v>
      </c>
      <c r="S4393" s="56"/>
      <c r="T4393" s="72"/>
      <c r="U4393" s="64">
        <f>U4391-U4392</f>
        <v>-53.348299318986378</v>
      </c>
      <c r="V4393" s="44"/>
      <c r="W4393" s="72"/>
      <c r="X4393" s="64">
        <f>X4391-X4392</f>
        <v>-460.99900394712353</v>
      </c>
      <c r="Y4393" s="44"/>
      <c r="Z4393" s="72"/>
      <c r="AA4393" s="64">
        <f>AA4391-AA4392</f>
        <v>-1766.003014061559</v>
      </c>
      <c r="AB4393" s="44"/>
      <c r="AC4393" s="72"/>
      <c r="AD4393" s="64">
        <f>AD4391-AD4392</f>
        <v>-4831.705598464594</v>
      </c>
      <c r="AE4393" s="44"/>
      <c r="AF4393" s="72"/>
      <c r="AG4393" s="64">
        <f>AG4391-AG4392</f>
        <v>-10749.765793726516</v>
      </c>
      <c r="AH4393" s="44"/>
      <c r="AI4393" s="72"/>
      <c r="AJ4393" s="64">
        <f>AJ4391-AJ4392</f>
        <v>-19169.455677777438</v>
      </c>
      <c r="AK4393" s="44"/>
      <c r="AL4393" s="72"/>
      <c r="AM4393" s="64">
        <f>AM4391-AM4392</f>
        <v>-28556.477788227534</v>
      </c>
      <c r="AN4393" s="44"/>
      <c r="AO4393" s="72"/>
      <c r="AP4393" s="64">
        <f>AP4391-AP4392</f>
        <v>-38501.039000092416</v>
      </c>
      <c r="AQ4393" s="44"/>
      <c r="AR4393" s="72"/>
      <c r="AS4393" s="64">
        <f>AS4391-AS4392</f>
        <v>-49878.238680926937</v>
      </c>
      <c r="AT4393" s="44"/>
      <c r="AU4393" s="72"/>
    </row>
    <row r="4394" spans="15:47" ht="13" x14ac:dyDescent="0.3">
      <c r="O4394" s="6" t="s">
        <v>75</v>
      </c>
      <c r="P4394" s="6">
        <v>3</v>
      </c>
      <c r="Q4394" s="65"/>
      <c r="R4394" s="85">
        <f>(F_LP_h/F_P_h)^2*(R4391-('Valve Sizing'!$V$4*'Valve Sizing'!$G$7))</f>
        <v>-69.14872374814675</v>
      </c>
      <c r="S4394" s="58"/>
      <c r="T4394" s="73"/>
      <c r="U4394" s="53">
        <f>(U$29/U$27)^2*(U4391-('Valve Sizing'!$V$4*'Valve Sizing'!$G$7))</f>
        <v>-12.304519853446967</v>
      </c>
      <c r="V4394" s="41"/>
      <c r="W4394" s="73"/>
      <c r="X4394" s="53">
        <f>(X$29/X$27)^2*(X4391-('Valve Sizing'!$V$4*'Valve Sizing'!$G$7))</f>
        <v>-286.90365171103809</v>
      </c>
      <c r="Y4394" s="41"/>
      <c r="Z4394" s="73"/>
      <c r="AA4394" s="53">
        <f>(AA$29/AA$27)^2*(AA4391-('Valve Sizing'!$V$4*'Valve Sizing'!$G$7))</f>
        <v>-1114.4322506028259</v>
      </c>
      <c r="AB4394" s="41"/>
      <c r="AC4394" s="73"/>
      <c r="AD4394" s="53">
        <f>(AD$29/AD$27)^2*(AD4391-('Valve Sizing'!$V$4*'Valve Sizing'!$G$7))</f>
        <v>-2882.4620629145647</v>
      </c>
      <c r="AE4394" s="41"/>
      <c r="AF4394" s="73"/>
      <c r="AG4394" s="53">
        <f>(AG$29/AG$27)^2*(AG4391-('Valve Sizing'!$V$4*'Valve Sizing'!$G$7))</f>
        <v>-5750.3753265498026</v>
      </c>
      <c r="AH4394" s="41"/>
      <c r="AI4394" s="73"/>
      <c r="AJ4394" s="53">
        <f>(AJ$29/AJ$27)^2*(AJ4391-('Valve Sizing'!$V$4*'Valve Sizing'!$G$7))</f>
        <v>-9221.9922144928878</v>
      </c>
      <c r="AK4394" s="41"/>
      <c r="AL4394" s="73"/>
      <c r="AM4394" s="53">
        <f>(AM$29/AM$27)^2*(AM4391-('Valve Sizing'!$V$4*'Valve Sizing'!$G$7))</f>
        <v>-11372.073195037892</v>
      </c>
      <c r="AN4394" s="41"/>
      <c r="AO4394" s="73"/>
      <c r="AP4394" s="53">
        <f>(AP$29/AP$27)^2*(AP4391-('Valve Sizing'!$V$4*'Valve Sizing'!$G$7))</f>
        <v>-12649.607425020491</v>
      </c>
      <c r="AQ4394" s="41"/>
      <c r="AR4394" s="73"/>
      <c r="AS4394" s="53">
        <f>(AS$29/AS$27)^2*(AS4391-('Valve Sizing'!$V$4*'Valve Sizing'!$G$7))</f>
        <v>-15623.235683411222</v>
      </c>
      <c r="AT4394" s="41"/>
      <c r="AU4394" s="73"/>
    </row>
    <row r="4395" spans="15:47" ht="13" x14ac:dyDescent="0.25">
      <c r="O4395" s="1" t="s">
        <v>69</v>
      </c>
      <c r="P4395" s="17">
        <v>7</v>
      </c>
      <c r="Q4395" s="65"/>
      <c r="R4395" s="53" t="e">
        <f>(R4389/(N_1*F_P_h))*SQRT('Valve Sizing'!$G$6/R4393)</f>
        <v>#NUM!</v>
      </c>
      <c r="S4395" s="58"/>
      <c r="T4395" s="73"/>
      <c r="U4395" s="64" t="e">
        <f>(U4389/(N_1*U$27))*SQRT('Valve Sizing'!$G$6/U4393)</f>
        <v>#NUM!</v>
      </c>
      <c r="V4395" s="41"/>
      <c r="W4395" s="73"/>
      <c r="X4395" s="64" t="e">
        <f>(X4389/(N_1*X$27))*SQRT('Valve Sizing'!$G$6/X4393)</f>
        <v>#NUM!</v>
      </c>
      <c r="Y4395" s="41"/>
      <c r="Z4395" s="73"/>
      <c r="AA4395" s="64" t="e">
        <f>(AA4389/(N_1*AA$27))*SQRT('Valve Sizing'!$G$6/AA4393)</f>
        <v>#NUM!</v>
      </c>
      <c r="AB4395" s="41"/>
      <c r="AC4395" s="73"/>
      <c r="AD4395" s="64" t="e">
        <f>(AD4389/(N_1*AD$27))*SQRT('Valve Sizing'!$G$6/AD4393)</f>
        <v>#NUM!</v>
      </c>
      <c r="AE4395" s="41"/>
      <c r="AF4395" s="73"/>
      <c r="AG4395" s="64" t="e">
        <f>(AG4389/(N_1*AG$27))*SQRT('Valve Sizing'!$G$6/AG4393)</f>
        <v>#NUM!</v>
      </c>
      <c r="AH4395" s="41"/>
      <c r="AI4395" s="73"/>
      <c r="AJ4395" s="64" t="e">
        <f>(AJ4389/(N_1*AJ$27))*SQRT('Valve Sizing'!$G$6/AJ4393)</f>
        <v>#NUM!</v>
      </c>
      <c r="AK4395" s="41"/>
      <c r="AL4395" s="73"/>
      <c r="AM4395" s="64" t="e">
        <f>(AM4389/(N_1*AM$27))*SQRT('Valve Sizing'!$G$6/AM4393)</f>
        <v>#NUM!</v>
      </c>
      <c r="AN4395" s="41"/>
      <c r="AO4395" s="73"/>
      <c r="AP4395" s="64" t="e">
        <f>(AP4389/(N_1*AP$27))*SQRT('Valve Sizing'!$G$6/AP4393)</f>
        <v>#NUM!</v>
      </c>
      <c r="AQ4395" s="41"/>
      <c r="AR4395" s="73"/>
      <c r="AS4395" s="64" t="e">
        <f>(AS4389/(N_1*AS$27))*SQRT('Valve Sizing'!$G$6/AS4393)</f>
        <v>#NUM!</v>
      </c>
      <c r="AT4395" s="41"/>
      <c r="AU4395" s="73"/>
    </row>
    <row r="4396" spans="15:47" ht="13" x14ac:dyDescent="0.3">
      <c r="O4396" s="1" t="s">
        <v>72</v>
      </c>
      <c r="P4396" s="17">
        <v>7</v>
      </c>
      <c r="Q4396" s="65"/>
      <c r="R4396" s="53" t="e">
        <f>(R4389/(N_1*F_P_h))*SQRT('Valve Sizing'!$G$6/R4394)</f>
        <v>#NUM!</v>
      </c>
      <c r="S4396" s="56"/>
      <c r="T4396" s="72"/>
      <c r="U4396" s="85" t="e">
        <f>(U4389/(N_1*U$27))*SQRT('Valve Sizing'!$G$6/U4394)</f>
        <v>#NUM!</v>
      </c>
      <c r="V4396" s="44"/>
      <c r="W4396" s="72"/>
      <c r="X4396" s="85" t="e">
        <f>(X4389/(N_1*X$27))*SQRT('Valve Sizing'!$G$6/X4394)</f>
        <v>#NUM!</v>
      </c>
      <c r="Y4396" s="44"/>
      <c r="Z4396" s="72"/>
      <c r="AA4396" s="85" t="e">
        <f>(AA4389/(N_1*AA$27))*SQRT('Valve Sizing'!$G$6/AA4394)</f>
        <v>#NUM!</v>
      </c>
      <c r="AB4396" s="44"/>
      <c r="AC4396" s="72"/>
      <c r="AD4396" s="85" t="e">
        <f>(AD4389/(N_1*AD$27))*SQRT('Valve Sizing'!$G$6/AD4394)</f>
        <v>#NUM!</v>
      </c>
      <c r="AE4396" s="44"/>
      <c r="AF4396" s="72"/>
      <c r="AG4396" s="85" t="e">
        <f>(AG4389/(N_1*AG$27))*SQRT('Valve Sizing'!$G$6/AG4394)</f>
        <v>#NUM!</v>
      </c>
      <c r="AH4396" s="44"/>
      <c r="AI4396" s="72"/>
      <c r="AJ4396" s="85" t="e">
        <f>(AJ4389/(N_1*AJ$27))*SQRT('Valve Sizing'!$G$6/AJ4394)</f>
        <v>#NUM!</v>
      </c>
      <c r="AK4396" s="44"/>
      <c r="AL4396" s="72"/>
      <c r="AM4396" s="85" t="e">
        <f>(AM4389/(N_1*AM$27))*SQRT('Valve Sizing'!$G$6/AM4394)</f>
        <v>#NUM!</v>
      </c>
      <c r="AN4396" s="44"/>
      <c r="AO4396" s="72"/>
      <c r="AP4396" s="85" t="e">
        <f>(AP4389/(N_1*AP$27))*SQRT('Valve Sizing'!$G$6/AP4394)</f>
        <v>#NUM!</v>
      </c>
      <c r="AQ4396" s="44"/>
      <c r="AR4396" s="72"/>
      <c r="AS4396" s="85" t="e">
        <f>(AS4389/(N_1*AS$27))*SQRT('Valve Sizing'!$G$6/AS4394)</f>
        <v>#NUM!</v>
      </c>
      <c r="AT4396" s="44"/>
      <c r="AU4396" s="72"/>
    </row>
    <row r="4397" spans="15:47" x14ac:dyDescent="0.25">
      <c r="O4397" s="1" t="s">
        <v>246</v>
      </c>
      <c r="P4397" s="18"/>
      <c r="Q4397" s="65"/>
      <c r="R4397" s="53" t="e">
        <f>IF(R4393&lt;R4394,R4395,R4396)</f>
        <v>#NUM!</v>
      </c>
      <c r="S4397" s="49"/>
      <c r="T4397" s="72"/>
      <c r="U4397" s="64" t="e">
        <f>IF(U4393&lt;U4394,U4395,U4396)</f>
        <v>#NUM!</v>
      </c>
      <c r="V4397" s="44"/>
      <c r="W4397" s="72"/>
      <c r="X4397" s="64" t="e">
        <f>IF(X4393&lt;X4394,X4395,X4396)</f>
        <v>#NUM!</v>
      </c>
      <c r="Y4397" s="44"/>
      <c r="Z4397" s="72"/>
      <c r="AA4397" s="64" t="e">
        <f>IF(AA4393&lt;AA4394,AA4395,AA4396)</f>
        <v>#NUM!</v>
      </c>
      <c r="AB4397" s="44"/>
      <c r="AC4397" s="72"/>
      <c r="AD4397" s="64" t="e">
        <f>IF(AD4393&lt;AD4394,AD4395,AD4396)</f>
        <v>#NUM!</v>
      </c>
      <c r="AE4397" s="44"/>
      <c r="AF4397" s="72"/>
      <c r="AG4397" s="64" t="e">
        <f>IF(AG4393&lt;AG4394,AG4395,AG4396)</f>
        <v>#NUM!</v>
      </c>
      <c r="AH4397" s="44"/>
      <c r="AI4397" s="72"/>
      <c r="AJ4397" s="64" t="e">
        <f>IF(AJ4393&lt;AJ4394,AJ4395,AJ4396)</f>
        <v>#NUM!</v>
      </c>
      <c r="AK4397" s="44"/>
      <c r="AL4397" s="72"/>
      <c r="AM4397" s="64" t="e">
        <f>IF(AM4393&lt;AM4394,AM4395,AM4396)</f>
        <v>#NUM!</v>
      </c>
      <c r="AN4397" s="44"/>
      <c r="AO4397" s="72"/>
      <c r="AP4397" s="64" t="e">
        <f>IF(AP4393&lt;AP4394,AP4395,AP4396)</f>
        <v>#NUM!</v>
      </c>
      <c r="AQ4397" s="44"/>
      <c r="AR4397" s="72"/>
      <c r="AS4397" s="64" t="e">
        <f>IF(AS4393&lt;AS4394,AS4395,AS4396)</f>
        <v>#NUM!</v>
      </c>
      <c r="AT4397" s="44"/>
      <c r="AU4397" s="72"/>
    </row>
    <row r="4398" spans="15:47" ht="13" x14ac:dyDescent="0.3">
      <c r="O4398" s="7" t="s">
        <v>264</v>
      </c>
      <c r="Q4398" s="61"/>
      <c r="R4398" s="53"/>
      <c r="S4398" s="69">
        <f>IFERROR(ABS(C_h-R4397),Q_max*10)</f>
        <v>5500</v>
      </c>
      <c r="T4398" s="76">
        <f>R4389</f>
        <v>2035.9073240053035</v>
      </c>
      <c r="U4398" s="61"/>
      <c r="V4398" s="69">
        <f>IFERROR(ABS(U$23-U4397),Q_max*10)</f>
        <v>5500</v>
      </c>
      <c r="W4398" s="75">
        <f>U4389</f>
        <v>1453.3992175916392</v>
      </c>
      <c r="X4398" s="61"/>
      <c r="Y4398" s="69">
        <f>IFERROR(ABS(X$23-X4397),Q_max*10)</f>
        <v>5500</v>
      </c>
      <c r="Z4398" s="75">
        <f>X4389</f>
        <v>3488.7175899455192</v>
      </c>
      <c r="AA4398" s="61"/>
      <c r="AB4398" s="69">
        <f>IFERROR(ABS(AA$23-AA4397),Q_max*10)</f>
        <v>5500</v>
      </c>
      <c r="AC4398" s="75">
        <f>AA4389</f>
        <v>6661.2404529463556</v>
      </c>
      <c r="AD4398" s="61"/>
      <c r="AE4398" s="69">
        <f>IFERROR(ABS(AD$23-AD4397),Q_max*10)</f>
        <v>5500</v>
      </c>
      <c r="AF4398" s="75">
        <f>AD4389</f>
        <v>10955.288021869341</v>
      </c>
      <c r="AG4398" s="61"/>
      <c r="AH4398" s="69">
        <f>IFERROR(ABS(AG$23-AG4397),Q_max*10)</f>
        <v>5500</v>
      </c>
      <c r="AI4398" s="75">
        <f>AG4389</f>
        <v>16310.931026774706</v>
      </c>
      <c r="AJ4398" s="61"/>
      <c r="AK4398" s="69">
        <f>IFERROR(ABS(AJ$23-AJ4397),Q_max*10)</f>
        <v>5500</v>
      </c>
      <c r="AL4398" s="75">
        <f>AJ4389</f>
        <v>21767.000685651623</v>
      </c>
      <c r="AM4398" s="61"/>
      <c r="AN4398" s="69">
        <f>IFERROR(ABS(AM$23-AM4397),Q_max*10)</f>
        <v>5500</v>
      </c>
      <c r="AO4398" s="75">
        <f>AM4389</f>
        <v>26559.877436172676</v>
      </c>
      <c r="AP4398" s="61"/>
      <c r="AQ4398" s="69">
        <f>IFERROR(ABS(AP$23-AP4397),Q_max*10)</f>
        <v>5500</v>
      </c>
      <c r="AR4398" s="75">
        <f>AP4389</f>
        <v>30835.193161828585</v>
      </c>
      <c r="AS4398" s="61"/>
      <c r="AT4398" s="69">
        <f>IFERROR(ABS(AS$23-AS4397),Q_max*10)</f>
        <v>5500</v>
      </c>
      <c r="AU4398" s="75">
        <f>AS4389</f>
        <v>35093.326138339638</v>
      </c>
    </row>
    <row r="4399" spans="15:47" ht="14.5" x14ac:dyDescent="0.35">
      <c r="O4399" s="6"/>
      <c r="P4399" s="6"/>
      <c r="Q4399" s="60"/>
      <c r="R4399" s="67"/>
      <c r="S4399" s="56"/>
      <c r="T4399" s="72"/>
      <c r="V4399" s="11"/>
      <c r="W4399" s="38"/>
      <c r="Y4399" s="11"/>
      <c r="Z4399" s="38"/>
      <c r="AB4399" s="11"/>
      <c r="AC4399" s="38"/>
      <c r="AE4399" s="11"/>
      <c r="AF4399" s="38"/>
      <c r="AH4399" s="11"/>
      <c r="AI4399" s="38"/>
      <c r="AK4399" s="11"/>
      <c r="AL4399" s="38"/>
      <c r="AN4399" s="11"/>
      <c r="AO4399" s="38"/>
      <c r="AQ4399" s="11"/>
      <c r="AR4399" s="38"/>
      <c r="AT4399" s="11"/>
      <c r="AU4399" s="38"/>
    </row>
    <row r="4400" spans="15:47" ht="14" x14ac:dyDescent="0.3">
      <c r="O4400" s="8" t="s">
        <v>235</v>
      </c>
      <c r="P4400" s="6"/>
      <c r="Q4400" s="60"/>
      <c r="R4400" s="53">
        <f>R4389*1.02</f>
        <v>2076.6254704854096</v>
      </c>
      <c r="S4400" s="58" t="s">
        <v>238</v>
      </c>
      <c r="T4400" s="73" t="s">
        <v>241</v>
      </c>
      <c r="U4400" s="84">
        <f>U4389*1.01</f>
        <v>1467.9332097675556</v>
      </c>
      <c r="V4400" s="58" t="s">
        <v>238</v>
      </c>
      <c r="W4400" s="73" t="s">
        <v>241</v>
      </c>
      <c r="X4400" s="84">
        <f>X4389*1.01</f>
        <v>3523.6047658449743</v>
      </c>
      <c r="Y4400" s="58" t="s">
        <v>238</v>
      </c>
      <c r="Z4400" s="73" t="s">
        <v>241</v>
      </c>
      <c r="AA4400" s="84">
        <f>AA4389*1.01</f>
        <v>6727.8528574758193</v>
      </c>
      <c r="AB4400" s="58" t="s">
        <v>238</v>
      </c>
      <c r="AC4400" s="73" t="s">
        <v>241</v>
      </c>
      <c r="AD4400" s="84">
        <f>AD4389*1.01</f>
        <v>11064.840902088034</v>
      </c>
      <c r="AE4400" s="58" t="s">
        <v>238</v>
      </c>
      <c r="AF4400" s="73" t="s">
        <v>241</v>
      </c>
      <c r="AG4400" s="84">
        <f>AG4389*1.01</f>
        <v>16474.040337042454</v>
      </c>
      <c r="AH4400" s="58" t="s">
        <v>238</v>
      </c>
      <c r="AI4400" s="73" t="s">
        <v>241</v>
      </c>
      <c r="AJ4400" s="84">
        <f>AJ4389*1.01</f>
        <v>21984.670692508138</v>
      </c>
      <c r="AK4400" s="58" t="s">
        <v>238</v>
      </c>
      <c r="AL4400" s="73" t="s">
        <v>241</v>
      </c>
      <c r="AM4400" s="84">
        <f>AM4389*1.01</f>
        <v>26825.476210534402</v>
      </c>
      <c r="AN4400" s="58" t="s">
        <v>238</v>
      </c>
      <c r="AO4400" s="73" t="s">
        <v>241</v>
      </c>
      <c r="AP4400" s="84">
        <f>AP4389*1.01</f>
        <v>31143.545093446872</v>
      </c>
      <c r="AQ4400" s="58" t="s">
        <v>238</v>
      </c>
      <c r="AR4400" s="73" t="s">
        <v>241</v>
      </c>
      <c r="AS4400" s="84">
        <f>AS4389*1.01</f>
        <v>35444.259399723036</v>
      </c>
      <c r="AT4400" s="58" t="s">
        <v>238</v>
      </c>
      <c r="AU4400" s="73" t="s">
        <v>241</v>
      </c>
    </row>
    <row r="4401" spans="15:47" ht="13" x14ac:dyDescent="0.25">
      <c r="O4401" s="6"/>
      <c r="P4401" s="6"/>
      <c r="Q4401" s="60"/>
      <c r="R4401" s="70"/>
      <c r="S4401" s="63" t="s">
        <v>250</v>
      </c>
      <c r="T4401" s="71" t="s">
        <v>242</v>
      </c>
      <c r="U4401" s="61"/>
      <c r="V4401" s="63" t="s">
        <v>250</v>
      </c>
      <c r="W4401" s="71" t="s">
        <v>242</v>
      </c>
      <c r="X4401" s="61"/>
      <c r="Y4401" s="63" t="s">
        <v>250</v>
      </c>
      <c r="Z4401" s="71" t="s">
        <v>242</v>
      </c>
      <c r="AA4401" s="61"/>
      <c r="AB4401" s="63" t="s">
        <v>250</v>
      </c>
      <c r="AC4401" s="71" t="s">
        <v>242</v>
      </c>
      <c r="AD4401" s="61"/>
      <c r="AE4401" s="63" t="s">
        <v>250</v>
      </c>
      <c r="AF4401" s="71" t="s">
        <v>242</v>
      </c>
      <c r="AG4401" s="61"/>
      <c r="AH4401" s="63" t="s">
        <v>250</v>
      </c>
      <c r="AI4401" s="71" t="s">
        <v>242</v>
      </c>
      <c r="AJ4401" s="61"/>
      <c r="AK4401" s="63" t="s">
        <v>250</v>
      </c>
      <c r="AL4401" s="71" t="s">
        <v>242</v>
      </c>
      <c r="AM4401" s="61"/>
      <c r="AN4401" s="63" t="s">
        <v>250</v>
      </c>
      <c r="AO4401" s="71" t="s">
        <v>242</v>
      </c>
      <c r="AP4401" s="61"/>
      <c r="AQ4401" s="63" t="s">
        <v>250</v>
      </c>
      <c r="AR4401" s="71" t="s">
        <v>242</v>
      </c>
      <c r="AS4401" s="61"/>
      <c r="AT4401" s="63" t="s">
        <v>250</v>
      </c>
      <c r="AU4401" s="71" t="s">
        <v>242</v>
      </c>
    </row>
    <row r="4402" spans="15:47" ht="13" x14ac:dyDescent="0.3">
      <c r="O4402" s="6" t="s">
        <v>231</v>
      </c>
      <c r="P4402" s="6"/>
      <c r="Q4402" s="60"/>
      <c r="R4402" s="85">
        <f>P_1_minQ-(R4400^2*R_up)+dpup_minQ</f>
        <v>-88.722943082362349</v>
      </c>
      <c r="S4402" s="56"/>
      <c r="T4402" s="72"/>
      <c r="U4402" s="53">
        <f>P_1_minQ-(U4400^2*R_up)+dpup_minQ</f>
        <v>-15.857511257631831</v>
      </c>
      <c r="V4402" s="44"/>
      <c r="W4402" s="72"/>
      <c r="X4402" s="53">
        <f>P_1_minQ-(X4400^2*R_up)+dpup_minQ</f>
        <v>-362.39458108360071</v>
      </c>
      <c r="Y4402" s="44"/>
      <c r="Z4402" s="72"/>
      <c r="AA4402" s="53">
        <f>P_1_minQ-(AA4400^2*R_up)+dpup_minQ</f>
        <v>-1471.7567400150472</v>
      </c>
      <c r="AB4402" s="44"/>
      <c r="AC4402" s="72"/>
      <c r="AD4402" s="53">
        <f>P_1_minQ-(AD4400^2*R_up)+dpup_minQ</f>
        <v>-4077.8594119729937</v>
      </c>
      <c r="AE4402" s="44"/>
      <c r="AF4402" s="72"/>
      <c r="AG4402" s="53">
        <f>P_1_minQ-(AG4400^2*R_up)+dpup_minQ</f>
        <v>-9108.7037496285666</v>
      </c>
      <c r="AH4402" s="44"/>
      <c r="AI4402" s="72"/>
      <c r="AJ4402" s="53">
        <f>P_1_minQ-(AJ4400^2*R_up)+dpup_minQ</f>
        <v>-16266.141791895518</v>
      </c>
      <c r="AK4402" s="44"/>
      <c r="AL4402" s="72"/>
      <c r="AM4402" s="53">
        <f>P_1_minQ-(AM4400^2*R_up)+dpup_minQ</f>
        <v>-24245.892837620639</v>
      </c>
      <c r="AN4402" s="44"/>
      <c r="AO4402" s="72"/>
      <c r="AP4402" s="53">
        <f>P_1_minQ-(AP4400^2*R_up)+dpup_minQ</f>
        <v>-32699.598581140115</v>
      </c>
      <c r="AQ4402" s="44"/>
      <c r="AR4402" s="72"/>
      <c r="AS4402" s="53">
        <f>P_1_minQ-(AS4400^2*R_up)+dpup_minQ</f>
        <v>-42371.166409822858</v>
      </c>
      <c r="AT4402" s="44"/>
      <c r="AU4402" s="72"/>
    </row>
    <row r="4403" spans="15:47" ht="13" x14ac:dyDescent="0.3">
      <c r="O4403" s="6" t="s">
        <v>233</v>
      </c>
      <c r="P4403" s="6"/>
      <c r="Q4403" s="60"/>
      <c r="R4403" s="85">
        <f>P_2_minQ+(R4400^2*R_dn)-dpdn_minQ</f>
        <v>53.784588616472476</v>
      </c>
      <c r="S4403" s="66"/>
      <c r="T4403" s="74"/>
      <c r="U4403" s="53">
        <f>P_2_minQ+(U4400^2*R_dn)-dpdn_minQ</f>
        <v>39.211502251526369</v>
      </c>
      <c r="V4403" s="45"/>
      <c r="W4403" s="74"/>
      <c r="X4403" s="53">
        <f>P_2_minQ+(X4400^2*R_dn)-dpdn_minQ</f>
        <v>108.51891621672013</v>
      </c>
      <c r="Y4403" s="45"/>
      <c r="Z4403" s="74"/>
      <c r="AA4403" s="53">
        <f>P_2_minQ+(AA4400^2*R_dn)-dpdn_minQ</f>
        <v>330.3913480030094</v>
      </c>
      <c r="AB4403" s="45"/>
      <c r="AC4403" s="74"/>
      <c r="AD4403" s="53">
        <f>P_2_minQ+(AD4400^2*R_dn)-dpdn_minQ</f>
        <v>851.61188239459864</v>
      </c>
      <c r="AE4403" s="45"/>
      <c r="AF4403" s="74"/>
      <c r="AG4403" s="53">
        <f>P_2_minQ+(AG4400^2*R_dn)-dpdn_minQ</f>
        <v>1857.7807499257133</v>
      </c>
      <c r="AH4403" s="45"/>
      <c r="AI4403" s="74"/>
      <c r="AJ4403" s="53">
        <f>P_2_minQ+(AJ4400^2*R_dn)-dpdn_minQ</f>
        <v>3289.2683583791031</v>
      </c>
      <c r="AK4403" s="45"/>
      <c r="AL4403" s="74"/>
      <c r="AM4403" s="53">
        <f>P_2_minQ+(AM4400^2*R_dn)-dpdn_minQ</f>
        <v>4885.2185675241271</v>
      </c>
      <c r="AN4403" s="45"/>
      <c r="AO4403" s="74"/>
      <c r="AP4403" s="53">
        <f>P_2_minQ+(AP4400^2*R_dn)-dpdn_minQ</f>
        <v>6575.9597162280224</v>
      </c>
      <c r="AQ4403" s="45"/>
      <c r="AR4403" s="74"/>
      <c r="AS4403" s="53">
        <f>P_2_minQ+(AS4400^2*R_dn)-dpdn_minQ</f>
        <v>8510.2732819645717</v>
      </c>
      <c r="AT4403" s="45"/>
      <c r="AU4403" s="74"/>
    </row>
    <row r="4404" spans="15:47" x14ac:dyDescent="0.25">
      <c r="O4404" s="6" t="s">
        <v>243</v>
      </c>
      <c r="Q4404" s="60"/>
      <c r="R4404" s="53">
        <f>R4402-R4403</f>
        <v>-142.50753169883484</v>
      </c>
      <c r="S4404" s="56"/>
      <c r="T4404" s="72"/>
      <c r="U4404" s="64">
        <f>U4402-U4403</f>
        <v>-55.069013509158196</v>
      </c>
      <c r="V4404" s="44"/>
      <c r="W4404" s="72"/>
      <c r="X4404" s="64">
        <f>X4402-X4403</f>
        <v>-470.91349730032084</v>
      </c>
      <c r="Y4404" s="44"/>
      <c r="Z4404" s="72"/>
      <c r="AA4404" s="64">
        <f>AA4402-AA4403</f>
        <v>-1802.1480880180566</v>
      </c>
      <c r="AB4404" s="44"/>
      <c r="AC4404" s="72"/>
      <c r="AD4404" s="64">
        <f>AD4402-AD4403</f>
        <v>-4929.4712943675922</v>
      </c>
      <c r="AE4404" s="44"/>
      <c r="AF4404" s="72"/>
      <c r="AG4404" s="64">
        <f>AG4402-AG4403</f>
        <v>-10966.484499554281</v>
      </c>
      <c r="AH4404" s="44"/>
      <c r="AI4404" s="72"/>
      <c r="AJ4404" s="64">
        <f>AJ4402-AJ4403</f>
        <v>-19555.41015027462</v>
      </c>
      <c r="AK4404" s="44"/>
      <c r="AL4404" s="72"/>
      <c r="AM4404" s="64">
        <f>AM4402-AM4403</f>
        <v>-29131.111405144766</v>
      </c>
      <c r="AN4404" s="44"/>
      <c r="AO4404" s="72"/>
      <c r="AP4404" s="64">
        <f>AP4402-AP4403</f>
        <v>-39275.558297368138</v>
      </c>
      <c r="AQ4404" s="44"/>
      <c r="AR4404" s="72"/>
      <c r="AS4404" s="64">
        <f>AS4402-AS4403</f>
        <v>-50881.439691787426</v>
      </c>
      <c r="AT4404" s="44"/>
      <c r="AU4404" s="72"/>
    </row>
    <row r="4405" spans="15:47" ht="13" x14ac:dyDescent="0.3">
      <c r="O4405" s="6" t="s">
        <v>75</v>
      </c>
      <c r="P4405" s="6">
        <v>3</v>
      </c>
      <c r="Q4405" s="65"/>
      <c r="R4405" s="85">
        <f>(F_LP_h/F_P_h)^2*(R4402-('Valve Sizing'!$V$4*'Valve Sizing'!$G$7))</f>
        <v>-73.831644782537253</v>
      </c>
      <c r="S4405" s="58"/>
      <c r="T4405" s="73"/>
      <c r="U4405" s="53">
        <f>(U$29/U$27)^2*(U4402-('Valve Sizing'!$V$4*'Valve Sizing'!$G$7))</f>
        <v>-13.491564284003161</v>
      </c>
      <c r="V4405" s="41"/>
      <c r="W4405" s="73"/>
      <c r="X4405" s="53">
        <f>(X$29/X$27)^2*(X4402-('Valve Sizing'!$V$4*'Valve Sizing'!$G$7))</f>
        <v>-293.58894141170816</v>
      </c>
      <c r="Y4405" s="41"/>
      <c r="Z4405" s="73"/>
      <c r="AA4405" s="53">
        <f>(AA$29/AA$27)^2*(AA4402-('Valve Sizing'!$V$4*'Valve Sizing'!$G$7))</f>
        <v>-1137.7095945354863</v>
      </c>
      <c r="AB4405" s="41"/>
      <c r="AC4405" s="73"/>
      <c r="AD4405" s="53">
        <f>(AD$29/AD$27)^2*(AD4402-('Valve Sizing'!$V$4*'Valve Sizing'!$G$7))</f>
        <v>-2941.2182201970736</v>
      </c>
      <c r="AE4405" s="41"/>
      <c r="AF4405" s="73"/>
      <c r="AG4405" s="53">
        <f>(AG$29/AG$27)^2*(AG4402-('Valve Sizing'!$V$4*'Valve Sizing'!$G$7))</f>
        <v>-5866.6889695469699</v>
      </c>
      <c r="AH4405" s="41"/>
      <c r="AI4405" s="73"/>
      <c r="AJ4405" s="53">
        <f>(AJ$29/AJ$27)^2*(AJ4402-('Valve Sizing'!$V$4*'Valve Sizing'!$G$7))</f>
        <v>-9408.0107994529008</v>
      </c>
      <c r="AK4405" s="41"/>
      <c r="AL4405" s="73"/>
      <c r="AM4405" s="53">
        <f>(AM$29/AM$27)^2*(AM4402-('Valve Sizing'!$V$4*'Valve Sizing'!$G$7))</f>
        <v>-11601.195013162072</v>
      </c>
      <c r="AN4405" s="41"/>
      <c r="AO4405" s="73"/>
      <c r="AP4405" s="53">
        <f>(AP$29/AP$27)^2*(AP4402-('Valve Sizing'!$V$4*'Valve Sizing'!$G$7))</f>
        <v>-12904.312502530303</v>
      </c>
      <c r="AQ4405" s="41"/>
      <c r="AR4405" s="73"/>
      <c r="AS4405" s="53">
        <f>(AS$29/AS$27)^2*(AS4402-('Valve Sizing'!$V$4*'Valve Sizing'!$G$7))</f>
        <v>-15937.689704136905</v>
      </c>
      <c r="AT4405" s="41"/>
      <c r="AU4405" s="73"/>
    </row>
    <row r="4406" spans="15:47" ht="13" x14ac:dyDescent="0.25">
      <c r="O4406" s="1" t="s">
        <v>69</v>
      </c>
      <c r="P4406" s="17">
        <v>7</v>
      </c>
      <c r="Q4406" s="65"/>
      <c r="R4406" s="53" t="e">
        <f>(R4400/(N_1*F_P_h))*SQRT('Valve Sizing'!$G$6/R4404)</f>
        <v>#NUM!</v>
      </c>
      <c r="S4406" s="58"/>
      <c r="T4406" s="73"/>
      <c r="U4406" s="64" t="e">
        <f>(U4400/(N_1*U$27))*SQRT('Valve Sizing'!$G$6/U4404)</f>
        <v>#NUM!</v>
      </c>
      <c r="V4406" s="41"/>
      <c r="W4406" s="73"/>
      <c r="X4406" s="64" t="e">
        <f>(X4400/(N_1*X$27))*SQRT('Valve Sizing'!$G$6/X4404)</f>
        <v>#NUM!</v>
      </c>
      <c r="Y4406" s="41"/>
      <c r="Z4406" s="73"/>
      <c r="AA4406" s="64" t="e">
        <f>(AA4400/(N_1*AA$27))*SQRT('Valve Sizing'!$G$6/AA4404)</f>
        <v>#NUM!</v>
      </c>
      <c r="AB4406" s="41"/>
      <c r="AC4406" s="73"/>
      <c r="AD4406" s="64" t="e">
        <f>(AD4400/(N_1*AD$27))*SQRT('Valve Sizing'!$G$6/AD4404)</f>
        <v>#NUM!</v>
      </c>
      <c r="AE4406" s="41"/>
      <c r="AF4406" s="73"/>
      <c r="AG4406" s="64" t="e">
        <f>(AG4400/(N_1*AG$27))*SQRT('Valve Sizing'!$G$6/AG4404)</f>
        <v>#NUM!</v>
      </c>
      <c r="AH4406" s="41"/>
      <c r="AI4406" s="73"/>
      <c r="AJ4406" s="64" t="e">
        <f>(AJ4400/(N_1*AJ$27))*SQRT('Valve Sizing'!$G$6/AJ4404)</f>
        <v>#NUM!</v>
      </c>
      <c r="AK4406" s="41"/>
      <c r="AL4406" s="73"/>
      <c r="AM4406" s="64" t="e">
        <f>(AM4400/(N_1*AM$27))*SQRT('Valve Sizing'!$G$6/AM4404)</f>
        <v>#NUM!</v>
      </c>
      <c r="AN4406" s="41"/>
      <c r="AO4406" s="73"/>
      <c r="AP4406" s="64" t="e">
        <f>(AP4400/(N_1*AP$27))*SQRT('Valve Sizing'!$G$6/AP4404)</f>
        <v>#NUM!</v>
      </c>
      <c r="AQ4406" s="41"/>
      <c r="AR4406" s="73"/>
      <c r="AS4406" s="64" t="e">
        <f>(AS4400/(N_1*AS$27))*SQRT('Valve Sizing'!$G$6/AS4404)</f>
        <v>#NUM!</v>
      </c>
      <c r="AT4406" s="41"/>
      <c r="AU4406" s="73"/>
    </row>
    <row r="4407" spans="15:47" ht="13" x14ac:dyDescent="0.3">
      <c r="O4407" s="1" t="s">
        <v>72</v>
      </c>
      <c r="P4407" s="17">
        <v>7</v>
      </c>
      <c r="Q4407" s="65"/>
      <c r="R4407" s="53" t="e">
        <f>(R4400/(N_1*F_P_h))*SQRT('Valve Sizing'!$G$6/R4405)</f>
        <v>#NUM!</v>
      </c>
      <c r="S4407" s="56"/>
      <c r="T4407" s="72"/>
      <c r="U4407" s="85" t="e">
        <f>(U4400/(N_1*U$27))*SQRT('Valve Sizing'!$G$6/U4405)</f>
        <v>#NUM!</v>
      </c>
      <c r="V4407" s="44"/>
      <c r="W4407" s="72"/>
      <c r="X4407" s="85" t="e">
        <f>(X4400/(N_1*X$27))*SQRT('Valve Sizing'!$G$6/X4405)</f>
        <v>#NUM!</v>
      </c>
      <c r="Y4407" s="44"/>
      <c r="Z4407" s="72"/>
      <c r="AA4407" s="85" t="e">
        <f>(AA4400/(N_1*AA$27))*SQRT('Valve Sizing'!$G$6/AA4405)</f>
        <v>#NUM!</v>
      </c>
      <c r="AB4407" s="44"/>
      <c r="AC4407" s="72"/>
      <c r="AD4407" s="85" t="e">
        <f>(AD4400/(N_1*AD$27))*SQRT('Valve Sizing'!$G$6/AD4405)</f>
        <v>#NUM!</v>
      </c>
      <c r="AE4407" s="44"/>
      <c r="AF4407" s="72"/>
      <c r="AG4407" s="85" t="e">
        <f>(AG4400/(N_1*AG$27))*SQRT('Valve Sizing'!$G$6/AG4405)</f>
        <v>#NUM!</v>
      </c>
      <c r="AH4407" s="44"/>
      <c r="AI4407" s="72"/>
      <c r="AJ4407" s="85" t="e">
        <f>(AJ4400/(N_1*AJ$27))*SQRT('Valve Sizing'!$G$6/AJ4405)</f>
        <v>#NUM!</v>
      </c>
      <c r="AK4407" s="44"/>
      <c r="AL4407" s="72"/>
      <c r="AM4407" s="85" t="e">
        <f>(AM4400/(N_1*AM$27))*SQRT('Valve Sizing'!$G$6/AM4405)</f>
        <v>#NUM!</v>
      </c>
      <c r="AN4407" s="44"/>
      <c r="AO4407" s="72"/>
      <c r="AP4407" s="85" t="e">
        <f>(AP4400/(N_1*AP$27))*SQRT('Valve Sizing'!$G$6/AP4405)</f>
        <v>#NUM!</v>
      </c>
      <c r="AQ4407" s="44"/>
      <c r="AR4407" s="72"/>
      <c r="AS4407" s="85" t="e">
        <f>(AS4400/(N_1*AS$27))*SQRT('Valve Sizing'!$G$6/AS4405)</f>
        <v>#NUM!</v>
      </c>
      <c r="AT4407" s="44"/>
      <c r="AU4407" s="72"/>
    </row>
    <row r="4408" spans="15:47" x14ac:dyDescent="0.25">
      <c r="O4408" s="1" t="s">
        <v>246</v>
      </c>
      <c r="P4408" s="18"/>
      <c r="Q4408" s="65"/>
      <c r="R4408" s="53" t="e">
        <f>IF(R4404&lt;R4405,R4406,R4407)</f>
        <v>#NUM!</v>
      </c>
      <c r="S4408" s="49"/>
      <c r="T4408" s="72"/>
      <c r="U4408" s="64" t="e">
        <f>IF(U4404&lt;U4405,U4406,U4407)</f>
        <v>#NUM!</v>
      </c>
      <c r="V4408" s="44"/>
      <c r="W4408" s="72"/>
      <c r="X4408" s="64" t="e">
        <f>IF(X4404&lt;X4405,X4406,X4407)</f>
        <v>#NUM!</v>
      </c>
      <c r="Y4408" s="44"/>
      <c r="Z4408" s="72"/>
      <c r="AA4408" s="64" t="e">
        <f>IF(AA4404&lt;AA4405,AA4406,AA4407)</f>
        <v>#NUM!</v>
      </c>
      <c r="AB4408" s="44"/>
      <c r="AC4408" s="72"/>
      <c r="AD4408" s="64" t="e">
        <f>IF(AD4404&lt;AD4405,AD4406,AD4407)</f>
        <v>#NUM!</v>
      </c>
      <c r="AE4408" s="44"/>
      <c r="AF4408" s="72"/>
      <c r="AG4408" s="64" t="e">
        <f>IF(AG4404&lt;AG4405,AG4406,AG4407)</f>
        <v>#NUM!</v>
      </c>
      <c r="AH4408" s="44"/>
      <c r="AI4408" s="72"/>
      <c r="AJ4408" s="64" t="e">
        <f>IF(AJ4404&lt;AJ4405,AJ4406,AJ4407)</f>
        <v>#NUM!</v>
      </c>
      <c r="AK4408" s="44"/>
      <c r="AL4408" s="72"/>
      <c r="AM4408" s="64" t="e">
        <f>IF(AM4404&lt;AM4405,AM4406,AM4407)</f>
        <v>#NUM!</v>
      </c>
      <c r="AN4408" s="44"/>
      <c r="AO4408" s="72"/>
      <c r="AP4408" s="64" t="e">
        <f>IF(AP4404&lt;AP4405,AP4406,AP4407)</f>
        <v>#NUM!</v>
      </c>
      <c r="AQ4408" s="44"/>
      <c r="AR4408" s="72"/>
      <c r="AS4408" s="64" t="e">
        <f>IF(AS4404&lt;AS4405,AS4406,AS4407)</f>
        <v>#NUM!</v>
      </c>
      <c r="AT4408" s="44"/>
      <c r="AU4408" s="72"/>
    </row>
    <row r="4409" spans="15:47" ht="13" x14ac:dyDescent="0.3">
      <c r="O4409" s="7" t="s">
        <v>264</v>
      </c>
      <c r="Q4409" s="61"/>
      <c r="R4409" s="53"/>
      <c r="S4409" s="69">
        <f>IFERROR(ABS(C_h-R4408),Q_max*10)</f>
        <v>5500</v>
      </c>
      <c r="T4409" s="76">
        <f>R4400</f>
        <v>2076.6254704854096</v>
      </c>
      <c r="U4409" s="61"/>
      <c r="V4409" s="69">
        <f>IFERROR(ABS(U$23-U4408),Q_max*10)</f>
        <v>5500</v>
      </c>
      <c r="W4409" s="75">
        <f>U4400</f>
        <v>1467.9332097675556</v>
      </c>
      <c r="X4409" s="61"/>
      <c r="Y4409" s="69">
        <f>IFERROR(ABS(X$23-X4408),Q_max*10)</f>
        <v>5500</v>
      </c>
      <c r="Z4409" s="75">
        <f>X4400</f>
        <v>3523.6047658449743</v>
      </c>
      <c r="AA4409" s="61"/>
      <c r="AB4409" s="69">
        <f>IFERROR(ABS(AA$23-AA4408),Q_max*10)</f>
        <v>5500</v>
      </c>
      <c r="AC4409" s="75">
        <f>AA4400</f>
        <v>6727.8528574758193</v>
      </c>
      <c r="AD4409" s="61"/>
      <c r="AE4409" s="69">
        <f>IFERROR(ABS(AD$23-AD4408),Q_max*10)</f>
        <v>5500</v>
      </c>
      <c r="AF4409" s="75">
        <f>AD4400</f>
        <v>11064.840902088034</v>
      </c>
      <c r="AG4409" s="61"/>
      <c r="AH4409" s="69">
        <f>IFERROR(ABS(AG$23-AG4408),Q_max*10)</f>
        <v>5500</v>
      </c>
      <c r="AI4409" s="75">
        <f>AG4400</f>
        <v>16474.040337042454</v>
      </c>
      <c r="AJ4409" s="61"/>
      <c r="AK4409" s="69">
        <f>IFERROR(ABS(AJ$23-AJ4408),Q_max*10)</f>
        <v>5500</v>
      </c>
      <c r="AL4409" s="75">
        <f>AJ4400</f>
        <v>21984.670692508138</v>
      </c>
      <c r="AM4409" s="61"/>
      <c r="AN4409" s="69">
        <f>IFERROR(ABS(AM$23-AM4408),Q_max*10)</f>
        <v>5500</v>
      </c>
      <c r="AO4409" s="75">
        <f>AM4400</f>
        <v>26825.476210534402</v>
      </c>
      <c r="AP4409" s="61"/>
      <c r="AQ4409" s="69">
        <f>IFERROR(ABS(AP$23-AP4408),Q_max*10)</f>
        <v>5500</v>
      </c>
      <c r="AR4409" s="75">
        <f>AP4400</f>
        <v>31143.545093446872</v>
      </c>
      <c r="AS4409" s="61"/>
      <c r="AT4409" s="69">
        <f>IFERROR(ABS(AS$23-AS4408),Q_max*10)</f>
        <v>5500</v>
      </c>
      <c r="AU4409" s="75">
        <f>AS4400</f>
        <v>35444.259399723036</v>
      </c>
    </row>
    <row r="4410" spans="15:47" ht="14.5" x14ac:dyDescent="0.35">
      <c r="O4410" s="8"/>
      <c r="P4410" s="6"/>
      <c r="Q4410" s="60"/>
      <c r="R4410" s="67"/>
      <c r="S4410" s="56"/>
      <c r="T4410" s="72"/>
      <c r="V4410" s="11"/>
      <c r="W4410" s="38"/>
      <c r="Y4410" s="11"/>
      <c r="Z4410" s="38"/>
      <c r="AB4410" s="11"/>
      <c r="AC4410" s="38"/>
      <c r="AE4410" s="11"/>
      <c r="AF4410" s="38"/>
      <c r="AH4410" s="11"/>
      <c r="AI4410" s="38"/>
      <c r="AK4410" s="11"/>
      <c r="AL4410" s="38"/>
      <c r="AN4410" s="11"/>
      <c r="AO4410" s="38"/>
      <c r="AQ4410" s="11"/>
      <c r="AR4410" s="38"/>
      <c r="AT4410" s="11"/>
      <c r="AU4410" s="38"/>
    </row>
    <row r="4411" spans="15:47" ht="14" x14ac:dyDescent="0.3">
      <c r="O4411" s="8" t="s">
        <v>235</v>
      </c>
      <c r="P4411" s="6"/>
      <c r="Q4411" s="60"/>
      <c r="R4411" s="53">
        <f>R4400*1.02</f>
        <v>2118.1579798951179</v>
      </c>
      <c r="S4411" s="58" t="s">
        <v>238</v>
      </c>
      <c r="T4411" s="73" t="s">
        <v>241</v>
      </c>
      <c r="U4411" s="84">
        <f>U4400*1.01</f>
        <v>1482.6125418652312</v>
      </c>
      <c r="V4411" s="58" t="s">
        <v>238</v>
      </c>
      <c r="W4411" s="73" t="s">
        <v>241</v>
      </c>
      <c r="X4411" s="84">
        <f>X4400*1.01</f>
        <v>3558.8408135034242</v>
      </c>
      <c r="Y4411" s="58" t="s">
        <v>238</v>
      </c>
      <c r="Z4411" s="73" t="s">
        <v>241</v>
      </c>
      <c r="AA4411" s="84">
        <f>AA4400*1.01</f>
        <v>6795.1313860505779</v>
      </c>
      <c r="AB4411" s="58" t="s">
        <v>238</v>
      </c>
      <c r="AC4411" s="73" t="s">
        <v>241</v>
      </c>
      <c r="AD4411" s="84">
        <f>AD4400*1.01</f>
        <v>11175.489311108913</v>
      </c>
      <c r="AE4411" s="58" t="s">
        <v>238</v>
      </c>
      <c r="AF4411" s="73" t="s">
        <v>241</v>
      </c>
      <c r="AG4411" s="84">
        <f>AG4400*1.01</f>
        <v>16638.78074041288</v>
      </c>
      <c r="AH4411" s="58" t="s">
        <v>238</v>
      </c>
      <c r="AI4411" s="73" t="s">
        <v>241</v>
      </c>
      <c r="AJ4411" s="84">
        <f>AJ4400*1.01</f>
        <v>22204.517399433218</v>
      </c>
      <c r="AK4411" s="58" t="s">
        <v>238</v>
      </c>
      <c r="AL4411" s="73" t="s">
        <v>241</v>
      </c>
      <c r="AM4411" s="84">
        <f>AM4400*1.01</f>
        <v>27093.730972639747</v>
      </c>
      <c r="AN4411" s="58" t="s">
        <v>238</v>
      </c>
      <c r="AO4411" s="73" t="s">
        <v>241</v>
      </c>
      <c r="AP4411" s="84">
        <f>AP4400*1.01</f>
        <v>31454.980544381342</v>
      </c>
      <c r="AQ4411" s="58" t="s">
        <v>238</v>
      </c>
      <c r="AR4411" s="73" t="s">
        <v>241</v>
      </c>
      <c r="AS4411" s="84">
        <f>AS4400*1.01</f>
        <v>35798.701993720264</v>
      </c>
      <c r="AT4411" s="58" t="s">
        <v>238</v>
      </c>
      <c r="AU4411" s="73" t="s">
        <v>241</v>
      </c>
    </row>
    <row r="4412" spans="15:47" ht="13" x14ac:dyDescent="0.25">
      <c r="O4412" s="6"/>
      <c r="P4412" s="6"/>
      <c r="Q4412" s="60"/>
      <c r="R4412" s="70"/>
      <c r="S4412" s="63" t="s">
        <v>250</v>
      </c>
      <c r="T4412" s="71" t="s">
        <v>242</v>
      </c>
      <c r="U4412" s="61"/>
      <c r="V4412" s="63" t="s">
        <v>250</v>
      </c>
      <c r="W4412" s="71" t="s">
        <v>242</v>
      </c>
      <c r="X4412" s="61"/>
      <c r="Y4412" s="63" t="s">
        <v>250</v>
      </c>
      <c r="Z4412" s="71" t="s">
        <v>242</v>
      </c>
      <c r="AA4412" s="61"/>
      <c r="AB4412" s="63" t="s">
        <v>250</v>
      </c>
      <c r="AC4412" s="71" t="s">
        <v>242</v>
      </c>
      <c r="AD4412" s="61"/>
      <c r="AE4412" s="63" t="s">
        <v>250</v>
      </c>
      <c r="AF4412" s="71" t="s">
        <v>242</v>
      </c>
      <c r="AG4412" s="61"/>
      <c r="AH4412" s="63" t="s">
        <v>250</v>
      </c>
      <c r="AI4412" s="71" t="s">
        <v>242</v>
      </c>
      <c r="AJ4412" s="61"/>
      <c r="AK4412" s="63" t="s">
        <v>250</v>
      </c>
      <c r="AL4412" s="71" t="s">
        <v>242</v>
      </c>
      <c r="AM4412" s="61"/>
      <c r="AN4412" s="63" t="s">
        <v>250</v>
      </c>
      <c r="AO4412" s="71" t="s">
        <v>242</v>
      </c>
      <c r="AP4412" s="61"/>
      <c r="AQ4412" s="63" t="s">
        <v>250</v>
      </c>
      <c r="AR4412" s="71" t="s">
        <v>242</v>
      </c>
      <c r="AS4412" s="61"/>
      <c r="AT4412" s="63" t="s">
        <v>250</v>
      </c>
      <c r="AU4412" s="71" t="s">
        <v>242</v>
      </c>
    </row>
    <row r="4413" spans="15:47" ht="13" x14ac:dyDescent="0.3">
      <c r="O4413" s="6" t="s">
        <v>231</v>
      </c>
      <c r="P4413" s="6"/>
      <c r="Q4413" s="60"/>
      <c r="R4413" s="85">
        <f>P_1_minQ-(R4411^2*R_up)+dpup_minQ</f>
        <v>-94.606762167962415</v>
      </c>
      <c r="S4413" s="56"/>
      <c r="T4413" s="72"/>
      <c r="U4413" s="53">
        <f>P_1_minQ-(U4411^2*R_up)+dpup_minQ</f>
        <v>-17.320261712127053</v>
      </c>
      <c r="V4413" s="44"/>
      <c r="W4413" s="72"/>
      <c r="X4413" s="53">
        <f>P_1_minQ-(X4411^2*R_up)+dpup_minQ</f>
        <v>-370.82272664159797</v>
      </c>
      <c r="Y4413" s="44"/>
      <c r="Z4413" s="72"/>
      <c r="AA4413" s="53">
        <f>P_1_minQ-(AA4411^2*R_up)+dpup_minQ</f>
        <v>-1502.4830649675669</v>
      </c>
      <c r="AB4413" s="44"/>
      <c r="AC4413" s="72"/>
      <c r="AD4413" s="53">
        <f>P_1_minQ-(AD4411^2*R_up)+dpup_minQ</f>
        <v>-4160.9684006318676</v>
      </c>
      <c r="AE4413" s="44"/>
      <c r="AF4413" s="72"/>
      <c r="AG4413" s="53">
        <f>P_1_minQ-(AG4411^2*R_up)+dpup_minQ</f>
        <v>-9292.9327094743203</v>
      </c>
      <c r="AH4413" s="44"/>
      <c r="AI4413" s="72"/>
      <c r="AJ4413" s="53">
        <f>P_1_minQ-(AJ4411^2*R_up)+dpup_minQ</f>
        <v>-16594.235256390832</v>
      </c>
      <c r="AK4413" s="44"/>
      <c r="AL4413" s="72"/>
      <c r="AM4413" s="53">
        <f>P_1_minQ-(AM4411^2*R_up)+dpup_minQ</f>
        <v>-24734.379298135034</v>
      </c>
      <c r="AN4413" s="44"/>
      <c r="AO4413" s="72"/>
      <c r="AP4413" s="53">
        <f>P_1_minQ-(AP4411^2*R_up)+dpup_minQ</f>
        <v>-33358.004527099249</v>
      </c>
      <c r="AQ4413" s="44"/>
      <c r="AR4413" s="72"/>
      <c r="AS4413" s="53">
        <f>P_1_minQ-(AS4411^2*R_up)+dpup_minQ</f>
        <v>-43223.970869138509</v>
      </c>
      <c r="AT4413" s="44"/>
      <c r="AU4413" s="72"/>
    </row>
    <row r="4414" spans="15:47" ht="13" x14ac:dyDescent="0.3">
      <c r="O4414" s="6" t="s">
        <v>233</v>
      </c>
      <c r="P4414" s="6"/>
      <c r="Q4414" s="60"/>
      <c r="R4414" s="85">
        <f>P_2_minQ+(R4411^2*R_dn)-dpdn_minQ</f>
        <v>54.961352433592481</v>
      </c>
      <c r="S4414" s="66"/>
      <c r="T4414" s="74"/>
      <c r="U4414" s="53">
        <f>P_2_minQ+(U4411^2*R_dn)-dpdn_minQ</f>
        <v>39.50405234242541</v>
      </c>
      <c r="V4414" s="45"/>
      <c r="W4414" s="74"/>
      <c r="X4414" s="53">
        <f>P_2_minQ+(X4411^2*R_dn)-dpdn_minQ</f>
        <v>110.2045453283196</v>
      </c>
      <c r="Y4414" s="45"/>
      <c r="Z4414" s="74"/>
      <c r="AA4414" s="53">
        <f>P_2_minQ+(AA4411^2*R_dn)-dpdn_minQ</f>
        <v>336.5366129935133</v>
      </c>
      <c r="AB4414" s="45"/>
      <c r="AC4414" s="74"/>
      <c r="AD4414" s="53">
        <f>P_2_minQ+(AD4411^2*R_dn)-dpdn_minQ</f>
        <v>868.23368012637332</v>
      </c>
      <c r="AE4414" s="45"/>
      <c r="AF4414" s="74"/>
      <c r="AG4414" s="53">
        <f>P_2_minQ+(AG4411^2*R_dn)-dpdn_minQ</f>
        <v>1894.626541894864</v>
      </c>
      <c r="AH4414" s="45"/>
      <c r="AI4414" s="74"/>
      <c r="AJ4414" s="53">
        <f>P_2_minQ+(AJ4411^2*R_dn)-dpdn_minQ</f>
        <v>3354.8870512781659</v>
      </c>
      <c r="AK4414" s="45"/>
      <c r="AL4414" s="74"/>
      <c r="AM4414" s="53">
        <f>P_2_minQ+(AM4411^2*R_dn)-dpdn_minQ</f>
        <v>4982.9158596270063</v>
      </c>
      <c r="AN4414" s="45"/>
      <c r="AO4414" s="74"/>
      <c r="AP4414" s="53">
        <f>P_2_minQ+(AP4411^2*R_dn)-dpdn_minQ</f>
        <v>6707.6409054198493</v>
      </c>
      <c r="AQ4414" s="45"/>
      <c r="AR4414" s="74"/>
      <c r="AS4414" s="53">
        <f>P_2_minQ+(AS4411^2*R_dn)-dpdn_minQ</f>
        <v>8680.8341738277013</v>
      </c>
      <c r="AT4414" s="45"/>
      <c r="AU4414" s="74"/>
    </row>
    <row r="4415" spans="15:47" x14ac:dyDescent="0.25">
      <c r="O4415" s="6" t="s">
        <v>243</v>
      </c>
      <c r="Q4415" s="60"/>
      <c r="R4415" s="53">
        <f>R4413-R4414</f>
        <v>-149.5681146015549</v>
      </c>
      <c r="S4415" s="56"/>
      <c r="T4415" s="72"/>
      <c r="U4415" s="64">
        <f>U4413-U4414</f>
        <v>-56.82431405455246</v>
      </c>
      <c r="V4415" s="44"/>
      <c r="W4415" s="72"/>
      <c r="X4415" s="64">
        <f>X4413-X4414</f>
        <v>-481.02727196991759</v>
      </c>
      <c r="Y4415" s="44"/>
      <c r="Z4415" s="72"/>
      <c r="AA4415" s="64">
        <f>AA4413-AA4414</f>
        <v>-1839.0196779610801</v>
      </c>
      <c r="AB4415" s="44"/>
      <c r="AC4415" s="72"/>
      <c r="AD4415" s="64">
        <f>AD4413-AD4414</f>
        <v>-5029.2020807582412</v>
      </c>
      <c r="AE4415" s="44"/>
      <c r="AF4415" s="72"/>
      <c r="AG4415" s="64">
        <f>AG4413-AG4414</f>
        <v>-11187.559251369184</v>
      </c>
      <c r="AH4415" s="44"/>
      <c r="AI4415" s="72"/>
      <c r="AJ4415" s="64">
        <f>AJ4413-AJ4414</f>
        <v>-19949.122307668997</v>
      </c>
      <c r="AK4415" s="44"/>
      <c r="AL4415" s="72"/>
      <c r="AM4415" s="64">
        <f>AM4413-AM4414</f>
        <v>-29717.295157762041</v>
      </c>
      <c r="AN4415" s="44"/>
      <c r="AO4415" s="72"/>
      <c r="AP4415" s="64">
        <f>AP4413-AP4414</f>
        <v>-40065.645432519101</v>
      </c>
      <c r="AQ4415" s="44"/>
      <c r="AR4415" s="72"/>
      <c r="AS4415" s="64">
        <f>AS4413-AS4414</f>
        <v>-51904.805042966211</v>
      </c>
      <c r="AT4415" s="44"/>
      <c r="AU4415" s="72"/>
    </row>
    <row r="4416" spans="15:47" ht="13" x14ac:dyDescent="0.3">
      <c r="O4416" s="6" t="s">
        <v>75</v>
      </c>
      <c r="P4416" s="6">
        <v>3</v>
      </c>
      <c r="Q4416" s="65"/>
      <c r="R4416" s="85">
        <f>(F_LP_h/F_P_h)^2*(R4413-('Valve Sizing'!$V$4*'Valve Sizing'!$G$7))</f>
        <v>-78.703755826717156</v>
      </c>
      <c r="S4416" s="58"/>
      <c r="T4416" s="73"/>
      <c r="U4416" s="53">
        <f>(U$29/U$27)^2*(U4413-('Valve Sizing'!$V$4*'Valve Sizing'!$G$7))</f>
        <v>-14.702468307613525</v>
      </c>
      <c r="V4416" s="41"/>
      <c r="W4416" s="73"/>
      <c r="X4416" s="53">
        <f>(X$29/X$27)^2*(X4413-('Valve Sizing'!$V$4*'Valve Sizing'!$G$7))</f>
        <v>-300.40860543536184</v>
      </c>
      <c r="Y4416" s="41"/>
      <c r="Z4416" s="73"/>
      <c r="AA4416" s="53">
        <f>(AA$29/AA$27)^2*(AA4413-('Valve Sizing'!$V$4*'Valve Sizing'!$G$7))</f>
        <v>-1161.4548130811932</v>
      </c>
      <c r="AB4416" s="41"/>
      <c r="AC4416" s="73"/>
      <c r="AD4416" s="53">
        <f>(AD$29/AD$27)^2*(AD4413-('Valve Sizing'!$V$4*'Valve Sizing'!$G$7))</f>
        <v>-3001.1553762409603</v>
      </c>
      <c r="AE4416" s="41"/>
      <c r="AF4416" s="73"/>
      <c r="AG4416" s="53">
        <f>(AG$29/AG$27)^2*(AG4413-('Valve Sizing'!$V$4*'Valve Sizing'!$G$7))</f>
        <v>-5985.3405167683823</v>
      </c>
      <c r="AH4416" s="41"/>
      <c r="AI4416" s="73"/>
      <c r="AJ4416" s="53">
        <f>(AJ$29/AJ$27)^2*(AJ4413-('Valve Sizing'!$V$4*'Valve Sizing'!$G$7))</f>
        <v>-9597.7683579706081</v>
      </c>
      <c r="AK4416" s="41"/>
      <c r="AL4416" s="73"/>
      <c r="AM4416" s="53">
        <f>(AM$29/AM$27)^2*(AM4413-('Valve Sizing'!$V$4*'Valve Sizing'!$G$7))</f>
        <v>-11834.922179830553</v>
      </c>
      <c r="AN4416" s="41"/>
      <c r="AO4416" s="73"/>
      <c r="AP4416" s="53">
        <f>(AP$29/AP$27)^2*(AP4413-('Valve Sizing'!$V$4*'Valve Sizing'!$G$7))</f>
        <v>-13164.137152098061</v>
      </c>
      <c r="AQ4416" s="41"/>
      <c r="AR4416" s="73"/>
      <c r="AS4416" s="53">
        <f>(AS$29/AS$27)^2*(AS4413-('Valve Sizing'!$V$4*'Valve Sizing'!$G$7))</f>
        <v>-16258.464250679172</v>
      </c>
      <c r="AT4416" s="41"/>
      <c r="AU4416" s="73"/>
    </row>
    <row r="4417" spans="15:47" ht="13" x14ac:dyDescent="0.25">
      <c r="O4417" s="1" t="s">
        <v>69</v>
      </c>
      <c r="P4417" s="17">
        <v>7</v>
      </c>
      <c r="Q4417" s="65"/>
      <c r="R4417" s="53" t="e">
        <f>(R4411/(N_1*F_P_h))*SQRT('Valve Sizing'!$G$6/R4415)</f>
        <v>#NUM!</v>
      </c>
      <c r="S4417" s="58"/>
      <c r="T4417" s="73"/>
      <c r="U4417" s="64" t="e">
        <f>(U4411/(N_1*U$27))*SQRT('Valve Sizing'!$G$6/U4415)</f>
        <v>#NUM!</v>
      </c>
      <c r="V4417" s="41"/>
      <c r="W4417" s="73"/>
      <c r="X4417" s="64" t="e">
        <f>(X4411/(N_1*X$27))*SQRT('Valve Sizing'!$G$6/X4415)</f>
        <v>#NUM!</v>
      </c>
      <c r="Y4417" s="41"/>
      <c r="Z4417" s="73"/>
      <c r="AA4417" s="64" t="e">
        <f>(AA4411/(N_1*AA$27))*SQRT('Valve Sizing'!$G$6/AA4415)</f>
        <v>#NUM!</v>
      </c>
      <c r="AB4417" s="41"/>
      <c r="AC4417" s="73"/>
      <c r="AD4417" s="64" t="e">
        <f>(AD4411/(N_1*AD$27))*SQRT('Valve Sizing'!$G$6/AD4415)</f>
        <v>#NUM!</v>
      </c>
      <c r="AE4417" s="41"/>
      <c r="AF4417" s="73"/>
      <c r="AG4417" s="64" t="e">
        <f>(AG4411/(N_1*AG$27))*SQRT('Valve Sizing'!$G$6/AG4415)</f>
        <v>#NUM!</v>
      </c>
      <c r="AH4417" s="41"/>
      <c r="AI4417" s="73"/>
      <c r="AJ4417" s="64" t="e">
        <f>(AJ4411/(N_1*AJ$27))*SQRT('Valve Sizing'!$G$6/AJ4415)</f>
        <v>#NUM!</v>
      </c>
      <c r="AK4417" s="41"/>
      <c r="AL4417" s="73"/>
      <c r="AM4417" s="64" t="e">
        <f>(AM4411/(N_1*AM$27))*SQRT('Valve Sizing'!$G$6/AM4415)</f>
        <v>#NUM!</v>
      </c>
      <c r="AN4417" s="41"/>
      <c r="AO4417" s="73"/>
      <c r="AP4417" s="64" t="e">
        <f>(AP4411/(N_1*AP$27))*SQRT('Valve Sizing'!$G$6/AP4415)</f>
        <v>#NUM!</v>
      </c>
      <c r="AQ4417" s="41"/>
      <c r="AR4417" s="73"/>
      <c r="AS4417" s="64" t="e">
        <f>(AS4411/(N_1*AS$27))*SQRT('Valve Sizing'!$G$6/AS4415)</f>
        <v>#NUM!</v>
      </c>
      <c r="AT4417" s="41"/>
      <c r="AU4417" s="73"/>
    </row>
    <row r="4418" spans="15:47" ht="13" x14ac:dyDescent="0.3">
      <c r="O4418" s="1" t="s">
        <v>72</v>
      </c>
      <c r="P4418" s="17">
        <v>7</v>
      </c>
      <c r="Q4418" s="65"/>
      <c r="R4418" s="53" t="e">
        <f>(R4411/(N_1*F_P_h))*SQRT('Valve Sizing'!$G$6/R4416)</f>
        <v>#NUM!</v>
      </c>
      <c r="S4418" s="56"/>
      <c r="T4418" s="72"/>
      <c r="U4418" s="85" t="e">
        <f>(U4411/(N_1*U$27))*SQRT('Valve Sizing'!$G$6/U4416)</f>
        <v>#NUM!</v>
      </c>
      <c r="V4418" s="44"/>
      <c r="W4418" s="72"/>
      <c r="X4418" s="85" t="e">
        <f>(X4411/(N_1*X$27))*SQRT('Valve Sizing'!$G$6/X4416)</f>
        <v>#NUM!</v>
      </c>
      <c r="Y4418" s="44"/>
      <c r="Z4418" s="72"/>
      <c r="AA4418" s="85" t="e">
        <f>(AA4411/(N_1*AA$27))*SQRT('Valve Sizing'!$G$6/AA4416)</f>
        <v>#NUM!</v>
      </c>
      <c r="AB4418" s="44"/>
      <c r="AC4418" s="72"/>
      <c r="AD4418" s="85" t="e">
        <f>(AD4411/(N_1*AD$27))*SQRT('Valve Sizing'!$G$6/AD4416)</f>
        <v>#NUM!</v>
      </c>
      <c r="AE4418" s="44"/>
      <c r="AF4418" s="72"/>
      <c r="AG4418" s="85" t="e">
        <f>(AG4411/(N_1*AG$27))*SQRT('Valve Sizing'!$G$6/AG4416)</f>
        <v>#NUM!</v>
      </c>
      <c r="AH4418" s="44"/>
      <c r="AI4418" s="72"/>
      <c r="AJ4418" s="85" t="e">
        <f>(AJ4411/(N_1*AJ$27))*SQRT('Valve Sizing'!$G$6/AJ4416)</f>
        <v>#NUM!</v>
      </c>
      <c r="AK4418" s="44"/>
      <c r="AL4418" s="72"/>
      <c r="AM4418" s="85" t="e">
        <f>(AM4411/(N_1*AM$27))*SQRT('Valve Sizing'!$G$6/AM4416)</f>
        <v>#NUM!</v>
      </c>
      <c r="AN4418" s="44"/>
      <c r="AO4418" s="72"/>
      <c r="AP4418" s="85" t="e">
        <f>(AP4411/(N_1*AP$27))*SQRT('Valve Sizing'!$G$6/AP4416)</f>
        <v>#NUM!</v>
      </c>
      <c r="AQ4418" s="44"/>
      <c r="AR4418" s="72"/>
      <c r="AS4418" s="85" t="e">
        <f>(AS4411/(N_1*AS$27))*SQRT('Valve Sizing'!$G$6/AS4416)</f>
        <v>#NUM!</v>
      </c>
      <c r="AT4418" s="44"/>
      <c r="AU4418" s="72"/>
    </row>
    <row r="4419" spans="15:47" x14ac:dyDescent="0.25">
      <c r="O4419" s="1" t="s">
        <v>246</v>
      </c>
      <c r="P4419" s="18"/>
      <c r="Q4419" s="65"/>
      <c r="R4419" s="53" t="e">
        <f>IF(R4415&lt;R4416,R4417,R4418)</f>
        <v>#NUM!</v>
      </c>
      <c r="S4419" s="49"/>
      <c r="T4419" s="72"/>
      <c r="U4419" s="64" t="e">
        <f>IF(U4415&lt;U4416,U4417,U4418)</f>
        <v>#NUM!</v>
      </c>
      <c r="V4419" s="44"/>
      <c r="W4419" s="72"/>
      <c r="X4419" s="64" t="e">
        <f>IF(X4415&lt;X4416,X4417,X4418)</f>
        <v>#NUM!</v>
      </c>
      <c r="Y4419" s="44"/>
      <c r="Z4419" s="72"/>
      <c r="AA4419" s="64" t="e">
        <f>IF(AA4415&lt;AA4416,AA4417,AA4418)</f>
        <v>#NUM!</v>
      </c>
      <c r="AB4419" s="44"/>
      <c r="AC4419" s="72"/>
      <c r="AD4419" s="64" t="e">
        <f>IF(AD4415&lt;AD4416,AD4417,AD4418)</f>
        <v>#NUM!</v>
      </c>
      <c r="AE4419" s="44"/>
      <c r="AF4419" s="72"/>
      <c r="AG4419" s="64" t="e">
        <f>IF(AG4415&lt;AG4416,AG4417,AG4418)</f>
        <v>#NUM!</v>
      </c>
      <c r="AH4419" s="44"/>
      <c r="AI4419" s="72"/>
      <c r="AJ4419" s="64" t="e">
        <f>IF(AJ4415&lt;AJ4416,AJ4417,AJ4418)</f>
        <v>#NUM!</v>
      </c>
      <c r="AK4419" s="44"/>
      <c r="AL4419" s="72"/>
      <c r="AM4419" s="64" t="e">
        <f>IF(AM4415&lt;AM4416,AM4417,AM4418)</f>
        <v>#NUM!</v>
      </c>
      <c r="AN4419" s="44"/>
      <c r="AO4419" s="72"/>
      <c r="AP4419" s="64" t="e">
        <f>IF(AP4415&lt;AP4416,AP4417,AP4418)</f>
        <v>#NUM!</v>
      </c>
      <c r="AQ4419" s="44"/>
      <c r="AR4419" s="72"/>
      <c r="AS4419" s="64" t="e">
        <f>IF(AS4415&lt;AS4416,AS4417,AS4418)</f>
        <v>#NUM!</v>
      </c>
      <c r="AT4419" s="44"/>
      <c r="AU4419" s="72"/>
    </row>
    <row r="4420" spans="15:47" ht="13" x14ac:dyDescent="0.3">
      <c r="O4420" s="7" t="s">
        <v>264</v>
      </c>
      <c r="Q4420" s="61"/>
      <c r="R4420" s="53"/>
      <c r="S4420" s="69">
        <f>IFERROR(ABS(C_h-R4419),Q_max*10)</f>
        <v>5500</v>
      </c>
      <c r="T4420" s="76">
        <f>R4411</f>
        <v>2118.1579798951179</v>
      </c>
      <c r="U4420" s="61"/>
      <c r="V4420" s="69">
        <f>IFERROR(ABS(U$23-U4419),Q_max*10)</f>
        <v>5500</v>
      </c>
      <c r="W4420" s="75">
        <f>U4411</f>
        <v>1482.6125418652312</v>
      </c>
      <c r="X4420" s="61"/>
      <c r="Y4420" s="69">
        <f>IFERROR(ABS(X$23-X4419),Q_max*10)</f>
        <v>5500</v>
      </c>
      <c r="Z4420" s="75">
        <f>X4411</f>
        <v>3558.8408135034242</v>
      </c>
      <c r="AA4420" s="61"/>
      <c r="AB4420" s="69">
        <f>IFERROR(ABS(AA$23-AA4419),Q_max*10)</f>
        <v>5500</v>
      </c>
      <c r="AC4420" s="75">
        <f>AA4411</f>
        <v>6795.1313860505779</v>
      </c>
      <c r="AD4420" s="61"/>
      <c r="AE4420" s="69">
        <f>IFERROR(ABS(AD$23-AD4419),Q_max*10)</f>
        <v>5500</v>
      </c>
      <c r="AF4420" s="75">
        <f>AD4411</f>
        <v>11175.489311108913</v>
      </c>
      <c r="AG4420" s="61"/>
      <c r="AH4420" s="69">
        <f>IFERROR(ABS(AG$23-AG4419),Q_max*10)</f>
        <v>5500</v>
      </c>
      <c r="AI4420" s="75">
        <f>AG4411</f>
        <v>16638.78074041288</v>
      </c>
      <c r="AJ4420" s="61"/>
      <c r="AK4420" s="69">
        <f>IFERROR(ABS(AJ$23-AJ4419),Q_max*10)</f>
        <v>5500</v>
      </c>
      <c r="AL4420" s="75">
        <f>AJ4411</f>
        <v>22204.517399433218</v>
      </c>
      <c r="AM4420" s="61"/>
      <c r="AN4420" s="69">
        <f>IFERROR(ABS(AM$23-AM4419),Q_max*10)</f>
        <v>5500</v>
      </c>
      <c r="AO4420" s="75">
        <f>AM4411</f>
        <v>27093.730972639747</v>
      </c>
      <c r="AP4420" s="61"/>
      <c r="AQ4420" s="69">
        <f>IFERROR(ABS(AP$23-AP4419),Q_max*10)</f>
        <v>5500</v>
      </c>
      <c r="AR4420" s="75">
        <f>AP4411</f>
        <v>31454.980544381342</v>
      </c>
      <c r="AS4420" s="61"/>
      <c r="AT4420" s="69">
        <f>IFERROR(ABS(AS$23-AS4419),Q_max*10)</f>
        <v>5500</v>
      </c>
      <c r="AU4420" s="75">
        <f>AS4411</f>
        <v>35798.701993720264</v>
      </c>
    </row>
    <row r="4421" spans="15:47" ht="14.5" x14ac:dyDescent="0.35">
      <c r="O4421" s="6"/>
      <c r="P4421" s="6"/>
      <c r="Q4421" s="60"/>
      <c r="R4421" s="67"/>
      <c r="S4421" s="58"/>
      <c r="T4421" s="73"/>
      <c r="V4421" s="11"/>
      <c r="W4421" s="38"/>
      <c r="Y4421" s="11"/>
      <c r="Z4421" s="38"/>
      <c r="AB4421" s="11"/>
      <c r="AC4421" s="38"/>
      <c r="AE4421" s="11"/>
      <c r="AF4421" s="38"/>
      <c r="AH4421" s="11"/>
      <c r="AI4421" s="38"/>
      <c r="AK4421" s="11"/>
      <c r="AL4421" s="38"/>
      <c r="AN4421" s="11"/>
      <c r="AO4421" s="38"/>
      <c r="AQ4421" s="11"/>
      <c r="AR4421" s="38"/>
      <c r="AT4421" s="11"/>
      <c r="AU4421" s="38"/>
    </row>
    <row r="4422" spans="15:47" ht="14" x14ac:dyDescent="0.3">
      <c r="O4422" s="8" t="s">
        <v>235</v>
      </c>
      <c r="P4422" s="6"/>
      <c r="Q4422" s="60"/>
      <c r="R4422" s="53">
        <f>R4411*1.02</f>
        <v>2160.5211394930202</v>
      </c>
      <c r="S4422" s="58" t="s">
        <v>238</v>
      </c>
      <c r="T4422" s="73" t="s">
        <v>241</v>
      </c>
      <c r="U4422" s="84">
        <f>U4411*1.01</f>
        <v>1497.4386672838834</v>
      </c>
      <c r="V4422" s="58" t="s">
        <v>238</v>
      </c>
      <c r="W4422" s="73" t="s">
        <v>241</v>
      </c>
      <c r="X4422" s="84">
        <f>X4411*1.01</f>
        <v>3594.4292216384583</v>
      </c>
      <c r="Y4422" s="58" t="s">
        <v>238</v>
      </c>
      <c r="Z4422" s="73" t="s">
        <v>241</v>
      </c>
      <c r="AA4422" s="84">
        <f>AA4411*1.01</f>
        <v>6863.0826999110841</v>
      </c>
      <c r="AB4422" s="58" t="s">
        <v>238</v>
      </c>
      <c r="AC4422" s="73" t="s">
        <v>241</v>
      </c>
      <c r="AD4422" s="84">
        <f>AD4411*1.01</f>
        <v>11287.244204220002</v>
      </c>
      <c r="AE4422" s="58" t="s">
        <v>238</v>
      </c>
      <c r="AF4422" s="73" t="s">
        <v>241</v>
      </c>
      <c r="AG4422" s="84">
        <f>AG4411*1.01</f>
        <v>16805.168547817007</v>
      </c>
      <c r="AH4422" s="58" t="s">
        <v>238</v>
      </c>
      <c r="AI4422" s="73" t="s">
        <v>241</v>
      </c>
      <c r="AJ4422" s="84">
        <f>AJ4411*1.01</f>
        <v>22426.562573427549</v>
      </c>
      <c r="AK4422" s="58" t="s">
        <v>238</v>
      </c>
      <c r="AL4422" s="73" t="s">
        <v>241</v>
      </c>
      <c r="AM4422" s="84">
        <f>AM4411*1.01</f>
        <v>27364.668282366143</v>
      </c>
      <c r="AN4422" s="58" t="s">
        <v>238</v>
      </c>
      <c r="AO4422" s="73" t="s">
        <v>241</v>
      </c>
      <c r="AP4422" s="84">
        <f>AP4411*1.01</f>
        <v>31769.530349825156</v>
      </c>
      <c r="AQ4422" s="58" t="s">
        <v>238</v>
      </c>
      <c r="AR4422" s="73" t="s">
        <v>241</v>
      </c>
      <c r="AS4422" s="84">
        <f>AS4411*1.01</f>
        <v>36156.689013657466</v>
      </c>
      <c r="AT4422" s="58" t="s">
        <v>238</v>
      </c>
      <c r="AU4422" s="73" t="s">
        <v>241</v>
      </c>
    </row>
    <row r="4423" spans="15:47" ht="13" x14ac:dyDescent="0.25">
      <c r="O4423" s="6"/>
      <c r="P4423" s="6"/>
      <c r="Q4423" s="60"/>
      <c r="R4423" s="70"/>
      <c r="S4423" s="63" t="s">
        <v>250</v>
      </c>
      <c r="T4423" s="71" t="s">
        <v>242</v>
      </c>
      <c r="U4423" s="61"/>
      <c r="V4423" s="63" t="s">
        <v>250</v>
      </c>
      <c r="W4423" s="71" t="s">
        <v>242</v>
      </c>
      <c r="X4423" s="61"/>
      <c r="Y4423" s="63" t="s">
        <v>250</v>
      </c>
      <c r="Z4423" s="71" t="s">
        <v>242</v>
      </c>
      <c r="AA4423" s="61"/>
      <c r="AB4423" s="63" t="s">
        <v>250</v>
      </c>
      <c r="AC4423" s="71" t="s">
        <v>242</v>
      </c>
      <c r="AD4423" s="61"/>
      <c r="AE4423" s="63" t="s">
        <v>250</v>
      </c>
      <c r="AF4423" s="71" t="s">
        <v>242</v>
      </c>
      <c r="AG4423" s="61"/>
      <c r="AH4423" s="63" t="s">
        <v>250</v>
      </c>
      <c r="AI4423" s="71" t="s">
        <v>242</v>
      </c>
      <c r="AJ4423" s="61"/>
      <c r="AK4423" s="63" t="s">
        <v>250</v>
      </c>
      <c r="AL4423" s="71" t="s">
        <v>242</v>
      </c>
      <c r="AM4423" s="61"/>
      <c r="AN4423" s="63" t="s">
        <v>250</v>
      </c>
      <c r="AO4423" s="71" t="s">
        <v>242</v>
      </c>
      <c r="AP4423" s="61"/>
      <c r="AQ4423" s="63" t="s">
        <v>250</v>
      </c>
      <c r="AR4423" s="71" t="s">
        <v>242</v>
      </c>
      <c r="AS4423" s="61"/>
      <c r="AT4423" s="63" t="s">
        <v>250</v>
      </c>
      <c r="AU4423" s="71" t="s">
        <v>242</v>
      </c>
    </row>
    <row r="4424" spans="15:47" ht="13" x14ac:dyDescent="0.3">
      <c r="O4424" s="6" t="s">
        <v>231</v>
      </c>
      <c r="P4424" s="6"/>
      <c r="Q4424" s="60"/>
      <c r="R4424" s="85">
        <f>P_1_minQ-(R4422^2*R_up)+dpup_minQ</f>
        <v>-100.72828754462068</v>
      </c>
      <c r="S4424" s="56"/>
      <c r="T4424" s="72"/>
      <c r="U4424" s="53">
        <f>P_1_minQ-(U4422^2*R_up)+dpup_minQ</f>
        <v>-18.812413450757607</v>
      </c>
      <c r="V4424" s="44"/>
      <c r="W4424" s="72"/>
      <c r="X4424" s="53">
        <f>P_1_minQ-(X4422^2*R_up)+dpup_minQ</f>
        <v>-379.42027792531081</v>
      </c>
      <c r="Y4424" s="44"/>
      <c r="Z4424" s="72"/>
      <c r="AA4424" s="53">
        <f>P_1_minQ-(AA4422^2*R_up)+dpup_minQ</f>
        <v>-1533.8269890516317</v>
      </c>
      <c r="AB4424" s="44"/>
      <c r="AC4424" s="72"/>
      <c r="AD4424" s="53">
        <f>P_1_minQ-(AD4422^2*R_up)+dpup_minQ</f>
        <v>-4245.7478799627843</v>
      </c>
      <c r="AE4424" s="44"/>
      <c r="AF4424" s="72"/>
      <c r="AG4424" s="53">
        <f>P_1_minQ-(AG4422^2*R_up)+dpup_minQ</f>
        <v>-9480.86467141297</v>
      </c>
      <c r="AH4424" s="44"/>
      <c r="AI4424" s="72"/>
      <c r="AJ4424" s="53">
        <f>P_1_minQ-(AJ4422^2*R_up)+dpup_minQ</f>
        <v>-16928.923399522504</v>
      </c>
      <c r="AK4424" s="44"/>
      <c r="AL4424" s="72"/>
      <c r="AM4424" s="53">
        <f>P_1_minQ-(AM4422^2*R_up)+dpup_minQ</f>
        <v>-25232.684336505765</v>
      </c>
      <c r="AN4424" s="44"/>
      <c r="AO4424" s="72"/>
      <c r="AP4424" s="53">
        <f>P_1_minQ-(AP4422^2*R_up)+dpup_minQ</f>
        <v>-34029.64443257216</v>
      </c>
      <c r="AQ4424" s="44"/>
      <c r="AR4424" s="72"/>
      <c r="AS4424" s="53">
        <f>P_1_minQ-(AS4422^2*R_up)+dpup_minQ</f>
        <v>-44093.916698086403</v>
      </c>
      <c r="AT4424" s="44"/>
      <c r="AU4424" s="72"/>
    </row>
    <row r="4425" spans="15:47" ht="13" x14ac:dyDescent="0.3">
      <c r="O4425" s="6" t="s">
        <v>233</v>
      </c>
      <c r="P4425" s="6"/>
      <c r="Q4425" s="60"/>
      <c r="R4425" s="85">
        <f>P_2_minQ+(R4422^2*R_dn)-dpdn_minQ</f>
        <v>56.185657508924137</v>
      </c>
      <c r="S4425" s="66"/>
      <c r="T4425" s="74"/>
      <c r="U4425" s="53">
        <f>P_2_minQ+(U4422^2*R_dn)-dpdn_minQ</f>
        <v>39.802482690151528</v>
      </c>
      <c r="V4425" s="45"/>
      <c r="W4425" s="74"/>
      <c r="X4425" s="53">
        <f>P_2_minQ+(X4422^2*R_dn)-dpdn_minQ</f>
        <v>111.92405558506216</v>
      </c>
      <c r="Y4425" s="45"/>
      <c r="Z4425" s="74"/>
      <c r="AA4425" s="53">
        <f>P_2_minQ+(AA4422^2*R_dn)-dpdn_minQ</f>
        <v>342.80539781032627</v>
      </c>
      <c r="AB4425" s="45"/>
      <c r="AC4425" s="74"/>
      <c r="AD4425" s="53">
        <f>P_2_minQ+(AD4422^2*R_dn)-dpdn_minQ</f>
        <v>885.18957599255668</v>
      </c>
      <c r="AE4425" s="45"/>
      <c r="AF4425" s="74"/>
      <c r="AG4425" s="53">
        <f>P_2_minQ+(AG4422^2*R_dn)-dpdn_minQ</f>
        <v>1932.2129342825938</v>
      </c>
      <c r="AH4425" s="45"/>
      <c r="AI4425" s="74"/>
      <c r="AJ4425" s="53">
        <f>P_2_minQ+(AJ4422^2*R_dn)-dpdn_minQ</f>
        <v>3421.8246799045005</v>
      </c>
      <c r="AK4425" s="45"/>
      <c r="AL4425" s="74"/>
      <c r="AM4425" s="53">
        <f>P_2_minQ+(AM4422^2*R_dn)-dpdn_minQ</f>
        <v>5082.5768673011526</v>
      </c>
      <c r="AN4425" s="45"/>
      <c r="AO4425" s="74"/>
      <c r="AP4425" s="53">
        <f>P_2_minQ+(AP4422^2*R_dn)-dpdn_minQ</f>
        <v>6841.9688865144317</v>
      </c>
      <c r="AQ4425" s="45"/>
      <c r="AR4425" s="74"/>
      <c r="AS4425" s="53">
        <f>P_2_minQ+(AS4422^2*R_dn)-dpdn_minQ</f>
        <v>8854.8233396172818</v>
      </c>
      <c r="AT4425" s="45"/>
      <c r="AU4425" s="74"/>
    </row>
    <row r="4426" spans="15:47" x14ac:dyDescent="0.25">
      <c r="O4426" s="6" t="s">
        <v>243</v>
      </c>
      <c r="Q4426" s="60"/>
      <c r="R4426" s="53">
        <f>R4424-R4425</f>
        <v>-156.91394505354481</v>
      </c>
      <c r="S4426" s="56"/>
      <c r="T4426" s="72"/>
      <c r="U4426" s="64">
        <f>U4424-U4425</f>
        <v>-58.614896140909138</v>
      </c>
      <c r="V4426" s="44"/>
      <c r="W4426" s="72"/>
      <c r="X4426" s="64">
        <f>X4424-X4425</f>
        <v>-491.34433351037296</v>
      </c>
      <c r="Y4426" s="44"/>
      <c r="Z4426" s="72"/>
      <c r="AA4426" s="64">
        <f>AA4424-AA4425</f>
        <v>-1876.6323868619579</v>
      </c>
      <c r="AB4426" s="44"/>
      <c r="AC4426" s="72"/>
      <c r="AD4426" s="64">
        <f>AD4424-AD4425</f>
        <v>-5130.9374559553407</v>
      </c>
      <c r="AE4426" s="44"/>
      <c r="AF4426" s="72"/>
      <c r="AG4426" s="64">
        <f>AG4424-AG4425</f>
        <v>-11413.077605695564</v>
      </c>
      <c r="AH4426" s="44"/>
      <c r="AI4426" s="72"/>
      <c r="AJ4426" s="64">
        <f>AJ4424-AJ4425</f>
        <v>-20350.748079427005</v>
      </c>
      <c r="AK4426" s="44"/>
      <c r="AL4426" s="72"/>
      <c r="AM4426" s="64">
        <f>AM4424-AM4425</f>
        <v>-30315.261203806916</v>
      </c>
      <c r="AN4426" s="44"/>
      <c r="AO4426" s="72"/>
      <c r="AP4426" s="64">
        <f>AP4424-AP4425</f>
        <v>-40871.613319086595</v>
      </c>
      <c r="AQ4426" s="44"/>
      <c r="AR4426" s="72"/>
      <c r="AS4426" s="64">
        <f>AS4424-AS4425</f>
        <v>-52948.740037703683</v>
      </c>
      <c r="AT4426" s="44"/>
      <c r="AU4426" s="72"/>
    </row>
    <row r="4427" spans="15:47" ht="13" x14ac:dyDescent="0.3">
      <c r="O4427" s="6" t="s">
        <v>75</v>
      </c>
      <c r="P4427" s="6">
        <v>3</v>
      </c>
      <c r="Q4427" s="65"/>
      <c r="R4427" s="85">
        <f>(F_LP_h/F_P_h)^2*(R4424-('Valve Sizing'!$V$4*'Valve Sizing'!$G$7))</f>
        <v>-83.772700157081886</v>
      </c>
      <c r="S4427" s="58"/>
      <c r="T4427" s="73"/>
      <c r="U4427" s="53">
        <f>(U$29/U$27)^2*(U4424-('Valve Sizing'!$V$4*'Valve Sizing'!$G$7))</f>
        <v>-15.937711502098441</v>
      </c>
      <c r="V4427" s="41"/>
      <c r="W4427" s="73"/>
      <c r="X4427" s="53">
        <f>(X$29/X$27)^2*(X4424-('Valve Sizing'!$V$4*'Valve Sizing'!$G$7))</f>
        <v>-307.36534470589078</v>
      </c>
      <c r="Y4427" s="41"/>
      <c r="Z4427" s="73"/>
      <c r="AA4427" s="53">
        <f>(AA$29/AA$27)^2*(AA4424-('Valve Sizing'!$V$4*'Valve Sizing'!$G$7))</f>
        <v>-1185.6773105196685</v>
      </c>
      <c r="AB4427" s="41"/>
      <c r="AC4427" s="73"/>
      <c r="AD4427" s="53">
        <f>(AD$29/AD$27)^2*(AD4424-('Valve Sizing'!$V$4*'Valve Sizing'!$G$7))</f>
        <v>-3062.297269121329</v>
      </c>
      <c r="AE4427" s="41"/>
      <c r="AF4427" s="73"/>
      <c r="AG4427" s="53">
        <f>(AG$29/AG$27)^2*(AG4424-('Valve Sizing'!$V$4*'Valve Sizing'!$G$7))</f>
        <v>-6106.3769600889418</v>
      </c>
      <c r="AH4427" s="41"/>
      <c r="AI4427" s="73"/>
      <c r="AJ4427" s="53">
        <f>(AJ$29/AJ$27)^2*(AJ4424-('Valve Sizing'!$V$4*'Valve Sizing'!$G$7))</f>
        <v>-9791.340043414526</v>
      </c>
      <c r="AK4427" s="41"/>
      <c r="AL4427" s="73"/>
      <c r="AM4427" s="53">
        <f>(AM$29/AM$27)^2*(AM4424-('Valve Sizing'!$V$4*'Valve Sizing'!$G$7))</f>
        <v>-12073.347262549067</v>
      </c>
      <c r="AN4427" s="41"/>
      <c r="AO4427" s="73"/>
      <c r="AP4427" s="53">
        <f>(AP$29/AP$27)^2*(AP4424-('Valve Sizing'!$V$4*'Valve Sizing'!$G$7))</f>
        <v>-13429.184277122133</v>
      </c>
      <c r="AQ4427" s="41"/>
      <c r="AR4427" s="73"/>
      <c r="AS4427" s="53">
        <f>(AS$29/AS$27)^2*(AS4424-('Valve Sizing'!$V$4*'Valve Sizing'!$G$7))</f>
        <v>-16585.686365606936</v>
      </c>
      <c r="AT4427" s="41"/>
      <c r="AU4427" s="73"/>
    </row>
    <row r="4428" spans="15:47" ht="13" x14ac:dyDescent="0.25">
      <c r="O4428" s="1" t="s">
        <v>69</v>
      </c>
      <c r="P4428" s="17">
        <v>7</v>
      </c>
      <c r="Q4428" s="65"/>
      <c r="R4428" s="53" t="e">
        <f>(R4422/(N_1*F_P_h))*SQRT('Valve Sizing'!$G$6/R4426)</f>
        <v>#NUM!</v>
      </c>
      <c r="S4428" s="58"/>
      <c r="T4428" s="73"/>
      <c r="U4428" s="64" t="e">
        <f>(U4422/(N_1*U$27))*SQRT('Valve Sizing'!$G$6/U4426)</f>
        <v>#NUM!</v>
      </c>
      <c r="V4428" s="41"/>
      <c r="W4428" s="73"/>
      <c r="X4428" s="64" t="e">
        <f>(X4422/(N_1*X$27))*SQRT('Valve Sizing'!$G$6/X4426)</f>
        <v>#NUM!</v>
      </c>
      <c r="Y4428" s="41"/>
      <c r="Z4428" s="73"/>
      <c r="AA4428" s="64" t="e">
        <f>(AA4422/(N_1*AA$27))*SQRT('Valve Sizing'!$G$6/AA4426)</f>
        <v>#NUM!</v>
      </c>
      <c r="AB4428" s="41"/>
      <c r="AC4428" s="73"/>
      <c r="AD4428" s="64" t="e">
        <f>(AD4422/(N_1*AD$27))*SQRT('Valve Sizing'!$G$6/AD4426)</f>
        <v>#NUM!</v>
      </c>
      <c r="AE4428" s="41"/>
      <c r="AF4428" s="73"/>
      <c r="AG4428" s="64" t="e">
        <f>(AG4422/(N_1*AG$27))*SQRT('Valve Sizing'!$G$6/AG4426)</f>
        <v>#NUM!</v>
      </c>
      <c r="AH4428" s="41"/>
      <c r="AI4428" s="73"/>
      <c r="AJ4428" s="64" t="e">
        <f>(AJ4422/(N_1*AJ$27))*SQRT('Valve Sizing'!$G$6/AJ4426)</f>
        <v>#NUM!</v>
      </c>
      <c r="AK4428" s="41"/>
      <c r="AL4428" s="73"/>
      <c r="AM4428" s="64" t="e">
        <f>(AM4422/(N_1*AM$27))*SQRT('Valve Sizing'!$G$6/AM4426)</f>
        <v>#NUM!</v>
      </c>
      <c r="AN4428" s="41"/>
      <c r="AO4428" s="73"/>
      <c r="AP4428" s="64" t="e">
        <f>(AP4422/(N_1*AP$27))*SQRT('Valve Sizing'!$G$6/AP4426)</f>
        <v>#NUM!</v>
      </c>
      <c r="AQ4428" s="41"/>
      <c r="AR4428" s="73"/>
      <c r="AS4428" s="64" t="e">
        <f>(AS4422/(N_1*AS$27))*SQRT('Valve Sizing'!$G$6/AS4426)</f>
        <v>#NUM!</v>
      </c>
      <c r="AT4428" s="41"/>
      <c r="AU4428" s="73"/>
    </row>
    <row r="4429" spans="15:47" ht="13" x14ac:dyDescent="0.3">
      <c r="O4429" s="1" t="s">
        <v>72</v>
      </c>
      <c r="P4429" s="17">
        <v>7</v>
      </c>
      <c r="Q4429" s="65"/>
      <c r="R4429" s="53" t="e">
        <f>(R4422/(N_1*F_P_h))*SQRT('Valve Sizing'!$G$6/R4427)</f>
        <v>#NUM!</v>
      </c>
      <c r="S4429" s="56"/>
      <c r="T4429" s="72"/>
      <c r="U4429" s="85" t="e">
        <f>(U4422/(N_1*U$27))*SQRT('Valve Sizing'!$G$6/U4427)</f>
        <v>#NUM!</v>
      </c>
      <c r="V4429" s="44"/>
      <c r="W4429" s="72"/>
      <c r="X4429" s="85" t="e">
        <f>(X4422/(N_1*X$27))*SQRT('Valve Sizing'!$G$6/X4427)</f>
        <v>#NUM!</v>
      </c>
      <c r="Y4429" s="44"/>
      <c r="Z4429" s="72"/>
      <c r="AA4429" s="85" t="e">
        <f>(AA4422/(N_1*AA$27))*SQRT('Valve Sizing'!$G$6/AA4427)</f>
        <v>#NUM!</v>
      </c>
      <c r="AB4429" s="44"/>
      <c r="AC4429" s="72"/>
      <c r="AD4429" s="85" t="e">
        <f>(AD4422/(N_1*AD$27))*SQRT('Valve Sizing'!$G$6/AD4427)</f>
        <v>#NUM!</v>
      </c>
      <c r="AE4429" s="44"/>
      <c r="AF4429" s="72"/>
      <c r="AG4429" s="85" t="e">
        <f>(AG4422/(N_1*AG$27))*SQRT('Valve Sizing'!$G$6/AG4427)</f>
        <v>#NUM!</v>
      </c>
      <c r="AH4429" s="44"/>
      <c r="AI4429" s="72"/>
      <c r="AJ4429" s="85" t="e">
        <f>(AJ4422/(N_1*AJ$27))*SQRT('Valve Sizing'!$G$6/AJ4427)</f>
        <v>#NUM!</v>
      </c>
      <c r="AK4429" s="44"/>
      <c r="AL4429" s="72"/>
      <c r="AM4429" s="85" t="e">
        <f>(AM4422/(N_1*AM$27))*SQRT('Valve Sizing'!$G$6/AM4427)</f>
        <v>#NUM!</v>
      </c>
      <c r="AN4429" s="44"/>
      <c r="AO4429" s="72"/>
      <c r="AP4429" s="85" t="e">
        <f>(AP4422/(N_1*AP$27))*SQRT('Valve Sizing'!$G$6/AP4427)</f>
        <v>#NUM!</v>
      </c>
      <c r="AQ4429" s="44"/>
      <c r="AR4429" s="72"/>
      <c r="AS4429" s="85" t="e">
        <f>(AS4422/(N_1*AS$27))*SQRT('Valve Sizing'!$G$6/AS4427)</f>
        <v>#NUM!</v>
      </c>
      <c r="AT4429" s="44"/>
      <c r="AU4429" s="72"/>
    </row>
    <row r="4430" spans="15:47" x14ac:dyDescent="0.25">
      <c r="O4430" s="1" t="s">
        <v>246</v>
      </c>
      <c r="P4430" s="18"/>
      <c r="Q4430" s="65"/>
      <c r="R4430" s="53" t="e">
        <f>IF(R4426&lt;R4427,R4428,R4429)</f>
        <v>#NUM!</v>
      </c>
      <c r="S4430" s="49"/>
      <c r="T4430" s="72"/>
      <c r="U4430" s="64" t="e">
        <f>IF(U4426&lt;U4427,U4428,U4429)</f>
        <v>#NUM!</v>
      </c>
      <c r="V4430" s="44"/>
      <c r="W4430" s="72"/>
      <c r="X4430" s="64" t="e">
        <f>IF(X4426&lt;X4427,X4428,X4429)</f>
        <v>#NUM!</v>
      </c>
      <c r="Y4430" s="44"/>
      <c r="Z4430" s="72"/>
      <c r="AA4430" s="64" t="e">
        <f>IF(AA4426&lt;AA4427,AA4428,AA4429)</f>
        <v>#NUM!</v>
      </c>
      <c r="AB4430" s="44"/>
      <c r="AC4430" s="72"/>
      <c r="AD4430" s="64" t="e">
        <f>IF(AD4426&lt;AD4427,AD4428,AD4429)</f>
        <v>#NUM!</v>
      </c>
      <c r="AE4430" s="44"/>
      <c r="AF4430" s="72"/>
      <c r="AG4430" s="64" t="e">
        <f>IF(AG4426&lt;AG4427,AG4428,AG4429)</f>
        <v>#NUM!</v>
      </c>
      <c r="AH4430" s="44"/>
      <c r="AI4430" s="72"/>
      <c r="AJ4430" s="64" t="e">
        <f>IF(AJ4426&lt;AJ4427,AJ4428,AJ4429)</f>
        <v>#NUM!</v>
      </c>
      <c r="AK4430" s="44"/>
      <c r="AL4430" s="72"/>
      <c r="AM4430" s="64" t="e">
        <f>IF(AM4426&lt;AM4427,AM4428,AM4429)</f>
        <v>#NUM!</v>
      </c>
      <c r="AN4430" s="44"/>
      <c r="AO4430" s="72"/>
      <c r="AP4430" s="64" t="e">
        <f>IF(AP4426&lt;AP4427,AP4428,AP4429)</f>
        <v>#NUM!</v>
      </c>
      <c r="AQ4430" s="44"/>
      <c r="AR4430" s="72"/>
      <c r="AS4430" s="64" t="e">
        <f>IF(AS4426&lt;AS4427,AS4428,AS4429)</f>
        <v>#NUM!</v>
      </c>
      <c r="AT4430" s="44"/>
      <c r="AU4430" s="72"/>
    </row>
    <row r="4431" spans="15:47" ht="13" x14ac:dyDescent="0.3">
      <c r="O4431" s="7" t="s">
        <v>264</v>
      </c>
      <c r="Q4431" s="61"/>
      <c r="R4431" s="53"/>
      <c r="S4431" s="69">
        <f>IFERROR(ABS(C_h-R4430),Q_max*10)</f>
        <v>5500</v>
      </c>
      <c r="T4431" s="76">
        <f>R4422</f>
        <v>2160.5211394930202</v>
      </c>
      <c r="U4431" s="61"/>
      <c r="V4431" s="69">
        <f>IFERROR(ABS(U$23-U4430),Q_max*10)</f>
        <v>5500</v>
      </c>
      <c r="W4431" s="75">
        <f>U4422</f>
        <v>1497.4386672838834</v>
      </c>
      <c r="X4431" s="61"/>
      <c r="Y4431" s="69">
        <f>IFERROR(ABS(X$23-X4430),Q_max*10)</f>
        <v>5500</v>
      </c>
      <c r="Z4431" s="75">
        <f>X4422</f>
        <v>3594.4292216384583</v>
      </c>
      <c r="AA4431" s="61"/>
      <c r="AB4431" s="69">
        <f>IFERROR(ABS(AA$23-AA4430),Q_max*10)</f>
        <v>5500</v>
      </c>
      <c r="AC4431" s="75">
        <f>AA4422</f>
        <v>6863.0826999110841</v>
      </c>
      <c r="AD4431" s="61"/>
      <c r="AE4431" s="69">
        <f>IFERROR(ABS(AD$23-AD4430),Q_max*10)</f>
        <v>5500</v>
      </c>
      <c r="AF4431" s="75">
        <f>AD4422</f>
        <v>11287.244204220002</v>
      </c>
      <c r="AG4431" s="61"/>
      <c r="AH4431" s="69">
        <f>IFERROR(ABS(AG$23-AG4430),Q_max*10)</f>
        <v>5500</v>
      </c>
      <c r="AI4431" s="75">
        <f>AG4422</f>
        <v>16805.168547817007</v>
      </c>
      <c r="AJ4431" s="61"/>
      <c r="AK4431" s="69">
        <f>IFERROR(ABS(AJ$23-AJ4430),Q_max*10)</f>
        <v>5500</v>
      </c>
      <c r="AL4431" s="75">
        <f>AJ4422</f>
        <v>22426.562573427549</v>
      </c>
      <c r="AM4431" s="61"/>
      <c r="AN4431" s="69">
        <f>IFERROR(ABS(AM$23-AM4430),Q_max*10)</f>
        <v>5500</v>
      </c>
      <c r="AO4431" s="75">
        <f>AM4422</f>
        <v>27364.668282366143</v>
      </c>
      <c r="AP4431" s="61"/>
      <c r="AQ4431" s="69">
        <f>IFERROR(ABS(AP$23-AP4430),Q_max*10)</f>
        <v>5500</v>
      </c>
      <c r="AR4431" s="75">
        <f>AP4422</f>
        <v>31769.530349825156</v>
      </c>
      <c r="AS4431" s="61"/>
      <c r="AT4431" s="69">
        <f>IFERROR(ABS(AS$23-AS4430),Q_max*10)</f>
        <v>5500</v>
      </c>
      <c r="AU4431" s="75">
        <f>AS4422</f>
        <v>36156.689013657466</v>
      </c>
    </row>
    <row r="4432" spans="15:47" ht="14.5" x14ac:dyDescent="0.35">
      <c r="O4432" s="8"/>
      <c r="P4432" s="6"/>
      <c r="Q4432" s="60"/>
      <c r="R4432" s="67"/>
      <c r="S4432" s="56"/>
      <c r="T4432" s="72"/>
      <c r="V4432" s="11"/>
      <c r="W4432" s="38"/>
      <c r="Y4432" s="11"/>
      <c r="Z4432" s="38"/>
      <c r="AB4432" s="11"/>
      <c r="AC4432" s="38"/>
      <c r="AE4432" s="11"/>
      <c r="AF4432" s="38"/>
      <c r="AH4432" s="11"/>
      <c r="AI4432" s="38"/>
      <c r="AK4432" s="11"/>
      <c r="AL4432" s="38"/>
      <c r="AN4432" s="11"/>
      <c r="AO4432" s="38"/>
      <c r="AQ4432" s="11"/>
      <c r="AR4432" s="38"/>
      <c r="AT4432" s="11"/>
      <c r="AU4432" s="38"/>
    </row>
    <row r="4433" spans="15:47" ht="14" x14ac:dyDescent="0.3">
      <c r="O4433" s="8" t="s">
        <v>235</v>
      </c>
      <c r="P4433" s="6"/>
      <c r="Q4433" s="60"/>
      <c r="R4433" s="53">
        <f>R4422*1.02</f>
        <v>2203.7315622828805</v>
      </c>
      <c r="S4433" s="58" t="s">
        <v>238</v>
      </c>
      <c r="T4433" s="73" t="s">
        <v>241</v>
      </c>
      <c r="U4433" s="84">
        <f>U4422*1.01</f>
        <v>1512.4130539567223</v>
      </c>
      <c r="V4433" s="58" t="s">
        <v>238</v>
      </c>
      <c r="W4433" s="73" t="s">
        <v>241</v>
      </c>
      <c r="X4433" s="84">
        <f>X4422*1.01</f>
        <v>3630.3735138548432</v>
      </c>
      <c r="Y4433" s="58" t="s">
        <v>238</v>
      </c>
      <c r="Z4433" s="73" t="s">
        <v>241</v>
      </c>
      <c r="AA4433" s="84">
        <f>AA4422*1.01</f>
        <v>6931.7135269101946</v>
      </c>
      <c r="AB4433" s="58" t="s">
        <v>238</v>
      </c>
      <c r="AC4433" s="73" t="s">
        <v>241</v>
      </c>
      <c r="AD4433" s="84">
        <f>AD4422*1.01</f>
        <v>11400.116646262202</v>
      </c>
      <c r="AE4433" s="58" t="s">
        <v>238</v>
      </c>
      <c r="AF4433" s="73" t="s">
        <v>241</v>
      </c>
      <c r="AG4433" s="84">
        <f>AG4422*1.01</f>
        <v>16973.220233295178</v>
      </c>
      <c r="AH4433" s="58" t="s">
        <v>238</v>
      </c>
      <c r="AI4433" s="73" t="s">
        <v>241</v>
      </c>
      <c r="AJ4433" s="84">
        <f>AJ4422*1.01</f>
        <v>22650.828199161824</v>
      </c>
      <c r="AK4433" s="58" t="s">
        <v>238</v>
      </c>
      <c r="AL4433" s="73" t="s">
        <v>241</v>
      </c>
      <c r="AM4433" s="84">
        <f>AM4422*1.01</f>
        <v>27638.314965189806</v>
      </c>
      <c r="AN4433" s="58" t="s">
        <v>238</v>
      </c>
      <c r="AO4433" s="73" t="s">
        <v>241</v>
      </c>
      <c r="AP4433" s="84">
        <f>AP4422*1.01</f>
        <v>32087.225653323407</v>
      </c>
      <c r="AQ4433" s="58" t="s">
        <v>238</v>
      </c>
      <c r="AR4433" s="73" t="s">
        <v>241</v>
      </c>
      <c r="AS4433" s="84">
        <f>AS4422*1.01</f>
        <v>36518.255903794037</v>
      </c>
      <c r="AT4433" s="58" t="s">
        <v>238</v>
      </c>
      <c r="AU4433" s="73" t="s">
        <v>241</v>
      </c>
    </row>
    <row r="4434" spans="15:47" ht="13" x14ac:dyDescent="0.25">
      <c r="O4434" s="6"/>
      <c r="P4434" s="6"/>
      <c r="Q4434" s="60"/>
      <c r="R4434" s="70"/>
      <c r="S4434" s="63" t="s">
        <v>250</v>
      </c>
      <c r="T4434" s="71" t="s">
        <v>242</v>
      </c>
      <c r="U4434" s="61"/>
      <c r="V4434" s="63" t="s">
        <v>250</v>
      </c>
      <c r="W4434" s="71" t="s">
        <v>242</v>
      </c>
      <c r="X4434" s="61"/>
      <c r="Y4434" s="63" t="s">
        <v>250</v>
      </c>
      <c r="Z4434" s="71" t="s">
        <v>242</v>
      </c>
      <c r="AA4434" s="61"/>
      <c r="AB4434" s="63" t="s">
        <v>250</v>
      </c>
      <c r="AC4434" s="71" t="s">
        <v>242</v>
      </c>
      <c r="AD4434" s="61"/>
      <c r="AE4434" s="63" t="s">
        <v>250</v>
      </c>
      <c r="AF4434" s="71" t="s">
        <v>242</v>
      </c>
      <c r="AG4434" s="61"/>
      <c r="AH4434" s="63" t="s">
        <v>250</v>
      </c>
      <c r="AI4434" s="71" t="s">
        <v>242</v>
      </c>
      <c r="AJ4434" s="61"/>
      <c r="AK4434" s="63" t="s">
        <v>250</v>
      </c>
      <c r="AL4434" s="71" t="s">
        <v>242</v>
      </c>
      <c r="AM4434" s="61"/>
      <c r="AN4434" s="63" t="s">
        <v>250</v>
      </c>
      <c r="AO4434" s="71" t="s">
        <v>242</v>
      </c>
      <c r="AP4434" s="61"/>
      <c r="AQ4434" s="63" t="s">
        <v>250</v>
      </c>
      <c r="AR4434" s="71" t="s">
        <v>242</v>
      </c>
      <c r="AS4434" s="61"/>
      <c r="AT4434" s="63" t="s">
        <v>250</v>
      </c>
      <c r="AU4434" s="71" t="s">
        <v>242</v>
      </c>
    </row>
    <row r="4435" spans="15:47" ht="13" x14ac:dyDescent="0.3">
      <c r="O4435" s="6" t="s">
        <v>231</v>
      </c>
      <c r="P4435" s="6"/>
      <c r="Q4435" s="60"/>
      <c r="R4435" s="85">
        <f>P_1_minQ-(R4433^2*R_up)+dpup_minQ</f>
        <v>-107.09712254649597</v>
      </c>
      <c r="S4435" s="56"/>
      <c r="T4435" s="72"/>
      <c r="U4435" s="53">
        <f>P_1_minQ-(U4433^2*R_up)+dpup_minQ</f>
        <v>-20.334557439334663</v>
      </c>
      <c r="V4435" s="44"/>
      <c r="W4435" s="72"/>
      <c r="X4435" s="53">
        <f>P_1_minQ-(X4433^2*R_up)+dpup_minQ</f>
        <v>-388.19063998982648</v>
      </c>
      <c r="Y4435" s="44"/>
      <c r="Z4435" s="72"/>
      <c r="AA4435" s="53">
        <f>P_1_minQ-(AA4433^2*R_up)+dpup_minQ</f>
        <v>-1565.8009260097863</v>
      </c>
      <c r="AB4435" s="44"/>
      <c r="AC4435" s="72"/>
      <c r="AD4435" s="53">
        <f>P_1_minQ-(AD4433^2*R_up)+dpup_minQ</f>
        <v>-4332.2314268282535</v>
      </c>
      <c r="AE4435" s="44"/>
      <c r="AF4435" s="72"/>
      <c r="AG4435" s="53">
        <f>P_1_minQ-(AG4433^2*R_up)+dpup_minQ</f>
        <v>-9672.5740657865863</v>
      </c>
      <c r="AH4435" s="44"/>
      <c r="AI4435" s="72"/>
      <c r="AJ4435" s="53">
        <f>P_1_minQ-(AJ4433^2*R_up)+dpup_minQ</f>
        <v>-17270.338774331121</v>
      </c>
      <c r="AK4435" s="44"/>
      <c r="AL4435" s="72"/>
      <c r="AM4435" s="53">
        <f>P_1_minQ-(AM4433^2*R_up)+dpup_minQ</f>
        <v>-25741.005306147748</v>
      </c>
      <c r="AN4435" s="44"/>
      <c r="AO4435" s="72"/>
      <c r="AP4435" s="53">
        <f>P_1_minQ-(AP4433^2*R_up)+dpup_minQ</f>
        <v>-34714.784300145082</v>
      </c>
      <c r="AQ4435" s="44"/>
      <c r="AR4435" s="72"/>
      <c r="AS4435" s="53">
        <f>P_1_minQ-(AS4433^2*R_up)+dpup_minQ</f>
        <v>-44981.348438196153</v>
      </c>
      <c r="AT4435" s="44"/>
      <c r="AU4435" s="72"/>
    </row>
    <row r="4436" spans="15:47" ht="13" x14ac:dyDescent="0.3">
      <c r="O4436" s="6" t="s">
        <v>233</v>
      </c>
      <c r="P4436" s="6"/>
      <c r="Q4436" s="60"/>
      <c r="R4436" s="85">
        <f>P_2_minQ+(R4433^2*R_dn)-dpdn_minQ</f>
        <v>57.459424509299197</v>
      </c>
      <c r="S4436" s="66"/>
      <c r="T4436" s="74"/>
      <c r="U4436" s="53">
        <f>P_2_minQ+(U4433^2*R_dn)-dpdn_minQ</f>
        <v>40.106911487866938</v>
      </c>
      <c r="V4436" s="45"/>
      <c r="W4436" s="74"/>
      <c r="X4436" s="53">
        <f>P_2_minQ+(X4433^2*R_dn)-dpdn_minQ</f>
        <v>113.67812799796529</v>
      </c>
      <c r="Y4436" s="45"/>
      <c r="Z4436" s="74"/>
      <c r="AA4436" s="53">
        <f>P_2_minQ+(AA4433^2*R_dn)-dpdn_minQ</f>
        <v>349.2001852019572</v>
      </c>
      <c r="AB4436" s="45"/>
      <c r="AC4436" s="74"/>
      <c r="AD4436" s="53">
        <f>P_2_minQ+(AD4433^2*R_dn)-dpdn_minQ</f>
        <v>902.48628536565047</v>
      </c>
      <c r="AE4436" s="45"/>
      <c r="AF4436" s="74"/>
      <c r="AG4436" s="53">
        <f>P_2_minQ+(AG4433^2*R_dn)-dpdn_minQ</f>
        <v>1970.5548131573173</v>
      </c>
      <c r="AH4436" s="45"/>
      <c r="AI4436" s="74"/>
      <c r="AJ4436" s="53">
        <f>P_2_minQ+(AJ4433^2*R_dn)-dpdn_minQ</f>
        <v>3490.1077548662238</v>
      </c>
      <c r="AK4436" s="45"/>
      <c r="AL4436" s="74"/>
      <c r="AM4436" s="53">
        <f>P_2_minQ+(AM4433^2*R_dn)-dpdn_minQ</f>
        <v>5184.2410612295489</v>
      </c>
      <c r="AN4436" s="45"/>
      <c r="AO4436" s="74"/>
      <c r="AP4436" s="53">
        <f>P_2_minQ+(AP4433^2*R_dn)-dpdn_minQ</f>
        <v>6978.9968600290149</v>
      </c>
      <c r="AQ4436" s="45"/>
      <c r="AR4436" s="74"/>
      <c r="AS4436" s="53">
        <f>P_2_minQ+(AS4433^2*R_dn)-dpdn_minQ</f>
        <v>9032.3096876392301</v>
      </c>
      <c r="AT4436" s="45"/>
      <c r="AU4436" s="74"/>
    </row>
    <row r="4437" spans="15:47" x14ac:dyDescent="0.25">
      <c r="O4437" s="6" t="s">
        <v>243</v>
      </c>
      <c r="Q4437" s="60"/>
      <c r="R4437" s="53">
        <f>R4435-R4436</f>
        <v>-164.55654705579516</v>
      </c>
      <c r="S4437" s="56"/>
      <c r="T4437" s="72"/>
      <c r="U4437" s="64">
        <f>U4435-U4436</f>
        <v>-60.441468927201598</v>
      </c>
      <c r="V4437" s="44"/>
      <c r="W4437" s="72"/>
      <c r="X4437" s="64">
        <f>X4435-X4436</f>
        <v>-501.86876798779178</v>
      </c>
      <c r="Y4437" s="44"/>
      <c r="Z4437" s="72"/>
      <c r="AA4437" s="64">
        <f>AA4435-AA4436</f>
        <v>-1915.0011112117436</v>
      </c>
      <c r="AB4437" s="44"/>
      <c r="AC4437" s="72"/>
      <c r="AD4437" s="64">
        <f>AD4435-AD4436</f>
        <v>-5234.7177121939039</v>
      </c>
      <c r="AE4437" s="44"/>
      <c r="AF4437" s="72"/>
      <c r="AG4437" s="64">
        <f>AG4435-AG4436</f>
        <v>-11643.128878943904</v>
      </c>
      <c r="AH4437" s="44"/>
      <c r="AI4437" s="72"/>
      <c r="AJ4437" s="64">
        <f>AJ4435-AJ4436</f>
        <v>-20760.446529197347</v>
      </c>
      <c r="AK4437" s="44"/>
      <c r="AL4437" s="72"/>
      <c r="AM4437" s="64">
        <f>AM4435-AM4436</f>
        <v>-30925.246367377298</v>
      </c>
      <c r="AN4437" s="44"/>
      <c r="AO4437" s="72"/>
      <c r="AP4437" s="64">
        <f>AP4435-AP4436</f>
        <v>-41693.781160174098</v>
      </c>
      <c r="AQ4437" s="44"/>
      <c r="AR4437" s="72"/>
      <c r="AS4437" s="64">
        <f>AS4435-AS4436</f>
        <v>-54013.658125835384</v>
      </c>
      <c r="AT4437" s="44"/>
      <c r="AU4437" s="72"/>
    </row>
    <row r="4438" spans="15:47" ht="13" x14ac:dyDescent="0.3">
      <c r="O4438" s="6" t="s">
        <v>75</v>
      </c>
      <c r="P4438" s="6">
        <v>3</v>
      </c>
      <c r="Q4438" s="65"/>
      <c r="R4438" s="85">
        <f>(F_LP_h/F_P_h)^2*(R4435-('Valve Sizing'!$V$4*'Valve Sizing'!$G$7))</f>
        <v>-89.046429838393365</v>
      </c>
      <c r="S4438" s="58"/>
      <c r="T4438" s="73"/>
      <c r="U4438" s="53">
        <f>(U$29/U$27)^2*(U4435-('Valve Sizing'!$V$4*'Valve Sizing'!$G$7))</f>
        <v>-17.197783084792526</v>
      </c>
      <c r="V4438" s="41"/>
      <c r="W4438" s="73"/>
      <c r="X4438" s="53">
        <f>(X$29/X$27)^2*(X4435-('Valve Sizing'!$V$4*'Valve Sizing'!$G$7))</f>
        <v>-314.46191443575754</v>
      </c>
      <c r="Y4438" s="41"/>
      <c r="Z4438" s="73"/>
      <c r="AA4438" s="53">
        <f>(AA$29/AA$27)^2*(AA4435-('Valve Sizing'!$V$4*'Valve Sizing'!$G$7))</f>
        <v>-1210.3866801566573</v>
      </c>
      <c r="AB4438" s="41"/>
      <c r="AC4438" s="73"/>
      <c r="AD4438" s="53">
        <f>(AD$29/AD$27)^2*(AD4435-('Valve Sizing'!$V$4*'Valve Sizing'!$G$7))</f>
        <v>-3124.6681140485939</v>
      </c>
      <c r="AE4438" s="41"/>
      <c r="AF4438" s="73"/>
      <c r="AG4438" s="53">
        <f>(AG$29/AG$27)^2*(AG4435-('Valve Sizing'!$V$4*'Valve Sizing'!$G$7))</f>
        <v>-6229.8462359202449</v>
      </c>
      <c r="AH4438" s="41"/>
      <c r="AI4438" s="73"/>
      <c r="AJ4438" s="53">
        <f>(AJ$29/AJ$27)^2*(AJ4435-('Valve Sizing'!$V$4*'Valve Sizing'!$G$7))</f>
        <v>-9988.8025197358638</v>
      </c>
      <c r="AK4438" s="41"/>
      <c r="AL4438" s="73"/>
      <c r="AM4438" s="53">
        <f>(AM$29/AM$27)^2*(AM4435-('Valve Sizing'!$V$4*'Valve Sizing'!$G$7))</f>
        <v>-12316.564689430224</v>
      </c>
      <c r="AN4438" s="41"/>
      <c r="AO4438" s="73"/>
      <c r="AP4438" s="53">
        <f>(AP$29/AP$27)^2*(AP4435-('Valve Sizing'!$V$4*'Valve Sizing'!$G$7))</f>
        <v>-13699.558849359188</v>
      </c>
      <c r="AQ4438" s="41"/>
      <c r="AR4438" s="73"/>
      <c r="AS4438" s="53">
        <f>(AS$29/AS$27)^2*(AS4435-('Valve Sizing'!$V$4*'Valve Sizing'!$G$7))</f>
        <v>-16919.485645044755</v>
      </c>
      <c r="AT4438" s="41"/>
      <c r="AU4438" s="73"/>
    </row>
    <row r="4439" spans="15:47" ht="13" x14ac:dyDescent="0.25">
      <c r="O4439" s="1" t="s">
        <v>69</v>
      </c>
      <c r="P4439" s="17">
        <v>7</v>
      </c>
      <c r="Q4439" s="65"/>
      <c r="R4439" s="53" t="e">
        <f>(R4433/(N_1*F_P_h))*SQRT('Valve Sizing'!$G$6/R4437)</f>
        <v>#NUM!</v>
      </c>
      <c r="S4439" s="58"/>
      <c r="T4439" s="73"/>
      <c r="U4439" s="64" t="e">
        <f>(U4433/(N_1*U$27))*SQRT('Valve Sizing'!$G$6/U4437)</f>
        <v>#NUM!</v>
      </c>
      <c r="V4439" s="41"/>
      <c r="W4439" s="73"/>
      <c r="X4439" s="64" t="e">
        <f>(X4433/(N_1*X$27))*SQRT('Valve Sizing'!$G$6/X4437)</f>
        <v>#NUM!</v>
      </c>
      <c r="Y4439" s="41"/>
      <c r="Z4439" s="73"/>
      <c r="AA4439" s="64" t="e">
        <f>(AA4433/(N_1*AA$27))*SQRT('Valve Sizing'!$G$6/AA4437)</f>
        <v>#NUM!</v>
      </c>
      <c r="AB4439" s="41"/>
      <c r="AC4439" s="73"/>
      <c r="AD4439" s="64" t="e">
        <f>(AD4433/(N_1*AD$27))*SQRT('Valve Sizing'!$G$6/AD4437)</f>
        <v>#NUM!</v>
      </c>
      <c r="AE4439" s="41"/>
      <c r="AF4439" s="73"/>
      <c r="AG4439" s="64" t="e">
        <f>(AG4433/(N_1*AG$27))*SQRT('Valve Sizing'!$G$6/AG4437)</f>
        <v>#NUM!</v>
      </c>
      <c r="AH4439" s="41"/>
      <c r="AI4439" s="73"/>
      <c r="AJ4439" s="64" t="e">
        <f>(AJ4433/(N_1*AJ$27))*SQRT('Valve Sizing'!$G$6/AJ4437)</f>
        <v>#NUM!</v>
      </c>
      <c r="AK4439" s="41"/>
      <c r="AL4439" s="73"/>
      <c r="AM4439" s="64" t="e">
        <f>(AM4433/(N_1*AM$27))*SQRT('Valve Sizing'!$G$6/AM4437)</f>
        <v>#NUM!</v>
      </c>
      <c r="AN4439" s="41"/>
      <c r="AO4439" s="73"/>
      <c r="AP4439" s="64" t="e">
        <f>(AP4433/(N_1*AP$27))*SQRT('Valve Sizing'!$G$6/AP4437)</f>
        <v>#NUM!</v>
      </c>
      <c r="AQ4439" s="41"/>
      <c r="AR4439" s="73"/>
      <c r="AS4439" s="64" t="e">
        <f>(AS4433/(N_1*AS$27))*SQRT('Valve Sizing'!$G$6/AS4437)</f>
        <v>#NUM!</v>
      </c>
      <c r="AT4439" s="41"/>
      <c r="AU4439" s="73"/>
    </row>
    <row r="4440" spans="15:47" ht="13" x14ac:dyDescent="0.3">
      <c r="O4440" s="1" t="s">
        <v>72</v>
      </c>
      <c r="P4440" s="17">
        <v>7</v>
      </c>
      <c r="Q4440" s="65"/>
      <c r="R4440" s="53" t="e">
        <f>(R4433/(N_1*F_P_h))*SQRT('Valve Sizing'!$G$6/R4438)</f>
        <v>#NUM!</v>
      </c>
      <c r="S4440" s="56"/>
      <c r="T4440" s="72"/>
      <c r="U4440" s="85" t="e">
        <f>(U4433/(N_1*U$27))*SQRT('Valve Sizing'!$G$6/U4438)</f>
        <v>#NUM!</v>
      </c>
      <c r="V4440" s="44"/>
      <c r="W4440" s="72"/>
      <c r="X4440" s="85" t="e">
        <f>(X4433/(N_1*X$27))*SQRT('Valve Sizing'!$G$6/X4438)</f>
        <v>#NUM!</v>
      </c>
      <c r="Y4440" s="44"/>
      <c r="Z4440" s="72"/>
      <c r="AA4440" s="85" t="e">
        <f>(AA4433/(N_1*AA$27))*SQRT('Valve Sizing'!$G$6/AA4438)</f>
        <v>#NUM!</v>
      </c>
      <c r="AB4440" s="44"/>
      <c r="AC4440" s="72"/>
      <c r="AD4440" s="85" t="e">
        <f>(AD4433/(N_1*AD$27))*SQRT('Valve Sizing'!$G$6/AD4438)</f>
        <v>#NUM!</v>
      </c>
      <c r="AE4440" s="44"/>
      <c r="AF4440" s="72"/>
      <c r="AG4440" s="85" t="e">
        <f>(AG4433/(N_1*AG$27))*SQRT('Valve Sizing'!$G$6/AG4438)</f>
        <v>#NUM!</v>
      </c>
      <c r="AH4440" s="44"/>
      <c r="AI4440" s="72"/>
      <c r="AJ4440" s="85" t="e">
        <f>(AJ4433/(N_1*AJ$27))*SQRT('Valve Sizing'!$G$6/AJ4438)</f>
        <v>#NUM!</v>
      </c>
      <c r="AK4440" s="44"/>
      <c r="AL4440" s="72"/>
      <c r="AM4440" s="85" t="e">
        <f>(AM4433/(N_1*AM$27))*SQRT('Valve Sizing'!$G$6/AM4438)</f>
        <v>#NUM!</v>
      </c>
      <c r="AN4440" s="44"/>
      <c r="AO4440" s="72"/>
      <c r="AP4440" s="85" t="e">
        <f>(AP4433/(N_1*AP$27))*SQRT('Valve Sizing'!$G$6/AP4438)</f>
        <v>#NUM!</v>
      </c>
      <c r="AQ4440" s="44"/>
      <c r="AR4440" s="72"/>
      <c r="AS4440" s="85" t="e">
        <f>(AS4433/(N_1*AS$27))*SQRT('Valve Sizing'!$G$6/AS4438)</f>
        <v>#NUM!</v>
      </c>
      <c r="AT4440" s="44"/>
      <c r="AU4440" s="72"/>
    </row>
    <row r="4441" spans="15:47" x14ac:dyDescent="0.25">
      <c r="O4441" s="1" t="s">
        <v>246</v>
      </c>
      <c r="P4441" s="18"/>
      <c r="Q4441" s="65"/>
      <c r="R4441" s="53" t="e">
        <f>IF(R4437&lt;R4438,R4439,R4440)</f>
        <v>#NUM!</v>
      </c>
      <c r="S4441" s="49"/>
      <c r="T4441" s="72"/>
      <c r="U4441" s="64" t="e">
        <f>IF(U4437&lt;U4438,U4439,U4440)</f>
        <v>#NUM!</v>
      </c>
      <c r="V4441" s="44"/>
      <c r="W4441" s="72"/>
      <c r="X4441" s="64" t="e">
        <f>IF(X4437&lt;X4438,X4439,X4440)</f>
        <v>#NUM!</v>
      </c>
      <c r="Y4441" s="44"/>
      <c r="Z4441" s="72"/>
      <c r="AA4441" s="64" t="e">
        <f>IF(AA4437&lt;AA4438,AA4439,AA4440)</f>
        <v>#NUM!</v>
      </c>
      <c r="AB4441" s="44"/>
      <c r="AC4441" s="72"/>
      <c r="AD4441" s="64" t="e">
        <f>IF(AD4437&lt;AD4438,AD4439,AD4440)</f>
        <v>#NUM!</v>
      </c>
      <c r="AE4441" s="44"/>
      <c r="AF4441" s="72"/>
      <c r="AG4441" s="64" t="e">
        <f>IF(AG4437&lt;AG4438,AG4439,AG4440)</f>
        <v>#NUM!</v>
      </c>
      <c r="AH4441" s="44"/>
      <c r="AI4441" s="72"/>
      <c r="AJ4441" s="64" t="e">
        <f>IF(AJ4437&lt;AJ4438,AJ4439,AJ4440)</f>
        <v>#NUM!</v>
      </c>
      <c r="AK4441" s="44"/>
      <c r="AL4441" s="72"/>
      <c r="AM4441" s="64" t="e">
        <f>IF(AM4437&lt;AM4438,AM4439,AM4440)</f>
        <v>#NUM!</v>
      </c>
      <c r="AN4441" s="44"/>
      <c r="AO4441" s="72"/>
      <c r="AP4441" s="64" t="e">
        <f>IF(AP4437&lt;AP4438,AP4439,AP4440)</f>
        <v>#NUM!</v>
      </c>
      <c r="AQ4441" s="44"/>
      <c r="AR4441" s="72"/>
      <c r="AS4441" s="64" t="e">
        <f>IF(AS4437&lt;AS4438,AS4439,AS4440)</f>
        <v>#NUM!</v>
      </c>
      <c r="AT4441" s="44"/>
      <c r="AU4441" s="72"/>
    </row>
    <row r="4442" spans="15:47" ht="13" x14ac:dyDescent="0.3">
      <c r="O4442" s="7" t="s">
        <v>264</v>
      </c>
      <c r="Q4442" s="61"/>
      <c r="R4442" s="53"/>
      <c r="S4442" s="69">
        <f>IFERROR(ABS(C_h-R4441),Q_max*10)</f>
        <v>5500</v>
      </c>
      <c r="T4442" s="76">
        <f>R4433</f>
        <v>2203.7315622828805</v>
      </c>
      <c r="U4442" s="61"/>
      <c r="V4442" s="69">
        <f>IFERROR(ABS(U$23-U4441),Q_max*10)</f>
        <v>5500</v>
      </c>
      <c r="W4442" s="75">
        <f>U4433</f>
        <v>1512.4130539567223</v>
      </c>
      <c r="X4442" s="61"/>
      <c r="Y4442" s="69">
        <f>IFERROR(ABS(X$23-X4441),Q_max*10)</f>
        <v>5500</v>
      </c>
      <c r="Z4442" s="75">
        <f>X4433</f>
        <v>3630.3735138548432</v>
      </c>
      <c r="AA4442" s="61"/>
      <c r="AB4442" s="69">
        <f>IFERROR(ABS(AA$23-AA4441),Q_max*10)</f>
        <v>5500</v>
      </c>
      <c r="AC4442" s="75">
        <f>AA4433</f>
        <v>6931.7135269101946</v>
      </c>
      <c r="AD4442" s="61"/>
      <c r="AE4442" s="69">
        <f>IFERROR(ABS(AD$23-AD4441),Q_max*10)</f>
        <v>5500</v>
      </c>
      <c r="AF4442" s="75">
        <f>AD4433</f>
        <v>11400.116646262202</v>
      </c>
      <c r="AG4442" s="61"/>
      <c r="AH4442" s="69">
        <f>IFERROR(ABS(AG$23-AG4441),Q_max*10)</f>
        <v>5500</v>
      </c>
      <c r="AI4442" s="75">
        <f>AG4433</f>
        <v>16973.220233295178</v>
      </c>
      <c r="AJ4442" s="61"/>
      <c r="AK4442" s="69">
        <f>IFERROR(ABS(AJ$23-AJ4441),Q_max*10)</f>
        <v>5500</v>
      </c>
      <c r="AL4442" s="75">
        <f>AJ4433</f>
        <v>22650.828199161824</v>
      </c>
      <c r="AM4442" s="61"/>
      <c r="AN4442" s="69">
        <f>IFERROR(ABS(AM$23-AM4441),Q_max*10)</f>
        <v>5500</v>
      </c>
      <c r="AO4442" s="75">
        <f>AM4433</f>
        <v>27638.314965189806</v>
      </c>
      <c r="AP4442" s="61"/>
      <c r="AQ4442" s="69">
        <f>IFERROR(ABS(AP$23-AP4441),Q_max*10)</f>
        <v>5500</v>
      </c>
      <c r="AR4442" s="75">
        <f>AP4433</f>
        <v>32087.225653323407</v>
      </c>
      <c r="AS4442" s="61"/>
      <c r="AT4442" s="69">
        <f>IFERROR(ABS(AS$23-AS4441),Q_max*10)</f>
        <v>5500</v>
      </c>
      <c r="AU4442" s="75">
        <f>AS4433</f>
        <v>36518.255903794037</v>
      </c>
    </row>
    <row r="4443" spans="15:47" ht="14.5" x14ac:dyDescent="0.35">
      <c r="O4443" s="6"/>
      <c r="P4443" s="6"/>
      <c r="Q4443" s="60"/>
      <c r="R4443" s="67"/>
      <c r="S4443" s="66"/>
      <c r="T4443" s="74"/>
      <c r="V4443" s="11"/>
      <c r="W4443" s="38"/>
      <c r="Y4443" s="11"/>
      <c r="Z4443" s="38"/>
      <c r="AB4443" s="11"/>
      <c r="AC4443" s="38"/>
      <c r="AE4443" s="11"/>
      <c r="AF4443" s="38"/>
      <c r="AH4443" s="11"/>
      <c r="AI4443" s="38"/>
      <c r="AK4443" s="11"/>
      <c r="AL4443" s="38"/>
      <c r="AN4443" s="11"/>
      <c r="AO4443" s="38"/>
      <c r="AQ4443" s="11"/>
      <c r="AR4443" s="38"/>
      <c r="AT4443" s="11"/>
      <c r="AU4443" s="38"/>
    </row>
    <row r="4444" spans="15:47" ht="14" x14ac:dyDescent="0.3">
      <c r="O4444" s="8" t="s">
        <v>235</v>
      </c>
      <c r="P4444" s="6"/>
      <c r="Q4444" s="60"/>
      <c r="R4444" s="53">
        <f>R4433*1.02</f>
        <v>2247.8061935285382</v>
      </c>
      <c r="S4444" s="58" t="s">
        <v>238</v>
      </c>
      <c r="T4444" s="73" t="s">
        <v>241</v>
      </c>
      <c r="U4444" s="84">
        <f>U4433*1.01</f>
        <v>1527.5371844962895</v>
      </c>
      <c r="V4444" s="58" t="s">
        <v>238</v>
      </c>
      <c r="W4444" s="73" t="s">
        <v>241</v>
      </c>
      <c r="X4444" s="84">
        <f>X4433*1.01</f>
        <v>3666.6772489933915</v>
      </c>
      <c r="Y4444" s="58" t="s">
        <v>238</v>
      </c>
      <c r="Z4444" s="73" t="s">
        <v>241</v>
      </c>
      <c r="AA4444" s="84">
        <f>AA4433*1.01</f>
        <v>7001.030662179297</v>
      </c>
      <c r="AB4444" s="58" t="s">
        <v>238</v>
      </c>
      <c r="AC4444" s="73" t="s">
        <v>241</v>
      </c>
      <c r="AD4444" s="84">
        <f>AD4433*1.01</f>
        <v>11514.117812724824</v>
      </c>
      <c r="AE4444" s="58" t="s">
        <v>238</v>
      </c>
      <c r="AF4444" s="73" t="s">
        <v>241</v>
      </c>
      <c r="AG4444" s="84">
        <f>AG4433*1.01</f>
        <v>17142.952435628129</v>
      </c>
      <c r="AH4444" s="58" t="s">
        <v>238</v>
      </c>
      <c r="AI4444" s="73" t="s">
        <v>241</v>
      </c>
      <c r="AJ4444" s="84">
        <f>AJ4433*1.01</f>
        <v>22877.336481153441</v>
      </c>
      <c r="AK4444" s="58" t="s">
        <v>238</v>
      </c>
      <c r="AL4444" s="73" t="s">
        <v>241</v>
      </c>
      <c r="AM4444" s="84">
        <f>AM4433*1.01</f>
        <v>27914.698114841704</v>
      </c>
      <c r="AN4444" s="58" t="s">
        <v>238</v>
      </c>
      <c r="AO4444" s="73" t="s">
        <v>241</v>
      </c>
      <c r="AP4444" s="84">
        <f>AP4433*1.01</f>
        <v>32408.097909856642</v>
      </c>
      <c r="AQ4444" s="58" t="s">
        <v>238</v>
      </c>
      <c r="AR4444" s="73" t="s">
        <v>241</v>
      </c>
      <c r="AS4444" s="84">
        <f>AS4433*1.01</f>
        <v>36883.438462831975</v>
      </c>
      <c r="AT4444" s="58" t="s">
        <v>238</v>
      </c>
      <c r="AU4444" s="73" t="s">
        <v>241</v>
      </c>
    </row>
    <row r="4445" spans="15:47" ht="13" x14ac:dyDescent="0.25">
      <c r="O4445" s="6"/>
      <c r="P4445" s="6"/>
      <c r="Q4445" s="60"/>
      <c r="R4445" s="70"/>
      <c r="S4445" s="63" t="s">
        <v>250</v>
      </c>
      <c r="T4445" s="71" t="s">
        <v>242</v>
      </c>
      <c r="U4445" s="61"/>
      <c r="V4445" s="63" t="s">
        <v>250</v>
      </c>
      <c r="W4445" s="71" t="s">
        <v>242</v>
      </c>
      <c r="X4445" s="61"/>
      <c r="Y4445" s="63" t="s">
        <v>250</v>
      </c>
      <c r="Z4445" s="71" t="s">
        <v>242</v>
      </c>
      <c r="AA4445" s="61"/>
      <c r="AB4445" s="63" t="s">
        <v>250</v>
      </c>
      <c r="AC4445" s="71" t="s">
        <v>242</v>
      </c>
      <c r="AD4445" s="61"/>
      <c r="AE4445" s="63" t="s">
        <v>250</v>
      </c>
      <c r="AF4445" s="71" t="s">
        <v>242</v>
      </c>
      <c r="AG4445" s="61"/>
      <c r="AH4445" s="63" t="s">
        <v>250</v>
      </c>
      <c r="AI4445" s="71" t="s">
        <v>242</v>
      </c>
      <c r="AJ4445" s="61"/>
      <c r="AK4445" s="63" t="s">
        <v>250</v>
      </c>
      <c r="AL4445" s="71" t="s">
        <v>242</v>
      </c>
      <c r="AM4445" s="61"/>
      <c r="AN4445" s="63" t="s">
        <v>250</v>
      </c>
      <c r="AO4445" s="71" t="s">
        <v>242</v>
      </c>
      <c r="AP4445" s="61"/>
      <c r="AQ4445" s="63" t="s">
        <v>250</v>
      </c>
      <c r="AR4445" s="71" t="s">
        <v>242</v>
      </c>
      <c r="AS4445" s="61"/>
      <c r="AT4445" s="63" t="s">
        <v>250</v>
      </c>
      <c r="AU4445" s="71" t="s">
        <v>242</v>
      </c>
    </row>
    <row r="4446" spans="15:47" ht="13" x14ac:dyDescent="0.3">
      <c r="O4446" s="6" t="s">
        <v>231</v>
      </c>
      <c r="P4446" s="6"/>
      <c r="Q4446" s="60"/>
      <c r="R4446" s="85">
        <f>P_1_minQ-(R4444^2*R_up)+dpup_minQ</f>
        <v>-113.72325848244702</v>
      </c>
      <c r="S4446" s="56"/>
      <c r="T4446" s="72"/>
      <c r="U4446" s="53">
        <f>P_1_minQ-(U4444^2*R_up)+dpup_minQ</f>
        <v>-21.887296522082099</v>
      </c>
      <c r="V4446" s="44"/>
      <c r="W4446" s="72"/>
      <c r="X4446" s="53">
        <f>P_1_minQ-(X4444^2*R_up)+dpup_minQ</f>
        <v>-397.13728633183877</v>
      </c>
      <c r="Y4446" s="44"/>
      <c r="Z4446" s="72"/>
      <c r="AA4446" s="53">
        <f>P_1_minQ-(AA4444^2*R_up)+dpup_minQ</f>
        <v>-1598.4175391008</v>
      </c>
      <c r="AB4446" s="44"/>
      <c r="AC4446" s="72"/>
      <c r="AD4446" s="53">
        <f>P_1_minQ-(AD4444^2*R_up)+dpup_minQ</f>
        <v>-4420.4532929857187</v>
      </c>
      <c r="AE4446" s="44"/>
      <c r="AF4446" s="72"/>
      <c r="AG4446" s="53">
        <f>P_1_minQ-(AG4444^2*R_up)+dpup_minQ</f>
        <v>-9868.1368189871137</v>
      </c>
      <c r="AH4446" s="44"/>
      <c r="AI4446" s="72"/>
      <c r="AJ4446" s="53">
        <f>P_1_minQ-(AJ4444^2*R_up)+dpup_minQ</f>
        <v>-17618.616598173394</v>
      </c>
      <c r="AK4446" s="44"/>
      <c r="AL4446" s="72"/>
      <c r="AM4446" s="53">
        <f>P_1_minQ-(AM4444^2*R_up)+dpup_minQ</f>
        <v>-26259.543527279533</v>
      </c>
      <c r="AN4446" s="44"/>
      <c r="AO4446" s="72"/>
      <c r="AP4446" s="53">
        <f>P_1_minQ-(AP4444^2*R_up)+dpup_minQ</f>
        <v>-35413.695479056216</v>
      </c>
      <c r="AQ4446" s="44"/>
      <c r="AR4446" s="72"/>
      <c r="AS4446" s="53">
        <f>P_1_minQ-(AS4444^2*R_up)+dpup_minQ</f>
        <v>-45886.617556282108</v>
      </c>
      <c r="AT4446" s="44"/>
      <c r="AU4446" s="72"/>
    </row>
    <row r="4447" spans="15:47" ht="13" x14ac:dyDescent="0.3">
      <c r="O4447" s="6" t="s">
        <v>233</v>
      </c>
      <c r="P4447" s="6"/>
      <c r="Q4447" s="60"/>
      <c r="R4447" s="85">
        <f>P_2_minQ+(R4444^2*R_dn)-dpdn_minQ</f>
        <v>58.784651696489405</v>
      </c>
      <c r="S4447" s="66"/>
      <c r="T4447" s="74"/>
      <c r="U4447" s="53">
        <f>P_2_minQ+(U4444^2*R_dn)-dpdn_minQ</f>
        <v>40.417459304416425</v>
      </c>
      <c r="V4447" s="45"/>
      <c r="W4447" s="74"/>
      <c r="X4447" s="53">
        <f>P_2_minQ+(X4444^2*R_dn)-dpdn_minQ</f>
        <v>115.46745726636775</v>
      </c>
      <c r="Y4447" s="45"/>
      <c r="Z4447" s="74"/>
      <c r="AA4447" s="53">
        <f>P_2_minQ+(AA4444^2*R_dn)-dpdn_minQ</f>
        <v>355.72350782015991</v>
      </c>
      <c r="AB4447" s="45"/>
      <c r="AC4447" s="74"/>
      <c r="AD4447" s="53">
        <f>P_2_minQ+(AD4444^2*R_dn)-dpdn_minQ</f>
        <v>920.13065859714345</v>
      </c>
      <c r="AE4447" s="45"/>
      <c r="AF4447" s="74"/>
      <c r="AG4447" s="53">
        <f>P_2_minQ+(AG4444^2*R_dn)-dpdn_minQ</f>
        <v>2009.6673637974227</v>
      </c>
      <c r="AH4447" s="45"/>
      <c r="AI4447" s="74"/>
      <c r="AJ4447" s="53">
        <f>P_2_minQ+(AJ4444^2*R_dn)-dpdn_minQ</f>
        <v>3559.7633196346778</v>
      </c>
      <c r="AK4447" s="45"/>
      <c r="AL4447" s="74"/>
      <c r="AM4447" s="53">
        <f>P_2_minQ+(AM4444^2*R_dn)-dpdn_minQ</f>
        <v>5287.9487054559067</v>
      </c>
      <c r="AN4447" s="45"/>
      <c r="AO4447" s="74"/>
      <c r="AP4447" s="53">
        <f>P_2_minQ+(AP4444^2*R_dn)-dpdn_minQ</f>
        <v>7118.7790958112419</v>
      </c>
      <c r="AQ4447" s="45"/>
      <c r="AR4447" s="74"/>
      <c r="AS4447" s="53">
        <f>P_2_minQ+(AS4444^2*R_dn)-dpdn_minQ</f>
        <v>9213.3635112564225</v>
      </c>
      <c r="AT4447" s="45"/>
      <c r="AU4447" s="74"/>
    </row>
    <row r="4448" spans="15:47" x14ac:dyDescent="0.25">
      <c r="O4448" s="6" t="s">
        <v>243</v>
      </c>
      <c r="Q4448" s="60"/>
      <c r="R4448" s="53">
        <f>R4446-R4447</f>
        <v>-172.50791017893641</v>
      </c>
      <c r="S4448" s="56"/>
      <c r="T4448" s="72"/>
      <c r="U4448" s="64">
        <f>U4446-U4447</f>
        <v>-62.304755826498521</v>
      </c>
      <c r="V4448" s="44"/>
      <c r="W4448" s="72"/>
      <c r="X4448" s="64">
        <f>X4446-X4447</f>
        <v>-512.60474359820648</v>
      </c>
      <c r="Y4448" s="44"/>
      <c r="Z4448" s="72"/>
      <c r="AA4448" s="64">
        <f>AA4446-AA4447</f>
        <v>-1954.14104692096</v>
      </c>
      <c r="AB4448" s="44"/>
      <c r="AC4448" s="72"/>
      <c r="AD4448" s="64">
        <f>AD4446-AD4447</f>
        <v>-5340.583951582862</v>
      </c>
      <c r="AE4448" s="44"/>
      <c r="AF4448" s="72"/>
      <c r="AG4448" s="64">
        <f>AG4446-AG4447</f>
        <v>-11877.804182784537</v>
      </c>
      <c r="AH4448" s="44"/>
      <c r="AI4448" s="72"/>
      <c r="AJ4448" s="64">
        <f>AJ4446-AJ4447</f>
        <v>-21178.379917808074</v>
      </c>
      <c r="AK4448" s="44"/>
      <c r="AL4448" s="72"/>
      <c r="AM4448" s="64">
        <f>AM4446-AM4447</f>
        <v>-31547.49223273544</v>
      </c>
      <c r="AN4448" s="44"/>
      <c r="AO4448" s="72"/>
      <c r="AP4448" s="64">
        <f>AP4446-AP4447</f>
        <v>-42532.474574867461</v>
      </c>
      <c r="AQ4448" s="44"/>
      <c r="AR4448" s="72"/>
      <c r="AS4448" s="64">
        <f>AS4446-AS4447</f>
        <v>-55099.981067538531</v>
      </c>
      <c r="AT4448" s="44"/>
      <c r="AU4448" s="72"/>
    </row>
    <row r="4449" spans="15:47" ht="13" x14ac:dyDescent="0.3">
      <c r="O4449" s="6" t="s">
        <v>75</v>
      </c>
      <c r="P4449" s="6">
        <v>3</v>
      </c>
      <c r="Q4449" s="65"/>
      <c r="R4449" s="85">
        <f>(F_LP_h/F_P_h)^2*(R4446-('Valve Sizing'!$V$4*'Valve Sizing'!$G$7))</f>
        <v>-94.533218198829843</v>
      </c>
      <c r="S4449" s="58"/>
      <c r="T4449" s="73"/>
      <c r="U4449" s="53">
        <f>(U$29/U$27)^2*(U4446-('Valve Sizing'!$V$4*'Valve Sizing'!$G$7))</f>
        <v>-18.483182106298749</v>
      </c>
      <c r="V4449" s="41"/>
      <c r="W4449" s="73"/>
      <c r="X4449" s="53">
        <f>(X$29/X$27)^2*(X4446-('Valve Sizing'!$V$4*'Valve Sizing'!$G$7))</f>
        <v>-321.70112521719449</v>
      </c>
      <c r="Y4449" s="41"/>
      <c r="Z4449" s="73"/>
      <c r="AA4449" s="53">
        <f>(AA$29/AA$27)^2*(AA4446-('Valve Sizing'!$V$4*'Valve Sizing'!$G$7))</f>
        <v>-1235.5927081233497</v>
      </c>
      <c r="AB4449" s="41"/>
      <c r="AC4449" s="73"/>
      <c r="AD4449" s="53">
        <f>(AD$29/AD$27)^2*(AD4446-('Valve Sizing'!$V$4*'Valve Sizing'!$G$7))</f>
        <v>-3188.2926129588973</v>
      </c>
      <c r="AE4449" s="41"/>
      <c r="AF4449" s="73"/>
      <c r="AG4449" s="53">
        <f>(AG$29/AG$27)^2*(AG4446-('Valve Sizing'!$V$4*'Valve Sizing'!$G$7))</f>
        <v>-6355.7972441957581</v>
      </c>
      <c r="AH4449" s="41"/>
      <c r="AI4449" s="73"/>
      <c r="AJ4449" s="53">
        <f>(AJ$29/AJ$27)^2*(AJ4446-('Valve Sizing'!$V$4*'Valve Sizing'!$G$7))</f>
        <v>-10190.233991831261</v>
      </c>
      <c r="AK4449" s="41"/>
      <c r="AL4449" s="73"/>
      <c r="AM4449" s="53">
        <f>(AM$29/AM$27)^2*(AM4446-('Valve Sizing'!$V$4*'Valve Sizing'!$G$7))</f>
        <v>-12564.670786591691</v>
      </c>
      <c r="AN4449" s="41"/>
      <c r="AO4449" s="73"/>
      <c r="AP4449" s="53">
        <f>(AP$29/AP$27)^2*(AP4446-('Valve Sizing'!$V$4*'Valve Sizing'!$G$7))</f>
        <v>-13975.367950498208</v>
      </c>
      <c r="AQ4449" s="41"/>
      <c r="AR4449" s="73"/>
      <c r="AS4449" s="53">
        <f>(AS$29/AS$27)^2*(AS4446-('Valve Sizing'!$V$4*'Valve Sizing'!$G$7))</f>
        <v>-17259.994289999267</v>
      </c>
      <c r="AT4449" s="41"/>
      <c r="AU4449" s="73"/>
    </row>
    <row r="4450" spans="15:47" ht="13" x14ac:dyDescent="0.25">
      <c r="O4450" s="1" t="s">
        <v>69</v>
      </c>
      <c r="P4450" s="17">
        <v>7</v>
      </c>
      <c r="Q4450" s="65"/>
      <c r="R4450" s="53" t="e">
        <f>(R4444/(N_1*F_P_h))*SQRT('Valve Sizing'!$G$6/R4448)</f>
        <v>#NUM!</v>
      </c>
      <c r="S4450" s="58"/>
      <c r="T4450" s="73"/>
      <c r="U4450" s="64" t="e">
        <f>(U4444/(N_1*U$27))*SQRT('Valve Sizing'!$G$6/U4448)</f>
        <v>#NUM!</v>
      </c>
      <c r="V4450" s="41"/>
      <c r="W4450" s="73"/>
      <c r="X4450" s="64" t="e">
        <f>(X4444/(N_1*X$27))*SQRT('Valve Sizing'!$G$6/X4448)</f>
        <v>#NUM!</v>
      </c>
      <c r="Y4450" s="41"/>
      <c r="Z4450" s="73"/>
      <c r="AA4450" s="64" t="e">
        <f>(AA4444/(N_1*AA$27))*SQRT('Valve Sizing'!$G$6/AA4448)</f>
        <v>#NUM!</v>
      </c>
      <c r="AB4450" s="41"/>
      <c r="AC4450" s="73"/>
      <c r="AD4450" s="64" t="e">
        <f>(AD4444/(N_1*AD$27))*SQRT('Valve Sizing'!$G$6/AD4448)</f>
        <v>#NUM!</v>
      </c>
      <c r="AE4450" s="41"/>
      <c r="AF4450" s="73"/>
      <c r="AG4450" s="64" t="e">
        <f>(AG4444/(N_1*AG$27))*SQRT('Valve Sizing'!$G$6/AG4448)</f>
        <v>#NUM!</v>
      </c>
      <c r="AH4450" s="41"/>
      <c r="AI4450" s="73"/>
      <c r="AJ4450" s="64" t="e">
        <f>(AJ4444/(N_1*AJ$27))*SQRT('Valve Sizing'!$G$6/AJ4448)</f>
        <v>#NUM!</v>
      </c>
      <c r="AK4450" s="41"/>
      <c r="AL4450" s="73"/>
      <c r="AM4450" s="64" t="e">
        <f>(AM4444/(N_1*AM$27))*SQRT('Valve Sizing'!$G$6/AM4448)</f>
        <v>#NUM!</v>
      </c>
      <c r="AN4450" s="41"/>
      <c r="AO4450" s="73"/>
      <c r="AP4450" s="64" t="e">
        <f>(AP4444/(N_1*AP$27))*SQRT('Valve Sizing'!$G$6/AP4448)</f>
        <v>#NUM!</v>
      </c>
      <c r="AQ4450" s="41"/>
      <c r="AR4450" s="73"/>
      <c r="AS4450" s="64" t="e">
        <f>(AS4444/(N_1*AS$27))*SQRT('Valve Sizing'!$G$6/AS4448)</f>
        <v>#NUM!</v>
      </c>
      <c r="AT4450" s="41"/>
      <c r="AU4450" s="73"/>
    </row>
    <row r="4451" spans="15:47" ht="13" x14ac:dyDescent="0.3">
      <c r="O4451" s="1" t="s">
        <v>72</v>
      </c>
      <c r="P4451" s="17">
        <v>7</v>
      </c>
      <c r="Q4451" s="65"/>
      <c r="R4451" s="53" t="e">
        <f>(R4444/(N_1*F_P_h))*SQRT('Valve Sizing'!$G$6/R4449)</f>
        <v>#NUM!</v>
      </c>
      <c r="S4451" s="56"/>
      <c r="T4451" s="72"/>
      <c r="U4451" s="85" t="e">
        <f>(U4444/(N_1*U$27))*SQRT('Valve Sizing'!$G$6/U4449)</f>
        <v>#NUM!</v>
      </c>
      <c r="V4451" s="44"/>
      <c r="W4451" s="72"/>
      <c r="X4451" s="85" t="e">
        <f>(X4444/(N_1*X$27))*SQRT('Valve Sizing'!$G$6/X4449)</f>
        <v>#NUM!</v>
      </c>
      <c r="Y4451" s="44"/>
      <c r="Z4451" s="72"/>
      <c r="AA4451" s="85" t="e">
        <f>(AA4444/(N_1*AA$27))*SQRT('Valve Sizing'!$G$6/AA4449)</f>
        <v>#NUM!</v>
      </c>
      <c r="AB4451" s="44"/>
      <c r="AC4451" s="72"/>
      <c r="AD4451" s="85" t="e">
        <f>(AD4444/(N_1*AD$27))*SQRT('Valve Sizing'!$G$6/AD4449)</f>
        <v>#NUM!</v>
      </c>
      <c r="AE4451" s="44"/>
      <c r="AF4451" s="72"/>
      <c r="AG4451" s="85" t="e">
        <f>(AG4444/(N_1*AG$27))*SQRT('Valve Sizing'!$G$6/AG4449)</f>
        <v>#NUM!</v>
      </c>
      <c r="AH4451" s="44"/>
      <c r="AI4451" s="72"/>
      <c r="AJ4451" s="85" t="e">
        <f>(AJ4444/(N_1*AJ$27))*SQRT('Valve Sizing'!$G$6/AJ4449)</f>
        <v>#NUM!</v>
      </c>
      <c r="AK4451" s="44"/>
      <c r="AL4451" s="72"/>
      <c r="AM4451" s="85" t="e">
        <f>(AM4444/(N_1*AM$27))*SQRT('Valve Sizing'!$G$6/AM4449)</f>
        <v>#NUM!</v>
      </c>
      <c r="AN4451" s="44"/>
      <c r="AO4451" s="72"/>
      <c r="AP4451" s="85" t="e">
        <f>(AP4444/(N_1*AP$27))*SQRT('Valve Sizing'!$G$6/AP4449)</f>
        <v>#NUM!</v>
      </c>
      <c r="AQ4451" s="44"/>
      <c r="AR4451" s="72"/>
      <c r="AS4451" s="85" t="e">
        <f>(AS4444/(N_1*AS$27))*SQRT('Valve Sizing'!$G$6/AS4449)</f>
        <v>#NUM!</v>
      </c>
      <c r="AT4451" s="44"/>
      <c r="AU4451" s="72"/>
    </row>
    <row r="4452" spans="15:47" x14ac:dyDescent="0.25">
      <c r="O4452" s="1" t="s">
        <v>246</v>
      </c>
      <c r="P4452" s="18"/>
      <c r="Q4452" s="65"/>
      <c r="R4452" s="53" t="e">
        <f>IF(R4448&lt;R4449,R4450,R4451)</f>
        <v>#NUM!</v>
      </c>
      <c r="S4452" s="49"/>
      <c r="T4452" s="72"/>
      <c r="U4452" s="64" t="e">
        <f>IF(U4448&lt;U4449,U4450,U4451)</f>
        <v>#NUM!</v>
      </c>
      <c r="V4452" s="44"/>
      <c r="W4452" s="72"/>
      <c r="X4452" s="64" t="e">
        <f>IF(X4448&lt;X4449,X4450,X4451)</f>
        <v>#NUM!</v>
      </c>
      <c r="Y4452" s="44"/>
      <c r="Z4452" s="72"/>
      <c r="AA4452" s="64" t="e">
        <f>IF(AA4448&lt;AA4449,AA4450,AA4451)</f>
        <v>#NUM!</v>
      </c>
      <c r="AB4452" s="44"/>
      <c r="AC4452" s="72"/>
      <c r="AD4452" s="64" t="e">
        <f>IF(AD4448&lt;AD4449,AD4450,AD4451)</f>
        <v>#NUM!</v>
      </c>
      <c r="AE4452" s="44"/>
      <c r="AF4452" s="72"/>
      <c r="AG4452" s="64" t="e">
        <f>IF(AG4448&lt;AG4449,AG4450,AG4451)</f>
        <v>#NUM!</v>
      </c>
      <c r="AH4452" s="44"/>
      <c r="AI4452" s="72"/>
      <c r="AJ4452" s="64" t="e">
        <f>IF(AJ4448&lt;AJ4449,AJ4450,AJ4451)</f>
        <v>#NUM!</v>
      </c>
      <c r="AK4452" s="44"/>
      <c r="AL4452" s="72"/>
      <c r="AM4452" s="64" t="e">
        <f>IF(AM4448&lt;AM4449,AM4450,AM4451)</f>
        <v>#NUM!</v>
      </c>
      <c r="AN4452" s="44"/>
      <c r="AO4452" s="72"/>
      <c r="AP4452" s="64" t="e">
        <f>IF(AP4448&lt;AP4449,AP4450,AP4451)</f>
        <v>#NUM!</v>
      </c>
      <c r="AQ4452" s="44"/>
      <c r="AR4452" s="72"/>
      <c r="AS4452" s="64" t="e">
        <f>IF(AS4448&lt;AS4449,AS4450,AS4451)</f>
        <v>#NUM!</v>
      </c>
      <c r="AT4452" s="44"/>
      <c r="AU4452" s="72"/>
    </row>
    <row r="4453" spans="15:47" ht="13" x14ac:dyDescent="0.3">
      <c r="O4453" s="7" t="s">
        <v>264</v>
      </c>
      <c r="Q4453" s="61"/>
      <c r="R4453" s="53"/>
      <c r="S4453" s="69">
        <f>IFERROR(ABS(C_h-R4452),Q_max*10)</f>
        <v>5500</v>
      </c>
      <c r="T4453" s="76">
        <f>R4444</f>
        <v>2247.8061935285382</v>
      </c>
      <c r="U4453" s="61"/>
      <c r="V4453" s="69">
        <f>IFERROR(ABS(U$23-U4452),Q_max*10)</f>
        <v>5500</v>
      </c>
      <c r="W4453" s="75">
        <f>U4444</f>
        <v>1527.5371844962895</v>
      </c>
      <c r="X4453" s="61"/>
      <c r="Y4453" s="69">
        <f>IFERROR(ABS(X$23-X4452),Q_max*10)</f>
        <v>5500</v>
      </c>
      <c r="Z4453" s="75">
        <f>X4444</f>
        <v>3666.6772489933915</v>
      </c>
      <c r="AA4453" s="61"/>
      <c r="AB4453" s="69">
        <f>IFERROR(ABS(AA$23-AA4452),Q_max*10)</f>
        <v>5500</v>
      </c>
      <c r="AC4453" s="75">
        <f>AA4444</f>
        <v>7001.030662179297</v>
      </c>
      <c r="AD4453" s="61"/>
      <c r="AE4453" s="69">
        <f>IFERROR(ABS(AD$23-AD4452),Q_max*10)</f>
        <v>5500</v>
      </c>
      <c r="AF4453" s="75">
        <f>AD4444</f>
        <v>11514.117812724824</v>
      </c>
      <c r="AG4453" s="61"/>
      <c r="AH4453" s="69">
        <f>IFERROR(ABS(AG$23-AG4452),Q_max*10)</f>
        <v>5500</v>
      </c>
      <c r="AI4453" s="75">
        <f>AG4444</f>
        <v>17142.952435628129</v>
      </c>
      <c r="AJ4453" s="61"/>
      <c r="AK4453" s="69">
        <f>IFERROR(ABS(AJ$23-AJ4452),Q_max*10)</f>
        <v>5500</v>
      </c>
      <c r="AL4453" s="75">
        <f>AJ4444</f>
        <v>22877.336481153441</v>
      </c>
      <c r="AM4453" s="61"/>
      <c r="AN4453" s="69">
        <f>IFERROR(ABS(AM$23-AM4452),Q_max*10)</f>
        <v>5500</v>
      </c>
      <c r="AO4453" s="75">
        <f>AM4444</f>
        <v>27914.698114841704</v>
      </c>
      <c r="AP4453" s="61"/>
      <c r="AQ4453" s="69">
        <f>IFERROR(ABS(AP$23-AP4452),Q_max*10)</f>
        <v>5500</v>
      </c>
      <c r="AR4453" s="75">
        <f>AP4444</f>
        <v>32408.097909856642</v>
      </c>
      <c r="AS4453" s="61"/>
      <c r="AT4453" s="69">
        <f>IFERROR(ABS(AS$23-AS4452),Q_max*10)</f>
        <v>5500</v>
      </c>
      <c r="AU4453" s="75">
        <f>AS4444</f>
        <v>36883.438462831975</v>
      </c>
    </row>
    <row r="4454" spans="15:47" ht="14.5" x14ac:dyDescent="0.35">
      <c r="O4454" s="6"/>
      <c r="P4454" s="6"/>
      <c r="Q4454" s="60"/>
      <c r="R4454" s="67"/>
      <c r="S4454" s="56"/>
      <c r="T4454" s="72"/>
      <c r="V4454" s="11"/>
      <c r="W4454" s="38"/>
      <c r="Y4454" s="11"/>
      <c r="Z4454" s="38"/>
      <c r="AB4454" s="11"/>
      <c r="AC4454" s="38"/>
      <c r="AE4454" s="11"/>
      <c r="AF4454" s="38"/>
      <c r="AH4454" s="11"/>
      <c r="AI4454" s="38"/>
      <c r="AK4454" s="11"/>
      <c r="AL4454" s="38"/>
      <c r="AN4454" s="11"/>
      <c r="AO4454" s="38"/>
      <c r="AQ4454" s="11"/>
      <c r="AR4454" s="38"/>
      <c r="AT4454" s="11"/>
      <c r="AU4454" s="38"/>
    </row>
    <row r="4455" spans="15:47" ht="14" x14ac:dyDescent="0.3">
      <c r="O4455" s="8" t="s">
        <v>235</v>
      </c>
      <c r="P4455" s="6"/>
      <c r="Q4455" s="60"/>
      <c r="R4455" s="53">
        <f>R4444*1.02</f>
        <v>2292.7623173991092</v>
      </c>
      <c r="S4455" s="58" t="s">
        <v>238</v>
      </c>
      <c r="T4455" s="73" t="s">
        <v>241</v>
      </c>
      <c r="U4455" s="84">
        <f>U4444*1.01</f>
        <v>1542.8125563412523</v>
      </c>
      <c r="V4455" s="58" t="s">
        <v>238</v>
      </c>
      <c r="W4455" s="73" t="s">
        <v>241</v>
      </c>
      <c r="X4455" s="84">
        <f>X4444*1.01</f>
        <v>3703.3440214833254</v>
      </c>
      <c r="Y4455" s="58" t="s">
        <v>238</v>
      </c>
      <c r="Z4455" s="73" t="s">
        <v>241</v>
      </c>
      <c r="AA4455" s="84">
        <f>AA4444*1.01</f>
        <v>7071.0409688010905</v>
      </c>
      <c r="AB4455" s="58" t="s">
        <v>238</v>
      </c>
      <c r="AC4455" s="73" t="s">
        <v>241</v>
      </c>
      <c r="AD4455" s="84">
        <f>AD4444*1.01</f>
        <v>11629.258990852073</v>
      </c>
      <c r="AE4455" s="58" t="s">
        <v>238</v>
      </c>
      <c r="AF4455" s="73" t="s">
        <v>241</v>
      </c>
      <c r="AG4455" s="84">
        <f>AG4444*1.01</f>
        <v>17314.38195998441</v>
      </c>
      <c r="AH4455" s="58" t="s">
        <v>238</v>
      </c>
      <c r="AI4455" s="73" t="s">
        <v>241</v>
      </c>
      <c r="AJ4455" s="84">
        <f>AJ4444*1.01</f>
        <v>23106.109845964977</v>
      </c>
      <c r="AK4455" s="58" t="s">
        <v>238</v>
      </c>
      <c r="AL4455" s="73" t="s">
        <v>241</v>
      </c>
      <c r="AM4455" s="84">
        <f>AM4444*1.01</f>
        <v>28193.84509599012</v>
      </c>
      <c r="AN4455" s="58" t="s">
        <v>238</v>
      </c>
      <c r="AO4455" s="73" t="s">
        <v>241</v>
      </c>
      <c r="AP4455" s="84">
        <f>AP4444*1.01</f>
        <v>32732.178888955208</v>
      </c>
      <c r="AQ4455" s="58" t="s">
        <v>238</v>
      </c>
      <c r="AR4455" s="73" t="s">
        <v>241</v>
      </c>
      <c r="AS4455" s="84">
        <f>AS4444*1.01</f>
        <v>37252.272847460292</v>
      </c>
      <c r="AT4455" s="58" t="s">
        <v>238</v>
      </c>
      <c r="AU4455" s="73" t="s">
        <v>241</v>
      </c>
    </row>
    <row r="4456" spans="15:47" ht="13" x14ac:dyDescent="0.25">
      <c r="O4456" s="6"/>
      <c r="P4456" s="6"/>
      <c r="Q4456" s="60"/>
      <c r="R4456" s="70"/>
      <c r="S4456" s="63" t="s">
        <v>250</v>
      </c>
      <c r="T4456" s="71" t="s">
        <v>242</v>
      </c>
      <c r="U4456" s="61"/>
      <c r="V4456" s="63" t="s">
        <v>250</v>
      </c>
      <c r="W4456" s="71" t="s">
        <v>242</v>
      </c>
      <c r="X4456" s="61"/>
      <c r="Y4456" s="63" t="s">
        <v>250</v>
      </c>
      <c r="Z4456" s="71" t="s">
        <v>242</v>
      </c>
      <c r="AA4456" s="61"/>
      <c r="AB4456" s="63" t="s">
        <v>250</v>
      </c>
      <c r="AC4456" s="71" t="s">
        <v>242</v>
      </c>
      <c r="AD4456" s="61"/>
      <c r="AE4456" s="63" t="s">
        <v>250</v>
      </c>
      <c r="AF4456" s="71" t="s">
        <v>242</v>
      </c>
      <c r="AG4456" s="61"/>
      <c r="AH4456" s="63" t="s">
        <v>250</v>
      </c>
      <c r="AI4456" s="71" t="s">
        <v>242</v>
      </c>
      <c r="AJ4456" s="61"/>
      <c r="AK4456" s="63" t="s">
        <v>250</v>
      </c>
      <c r="AL4456" s="71" t="s">
        <v>242</v>
      </c>
      <c r="AM4456" s="61"/>
      <c r="AN4456" s="63" t="s">
        <v>250</v>
      </c>
      <c r="AO4456" s="71" t="s">
        <v>242</v>
      </c>
      <c r="AP4456" s="61"/>
      <c r="AQ4456" s="63" t="s">
        <v>250</v>
      </c>
      <c r="AR4456" s="71" t="s">
        <v>242</v>
      </c>
      <c r="AS4456" s="61"/>
      <c r="AT4456" s="63" t="s">
        <v>250</v>
      </c>
      <c r="AU4456" s="71" t="s">
        <v>242</v>
      </c>
    </row>
    <row r="4457" spans="15:47" ht="13" x14ac:dyDescent="0.3">
      <c r="O4457" s="6" t="s">
        <v>231</v>
      </c>
      <c r="P4457" s="6"/>
      <c r="Q4457" s="60"/>
      <c r="R4457" s="85">
        <f>P_1_minQ-(R4455^2*R_up)+dpup_minQ</f>
        <v>-120.6170903102105</v>
      </c>
      <c r="S4457" s="56"/>
      <c r="T4457" s="72"/>
      <c r="U4457" s="53">
        <f>P_1_minQ-(U4455^2*R_up)+dpup_minQ</f>
        <v>-23.471245660392771</v>
      </c>
      <c r="V4457" s="44"/>
      <c r="W4457" s="72"/>
      <c r="X4457" s="53">
        <f>P_1_minQ-(X4455^2*R_up)+dpup_minQ</f>
        <v>-406.26376026532552</v>
      </c>
      <c r="Y4457" s="44"/>
      <c r="Z4457" s="72"/>
      <c r="AA4457" s="53">
        <f>P_1_minQ-(AA4455^2*R_up)+dpup_minQ</f>
        <v>-1631.6897461149431</v>
      </c>
      <c r="AB4457" s="44"/>
      <c r="AC4457" s="72"/>
      <c r="AD4457" s="53">
        <f>P_1_minQ-(AD4455^2*R_up)+dpup_minQ</f>
        <v>-4510.4484186529489</v>
      </c>
      <c r="AE4457" s="44"/>
      <c r="AF4457" s="72"/>
      <c r="AG4457" s="53">
        <f>P_1_minQ-(AG4455^2*R_up)+dpup_minQ</f>
        <v>-10067.630383526972</v>
      </c>
      <c r="AH4457" s="44"/>
      <c r="AI4457" s="72"/>
      <c r="AJ4457" s="53">
        <f>P_1_minQ-(AJ4455^2*R_up)+dpup_minQ</f>
        <v>-17973.894806274897</v>
      </c>
      <c r="AK4457" s="44"/>
      <c r="AL4457" s="72"/>
      <c r="AM4457" s="53">
        <f>P_1_minQ-(AM4455^2*R_up)+dpup_minQ</f>
        <v>-26788.50436665607</v>
      </c>
      <c r="AN4457" s="44"/>
      <c r="AO4457" s="72"/>
      <c r="AP4457" s="53">
        <f>P_1_minQ-(AP4455^2*R_up)+dpup_minQ</f>
        <v>-36126.65477266346</v>
      </c>
      <c r="AQ4457" s="44"/>
      <c r="AR4457" s="72"/>
      <c r="AS4457" s="53">
        <f>P_1_minQ-(AS4455^2*R_up)+dpup_minQ</f>
        <v>-46810.08258364159</v>
      </c>
      <c r="AT4457" s="44"/>
      <c r="AU4457" s="72"/>
    </row>
    <row r="4458" spans="15:47" ht="13" x14ac:dyDescent="0.3">
      <c r="O4458" s="6" t="s">
        <v>233</v>
      </c>
      <c r="P4458" s="6"/>
      <c r="Q4458" s="60"/>
      <c r="R4458" s="85">
        <f>P_2_minQ+(R4455^2*R_dn)-dpdn_minQ</f>
        <v>60.163418062042105</v>
      </c>
      <c r="S4458" s="66"/>
      <c r="T4458" s="74"/>
      <c r="U4458" s="53">
        <f>P_2_minQ+(U4455^2*R_dn)-dpdn_minQ</f>
        <v>40.73424913207856</v>
      </c>
      <c r="V4458" s="45"/>
      <c r="W4458" s="74"/>
      <c r="X4458" s="53">
        <f>P_2_minQ+(X4455^2*R_dn)-dpdn_minQ</f>
        <v>117.2927520530651</v>
      </c>
      <c r="Y4458" s="45"/>
      <c r="Z4458" s="74"/>
      <c r="AA4458" s="53">
        <f>P_2_minQ+(AA4455^2*R_dn)-dpdn_minQ</f>
        <v>362.37794922298855</v>
      </c>
      <c r="AB4458" s="45"/>
      <c r="AC4458" s="74"/>
      <c r="AD4458" s="53">
        <f>P_2_minQ+(AD4455^2*R_dn)-dpdn_minQ</f>
        <v>938.12968373058959</v>
      </c>
      <c r="AE4458" s="45"/>
      <c r="AF4458" s="74"/>
      <c r="AG4458" s="53">
        <f>P_2_minQ+(AG4455^2*R_dn)-dpdn_minQ</f>
        <v>2049.5660767053942</v>
      </c>
      <c r="AH4458" s="45"/>
      <c r="AI4458" s="74"/>
      <c r="AJ4458" s="53">
        <f>P_2_minQ+(AJ4455^2*R_dn)-dpdn_minQ</f>
        <v>3630.8189612549791</v>
      </c>
      <c r="AK4458" s="45"/>
      <c r="AL4458" s="74"/>
      <c r="AM4458" s="53">
        <f>P_2_minQ+(AM4455^2*R_dn)-dpdn_minQ</f>
        <v>5393.7408733312132</v>
      </c>
      <c r="AN4458" s="45"/>
      <c r="AO4458" s="74"/>
      <c r="AP4458" s="53">
        <f>P_2_minQ+(AP4455^2*R_dn)-dpdn_minQ</f>
        <v>7261.370954532691</v>
      </c>
      <c r="AQ4458" s="45"/>
      <c r="AR4458" s="74"/>
      <c r="AS4458" s="53">
        <f>P_2_minQ+(AS4455^2*R_dn)-dpdn_minQ</f>
        <v>9398.0565167283185</v>
      </c>
      <c r="AT4458" s="45"/>
      <c r="AU4458" s="74"/>
    </row>
    <row r="4459" spans="15:47" x14ac:dyDescent="0.25">
      <c r="O4459" s="6" t="s">
        <v>243</v>
      </c>
      <c r="Q4459" s="60"/>
      <c r="R4459" s="53">
        <f>R4457-R4458</f>
        <v>-180.7805083722526</v>
      </c>
      <c r="S4459" s="56"/>
      <c r="T4459" s="72"/>
      <c r="U4459" s="64">
        <f>U4457-U4458</f>
        <v>-64.205494792471328</v>
      </c>
      <c r="V4459" s="44"/>
      <c r="W4459" s="72"/>
      <c r="X4459" s="64">
        <f>X4457-X4458</f>
        <v>-523.55651231839056</v>
      </c>
      <c r="Y4459" s="44"/>
      <c r="Z4459" s="72"/>
      <c r="AA4459" s="64">
        <f>AA4457-AA4458</f>
        <v>-1994.0676953379316</v>
      </c>
      <c r="AB4459" s="44"/>
      <c r="AC4459" s="72"/>
      <c r="AD4459" s="64">
        <f>AD4457-AD4458</f>
        <v>-5448.5781023835389</v>
      </c>
      <c r="AE4459" s="44"/>
      <c r="AF4459" s="72"/>
      <c r="AG4459" s="64">
        <f>AG4457-AG4458</f>
        <v>-12117.196460232366</v>
      </c>
      <c r="AH4459" s="44"/>
      <c r="AI4459" s="72"/>
      <c r="AJ4459" s="64">
        <f>AJ4457-AJ4458</f>
        <v>-21604.713767529876</v>
      </c>
      <c r="AK4459" s="44"/>
      <c r="AL4459" s="72"/>
      <c r="AM4459" s="64">
        <f>AM4457-AM4458</f>
        <v>-32182.245239987285</v>
      </c>
      <c r="AN4459" s="44"/>
      <c r="AO4459" s="72"/>
      <c r="AP4459" s="64">
        <f>AP4457-AP4458</f>
        <v>-43388.025727196153</v>
      </c>
      <c r="AQ4459" s="44"/>
      <c r="AR4459" s="72"/>
      <c r="AS4459" s="64">
        <f>AS4457-AS4458</f>
        <v>-56208.13910036991</v>
      </c>
      <c r="AT4459" s="44"/>
      <c r="AU4459" s="72"/>
    </row>
    <row r="4460" spans="15:47" ht="13" x14ac:dyDescent="0.3">
      <c r="O4460" s="6" t="s">
        <v>75</v>
      </c>
      <c r="P4460" s="6">
        <v>3</v>
      </c>
      <c r="Q4460" s="65"/>
      <c r="R4460" s="85">
        <f>(F_LP_h/F_P_h)^2*(R4457-('Valve Sizing'!$V$4*'Valve Sizing'!$G$7))</f>
        <v>-100.24167280902795</v>
      </c>
      <c r="S4460" s="58"/>
      <c r="T4460" s="73"/>
      <c r="U4460" s="53">
        <f>(U$29/U$27)^2*(U4457-('Valve Sizing'!$V$4*'Valve Sizing'!$G$7))</f>
        <v>-19.794417648137255</v>
      </c>
      <c r="V4460" s="41"/>
      <c r="W4460" s="73"/>
      <c r="X4460" s="53">
        <f>(X$29/X$27)^2*(X4457-('Valve Sizing'!$V$4*'Valve Sizing'!$G$7))</f>
        <v>-329.08584413533833</v>
      </c>
      <c r="Y4460" s="41"/>
      <c r="Z4460" s="73"/>
      <c r="AA4460" s="53">
        <f>(AA$29/AA$27)^2*(AA4457-('Valve Sizing'!$V$4*'Valve Sizing'!$G$7))</f>
        <v>-1261.3053772521725</v>
      </c>
      <c r="AB4460" s="41"/>
      <c r="AC4460" s="73"/>
      <c r="AD4460" s="53">
        <f>(AD$29/AD$27)^2*(AD4457-('Valve Sizing'!$V$4*'Valve Sizing'!$G$7))</f>
        <v>-3253.1959642972975</v>
      </c>
      <c r="AE4460" s="41"/>
      <c r="AF4460" s="73"/>
      <c r="AG4460" s="53">
        <f>(AG$29/AG$27)^2*(AG4457-('Valve Sizing'!$V$4*'Valve Sizing'!$G$7))</f>
        <v>-6484.2798677376095</v>
      </c>
      <c r="AH4460" s="41"/>
      <c r="AI4460" s="73"/>
      <c r="AJ4460" s="53">
        <f>(AJ$29/AJ$27)^2*(AJ4457-('Valve Sizing'!$V$4*'Valve Sizing'!$G$7))</f>
        <v>-10395.714236515778</v>
      </c>
      <c r="AK4460" s="41"/>
      <c r="AL4460" s="73"/>
      <c r="AM4460" s="53">
        <f>(AM$29/AM$27)^2*(AM4457-('Valve Sizing'!$V$4*'Valve Sizing'!$G$7))</f>
        <v>-12817.763816306106</v>
      </c>
      <c r="AN4460" s="41"/>
      <c r="AO4460" s="73"/>
      <c r="AP4460" s="53">
        <f>(AP$29/AP$27)^2*(AP4457-('Valve Sizing'!$V$4*'Valve Sizing'!$G$7))</f>
        <v>-14256.720814570121</v>
      </c>
      <c r="AQ4460" s="41"/>
      <c r="AR4460" s="73"/>
      <c r="AS4460" s="53">
        <f>(AS$29/AS$27)^2*(AS4457-('Valve Sizing'!$V$4*'Valve Sizing'!$G$7))</f>
        <v>-17607.34715871737</v>
      </c>
      <c r="AT4460" s="41"/>
      <c r="AU4460" s="73"/>
    </row>
    <row r="4461" spans="15:47" ht="13" x14ac:dyDescent="0.25">
      <c r="O4461" s="1" t="s">
        <v>69</v>
      </c>
      <c r="P4461" s="17">
        <v>7</v>
      </c>
      <c r="Q4461" s="65"/>
      <c r="R4461" s="53" t="e">
        <f>(R4455/(N_1*F_P_h))*SQRT('Valve Sizing'!$G$6/R4459)</f>
        <v>#NUM!</v>
      </c>
      <c r="S4461" s="58"/>
      <c r="T4461" s="73"/>
      <c r="U4461" s="64" t="e">
        <f>(U4455/(N_1*U$27))*SQRT('Valve Sizing'!$G$6/U4459)</f>
        <v>#NUM!</v>
      </c>
      <c r="V4461" s="41"/>
      <c r="W4461" s="73"/>
      <c r="X4461" s="64" t="e">
        <f>(X4455/(N_1*X$27))*SQRT('Valve Sizing'!$G$6/X4459)</f>
        <v>#NUM!</v>
      </c>
      <c r="Y4461" s="41"/>
      <c r="Z4461" s="73"/>
      <c r="AA4461" s="64" t="e">
        <f>(AA4455/(N_1*AA$27))*SQRT('Valve Sizing'!$G$6/AA4459)</f>
        <v>#NUM!</v>
      </c>
      <c r="AB4461" s="41"/>
      <c r="AC4461" s="73"/>
      <c r="AD4461" s="64" t="e">
        <f>(AD4455/(N_1*AD$27))*SQRT('Valve Sizing'!$G$6/AD4459)</f>
        <v>#NUM!</v>
      </c>
      <c r="AE4461" s="41"/>
      <c r="AF4461" s="73"/>
      <c r="AG4461" s="64" t="e">
        <f>(AG4455/(N_1*AG$27))*SQRT('Valve Sizing'!$G$6/AG4459)</f>
        <v>#NUM!</v>
      </c>
      <c r="AH4461" s="41"/>
      <c r="AI4461" s="73"/>
      <c r="AJ4461" s="64" t="e">
        <f>(AJ4455/(N_1*AJ$27))*SQRT('Valve Sizing'!$G$6/AJ4459)</f>
        <v>#NUM!</v>
      </c>
      <c r="AK4461" s="41"/>
      <c r="AL4461" s="73"/>
      <c r="AM4461" s="64" t="e">
        <f>(AM4455/(N_1*AM$27))*SQRT('Valve Sizing'!$G$6/AM4459)</f>
        <v>#NUM!</v>
      </c>
      <c r="AN4461" s="41"/>
      <c r="AO4461" s="73"/>
      <c r="AP4461" s="64" t="e">
        <f>(AP4455/(N_1*AP$27))*SQRT('Valve Sizing'!$G$6/AP4459)</f>
        <v>#NUM!</v>
      </c>
      <c r="AQ4461" s="41"/>
      <c r="AR4461" s="73"/>
      <c r="AS4461" s="64" t="e">
        <f>(AS4455/(N_1*AS$27))*SQRT('Valve Sizing'!$G$6/AS4459)</f>
        <v>#NUM!</v>
      </c>
      <c r="AT4461" s="41"/>
      <c r="AU4461" s="73"/>
    </row>
    <row r="4462" spans="15:47" ht="13" x14ac:dyDescent="0.3">
      <c r="O4462" s="1" t="s">
        <v>72</v>
      </c>
      <c r="P4462" s="17">
        <v>7</v>
      </c>
      <c r="Q4462" s="65"/>
      <c r="R4462" s="53" t="e">
        <f>(R4455/(N_1*F_P_h))*SQRT('Valve Sizing'!$G$6/R4460)</f>
        <v>#NUM!</v>
      </c>
      <c r="S4462" s="56"/>
      <c r="T4462" s="72"/>
      <c r="U4462" s="85" t="e">
        <f>(U4455/(N_1*U$27))*SQRT('Valve Sizing'!$G$6/U4460)</f>
        <v>#NUM!</v>
      </c>
      <c r="V4462" s="44"/>
      <c r="W4462" s="72"/>
      <c r="X4462" s="85" t="e">
        <f>(X4455/(N_1*X$27))*SQRT('Valve Sizing'!$G$6/X4460)</f>
        <v>#NUM!</v>
      </c>
      <c r="Y4462" s="44"/>
      <c r="Z4462" s="72"/>
      <c r="AA4462" s="85" t="e">
        <f>(AA4455/(N_1*AA$27))*SQRT('Valve Sizing'!$G$6/AA4460)</f>
        <v>#NUM!</v>
      </c>
      <c r="AB4462" s="44"/>
      <c r="AC4462" s="72"/>
      <c r="AD4462" s="85" t="e">
        <f>(AD4455/(N_1*AD$27))*SQRT('Valve Sizing'!$G$6/AD4460)</f>
        <v>#NUM!</v>
      </c>
      <c r="AE4462" s="44"/>
      <c r="AF4462" s="72"/>
      <c r="AG4462" s="85" t="e">
        <f>(AG4455/(N_1*AG$27))*SQRT('Valve Sizing'!$G$6/AG4460)</f>
        <v>#NUM!</v>
      </c>
      <c r="AH4462" s="44"/>
      <c r="AI4462" s="72"/>
      <c r="AJ4462" s="85" t="e">
        <f>(AJ4455/(N_1*AJ$27))*SQRT('Valve Sizing'!$G$6/AJ4460)</f>
        <v>#NUM!</v>
      </c>
      <c r="AK4462" s="44"/>
      <c r="AL4462" s="72"/>
      <c r="AM4462" s="85" t="e">
        <f>(AM4455/(N_1*AM$27))*SQRT('Valve Sizing'!$G$6/AM4460)</f>
        <v>#NUM!</v>
      </c>
      <c r="AN4462" s="44"/>
      <c r="AO4462" s="72"/>
      <c r="AP4462" s="85" t="e">
        <f>(AP4455/(N_1*AP$27))*SQRT('Valve Sizing'!$G$6/AP4460)</f>
        <v>#NUM!</v>
      </c>
      <c r="AQ4462" s="44"/>
      <c r="AR4462" s="72"/>
      <c r="AS4462" s="85" t="e">
        <f>(AS4455/(N_1*AS$27))*SQRT('Valve Sizing'!$G$6/AS4460)</f>
        <v>#NUM!</v>
      </c>
      <c r="AT4462" s="44"/>
      <c r="AU4462" s="72"/>
    </row>
    <row r="4463" spans="15:47" x14ac:dyDescent="0.25">
      <c r="O4463" s="1" t="s">
        <v>246</v>
      </c>
      <c r="P4463" s="18"/>
      <c r="Q4463" s="65"/>
      <c r="R4463" s="53" t="e">
        <f>IF(R4459&lt;R4460,R4461,R4462)</f>
        <v>#NUM!</v>
      </c>
      <c r="S4463" s="49"/>
      <c r="T4463" s="72"/>
      <c r="U4463" s="64" t="e">
        <f>IF(U4459&lt;U4460,U4461,U4462)</f>
        <v>#NUM!</v>
      </c>
      <c r="V4463" s="44"/>
      <c r="W4463" s="72"/>
      <c r="X4463" s="64" t="e">
        <f>IF(X4459&lt;X4460,X4461,X4462)</f>
        <v>#NUM!</v>
      </c>
      <c r="Y4463" s="44"/>
      <c r="Z4463" s="72"/>
      <c r="AA4463" s="64" t="e">
        <f>IF(AA4459&lt;AA4460,AA4461,AA4462)</f>
        <v>#NUM!</v>
      </c>
      <c r="AB4463" s="44"/>
      <c r="AC4463" s="72"/>
      <c r="AD4463" s="64" t="e">
        <f>IF(AD4459&lt;AD4460,AD4461,AD4462)</f>
        <v>#NUM!</v>
      </c>
      <c r="AE4463" s="44"/>
      <c r="AF4463" s="72"/>
      <c r="AG4463" s="64" t="e">
        <f>IF(AG4459&lt;AG4460,AG4461,AG4462)</f>
        <v>#NUM!</v>
      </c>
      <c r="AH4463" s="44"/>
      <c r="AI4463" s="72"/>
      <c r="AJ4463" s="64" t="e">
        <f>IF(AJ4459&lt;AJ4460,AJ4461,AJ4462)</f>
        <v>#NUM!</v>
      </c>
      <c r="AK4463" s="44"/>
      <c r="AL4463" s="72"/>
      <c r="AM4463" s="64" t="e">
        <f>IF(AM4459&lt;AM4460,AM4461,AM4462)</f>
        <v>#NUM!</v>
      </c>
      <c r="AN4463" s="44"/>
      <c r="AO4463" s="72"/>
      <c r="AP4463" s="64" t="e">
        <f>IF(AP4459&lt;AP4460,AP4461,AP4462)</f>
        <v>#NUM!</v>
      </c>
      <c r="AQ4463" s="44"/>
      <c r="AR4463" s="72"/>
      <c r="AS4463" s="64" t="e">
        <f>IF(AS4459&lt;AS4460,AS4461,AS4462)</f>
        <v>#NUM!</v>
      </c>
      <c r="AT4463" s="44"/>
      <c r="AU4463" s="72"/>
    </row>
    <row r="4464" spans="15:47" ht="13" x14ac:dyDescent="0.3">
      <c r="O4464" s="7" t="s">
        <v>264</v>
      </c>
      <c r="Q4464" s="61"/>
      <c r="R4464" s="53"/>
      <c r="S4464" s="69">
        <f>IFERROR(ABS(C_h-R4463),Q_max*10)</f>
        <v>5500</v>
      </c>
      <c r="T4464" s="76">
        <f>R4455</f>
        <v>2292.7623173991092</v>
      </c>
      <c r="U4464" s="61"/>
      <c r="V4464" s="69">
        <f>IFERROR(ABS(U$23-U4463),Q_max*10)</f>
        <v>5500</v>
      </c>
      <c r="W4464" s="75">
        <f>U4455</f>
        <v>1542.8125563412523</v>
      </c>
      <c r="X4464" s="61"/>
      <c r="Y4464" s="69">
        <f>IFERROR(ABS(X$23-X4463),Q_max*10)</f>
        <v>5500</v>
      </c>
      <c r="Z4464" s="75">
        <f>X4455</f>
        <v>3703.3440214833254</v>
      </c>
      <c r="AA4464" s="61"/>
      <c r="AB4464" s="69">
        <f>IFERROR(ABS(AA$23-AA4463),Q_max*10)</f>
        <v>5500</v>
      </c>
      <c r="AC4464" s="75">
        <f>AA4455</f>
        <v>7071.0409688010905</v>
      </c>
      <c r="AD4464" s="61"/>
      <c r="AE4464" s="69">
        <f>IFERROR(ABS(AD$23-AD4463),Q_max*10)</f>
        <v>5500</v>
      </c>
      <c r="AF4464" s="75">
        <f>AD4455</f>
        <v>11629.258990852073</v>
      </c>
      <c r="AG4464" s="61"/>
      <c r="AH4464" s="69">
        <f>IFERROR(ABS(AG$23-AG4463),Q_max*10)</f>
        <v>5500</v>
      </c>
      <c r="AI4464" s="75">
        <f>AG4455</f>
        <v>17314.38195998441</v>
      </c>
      <c r="AJ4464" s="61"/>
      <c r="AK4464" s="69">
        <f>IFERROR(ABS(AJ$23-AJ4463),Q_max*10)</f>
        <v>5500</v>
      </c>
      <c r="AL4464" s="75">
        <f>AJ4455</f>
        <v>23106.109845964977</v>
      </c>
      <c r="AM4464" s="61"/>
      <c r="AN4464" s="69">
        <f>IFERROR(ABS(AM$23-AM4463),Q_max*10)</f>
        <v>5500</v>
      </c>
      <c r="AO4464" s="75">
        <f>AM4455</f>
        <v>28193.84509599012</v>
      </c>
      <c r="AP4464" s="61"/>
      <c r="AQ4464" s="69">
        <f>IFERROR(ABS(AP$23-AP4463),Q_max*10)</f>
        <v>5500</v>
      </c>
      <c r="AR4464" s="75">
        <f>AP4455</f>
        <v>32732.178888955208</v>
      </c>
      <c r="AS4464" s="61"/>
      <c r="AT4464" s="69">
        <f>IFERROR(ABS(AS$23-AS4463),Q_max*10)</f>
        <v>5500</v>
      </c>
      <c r="AU4464" s="75">
        <f>AS4455</f>
        <v>37252.272847460292</v>
      </c>
    </row>
    <row r="4465" spans="15:47" ht="14.5" x14ac:dyDescent="0.35">
      <c r="O4465" s="6"/>
      <c r="P4465" s="6"/>
      <c r="Q4465" s="60"/>
      <c r="R4465" s="67"/>
      <c r="S4465" s="58"/>
      <c r="T4465" s="73"/>
      <c r="V4465" s="11"/>
      <c r="W4465" s="38"/>
      <c r="Y4465" s="11"/>
      <c r="Z4465" s="38"/>
      <c r="AB4465" s="11"/>
      <c r="AC4465" s="38"/>
      <c r="AE4465" s="11"/>
      <c r="AF4465" s="38"/>
      <c r="AH4465" s="11"/>
      <c r="AI4465" s="38"/>
      <c r="AK4465" s="11"/>
      <c r="AL4465" s="38"/>
      <c r="AN4465" s="11"/>
      <c r="AO4465" s="38"/>
      <c r="AQ4465" s="11"/>
      <c r="AR4465" s="38"/>
      <c r="AT4465" s="11"/>
      <c r="AU4465" s="38"/>
    </row>
    <row r="4466" spans="15:47" ht="14" x14ac:dyDescent="0.3">
      <c r="O4466" s="8" t="s">
        <v>235</v>
      </c>
      <c r="P4466" s="6"/>
      <c r="Q4466" s="60"/>
      <c r="R4466" s="53">
        <f>R4455*1.02</f>
        <v>2338.6175637470915</v>
      </c>
      <c r="S4466" s="58" t="s">
        <v>238</v>
      </c>
      <c r="T4466" s="73" t="s">
        <v>241</v>
      </c>
      <c r="U4466" s="84">
        <f>U4455*1.01</f>
        <v>1558.2406819046648</v>
      </c>
      <c r="V4466" s="58" t="s">
        <v>238</v>
      </c>
      <c r="W4466" s="73" t="s">
        <v>241</v>
      </c>
      <c r="X4466" s="84">
        <f>X4455*1.01</f>
        <v>3740.3774616981586</v>
      </c>
      <c r="Y4466" s="58" t="s">
        <v>238</v>
      </c>
      <c r="Z4466" s="73" t="s">
        <v>241</v>
      </c>
      <c r="AA4466" s="84">
        <f>AA4455*1.01</f>
        <v>7141.7513784891016</v>
      </c>
      <c r="AB4466" s="58" t="s">
        <v>238</v>
      </c>
      <c r="AC4466" s="73" t="s">
        <v>241</v>
      </c>
      <c r="AD4466" s="84">
        <f>AD4455*1.01</f>
        <v>11745.551580760593</v>
      </c>
      <c r="AE4466" s="58" t="s">
        <v>238</v>
      </c>
      <c r="AF4466" s="73" t="s">
        <v>241</v>
      </c>
      <c r="AG4466" s="84">
        <f>AG4455*1.01</f>
        <v>17487.525779584255</v>
      </c>
      <c r="AH4466" s="58" t="s">
        <v>238</v>
      </c>
      <c r="AI4466" s="73" t="s">
        <v>241</v>
      </c>
      <c r="AJ4466" s="84">
        <f>AJ4455*1.01</f>
        <v>23337.170944424626</v>
      </c>
      <c r="AK4466" s="58" t="s">
        <v>238</v>
      </c>
      <c r="AL4466" s="73" t="s">
        <v>241</v>
      </c>
      <c r="AM4466" s="84">
        <f>AM4455*1.01</f>
        <v>28475.783546950021</v>
      </c>
      <c r="AN4466" s="58" t="s">
        <v>238</v>
      </c>
      <c r="AO4466" s="73" t="s">
        <v>241</v>
      </c>
      <c r="AP4466" s="84">
        <f>AP4455*1.01</f>
        <v>33059.500677844757</v>
      </c>
      <c r="AQ4466" s="58" t="s">
        <v>238</v>
      </c>
      <c r="AR4466" s="73" t="s">
        <v>241</v>
      </c>
      <c r="AS4466" s="84">
        <f>AS4455*1.01</f>
        <v>37624.795575934892</v>
      </c>
      <c r="AT4466" s="58" t="s">
        <v>238</v>
      </c>
      <c r="AU4466" s="73" t="s">
        <v>241</v>
      </c>
    </row>
    <row r="4467" spans="15:47" ht="13" x14ac:dyDescent="0.25">
      <c r="O4467" s="6"/>
      <c r="P4467" s="6"/>
      <c r="Q4467" s="60"/>
      <c r="R4467" s="70"/>
      <c r="S4467" s="63" t="s">
        <v>250</v>
      </c>
      <c r="T4467" s="71" t="s">
        <v>242</v>
      </c>
      <c r="U4467" s="61"/>
      <c r="V4467" s="63" t="s">
        <v>250</v>
      </c>
      <c r="W4467" s="71" t="s">
        <v>242</v>
      </c>
      <c r="X4467" s="61"/>
      <c r="Y4467" s="63" t="s">
        <v>250</v>
      </c>
      <c r="Z4467" s="71" t="s">
        <v>242</v>
      </c>
      <c r="AA4467" s="61"/>
      <c r="AB4467" s="63" t="s">
        <v>250</v>
      </c>
      <c r="AC4467" s="71" t="s">
        <v>242</v>
      </c>
      <c r="AD4467" s="61"/>
      <c r="AE4467" s="63" t="s">
        <v>250</v>
      </c>
      <c r="AF4467" s="71" t="s">
        <v>242</v>
      </c>
      <c r="AG4467" s="61"/>
      <c r="AH4467" s="63" t="s">
        <v>250</v>
      </c>
      <c r="AI4467" s="71" t="s">
        <v>242</v>
      </c>
      <c r="AJ4467" s="61"/>
      <c r="AK4467" s="63" t="s">
        <v>250</v>
      </c>
      <c r="AL4467" s="71" t="s">
        <v>242</v>
      </c>
      <c r="AM4467" s="61"/>
      <c r="AN4467" s="63" t="s">
        <v>250</v>
      </c>
      <c r="AO4467" s="71" t="s">
        <v>242</v>
      </c>
      <c r="AP4467" s="61"/>
      <c r="AQ4467" s="63" t="s">
        <v>250</v>
      </c>
      <c r="AR4467" s="71" t="s">
        <v>242</v>
      </c>
      <c r="AS4467" s="61"/>
      <c r="AT4467" s="63" t="s">
        <v>250</v>
      </c>
      <c r="AU4467" s="71" t="s">
        <v>242</v>
      </c>
    </row>
    <row r="4468" spans="15:47" ht="13" x14ac:dyDescent="0.3">
      <c r="O4468" s="6" t="s">
        <v>231</v>
      </c>
      <c r="P4468" s="6"/>
      <c r="Q4468" s="60"/>
      <c r="R4468" s="85">
        <f>P_1_minQ-(R4466^2*R_up)+dpup_minQ</f>
        <v>-127.78943294381567</v>
      </c>
      <c r="S4468" s="56"/>
      <c r="T4468" s="72"/>
      <c r="U4468" s="53">
        <f>P_1_minQ-(U4466^2*R_up)+dpup_minQ</f>
        <v>-25.087032176383477</v>
      </c>
      <c r="V4468" s="44"/>
      <c r="W4468" s="72"/>
      <c r="X4468" s="53">
        <f>P_1_minQ-(X4466^2*R_up)+dpup_minQ</f>
        <v>-415.57367632487546</v>
      </c>
      <c r="Y4468" s="44"/>
      <c r="Z4468" s="72"/>
      <c r="AA4468" s="53">
        <f>P_1_minQ-(AA4466^2*R_up)+dpup_minQ</f>
        <v>-1665.6307244900704</v>
      </c>
      <c r="AB4468" s="44"/>
      <c r="AC4468" s="72"/>
      <c r="AD4468" s="53">
        <f>P_1_minQ-(AD4466^2*R_up)+dpup_minQ</f>
        <v>-4602.2524463460886</v>
      </c>
      <c r="AE4468" s="44"/>
      <c r="AF4468" s="72"/>
      <c r="AG4468" s="53">
        <f>P_1_minQ-(AG4466^2*R_up)+dpup_minQ</f>
        <v>-10271.13376871408</v>
      </c>
      <c r="AH4468" s="44"/>
      <c r="AI4468" s="72"/>
      <c r="AJ4468" s="53">
        <f>P_1_minQ-(AJ4466^2*R_up)+dpup_minQ</f>
        <v>-18336.314106359237</v>
      </c>
      <c r="AK4468" s="44"/>
      <c r="AL4468" s="72"/>
      <c r="AM4468" s="53">
        <f>P_1_minQ-(AM4466^2*R_up)+dpup_minQ</f>
        <v>-27328.097318904071</v>
      </c>
      <c r="AN4468" s="44"/>
      <c r="AO4468" s="72"/>
      <c r="AP4468" s="53">
        <f>P_1_minQ-(AP4466^2*R_up)+dpup_minQ</f>
        <v>-36853.944548072206</v>
      </c>
      <c r="AQ4468" s="44"/>
      <c r="AR4468" s="72"/>
      <c r="AS4468" s="53">
        <f>P_1_minQ-(AS4466^2*R_up)+dpup_minQ</f>
        <v>-47752.109258050994</v>
      </c>
      <c r="AT4468" s="44"/>
      <c r="AU4468" s="72"/>
    </row>
    <row r="4469" spans="15:47" ht="13" x14ac:dyDescent="0.3">
      <c r="O4469" s="6" t="s">
        <v>233</v>
      </c>
      <c r="P4469" s="6"/>
      <c r="Q4469" s="60"/>
      <c r="R4469" s="85">
        <f>P_2_minQ+(R4466^2*R_dn)-dpdn_minQ</f>
        <v>61.597886588763131</v>
      </c>
      <c r="S4469" s="66"/>
      <c r="T4469" s="74"/>
      <c r="U4469" s="53">
        <f>P_2_minQ+(U4466^2*R_dn)-dpdn_minQ</f>
        <v>41.057406435276704</v>
      </c>
      <c r="V4469" s="45"/>
      <c r="W4469" s="74"/>
      <c r="X4469" s="53">
        <f>P_2_minQ+(X4466^2*R_dn)-dpdn_minQ</f>
        <v>119.15473526497509</v>
      </c>
      <c r="Y4469" s="45"/>
      <c r="Z4469" s="74"/>
      <c r="AA4469" s="53">
        <f>P_2_minQ+(AA4466^2*R_dn)-dpdn_minQ</f>
        <v>369.16614489801401</v>
      </c>
      <c r="AB4469" s="45"/>
      <c r="AC4469" s="74"/>
      <c r="AD4469" s="53">
        <f>P_2_minQ+(AD4466^2*R_dn)-dpdn_minQ</f>
        <v>956.49048926921762</v>
      </c>
      <c r="AE4469" s="45"/>
      <c r="AF4469" s="74"/>
      <c r="AG4469" s="53">
        <f>P_2_minQ+(AG4466^2*R_dn)-dpdn_minQ</f>
        <v>2090.266753742816</v>
      </c>
      <c r="AH4469" s="45"/>
      <c r="AI4469" s="74"/>
      <c r="AJ4469" s="53">
        <f>P_2_minQ+(AJ4466^2*R_dn)-dpdn_minQ</f>
        <v>3703.3028212718468</v>
      </c>
      <c r="AK4469" s="45"/>
      <c r="AL4469" s="74"/>
      <c r="AM4469" s="53">
        <f>P_2_minQ+(AM4466^2*R_dn)-dpdn_minQ</f>
        <v>5501.659463780813</v>
      </c>
      <c r="AN4469" s="45"/>
      <c r="AO4469" s="74"/>
      <c r="AP4469" s="53">
        <f>P_2_minQ+(AP4466^2*R_dn)-dpdn_minQ</f>
        <v>7406.8289096144408</v>
      </c>
      <c r="AQ4469" s="45"/>
      <c r="AR4469" s="74"/>
      <c r="AS4469" s="53">
        <f>P_2_minQ+(AS4466^2*R_dn)-dpdn_minQ</f>
        <v>9586.4618516101982</v>
      </c>
      <c r="AT4469" s="45"/>
      <c r="AU4469" s="74"/>
    </row>
    <row r="4470" spans="15:47" x14ac:dyDescent="0.25">
      <c r="O4470" s="6" t="s">
        <v>243</v>
      </c>
      <c r="Q4470" s="60"/>
      <c r="R4470" s="53">
        <f>R4468-R4469</f>
        <v>-189.3873195325788</v>
      </c>
      <c r="S4470" s="56"/>
      <c r="T4470" s="72"/>
      <c r="U4470" s="64">
        <f>U4468-U4469</f>
        <v>-66.144438611660178</v>
      </c>
      <c r="V4470" s="44"/>
      <c r="W4470" s="72"/>
      <c r="X4470" s="64">
        <f>X4468-X4469</f>
        <v>-534.72841158985057</v>
      </c>
      <c r="Y4470" s="44"/>
      <c r="Z4470" s="72"/>
      <c r="AA4470" s="64">
        <f>AA4468-AA4469</f>
        <v>-2034.7968693880844</v>
      </c>
      <c r="AB4470" s="44"/>
      <c r="AC4470" s="72"/>
      <c r="AD4470" s="64">
        <f>AD4468-AD4469</f>
        <v>-5558.7429356153061</v>
      </c>
      <c r="AE4470" s="44"/>
      <c r="AF4470" s="72"/>
      <c r="AG4470" s="64">
        <f>AG4468-AG4469</f>
        <v>-12361.400522456897</v>
      </c>
      <c r="AH4470" s="44"/>
      <c r="AI4470" s="72"/>
      <c r="AJ4470" s="64">
        <f>AJ4468-AJ4469</f>
        <v>-22039.616927631083</v>
      </c>
      <c r="AK4470" s="44"/>
      <c r="AL4470" s="72"/>
      <c r="AM4470" s="64">
        <f>AM4468-AM4469</f>
        <v>-32829.756782684883</v>
      </c>
      <c r="AN4470" s="44"/>
      <c r="AO4470" s="72"/>
      <c r="AP4470" s="64">
        <f>AP4468-AP4469</f>
        <v>-44260.77345768665</v>
      </c>
      <c r="AQ4470" s="44"/>
      <c r="AR4470" s="72"/>
      <c r="AS4470" s="64">
        <f>AS4468-AS4469</f>
        <v>-57338.571109661192</v>
      </c>
      <c r="AT4470" s="44"/>
      <c r="AU4470" s="72"/>
    </row>
    <row r="4471" spans="15:47" ht="13" x14ac:dyDescent="0.3">
      <c r="O4471" s="6" t="s">
        <v>75</v>
      </c>
      <c r="P4471" s="6">
        <v>3</v>
      </c>
      <c r="Q4471" s="65"/>
      <c r="R4471" s="85">
        <f>(F_LP_h/F_P_h)^2*(R4468-('Valve Sizing'!$V$4*'Valve Sizing'!$G$7))</f>
        <v>-106.1807489854781</v>
      </c>
      <c r="S4471" s="58"/>
      <c r="T4471" s="73"/>
      <c r="U4471" s="53">
        <f>(U$29/U$27)^2*(U4468-('Valve Sizing'!$V$4*'Valve Sizing'!$G$7))</f>
        <v>-21.132009024366706</v>
      </c>
      <c r="V4471" s="41"/>
      <c r="W4471" s="73"/>
      <c r="X4471" s="53">
        <f>(X$29/X$27)^2*(X4468-('Valve Sizing'!$V$4*'Valve Sizing'!$G$7))</f>
        <v>-336.61899590373696</v>
      </c>
      <c r="Y4471" s="41"/>
      <c r="Z4471" s="73"/>
      <c r="AA4471" s="53">
        <f>(AA$29/AA$27)^2*(AA4468-('Valve Sizing'!$V$4*'Valve Sizing'!$G$7))</f>
        <v>-1287.5348710304847</v>
      </c>
      <c r="AB4471" s="41"/>
      <c r="AC4471" s="73"/>
      <c r="AD4471" s="53">
        <f>(AD$29/AD$27)^2*(AD4468-('Valve Sizing'!$V$4*'Valve Sizing'!$G$7))</f>
        <v>-3319.4038729975982</v>
      </c>
      <c r="AE4471" s="41"/>
      <c r="AF4471" s="73"/>
      <c r="AG4471" s="53">
        <f>(AG$29/AG$27)^2*(AG4468-('Valve Sizing'!$V$4*'Valve Sizing'!$G$7))</f>
        <v>-6615.3449920126513</v>
      </c>
      <c r="AH4471" s="41"/>
      <c r="AI4471" s="73"/>
      <c r="AJ4471" s="53">
        <f>(AJ$29/AJ$27)^2*(AJ4468-('Valve Sizing'!$V$4*'Valve Sizing'!$G$7))</f>
        <v>-10605.324634118449</v>
      </c>
      <c r="AK4471" s="41"/>
      <c r="AL4471" s="73"/>
      <c r="AM4471" s="53">
        <f>(AM$29/AM$27)^2*(AM4468-('Valve Sizing'!$V$4*'Valve Sizing'!$G$7))</f>
        <v>-13075.944015917776</v>
      </c>
      <c r="AN4471" s="41"/>
      <c r="AO4471" s="73"/>
      <c r="AP4471" s="53">
        <f>(AP$29/AP$27)^2*(AP4468-('Valve Sizing'!$V$4*'Valve Sizing'!$G$7))</f>
        <v>-14543.728871209876</v>
      </c>
      <c r="AQ4471" s="41"/>
      <c r="AR4471" s="73"/>
      <c r="AS4471" s="53">
        <f>(AS$29/AS$27)^2*(AS4468-('Valve Sizing'!$V$4*'Valve Sizing'!$G$7))</f>
        <v>-17961.681820096703</v>
      </c>
      <c r="AT4471" s="41"/>
      <c r="AU4471" s="73"/>
    </row>
    <row r="4472" spans="15:47" ht="13" x14ac:dyDescent="0.25">
      <c r="O4472" s="1" t="s">
        <v>69</v>
      </c>
      <c r="P4472" s="17">
        <v>7</v>
      </c>
      <c r="Q4472" s="65"/>
      <c r="R4472" s="53" t="e">
        <f>(R4466/(N_1*F_P_h))*SQRT('Valve Sizing'!$G$6/R4470)</f>
        <v>#NUM!</v>
      </c>
      <c r="S4472" s="58"/>
      <c r="T4472" s="73"/>
      <c r="U4472" s="64" t="e">
        <f>(U4466/(N_1*U$27))*SQRT('Valve Sizing'!$G$6/U4470)</f>
        <v>#NUM!</v>
      </c>
      <c r="V4472" s="41"/>
      <c r="W4472" s="73"/>
      <c r="X4472" s="64" t="e">
        <f>(X4466/(N_1*X$27))*SQRT('Valve Sizing'!$G$6/X4470)</f>
        <v>#NUM!</v>
      </c>
      <c r="Y4472" s="41"/>
      <c r="Z4472" s="73"/>
      <c r="AA4472" s="64" t="e">
        <f>(AA4466/(N_1*AA$27))*SQRT('Valve Sizing'!$G$6/AA4470)</f>
        <v>#NUM!</v>
      </c>
      <c r="AB4472" s="41"/>
      <c r="AC4472" s="73"/>
      <c r="AD4472" s="64" t="e">
        <f>(AD4466/(N_1*AD$27))*SQRT('Valve Sizing'!$G$6/AD4470)</f>
        <v>#NUM!</v>
      </c>
      <c r="AE4472" s="41"/>
      <c r="AF4472" s="73"/>
      <c r="AG4472" s="64" t="e">
        <f>(AG4466/(N_1*AG$27))*SQRT('Valve Sizing'!$G$6/AG4470)</f>
        <v>#NUM!</v>
      </c>
      <c r="AH4472" s="41"/>
      <c r="AI4472" s="73"/>
      <c r="AJ4472" s="64" t="e">
        <f>(AJ4466/(N_1*AJ$27))*SQRT('Valve Sizing'!$G$6/AJ4470)</f>
        <v>#NUM!</v>
      </c>
      <c r="AK4472" s="41"/>
      <c r="AL4472" s="73"/>
      <c r="AM4472" s="64" t="e">
        <f>(AM4466/(N_1*AM$27))*SQRT('Valve Sizing'!$G$6/AM4470)</f>
        <v>#NUM!</v>
      </c>
      <c r="AN4472" s="41"/>
      <c r="AO4472" s="73"/>
      <c r="AP4472" s="64" t="e">
        <f>(AP4466/(N_1*AP$27))*SQRT('Valve Sizing'!$G$6/AP4470)</f>
        <v>#NUM!</v>
      </c>
      <c r="AQ4472" s="41"/>
      <c r="AR4472" s="73"/>
      <c r="AS4472" s="64" t="e">
        <f>(AS4466/(N_1*AS$27))*SQRT('Valve Sizing'!$G$6/AS4470)</f>
        <v>#NUM!</v>
      </c>
      <c r="AT4472" s="41"/>
      <c r="AU4472" s="73"/>
    </row>
    <row r="4473" spans="15:47" ht="13" x14ac:dyDescent="0.3">
      <c r="O4473" s="1" t="s">
        <v>72</v>
      </c>
      <c r="P4473" s="17">
        <v>7</v>
      </c>
      <c r="Q4473" s="65"/>
      <c r="R4473" s="53" t="e">
        <f>(R4466/(N_1*F_P_h))*SQRT('Valve Sizing'!$G$6/R4471)</f>
        <v>#NUM!</v>
      </c>
      <c r="S4473" s="56"/>
      <c r="T4473" s="72"/>
      <c r="U4473" s="85" t="e">
        <f>(U4466/(N_1*U$27))*SQRT('Valve Sizing'!$G$6/U4471)</f>
        <v>#NUM!</v>
      </c>
      <c r="V4473" s="44"/>
      <c r="W4473" s="72"/>
      <c r="X4473" s="85" t="e">
        <f>(X4466/(N_1*X$27))*SQRT('Valve Sizing'!$G$6/X4471)</f>
        <v>#NUM!</v>
      </c>
      <c r="Y4473" s="44"/>
      <c r="Z4473" s="72"/>
      <c r="AA4473" s="85" t="e">
        <f>(AA4466/(N_1*AA$27))*SQRT('Valve Sizing'!$G$6/AA4471)</f>
        <v>#NUM!</v>
      </c>
      <c r="AB4473" s="44"/>
      <c r="AC4473" s="72"/>
      <c r="AD4473" s="85" t="e">
        <f>(AD4466/(N_1*AD$27))*SQRT('Valve Sizing'!$G$6/AD4471)</f>
        <v>#NUM!</v>
      </c>
      <c r="AE4473" s="44"/>
      <c r="AF4473" s="72"/>
      <c r="AG4473" s="85" t="e">
        <f>(AG4466/(N_1*AG$27))*SQRT('Valve Sizing'!$G$6/AG4471)</f>
        <v>#NUM!</v>
      </c>
      <c r="AH4473" s="44"/>
      <c r="AI4473" s="72"/>
      <c r="AJ4473" s="85" t="e">
        <f>(AJ4466/(N_1*AJ$27))*SQRT('Valve Sizing'!$G$6/AJ4471)</f>
        <v>#NUM!</v>
      </c>
      <c r="AK4473" s="44"/>
      <c r="AL4473" s="72"/>
      <c r="AM4473" s="85" t="e">
        <f>(AM4466/(N_1*AM$27))*SQRT('Valve Sizing'!$G$6/AM4471)</f>
        <v>#NUM!</v>
      </c>
      <c r="AN4473" s="44"/>
      <c r="AO4473" s="72"/>
      <c r="AP4473" s="85" t="e">
        <f>(AP4466/(N_1*AP$27))*SQRT('Valve Sizing'!$G$6/AP4471)</f>
        <v>#NUM!</v>
      </c>
      <c r="AQ4473" s="44"/>
      <c r="AR4473" s="72"/>
      <c r="AS4473" s="85" t="e">
        <f>(AS4466/(N_1*AS$27))*SQRT('Valve Sizing'!$G$6/AS4471)</f>
        <v>#NUM!</v>
      </c>
      <c r="AT4473" s="44"/>
      <c r="AU4473" s="72"/>
    </row>
    <row r="4474" spans="15:47" x14ac:dyDescent="0.25">
      <c r="O4474" s="1" t="s">
        <v>246</v>
      </c>
      <c r="P4474" s="18"/>
      <c r="Q4474" s="65"/>
      <c r="R4474" s="53" t="e">
        <f>IF(R4470&lt;R4471,R4472,R4473)</f>
        <v>#NUM!</v>
      </c>
      <c r="S4474" s="49"/>
      <c r="T4474" s="72"/>
      <c r="U4474" s="64" t="e">
        <f>IF(U4470&lt;U4471,U4472,U4473)</f>
        <v>#NUM!</v>
      </c>
      <c r="V4474" s="44"/>
      <c r="W4474" s="72"/>
      <c r="X4474" s="64" t="e">
        <f>IF(X4470&lt;X4471,X4472,X4473)</f>
        <v>#NUM!</v>
      </c>
      <c r="Y4474" s="44"/>
      <c r="Z4474" s="72"/>
      <c r="AA4474" s="64" t="e">
        <f>IF(AA4470&lt;AA4471,AA4472,AA4473)</f>
        <v>#NUM!</v>
      </c>
      <c r="AB4474" s="44"/>
      <c r="AC4474" s="72"/>
      <c r="AD4474" s="64" t="e">
        <f>IF(AD4470&lt;AD4471,AD4472,AD4473)</f>
        <v>#NUM!</v>
      </c>
      <c r="AE4474" s="44"/>
      <c r="AF4474" s="72"/>
      <c r="AG4474" s="64" t="e">
        <f>IF(AG4470&lt;AG4471,AG4472,AG4473)</f>
        <v>#NUM!</v>
      </c>
      <c r="AH4474" s="44"/>
      <c r="AI4474" s="72"/>
      <c r="AJ4474" s="64" t="e">
        <f>IF(AJ4470&lt;AJ4471,AJ4472,AJ4473)</f>
        <v>#NUM!</v>
      </c>
      <c r="AK4474" s="44"/>
      <c r="AL4474" s="72"/>
      <c r="AM4474" s="64" t="e">
        <f>IF(AM4470&lt;AM4471,AM4472,AM4473)</f>
        <v>#NUM!</v>
      </c>
      <c r="AN4474" s="44"/>
      <c r="AO4474" s="72"/>
      <c r="AP4474" s="64" t="e">
        <f>IF(AP4470&lt;AP4471,AP4472,AP4473)</f>
        <v>#NUM!</v>
      </c>
      <c r="AQ4474" s="44"/>
      <c r="AR4474" s="72"/>
      <c r="AS4474" s="64" t="e">
        <f>IF(AS4470&lt;AS4471,AS4472,AS4473)</f>
        <v>#NUM!</v>
      </c>
      <c r="AT4474" s="44"/>
      <c r="AU4474" s="72"/>
    </row>
    <row r="4475" spans="15:47" ht="13" x14ac:dyDescent="0.3">
      <c r="O4475" s="7" t="s">
        <v>264</v>
      </c>
      <c r="Q4475" s="61"/>
      <c r="R4475" s="53"/>
      <c r="S4475" s="69">
        <f>IFERROR(ABS(C_h-R4474),Q_max*10)</f>
        <v>5500</v>
      </c>
      <c r="T4475" s="76">
        <f>R4466</f>
        <v>2338.6175637470915</v>
      </c>
      <c r="U4475" s="61"/>
      <c r="V4475" s="69">
        <f>IFERROR(ABS(U$23-U4474),Q_max*10)</f>
        <v>5500</v>
      </c>
      <c r="W4475" s="75">
        <f>U4466</f>
        <v>1558.2406819046648</v>
      </c>
      <c r="X4475" s="61"/>
      <c r="Y4475" s="69">
        <f>IFERROR(ABS(X$23-X4474),Q_max*10)</f>
        <v>5500</v>
      </c>
      <c r="Z4475" s="75">
        <f>X4466</f>
        <v>3740.3774616981586</v>
      </c>
      <c r="AA4475" s="61"/>
      <c r="AB4475" s="69">
        <f>IFERROR(ABS(AA$23-AA4474),Q_max*10)</f>
        <v>5500</v>
      </c>
      <c r="AC4475" s="75">
        <f>AA4466</f>
        <v>7141.7513784891016</v>
      </c>
      <c r="AD4475" s="61"/>
      <c r="AE4475" s="69">
        <f>IFERROR(ABS(AD$23-AD4474),Q_max*10)</f>
        <v>5500</v>
      </c>
      <c r="AF4475" s="75">
        <f>AD4466</f>
        <v>11745.551580760593</v>
      </c>
      <c r="AG4475" s="61"/>
      <c r="AH4475" s="69">
        <f>IFERROR(ABS(AG$23-AG4474),Q_max*10)</f>
        <v>5500</v>
      </c>
      <c r="AI4475" s="75">
        <f>AG4466</f>
        <v>17487.525779584255</v>
      </c>
      <c r="AJ4475" s="61"/>
      <c r="AK4475" s="69">
        <f>IFERROR(ABS(AJ$23-AJ4474),Q_max*10)</f>
        <v>5500</v>
      </c>
      <c r="AL4475" s="75">
        <f>AJ4466</f>
        <v>23337.170944424626</v>
      </c>
      <c r="AM4475" s="61"/>
      <c r="AN4475" s="69">
        <f>IFERROR(ABS(AM$23-AM4474),Q_max*10)</f>
        <v>5500</v>
      </c>
      <c r="AO4475" s="75">
        <f>AM4466</f>
        <v>28475.783546950021</v>
      </c>
      <c r="AP4475" s="61"/>
      <c r="AQ4475" s="69">
        <f>IFERROR(ABS(AP$23-AP4474),Q_max*10)</f>
        <v>5500</v>
      </c>
      <c r="AR4475" s="75">
        <f>AP4466</f>
        <v>33059.500677844757</v>
      </c>
      <c r="AS4475" s="61"/>
      <c r="AT4475" s="69">
        <f>IFERROR(ABS(AS$23-AS4474),Q_max*10)</f>
        <v>5500</v>
      </c>
      <c r="AU4475" s="75">
        <f>AS4466</f>
        <v>37624.795575934892</v>
      </c>
    </row>
    <row r="4476" spans="15:47" ht="14.5" x14ac:dyDescent="0.35">
      <c r="O4476" s="8"/>
      <c r="P4476" s="6"/>
      <c r="Q4476" s="60"/>
      <c r="R4476" s="67"/>
      <c r="S4476" s="56"/>
      <c r="T4476" s="72"/>
      <c r="V4476" s="11"/>
      <c r="W4476" s="38"/>
      <c r="Y4476" s="11"/>
      <c r="Z4476" s="38"/>
      <c r="AB4476" s="11"/>
      <c r="AC4476" s="38"/>
      <c r="AE4476" s="11"/>
      <c r="AF4476" s="38"/>
      <c r="AH4476" s="11"/>
      <c r="AI4476" s="38"/>
      <c r="AK4476" s="11"/>
      <c r="AL4476" s="38"/>
      <c r="AN4476" s="11"/>
      <c r="AO4476" s="38"/>
      <c r="AQ4476" s="11"/>
      <c r="AR4476" s="38"/>
      <c r="AT4476" s="11"/>
      <c r="AU4476" s="38"/>
    </row>
    <row r="4477" spans="15:47" ht="14" x14ac:dyDescent="0.3">
      <c r="O4477" s="8" t="s">
        <v>235</v>
      </c>
      <c r="P4477" s="6"/>
      <c r="Q4477" s="60"/>
      <c r="R4477" s="53">
        <f>R4466*1.02</f>
        <v>2385.3899150220332</v>
      </c>
      <c r="S4477" s="58" t="s">
        <v>238</v>
      </c>
      <c r="T4477" s="73" t="s">
        <v>241</v>
      </c>
      <c r="U4477" s="84">
        <f>U4466*1.01</f>
        <v>1573.8230887237114</v>
      </c>
      <c r="V4477" s="58" t="s">
        <v>238</v>
      </c>
      <c r="W4477" s="73" t="s">
        <v>241</v>
      </c>
      <c r="X4477" s="84">
        <f>X4466*1.01</f>
        <v>3777.7812363151402</v>
      </c>
      <c r="Y4477" s="58" t="s">
        <v>238</v>
      </c>
      <c r="Z4477" s="73" t="s">
        <v>241</v>
      </c>
      <c r="AA4477" s="84">
        <f>AA4466*1.01</f>
        <v>7213.1688922739932</v>
      </c>
      <c r="AB4477" s="58" t="s">
        <v>238</v>
      </c>
      <c r="AC4477" s="73" t="s">
        <v>241</v>
      </c>
      <c r="AD4477" s="84">
        <f>AD4466*1.01</f>
        <v>11863.007096568199</v>
      </c>
      <c r="AE4477" s="58" t="s">
        <v>238</v>
      </c>
      <c r="AF4477" s="73" t="s">
        <v>241</v>
      </c>
      <c r="AG4477" s="84">
        <f>AG4466*1.01</f>
        <v>17662.401037380099</v>
      </c>
      <c r="AH4477" s="58" t="s">
        <v>238</v>
      </c>
      <c r="AI4477" s="73" t="s">
        <v>241</v>
      </c>
      <c r="AJ4477" s="84">
        <f>AJ4466*1.01</f>
        <v>23570.542653868873</v>
      </c>
      <c r="AK4477" s="58" t="s">
        <v>238</v>
      </c>
      <c r="AL4477" s="73" t="s">
        <v>241</v>
      </c>
      <c r="AM4477" s="84">
        <f>AM4466*1.01</f>
        <v>28760.54138241952</v>
      </c>
      <c r="AN4477" s="58" t="s">
        <v>238</v>
      </c>
      <c r="AO4477" s="73" t="s">
        <v>241</v>
      </c>
      <c r="AP4477" s="84">
        <f>AP4466*1.01</f>
        <v>33390.095684623207</v>
      </c>
      <c r="AQ4477" s="58" t="s">
        <v>238</v>
      </c>
      <c r="AR4477" s="73" t="s">
        <v>241</v>
      </c>
      <c r="AS4477" s="84">
        <f>AS4466*1.01</f>
        <v>38001.043531694238</v>
      </c>
      <c r="AT4477" s="58" t="s">
        <v>238</v>
      </c>
      <c r="AU4477" s="73" t="s">
        <v>241</v>
      </c>
    </row>
    <row r="4478" spans="15:47" ht="13" x14ac:dyDescent="0.25">
      <c r="O4478" s="6"/>
      <c r="P4478" s="6"/>
      <c r="Q4478" s="60"/>
      <c r="R4478" s="70"/>
      <c r="S4478" s="63" t="s">
        <v>250</v>
      </c>
      <c r="T4478" s="71" t="s">
        <v>242</v>
      </c>
      <c r="U4478" s="61"/>
      <c r="V4478" s="63" t="s">
        <v>250</v>
      </c>
      <c r="W4478" s="71" t="s">
        <v>242</v>
      </c>
      <c r="X4478" s="61"/>
      <c r="Y4478" s="63" t="s">
        <v>250</v>
      </c>
      <c r="Z4478" s="71" t="s">
        <v>242</v>
      </c>
      <c r="AA4478" s="61"/>
      <c r="AB4478" s="63" t="s">
        <v>250</v>
      </c>
      <c r="AC4478" s="71" t="s">
        <v>242</v>
      </c>
      <c r="AD4478" s="61"/>
      <c r="AE4478" s="63" t="s">
        <v>250</v>
      </c>
      <c r="AF4478" s="71" t="s">
        <v>242</v>
      </c>
      <c r="AG4478" s="61"/>
      <c r="AH4478" s="63" t="s">
        <v>250</v>
      </c>
      <c r="AI4478" s="71" t="s">
        <v>242</v>
      </c>
      <c r="AJ4478" s="61"/>
      <c r="AK4478" s="63" t="s">
        <v>250</v>
      </c>
      <c r="AL4478" s="71" t="s">
        <v>242</v>
      </c>
      <c r="AM4478" s="61"/>
      <c r="AN4478" s="63" t="s">
        <v>250</v>
      </c>
      <c r="AO4478" s="71" t="s">
        <v>242</v>
      </c>
      <c r="AP4478" s="61"/>
      <c r="AQ4478" s="63" t="s">
        <v>250</v>
      </c>
      <c r="AR4478" s="71" t="s">
        <v>242</v>
      </c>
      <c r="AS4478" s="61"/>
      <c r="AT4478" s="63" t="s">
        <v>250</v>
      </c>
      <c r="AU4478" s="71" t="s">
        <v>242</v>
      </c>
    </row>
    <row r="4479" spans="15:47" ht="13" x14ac:dyDescent="0.3">
      <c r="O4479" s="6" t="s">
        <v>231</v>
      </c>
      <c r="P4479" s="6"/>
      <c r="Q4479" s="60"/>
      <c r="R4479" s="85">
        <f>P_1_minQ-(R4477^2*R_up)+dpup_minQ</f>
        <v>-135.2515382198184</v>
      </c>
      <c r="S4479" s="56"/>
      <c r="T4479" s="72"/>
      <c r="U4479" s="53">
        <f>P_1_minQ-(U4477^2*R_up)+dpup_minQ</f>
        <v>-26.735296001345592</v>
      </c>
      <c r="V4479" s="44"/>
      <c r="W4479" s="72"/>
      <c r="X4479" s="53">
        <f>P_1_minQ-(X4477^2*R_up)+dpup_minQ</f>
        <v>-425.07072169722221</v>
      </c>
      <c r="Y4479" s="44"/>
      <c r="Z4479" s="72"/>
      <c r="AA4479" s="53">
        <f>P_1_minQ-(AA4477^2*R_up)+dpup_minQ</f>
        <v>-1700.2539165305379</v>
      </c>
      <c r="AB4479" s="44"/>
      <c r="AC4479" s="72"/>
      <c r="AD4479" s="53">
        <f>P_1_minQ-(AD4477^2*R_up)+dpup_minQ</f>
        <v>-4695.9017349958622</v>
      </c>
      <c r="AE4479" s="44"/>
      <c r="AF4479" s="72"/>
      <c r="AG4479" s="53">
        <f>P_1_minQ-(AG4477^2*R_up)+dpup_minQ</f>
        <v>-10478.727571943453</v>
      </c>
      <c r="AH4479" s="44"/>
      <c r="AI4479" s="72"/>
      <c r="AJ4479" s="53">
        <f>P_1_minQ-(AJ4477^2*R_up)+dpup_minQ</f>
        <v>-18706.01803437528</v>
      </c>
      <c r="AK4479" s="44"/>
      <c r="AL4479" s="72"/>
      <c r="AM4479" s="53">
        <f>P_1_minQ-(AM4477^2*R_up)+dpup_minQ</f>
        <v>-27878.53608949226</v>
      </c>
      <c r="AN4479" s="44"/>
      <c r="AO4479" s="72"/>
      <c r="AP4479" s="53">
        <f>P_1_minQ-(AP4477^2*R_up)+dpup_minQ</f>
        <v>-37595.852847966678</v>
      </c>
      <c r="AQ4479" s="44"/>
      <c r="AR4479" s="72"/>
      <c r="AS4479" s="53">
        <f>P_1_minQ-(AS4477^2*R_up)+dpup_minQ</f>
        <v>-48713.070668616027</v>
      </c>
      <c r="AT4479" s="44"/>
      <c r="AU4479" s="72"/>
    </row>
    <row r="4480" spans="15:47" ht="13" x14ac:dyDescent="0.3">
      <c r="O4480" s="6" t="s">
        <v>233</v>
      </c>
      <c r="P4480" s="6"/>
      <c r="Q4480" s="60"/>
      <c r="R4480" s="85">
        <f>P_2_minQ+(R4477^2*R_dn)-dpdn_minQ</f>
        <v>63.090307643963683</v>
      </c>
      <c r="S4480" s="66"/>
      <c r="T4480" s="74"/>
      <c r="U4480" s="53">
        <f>P_2_minQ+(U4477^2*R_dn)-dpdn_minQ</f>
        <v>41.387059200269121</v>
      </c>
      <c r="V4480" s="45"/>
      <c r="W4480" s="74"/>
      <c r="X4480" s="53">
        <f>P_2_minQ+(X4477^2*R_dn)-dpdn_minQ</f>
        <v>121.05414433944443</v>
      </c>
      <c r="Y4480" s="45"/>
      <c r="Z4480" s="74"/>
      <c r="AA4480" s="53">
        <f>P_2_minQ+(AA4477^2*R_dn)-dpdn_minQ</f>
        <v>376.09078330610754</v>
      </c>
      <c r="AB4480" s="45"/>
      <c r="AC4480" s="74"/>
      <c r="AD4480" s="53">
        <f>P_2_minQ+(AD4477^2*R_dn)-dpdn_minQ</f>
        <v>975.22034699917219</v>
      </c>
      <c r="AE4480" s="45"/>
      <c r="AF4480" s="74"/>
      <c r="AG4480" s="53">
        <f>P_2_minQ+(AG4477^2*R_dn)-dpdn_minQ</f>
        <v>2131.78551438869</v>
      </c>
      <c r="AH4480" s="45"/>
      <c r="AI4480" s="74"/>
      <c r="AJ4480" s="53">
        <f>P_2_minQ+(AJ4477^2*R_dn)-dpdn_minQ</f>
        <v>3777.2436068750553</v>
      </c>
      <c r="AK4480" s="45"/>
      <c r="AL4480" s="74"/>
      <c r="AM4480" s="53">
        <f>P_2_minQ+(AM4477^2*R_dn)-dpdn_minQ</f>
        <v>5611.7472178984517</v>
      </c>
      <c r="AN4480" s="45"/>
      <c r="AO4480" s="74"/>
      <c r="AP4480" s="53">
        <f>P_2_minQ+(AP4477^2*R_dn)-dpdn_minQ</f>
        <v>7555.2105695933351</v>
      </c>
      <c r="AQ4480" s="45"/>
      <c r="AR4480" s="74"/>
      <c r="AS4480" s="53">
        <f>P_2_minQ+(AS4477^2*R_dn)-dpdn_minQ</f>
        <v>9778.6541337232047</v>
      </c>
      <c r="AT4480" s="45"/>
      <c r="AU4480" s="74"/>
    </row>
    <row r="4481" spans="15:47" x14ac:dyDescent="0.25">
      <c r="O4481" s="6" t="s">
        <v>243</v>
      </c>
      <c r="Q4481" s="60"/>
      <c r="R4481" s="53">
        <f>R4479-R4480</f>
        <v>-198.34184586378208</v>
      </c>
      <c r="S4481" s="56"/>
      <c r="T4481" s="72"/>
      <c r="U4481" s="64">
        <f>U4479-U4480</f>
        <v>-68.12235520161471</v>
      </c>
      <c r="V4481" s="44"/>
      <c r="W4481" s="72"/>
      <c r="X4481" s="64">
        <f>X4479-X4480</f>
        <v>-546.12486603666662</v>
      </c>
      <c r="Y4481" s="44"/>
      <c r="Z4481" s="72"/>
      <c r="AA4481" s="64">
        <f>AA4479-AA4480</f>
        <v>-2076.3446998366453</v>
      </c>
      <c r="AB4481" s="44"/>
      <c r="AC4481" s="72"/>
      <c r="AD4481" s="64">
        <f>AD4479-AD4480</f>
        <v>-5671.122081995034</v>
      </c>
      <c r="AE4481" s="44"/>
      <c r="AF4481" s="72"/>
      <c r="AG4481" s="64">
        <f>AG4479-AG4480</f>
        <v>-12610.513086332143</v>
      </c>
      <c r="AH4481" s="44"/>
      <c r="AI4481" s="72"/>
      <c r="AJ4481" s="64">
        <f>AJ4479-AJ4480</f>
        <v>-22483.261641250334</v>
      </c>
      <c r="AK4481" s="44"/>
      <c r="AL4481" s="72"/>
      <c r="AM4481" s="64">
        <f>AM4479-AM4480</f>
        <v>-33490.28330739071</v>
      </c>
      <c r="AN4481" s="44"/>
      <c r="AO4481" s="72"/>
      <c r="AP4481" s="64">
        <f>AP4479-AP4480</f>
        <v>-45151.063417560013</v>
      </c>
      <c r="AQ4481" s="44"/>
      <c r="AR4481" s="72"/>
      <c r="AS4481" s="64">
        <f>AS4479-AS4480</f>
        <v>-58491.724802339231</v>
      </c>
      <c r="AT4481" s="44"/>
      <c r="AU4481" s="72"/>
    </row>
    <row r="4482" spans="15:47" ht="13" x14ac:dyDescent="0.3">
      <c r="O4482" s="6" t="s">
        <v>75</v>
      </c>
      <c r="P4482" s="6">
        <v>3</v>
      </c>
      <c r="Q4482" s="65"/>
      <c r="R4482" s="85">
        <f>(F_LP_h/F_P_h)^2*(R4479-('Valve Sizing'!$V$4*'Valve Sizing'!$G$7))</f>
        <v>-112.35976383945675</v>
      </c>
      <c r="S4482" s="58"/>
      <c r="T4482" s="73"/>
      <c r="U4482" s="53">
        <f>(U$29/U$27)^2*(U4479-('Valve Sizing'!$V$4*'Valve Sizing'!$G$7))</f>
        <v>-22.496485987258364</v>
      </c>
      <c r="V4482" s="41"/>
      <c r="W4482" s="73"/>
      <c r="X4482" s="53">
        <f>(X$29/X$27)^2*(X4479-('Valve Sizing'!$V$4*'Valve Sizing'!$G$7))</f>
        <v>-344.30356402268029</v>
      </c>
      <c r="Y4482" s="41"/>
      <c r="Z4482" s="73"/>
      <c r="AA4482" s="53">
        <f>(AA$29/AA$27)^2*(AA4479-('Valve Sizing'!$V$4*'Valve Sizing'!$G$7))</f>
        <v>-1314.2915776337411</v>
      </c>
      <c r="AB4482" s="41"/>
      <c r="AC4482" s="73"/>
      <c r="AD4482" s="53">
        <f>(AD$29/AD$27)^2*(AD4479-('Valve Sizing'!$V$4*'Valve Sizing'!$G$7))</f>
        <v>-3386.942560662776</v>
      </c>
      <c r="AE4482" s="41"/>
      <c r="AF4482" s="73"/>
      <c r="AG4482" s="53">
        <f>(AG$29/AG$27)^2*(AG4479-('Valve Sizing'!$V$4*'Valve Sizing'!$G$7))</f>
        <v>-6749.0445252856234</v>
      </c>
      <c r="AH4482" s="41"/>
      <c r="AI4482" s="73"/>
      <c r="AJ4482" s="53">
        <f>(AJ$29/AJ$27)^2*(AJ4479-('Valve Sizing'!$V$4*'Valve Sizing'!$G$7))</f>
        <v>-10819.148200712942</v>
      </c>
      <c r="AK4482" s="41"/>
      <c r="AL4482" s="73"/>
      <c r="AM4482" s="53">
        <f>(AM$29/AM$27)^2*(AM4479-('Valve Sizing'!$V$4*'Valve Sizing'!$G$7))</f>
        <v>-13339.313637541643</v>
      </c>
      <c r="AN4482" s="41"/>
      <c r="AO4482" s="73"/>
      <c r="AP4482" s="53">
        <f>(AP$29/AP$27)^2*(AP4479-('Valve Sizing'!$V$4*'Valve Sizing'!$G$7))</f>
        <v>-14836.505789788096</v>
      </c>
      <c r="AQ4482" s="41"/>
      <c r="AR4482" s="73"/>
      <c r="AS4482" s="53">
        <f>(AS$29/AS$27)^2*(AS4479-('Valve Sizing'!$V$4*'Valve Sizing'!$G$7))</f>
        <v>-18323.13860816976</v>
      </c>
      <c r="AT4482" s="41"/>
      <c r="AU4482" s="73"/>
    </row>
    <row r="4483" spans="15:47" ht="13" x14ac:dyDescent="0.25">
      <c r="O4483" s="1" t="s">
        <v>69</v>
      </c>
      <c r="P4483" s="17">
        <v>7</v>
      </c>
      <c r="Q4483" s="65"/>
      <c r="R4483" s="53" t="e">
        <f>(R4477/(N_1*F_P_h))*SQRT('Valve Sizing'!$G$6/R4481)</f>
        <v>#NUM!</v>
      </c>
      <c r="S4483" s="58"/>
      <c r="T4483" s="73"/>
      <c r="U4483" s="64" t="e">
        <f>(U4477/(N_1*U$27))*SQRT('Valve Sizing'!$G$6/U4481)</f>
        <v>#NUM!</v>
      </c>
      <c r="V4483" s="41"/>
      <c r="W4483" s="73"/>
      <c r="X4483" s="64" t="e">
        <f>(X4477/(N_1*X$27))*SQRT('Valve Sizing'!$G$6/X4481)</f>
        <v>#NUM!</v>
      </c>
      <c r="Y4483" s="41"/>
      <c r="Z4483" s="73"/>
      <c r="AA4483" s="64" t="e">
        <f>(AA4477/(N_1*AA$27))*SQRT('Valve Sizing'!$G$6/AA4481)</f>
        <v>#NUM!</v>
      </c>
      <c r="AB4483" s="41"/>
      <c r="AC4483" s="73"/>
      <c r="AD4483" s="64" t="e">
        <f>(AD4477/(N_1*AD$27))*SQRT('Valve Sizing'!$G$6/AD4481)</f>
        <v>#NUM!</v>
      </c>
      <c r="AE4483" s="41"/>
      <c r="AF4483" s="73"/>
      <c r="AG4483" s="64" t="e">
        <f>(AG4477/(N_1*AG$27))*SQRT('Valve Sizing'!$G$6/AG4481)</f>
        <v>#NUM!</v>
      </c>
      <c r="AH4483" s="41"/>
      <c r="AI4483" s="73"/>
      <c r="AJ4483" s="64" t="e">
        <f>(AJ4477/(N_1*AJ$27))*SQRT('Valve Sizing'!$G$6/AJ4481)</f>
        <v>#NUM!</v>
      </c>
      <c r="AK4483" s="41"/>
      <c r="AL4483" s="73"/>
      <c r="AM4483" s="64" t="e">
        <f>(AM4477/(N_1*AM$27))*SQRT('Valve Sizing'!$G$6/AM4481)</f>
        <v>#NUM!</v>
      </c>
      <c r="AN4483" s="41"/>
      <c r="AO4483" s="73"/>
      <c r="AP4483" s="64" t="e">
        <f>(AP4477/(N_1*AP$27))*SQRT('Valve Sizing'!$G$6/AP4481)</f>
        <v>#NUM!</v>
      </c>
      <c r="AQ4483" s="41"/>
      <c r="AR4483" s="73"/>
      <c r="AS4483" s="64" t="e">
        <f>(AS4477/(N_1*AS$27))*SQRT('Valve Sizing'!$G$6/AS4481)</f>
        <v>#NUM!</v>
      </c>
      <c r="AT4483" s="41"/>
      <c r="AU4483" s="73"/>
    </row>
    <row r="4484" spans="15:47" ht="13" x14ac:dyDescent="0.3">
      <c r="O4484" s="1" t="s">
        <v>72</v>
      </c>
      <c r="P4484" s="17">
        <v>7</v>
      </c>
      <c r="Q4484" s="65"/>
      <c r="R4484" s="53" t="e">
        <f>(R4477/(N_1*F_P_h))*SQRT('Valve Sizing'!$G$6/R4482)</f>
        <v>#NUM!</v>
      </c>
      <c r="S4484" s="56"/>
      <c r="T4484" s="72"/>
      <c r="U4484" s="85" t="e">
        <f>(U4477/(N_1*U$27))*SQRT('Valve Sizing'!$G$6/U4482)</f>
        <v>#NUM!</v>
      </c>
      <c r="V4484" s="44"/>
      <c r="W4484" s="72"/>
      <c r="X4484" s="85" t="e">
        <f>(X4477/(N_1*X$27))*SQRT('Valve Sizing'!$G$6/X4482)</f>
        <v>#NUM!</v>
      </c>
      <c r="Y4484" s="44"/>
      <c r="Z4484" s="72"/>
      <c r="AA4484" s="85" t="e">
        <f>(AA4477/(N_1*AA$27))*SQRT('Valve Sizing'!$G$6/AA4482)</f>
        <v>#NUM!</v>
      </c>
      <c r="AB4484" s="44"/>
      <c r="AC4484" s="72"/>
      <c r="AD4484" s="85" t="e">
        <f>(AD4477/(N_1*AD$27))*SQRT('Valve Sizing'!$G$6/AD4482)</f>
        <v>#NUM!</v>
      </c>
      <c r="AE4484" s="44"/>
      <c r="AF4484" s="72"/>
      <c r="AG4484" s="85" t="e">
        <f>(AG4477/(N_1*AG$27))*SQRT('Valve Sizing'!$G$6/AG4482)</f>
        <v>#NUM!</v>
      </c>
      <c r="AH4484" s="44"/>
      <c r="AI4484" s="72"/>
      <c r="AJ4484" s="85" t="e">
        <f>(AJ4477/(N_1*AJ$27))*SQRT('Valve Sizing'!$G$6/AJ4482)</f>
        <v>#NUM!</v>
      </c>
      <c r="AK4484" s="44"/>
      <c r="AL4484" s="72"/>
      <c r="AM4484" s="85" t="e">
        <f>(AM4477/(N_1*AM$27))*SQRT('Valve Sizing'!$G$6/AM4482)</f>
        <v>#NUM!</v>
      </c>
      <c r="AN4484" s="44"/>
      <c r="AO4484" s="72"/>
      <c r="AP4484" s="85" t="e">
        <f>(AP4477/(N_1*AP$27))*SQRT('Valve Sizing'!$G$6/AP4482)</f>
        <v>#NUM!</v>
      </c>
      <c r="AQ4484" s="44"/>
      <c r="AR4484" s="72"/>
      <c r="AS4484" s="85" t="e">
        <f>(AS4477/(N_1*AS$27))*SQRT('Valve Sizing'!$G$6/AS4482)</f>
        <v>#NUM!</v>
      </c>
      <c r="AT4484" s="44"/>
      <c r="AU4484" s="72"/>
    </row>
    <row r="4485" spans="15:47" x14ac:dyDescent="0.25">
      <c r="O4485" s="1" t="s">
        <v>246</v>
      </c>
      <c r="P4485" s="18"/>
      <c r="Q4485" s="65"/>
      <c r="R4485" s="53" t="e">
        <f>IF(R4481&lt;R4482,R4483,R4484)</f>
        <v>#NUM!</v>
      </c>
      <c r="S4485" s="49"/>
      <c r="T4485" s="72"/>
      <c r="U4485" s="64" t="e">
        <f>IF(U4481&lt;U4482,U4483,U4484)</f>
        <v>#NUM!</v>
      </c>
      <c r="V4485" s="44"/>
      <c r="W4485" s="72"/>
      <c r="X4485" s="64" t="e">
        <f>IF(X4481&lt;X4482,X4483,X4484)</f>
        <v>#NUM!</v>
      </c>
      <c r="Y4485" s="44"/>
      <c r="Z4485" s="72"/>
      <c r="AA4485" s="64" t="e">
        <f>IF(AA4481&lt;AA4482,AA4483,AA4484)</f>
        <v>#NUM!</v>
      </c>
      <c r="AB4485" s="44"/>
      <c r="AC4485" s="72"/>
      <c r="AD4485" s="64" t="e">
        <f>IF(AD4481&lt;AD4482,AD4483,AD4484)</f>
        <v>#NUM!</v>
      </c>
      <c r="AE4485" s="44"/>
      <c r="AF4485" s="72"/>
      <c r="AG4485" s="64" t="e">
        <f>IF(AG4481&lt;AG4482,AG4483,AG4484)</f>
        <v>#NUM!</v>
      </c>
      <c r="AH4485" s="44"/>
      <c r="AI4485" s="72"/>
      <c r="AJ4485" s="64" t="e">
        <f>IF(AJ4481&lt;AJ4482,AJ4483,AJ4484)</f>
        <v>#NUM!</v>
      </c>
      <c r="AK4485" s="44"/>
      <c r="AL4485" s="72"/>
      <c r="AM4485" s="64" t="e">
        <f>IF(AM4481&lt;AM4482,AM4483,AM4484)</f>
        <v>#NUM!</v>
      </c>
      <c r="AN4485" s="44"/>
      <c r="AO4485" s="72"/>
      <c r="AP4485" s="64" t="e">
        <f>IF(AP4481&lt;AP4482,AP4483,AP4484)</f>
        <v>#NUM!</v>
      </c>
      <c r="AQ4485" s="44"/>
      <c r="AR4485" s="72"/>
      <c r="AS4485" s="64" t="e">
        <f>IF(AS4481&lt;AS4482,AS4483,AS4484)</f>
        <v>#NUM!</v>
      </c>
      <c r="AT4485" s="44"/>
      <c r="AU4485" s="72"/>
    </row>
    <row r="4486" spans="15:47" ht="13" x14ac:dyDescent="0.3">
      <c r="O4486" s="7" t="s">
        <v>264</v>
      </c>
      <c r="Q4486" s="61"/>
      <c r="R4486" s="53"/>
      <c r="S4486" s="69">
        <f>IFERROR(ABS(C_h-R4485),Q_max*10)</f>
        <v>5500</v>
      </c>
      <c r="T4486" s="76">
        <f>R4477</f>
        <v>2385.3899150220332</v>
      </c>
      <c r="U4486" s="61"/>
      <c r="V4486" s="69">
        <f>IFERROR(ABS(U$23-U4485),Q_max*10)</f>
        <v>5500</v>
      </c>
      <c r="W4486" s="75">
        <f>U4477</f>
        <v>1573.8230887237114</v>
      </c>
      <c r="X4486" s="61"/>
      <c r="Y4486" s="69">
        <f>IFERROR(ABS(X$23-X4485),Q_max*10)</f>
        <v>5500</v>
      </c>
      <c r="Z4486" s="75">
        <f>X4477</f>
        <v>3777.7812363151402</v>
      </c>
      <c r="AA4486" s="61"/>
      <c r="AB4486" s="69">
        <f>IFERROR(ABS(AA$23-AA4485),Q_max*10)</f>
        <v>5500</v>
      </c>
      <c r="AC4486" s="75">
        <f>AA4477</f>
        <v>7213.1688922739932</v>
      </c>
      <c r="AD4486" s="61"/>
      <c r="AE4486" s="69">
        <f>IFERROR(ABS(AD$23-AD4485),Q_max*10)</f>
        <v>5500</v>
      </c>
      <c r="AF4486" s="75">
        <f>AD4477</f>
        <v>11863.007096568199</v>
      </c>
      <c r="AG4486" s="61"/>
      <c r="AH4486" s="69">
        <f>IFERROR(ABS(AG$23-AG4485),Q_max*10)</f>
        <v>5500</v>
      </c>
      <c r="AI4486" s="75">
        <f>AG4477</f>
        <v>17662.401037380099</v>
      </c>
      <c r="AJ4486" s="61"/>
      <c r="AK4486" s="69">
        <f>IFERROR(ABS(AJ$23-AJ4485),Q_max*10)</f>
        <v>5500</v>
      </c>
      <c r="AL4486" s="75">
        <f>AJ4477</f>
        <v>23570.542653868873</v>
      </c>
      <c r="AM4486" s="61"/>
      <c r="AN4486" s="69">
        <f>IFERROR(ABS(AM$23-AM4485),Q_max*10)</f>
        <v>5500</v>
      </c>
      <c r="AO4486" s="75">
        <f>AM4477</f>
        <v>28760.54138241952</v>
      </c>
      <c r="AP4486" s="61"/>
      <c r="AQ4486" s="69">
        <f>IFERROR(ABS(AP$23-AP4485),Q_max*10)</f>
        <v>5500</v>
      </c>
      <c r="AR4486" s="75">
        <f>AP4477</f>
        <v>33390.095684623207</v>
      </c>
      <c r="AS4486" s="61"/>
      <c r="AT4486" s="69">
        <f>IFERROR(ABS(AS$23-AS4485),Q_max*10)</f>
        <v>5500</v>
      </c>
      <c r="AU4486" s="75">
        <f>AS4477</f>
        <v>38001.043531694238</v>
      </c>
    </row>
    <row r="4487" spans="15:47" ht="14.5" x14ac:dyDescent="0.35">
      <c r="O4487" s="6"/>
      <c r="P4487" s="6"/>
      <c r="Q4487" s="60"/>
      <c r="R4487" s="67"/>
      <c r="S4487" s="56"/>
      <c r="T4487" s="72"/>
      <c r="V4487" s="11"/>
      <c r="W4487" s="38"/>
      <c r="Y4487" s="11"/>
      <c r="Z4487" s="38"/>
      <c r="AB4487" s="11"/>
      <c r="AC4487" s="38"/>
      <c r="AE4487" s="11"/>
      <c r="AF4487" s="38"/>
      <c r="AH4487" s="11"/>
      <c r="AI4487" s="38"/>
      <c r="AK4487" s="11"/>
      <c r="AL4487" s="38"/>
      <c r="AN4487" s="11"/>
      <c r="AO4487" s="38"/>
      <c r="AQ4487" s="11"/>
      <c r="AR4487" s="38"/>
      <c r="AT4487" s="11"/>
      <c r="AU4487" s="38"/>
    </row>
    <row r="4488" spans="15:47" ht="14" x14ac:dyDescent="0.3">
      <c r="O4488" s="8" t="s">
        <v>235</v>
      </c>
      <c r="P4488" s="6"/>
      <c r="Q4488" s="60"/>
      <c r="R4488" s="53">
        <f>R4477*1.02</f>
        <v>2433.0977133224737</v>
      </c>
      <c r="S4488" s="58" t="s">
        <v>238</v>
      </c>
      <c r="T4488" s="73" t="s">
        <v>241</v>
      </c>
      <c r="U4488" s="84">
        <f>U4477*1.01</f>
        <v>1589.5613196109484</v>
      </c>
      <c r="V4488" s="58" t="s">
        <v>238</v>
      </c>
      <c r="W4488" s="73" t="s">
        <v>241</v>
      </c>
      <c r="X4488" s="84">
        <f>X4477*1.01</f>
        <v>3815.5590486782917</v>
      </c>
      <c r="Y4488" s="58" t="s">
        <v>238</v>
      </c>
      <c r="Z4488" s="73" t="s">
        <v>241</v>
      </c>
      <c r="AA4488" s="84">
        <f>AA4477*1.01</f>
        <v>7285.3005811967332</v>
      </c>
      <c r="AB4488" s="58" t="s">
        <v>238</v>
      </c>
      <c r="AC4488" s="73" t="s">
        <v>241</v>
      </c>
      <c r="AD4488" s="84">
        <f>AD4477*1.01</f>
        <v>11981.637167533881</v>
      </c>
      <c r="AE4488" s="58" t="s">
        <v>238</v>
      </c>
      <c r="AF4488" s="73" t="s">
        <v>241</v>
      </c>
      <c r="AG4488" s="84">
        <f>AG4477*1.01</f>
        <v>17839.025047753901</v>
      </c>
      <c r="AH4488" s="58" t="s">
        <v>238</v>
      </c>
      <c r="AI4488" s="73" t="s">
        <v>241</v>
      </c>
      <c r="AJ4488" s="84">
        <f>AJ4477*1.01</f>
        <v>23806.248080407564</v>
      </c>
      <c r="AK4488" s="58" t="s">
        <v>238</v>
      </c>
      <c r="AL4488" s="73" t="s">
        <v>241</v>
      </c>
      <c r="AM4488" s="84">
        <f>AM4477*1.01</f>
        <v>29048.146796243716</v>
      </c>
      <c r="AN4488" s="58" t="s">
        <v>238</v>
      </c>
      <c r="AO4488" s="73" t="s">
        <v>241</v>
      </c>
      <c r="AP4488" s="84">
        <f>AP4477*1.01</f>
        <v>33723.996641469443</v>
      </c>
      <c r="AQ4488" s="58" t="s">
        <v>238</v>
      </c>
      <c r="AR4488" s="73" t="s">
        <v>241</v>
      </c>
      <c r="AS4488" s="84">
        <f>AS4477*1.01</f>
        <v>38381.053967011183</v>
      </c>
      <c r="AT4488" s="58" t="s">
        <v>238</v>
      </c>
      <c r="AU4488" s="73" t="s">
        <v>241</v>
      </c>
    </row>
    <row r="4489" spans="15:47" ht="13" x14ac:dyDescent="0.25">
      <c r="O4489" s="6"/>
      <c r="P4489" s="6"/>
      <c r="Q4489" s="60"/>
      <c r="R4489" s="70"/>
      <c r="S4489" s="63" t="s">
        <v>250</v>
      </c>
      <c r="T4489" s="71" t="s">
        <v>242</v>
      </c>
      <c r="U4489" s="61"/>
      <c r="V4489" s="63" t="s">
        <v>250</v>
      </c>
      <c r="W4489" s="71" t="s">
        <v>242</v>
      </c>
      <c r="X4489" s="61"/>
      <c r="Y4489" s="63" t="s">
        <v>250</v>
      </c>
      <c r="Z4489" s="71" t="s">
        <v>242</v>
      </c>
      <c r="AA4489" s="61"/>
      <c r="AB4489" s="63" t="s">
        <v>250</v>
      </c>
      <c r="AC4489" s="71" t="s">
        <v>242</v>
      </c>
      <c r="AD4489" s="61"/>
      <c r="AE4489" s="63" t="s">
        <v>250</v>
      </c>
      <c r="AF4489" s="71" t="s">
        <v>242</v>
      </c>
      <c r="AG4489" s="61"/>
      <c r="AH4489" s="63" t="s">
        <v>250</v>
      </c>
      <c r="AI4489" s="71" t="s">
        <v>242</v>
      </c>
      <c r="AJ4489" s="61"/>
      <c r="AK4489" s="63" t="s">
        <v>250</v>
      </c>
      <c r="AL4489" s="71" t="s">
        <v>242</v>
      </c>
      <c r="AM4489" s="61"/>
      <c r="AN4489" s="63" t="s">
        <v>250</v>
      </c>
      <c r="AO4489" s="71" t="s">
        <v>242</v>
      </c>
      <c r="AP4489" s="61"/>
      <c r="AQ4489" s="63" t="s">
        <v>250</v>
      </c>
      <c r="AR4489" s="71" t="s">
        <v>242</v>
      </c>
      <c r="AS4489" s="61"/>
      <c r="AT4489" s="63" t="s">
        <v>250</v>
      </c>
      <c r="AU4489" s="71" t="s">
        <v>242</v>
      </c>
    </row>
    <row r="4490" spans="15:47" ht="13" x14ac:dyDescent="0.3">
      <c r="O4490" s="6" t="s">
        <v>231</v>
      </c>
      <c r="P4490" s="6"/>
      <c r="Q4490" s="60"/>
      <c r="R4490" s="85">
        <f>P_1_minQ-(R4488^2*R_up)+dpup_minQ</f>
        <v>-143.01511254897164</v>
      </c>
      <c r="S4490" s="56"/>
      <c r="T4490" s="72"/>
      <c r="U4490" s="53">
        <f>P_1_minQ-(U4488^2*R_up)+dpup_minQ</f>
        <v>-28.416689929189463</v>
      </c>
      <c r="V4490" s="44"/>
      <c r="W4490" s="72"/>
      <c r="X4490" s="53">
        <f>P_1_minQ-(X4488^2*R_up)+dpup_minQ</f>
        <v>-434.75865768155325</v>
      </c>
      <c r="Y4490" s="44"/>
      <c r="Z4490" s="72"/>
      <c r="AA4490" s="53">
        <f>P_1_minQ-(AA4488^2*R_up)+dpup_minQ</f>
        <v>-1735.5730347310187</v>
      </c>
      <c r="AB4490" s="44"/>
      <c r="AC4490" s="72"/>
      <c r="AD4490" s="53">
        <f>P_1_minQ-(AD4488^2*R_up)+dpup_minQ</f>
        <v>-4791.4333743474954</v>
      </c>
      <c r="AE4490" s="44"/>
      <c r="AF4490" s="72"/>
      <c r="AG4490" s="53">
        <f>P_1_minQ-(AG4488^2*R_up)+dpup_minQ</f>
        <v>-10690.494010617733</v>
      </c>
      <c r="AH4490" s="44"/>
      <c r="AI4490" s="72"/>
      <c r="AJ4490" s="53">
        <f>P_1_minQ-(AJ4488^2*R_up)+dpup_minQ</f>
        <v>-19083.153011344439</v>
      </c>
      <c r="AK4490" s="44"/>
      <c r="AL4490" s="72"/>
      <c r="AM4490" s="53">
        <f>P_1_minQ-(AM4488^2*R_up)+dpup_minQ</f>
        <v>-28440.038679369271</v>
      </c>
      <c r="AN4490" s="44"/>
      <c r="AO4490" s="72"/>
      <c r="AP4490" s="53">
        <f>P_1_minQ-(AP4488^2*R_up)+dpup_minQ</f>
        <v>-38352.673504689032</v>
      </c>
      <c r="AQ4490" s="44"/>
      <c r="AR4490" s="72"/>
      <c r="AS4490" s="53">
        <f>P_1_minQ-(AS4488^2*R_up)+dpup_minQ</f>
        <v>-49693.347403533437</v>
      </c>
      <c r="AT4490" s="44"/>
      <c r="AU4490" s="72"/>
    </row>
    <row r="4491" spans="15:47" ht="13" x14ac:dyDescent="0.3">
      <c r="O4491" s="6" t="s">
        <v>233</v>
      </c>
      <c r="P4491" s="6"/>
      <c r="Q4491" s="60"/>
      <c r="R4491" s="85">
        <f>P_2_minQ+(R4488^2*R_dn)-dpdn_minQ</f>
        <v>64.643022509794335</v>
      </c>
      <c r="S4491" s="66"/>
      <c r="T4491" s="74"/>
      <c r="U4491" s="53">
        <f>P_2_minQ+(U4488^2*R_dn)-dpdn_minQ</f>
        <v>41.723337985837894</v>
      </c>
      <c r="V4491" s="45"/>
      <c r="W4491" s="74"/>
      <c r="X4491" s="53">
        <f>P_2_minQ+(X4488^2*R_dn)-dpdn_minQ</f>
        <v>122.99173153631065</v>
      </c>
      <c r="Y4491" s="45"/>
      <c r="Z4491" s="74"/>
      <c r="AA4491" s="53">
        <f>P_2_minQ+(AA4488^2*R_dn)-dpdn_minQ</f>
        <v>383.15460694620367</v>
      </c>
      <c r="AB4491" s="45"/>
      <c r="AC4491" s="74"/>
      <c r="AD4491" s="53">
        <f>P_2_minQ+(AD4488^2*R_dn)-dpdn_minQ</f>
        <v>994.3266748694989</v>
      </c>
      <c r="AE4491" s="45"/>
      <c r="AF4491" s="74"/>
      <c r="AG4491" s="53">
        <f>P_2_minQ+(AG4488^2*R_dn)-dpdn_minQ</f>
        <v>2174.1388021235462</v>
      </c>
      <c r="AH4491" s="45"/>
      <c r="AI4491" s="74"/>
      <c r="AJ4491" s="53">
        <f>P_2_minQ+(AJ4488^2*R_dn)-dpdn_minQ</f>
        <v>3852.6706022688873</v>
      </c>
      <c r="AK4491" s="45"/>
      <c r="AL4491" s="74"/>
      <c r="AM4491" s="53">
        <f>P_2_minQ+(AM4488^2*R_dn)-dpdn_minQ</f>
        <v>5724.0477358738535</v>
      </c>
      <c r="AN4491" s="45"/>
      <c r="AO4491" s="74"/>
      <c r="AP4491" s="53">
        <f>P_2_minQ+(AP4488^2*R_dn)-dpdn_minQ</f>
        <v>7706.5747009378056</v>
      </c>
      <c r="AQ4491" s="45"/>
      <c r="AR4491" s="74"/>
      <c r="AS4491" s="53">
        <f>P_2_minQ+(AS4488^2*R_dn)-dpdn_minQ</f>
        <v>9974.709480706686</v>
      </c>
      <c r="AT4491" s="45"/>
      <c r="AU4491" s="74"/>
    </row>
    <row r="4492" spans="15:47" x14ac:dyDescent="0.25">
      <c r="O4492" s="6" t="s">
        <v>243</v>
      </c>
      <c r="Q4492" s="60"/>
      <c r="R4492" s="53">
        <f>R4490-R4491</f>
        <v>-207.65813505876599</v>
      </c>
      <c r="S4492" s="56"/>
      <c r="T4492" s="72"/>
      <c r="U4492" s="64">
        <f>U4490-U4491</f>
        <v>-70.14002791502736</v>
      </c>
      <c r="V4492" s="44"/>
      <c r="W4492" s="72"/>
      <c r="X4492" s="64">
        <f>X4490-X4491</f>
        <v>-557.75038921786393</v>
      </c>
      <c r="Y4492" s="44"/>
      <c r="Z4492" s="72"/>
      <c r="AA4492" s="64">
        <f>AA4490-AA4491</f>
        <v>-2118.7276416772224</v>
      </c>
      <c r="AB4492" s="44"/>
      <c r="AC4492" s="72"/>
      <c r="AD4492" s="64">
        <f>AD4490-AD4491</f>
        <v>-5785.760049216994</v>
      </c>
      <c r="AE4492" s="44"/>
      <c r="AF4492" s="72"/>
      <c r="AG4492" s="64">
        <f>AG4490-AG4491</f>
        <v>-12864.632812741278</v>
      </c>
      <c r="AH4492" s="44"/>
      <c r="AI4492" s="72"/>
      <c r="AJ4492" s="64">
        <f>AJ4490-AJ4491</f>
        <v>-22935.823613613327</v>
      </c>
      <c r="AK4492" s="44"/>
      <c r="AL4492" s="72"/>
      <c r="AM4492" s="64">
        <f>AM4490-AM4491</f>
        <v>-34164.086415243124</v>
      </c>
      <c r="AN4492" s="44"/>
      <c r="AO4492" s="72"/>
      <c r="AP4492" s="64">
        <f>AP4490-AP4491</f>
        <v>-46059.248205626835</v>
      </c>
      <c r="AQ4492" s="44"/>
      <c r="AR4492" s="72"/>
      <c r="AS4492" s="64">
        <f>AS4490-AS4491</f>
        <v>-59668.056884240126</v>
      </c>
      <c r="AT4492" s="44"/>
      <c r="AU4492" s="72"/>
    </row>
    <row r="4493" spans="15:47" ht="13" x14ac:dyDescent="0.3">
      <c r="O4493" s="6" t="s">
        <v>75</v>
      </c>
      <c r="P4493" s="6">
        <v>3</v>
      </c>
      <c r="Q4493" s="65"/>
      <c r="R4493" s="85">
        <f>(F_LP_h/F_P_h)^2*(R4490-('Valve Sizing'!$V$4*'Valve Sizing'!$G$7))</f>
        <v>-118.78841089353615</v>
      </c>
      <c r="S4493" s="58"/>
      <c r="T4493" s="73"/>
      <c r="U4493" s="53">
        <f>(U$29/U$27)^2*(U4490-('Valve Sizing'!$V$4*'Valve Sizing'!$G$7))</f>
        <v>-23.88838893710416</v>
      </c>
      <c r="V4493" s="41"/>
      <c r="W4493" s="73"/>
      <c r="X4493" s="53">
        <f>(X$29/X$27)^2*(X4490-('Valve Sizing'!$V$4*'Valve Sizing'!$G$7))</f>
        <v>-352.14259196081446</v>
      </c>
      <c r="Y4493" s="41"/>
      <c r="Z4493" s="73"/>
      <c r="AA4493" s="53">
        <f>(AA$29/AA$27)^2*(AA4490-('Valve Sizing'!$V$4*'Valve Sizing'!$G$7))</f>
        <v>-1341.5860940397229</v>
      </c>
      <c r="AB4493" s="41"/>
      <c r="AC4493" s="73"/>
      <c r="AD4493" s="53">
        <f>(AD$29/AD$27)^2*(AD4490-('Valve Sizing'!$V$4*'Valve Sizing'!$G$7))</f>
        <v>-3455.8387759500238</v>
      </c>
      <c r="AE4493" s="41"/>
      <c r="AF4493" s="73"/>
      <c r="AG4493" s="53">
        <f>(AG$29/AG$27)^2*(AG4490-('Valve Sizing'!$V$4*'Valve Sizing'!$G$7))</f>
        <v>-6885.4314191773801</v>
      </c>
      <c r="AH4493" s="41"/>
      <c r="AI4493" s="73"/>
      <c r="AJ4493" s="53">
        <f>(AJ$29/AJ$27)^2*(AJ4490-('Valve Sizing'!$V$4*'Valve Sizing'!$G$7))</f>
        <v>-11037.269620995978</v>
      </c>
      <c r="AK4493" s="41"/>
      <c r="AL4493" s="73"/>
      <c r="AM4493" s="53">
        <f>(AM$29/AM$27)^2*(AM4490-('Valve Sizing'!$V$4*'Valve Sizing'!$G$7))</f>
        <v>-13607.976988560151</v>
      </c>
      <c r="AN4493" s="41"/>
      <c r="AO4493" s="73"/>
      <c r="AP4493" s="53">
        <f>(AP$29/AP$27)^2*(AP4490-('Valve Sizing'!$V$4*'Valve Sizing'!$G$7))</f>
        <v>-15135.167524429738</v>
      </c>
      <c r="AQ4493" s="41"/>
      <c r="AR4493" s="73"/>
      <c r="AS4493" s="53">
        <f>(AS$29/AS$27)^2*(AS4490-('Valve Sizing'!$V$4*'Valve Sizing'!$G$7))</f>
        <v>-18691.860677683097</v>
      </c>
      <c r="AT4493" s="41"/>
      <c r="AU4493" s="73"/>
    </row>
    <row r="4494" spans="15:47" ht="13" x14ac:dyDescent="0.25">
      <c r="O4494" s="1" t="s">
        <v>69</v>
      </c>
      <c r="P4494" s="17">
        <v>7</v>
      </c>
      <c r="Q4494" s="65"/>
      <c r="R4494" s="53" t="e">
        <f>(R4488/(N_1*F_P_h))*SQRT('Valve Sizing'!$G$6/R4492)</f>
        <v>#NUM!</v>
      </c>
      <c r="S4494" s="58"/>
      <c r="T4494" s="73"/>
      <c r="U4494" s="64" t="e">
        <f>(U4488/(N_1*U$27))*SQRT('Valve Sizing'!$G$6/U4492)</f>
        <v>#NUM!</v>
      </c>
      <c r="V4494" s="41"/>
      <c r="W4494" s="73"/>
      <c r="X4494" s="64" t="e">
        <f>(X4488/(N_1*X$27))*SQRT('Valve Sizing'!$G$6/X4492)</f>
        <v>#NUM!</v>
      </c>
      <c r="Y4494" s="41"/>
      <c r="Z4494" s="73"/>
      <c r="AA4494" s="64" t="e">
        <f>(AA4488/(N_1*AA$27))*SQRT('Valve Sizing'!$G$6/AA4492)</f>
        <v>#NUM!</v>
      </c>
      <c r="AB4494" s="41"/>
      <c r="AC4494" s="73"/>
      <c r="AD4494" s="64" t="e">
        <f>(AD4488/(N_1*AD$27))*SQRT('Valve Sizing'!$G$6/AD4492)</f>
        <v>#NUM!</v>
      </c>
      <c r="AE4494" s="41"/>
      <c r="AF4494" s="73"/>
      <c r="AG4494" s="64" t="e">
        <f>(AG4488/(N_1*AG$27))*SQRT('Valve Sizing'!$G$6/AG4492)</f>
        <v>#NUM!</v>
      </c>
      <c r="AH4494" s="41"/>
      <c r="AI4494" s="73"/>
      <c r="AJ4494" s="64" t="e">
        <f>(AJ4488/(N_1*AJ$27))*SQRT('Valve Sizing'!$G$6/AJ4492)</f>
        <v>#NUM!</v>
      </c>
      <c r="AK4494" s="41"/>
      <c r="AL4494" s="73"/>
      <c r="AM4494" s="64" t="e">
        <f>(AM4488/(N_1*AM$27))*SQRT('Valve Sizing'!$G$6/AM4492)</f>
        <v>#NUM!</v>
      </c>
      <c r="AN4494" s="41"/>
      <c r="AO4494" s="73"/>
      <c r="AP4494" s="64" t="e">
        <f>(AP4488/(N_1*AP$27))*SQRT('Valve Sizing'!$G$6/AP4492)</f>
        <v>#NUM!</v>
      </c>
      <c r="AQ4494" s="41"/>
      <c r="AR4494" s="73"/>
      <c r="AS4494" s="64" t="e">
        <f>(AS4488/(N_1*AS$27))*SQRT('Valve Sizing'!$G$6/AS4492)</f>
        <v>#NUM!</v>
      </c>
      <c r="AT4494" s="41"/>
      <c r="AU4494" s="73"/>
    </row>
    <row r="4495" spans="15:47" ht="13" x14ac:dyDescent="0.3">
      <c r="O4495" s="1" t="s">
        <v>72</v>
      </c>
      <c r="P4495" s="17">
        <v>7</v>
      </c>
      <c r="Q4495" s="65"/>
      <c r="R4495" s="53" t="e">
        <f>(R4488/(N_1*F_P_h))*SQRT('Valve Sizing'!$G$6/R4493)</f>
        <v>#NUM!</v>
      </c>
      <c r="S4495" s="56"/>
      <c r="T4495" s="72"/>
      <c r="U4495" s="85" t="e">
        <f>(U4488/(N_1*U$27))*SQRT('Valve Sizing'!$G$6/U4493)</f>
        <v>#NUM!</v>
      </c>
      <c r="V4495" s="44"/>
      <c r="W4495" s="72"/>
      <c r="X4495" s="85" t="e">
        <f>(X4488/(N_1*X$27))*SQRT('Valve Sizing'!$G$6/X4493)</f>
        <v>#NUM!</v>
      </c>
      <c r="Y4495" s="44"/>
      <c r="Z4495" s="72"/>
      <c r="AA4495" s="85" t="e">
        <f>(AA4488/(N_1*AA$27))*SQRT('Valve Sizing'!$G$6/AA4493)</f>
        <v>#NUM!</v>
      </c>
      <c r="AB4495" s="44"/>
      <c r="AC4495" s="72"/>
      <c r="AD4495" s="85" t="e">
        <f>(AD4488/(N_1*AD$27))*SQRT('Valve Sizing'!$G$6/AD4493)</f>
        <v>#NUM!</v>
      </c>
      <c r="AE4495" s="44"/>
      <c r="AF4495" s="72"/>
      <c r="AG4495" s="85" t="e">
        <f>(AG4488/(N_1*AG$27))*SQRT('Valve Sizing'!$G$6/AG4493)</f>
        <v>#NUM!</v>
      </c>
      <c r="AH4495" s="44"/>
      <c r="AI4495" s="72"/>
      <c r="AJ4495" s="85" t="e">
        <f>(AJ4488/(N_1*AJ$27))*SQRT('Valve Sizing'!$G$6/AJ4493)</f>
        <v>#NUM!</v>
      </c>
      <c r="AK4495" s="44"/>
      <c r="AL4495" s="72"/>
      <c r="AM4495" s="85" t="e">
        <f>(AM4488/(N_1*AM$27))*SQRT('Valve Sizing'!$G$6/AM4493)</f>
        <v>#NUM!</v>
      </c>
      <c r="AN4495" s="44"/>
      <c r="AO4495" s="72"/>
      <c r="AP4495" s="85" t="e">
        <f>(AP4488/(N_1*AP$27))*SQRT('Valve Sizing'!$G$6/AP4493)</f>
        <v>#NUM!</v>
      </c>
      <c r="AQ4495" s="44"/>
      <c r="AR4495" s="72"/>
      <c r="AS4495" s="85" t="e">
        <f>(AS4488/(N_1*AS$27))*SQRT('Valve Sizing'!$G$6/AS4493)</f>
        <v>#NUM!</v>
      </c>
      <c r="AT4495" s="44"/>
      <c r="AU4495" s="72"/>
    </row>
    <row r="4496" spans="15:47" x14ac:dyDescent="0.25">
      <c r="O4496" s="1" t="s">
        <v>246</v>
      </c>
      <c r="P4496" s="18"/>
      <c r="Q4496" s="65"/>
      <c r="R4496" s="53" t="e">
        <f>IF(R4492&lt;R4493,R4494,R4495)</f>
        <v>#NUM!</v>
      </c>
      <c r="S4496" s="49"/>
      <c r="T4496" s="72"/>
      <c r="U4496" s="64" t="e">
        <f>IF(U4492&lt;U4493,U4494,U4495)</f>
        <v>#NUM!</v>
      </c>
      <c r="V4496" s="44"/>
      <c r="W4496" s="72"/>
      <c r="X4496" s="64" t="e">
        <f>IF(X4492&lt;X4493,X4494,X4495)</f>
        <v>#NUM!</v>
      </c>
      <c r="Y4496" s="44"/>
      <c r="Z4496" s="72"/>
      <c r="AA4496" s="64" t="e">
        <f>IF(AA4492&lt;AA4493,AA4494,AA4495)</f>
        <v>#NUM!</v>
      </c>
      <c r="AB4496" s="44"/>
      <c r="AC4496" s="72"/>
      <c r="AD4496" s="64" t="e">
        <f>IF(AD4492&lt;AD4493,AD4494,AD4495)</f>
        <v>#NUM!</v>
      </c>
      <c r="AE4496" s="44"/>
      <c r="AF4496" s="72"/>
      <c r="AG4496" s="64" t="e">
        <f>IF(AG4492&lt;AG4493,AG4494,AG4495)</f>
        <v>#NUM!</v>
      </c>
      <c r="AH4496" s="44"/>
      <c r="AI4496" s="72"/>
      <c r="AJ4496" s="64" t="e">
        <f>IF(AJ4492&lt;AJ4493,AJ4494,AJ4495)</f>
        <v>#NUM!</v>
      </c>
      <c r="AK4496" s="44"/>
      <c r="AL4496" s="72"/>
      <c r="AM4496" s="64" t="e">
        <f>IF(AM4492&lt;AM4493,AM4494,AM4495)</f>
        <v>#NUM!</v>
      </c>
      <c r="AN4496" s="44"/>
      <c r="AO4496" s="72"/>
      <c r="AP4496" s="64" t="e">
        <f>IF(AP4492&lt;AP4493,AP4494,AP4495)</f>
        <v>#NUM!</v>
      </c>
      <c r="AQ4496" s="44"/>
      <c r="AR4496" s="72"/>
      <c r="AS4496" s="64" t="e">
        <f>IF(AS4492&lt;AS4493,AS4494,AS4495)</f>
        <v>#NUM!</v>
      </c>
      <c r="AT4496" s="44"/>
      <c r="AU4496" s="72"/>
    </row>
    <row r="4497" spans="15:47" ht="13" x14ac:dyDescent="0.3">
      <c r="O4497" s="7" t="s">
        <v>264</v>
      </c>
      <c r="Q4497" s="61"/>
      <c r="R4497" s="53"/>
      <c r="S4497" s="69">
        <f>IFERROR(ABS(C_h-R4496),Q_max*10)</f>
        <v>5500</v>
      </c>
      <c r="T4497" s="76">
        <f>R4488</f>
        <v>2433.0977133224737</v>
      </c>
      <c r="U4497" s="61"/>
      <c r="V4497" s="69">
        <f>IFERROR(ABS(U$23-U4496),Q_max*10)</f>
        <v>5500</v>
      </c>
      <c r="W4497" s="75">
        <f>U4488</f>
        <v>1589.5613196109484</v>
      </c>
      <c r="X4497" s="61"/>
      <c r="Y4497" s="69">
        <f>IFERROR(ABS(X$23-X4496),Q_max*10)</f>
        <v>5500</v>
      </c>
      <c r="Z4497" s="75">
        <f>X4488</f>
        <v>3815.5590486782917</v>
      </c>
      <c r="AA4497" s="61"/>
      <c r="AB4497" s="69">
        <f>IFERROR(ABS(AA$23-AA4496),Q_max*10)</f>
        <v>5500</v>
      </c>
      <c r="AC4497" s="75">
        <f>AA4488</f>
        <v>7285.3005811967332</v>
      </c>
      <c r="AD4497" s="61"/>
      <c r="AE4497" s="69">
        <f>IFERROR(ABS(AD$23-AD4496),Q_max*10)</f>
        <v>5500</v>
      </c>
      <c r="AF4497" s="75">
        <f>AD4488</f>
        <v>11981.637167533881</v>
      </c>
      <c r="AG4497" s="61"/>
      <c r="AH4497" s="69">
        <f>IFERROR(ABS(AG$23-AG4496),Q_max*10)</f>
        <v>5500</v>
      </c>
      <c r="AI4497" s="75">
        <f>AG4488</f>
        <v>17839.025047753901</v>
      </c>
      <c r="AJ4497" s="61"/>
      <c r="AK4497" s="69">
        <f>IFERROR(ABS(AJ$23-AJ4496),Q_max*10)</f>
        <v>5500</v>
      </c>
      <c r="AL4497" s="75">
        <f>AJ4488</f>
        <v>23806.248080407564</v>
      </c>
      <c r="AM4497" s="61"/>
      <c r="AN4497" s="69">
        <f>IFERROR(ABS(AM$23-AM4496),Q_max*10)</f>
        <v>5500</v>
      </c>
      <c r="AO4497" s="75">
        <f>AM4488</f>
        <v>29048.146796243716</v>
      </c>
      <c r="AP4497" s="61"/>
      <c r="AQ4497" s="69">
        <f>IFERROR(ABS(AP$23-AP4496),Q_max*10)</f>
        <v>5500</v>
      </c>
      <c r="AR4497" s="75">
        <f>AP4488</f>
        <v>33723.996641469443</v>
      </c>
      <c r="AS4497" s="61"/>
      <c r="AT4497" s="69">
        <f>IFERROR(ABS(AS$23-AS4496),Q_max*10)</f>
        <v>5500</v>
      </c>
      <c r="AU4497" s="75">
        <f>AS4488</f>
        <v>38381.053967011183</v>
      </c>
    </row>
    <row r="4498" spans="15:47" ht="14.5" x14ac:dyDescent="0.35">
      <c r="O4498" s="8"/>
      <c r="P4498" s="6"/>
      <c r="Q4498" s="60"/>
      <c r="R4498" s="67"/>
      <c r="S4498" s="58"/>
      <c r="T4498" s="73"/>
      <c r="V4498" s="11"/>
      <c r="W4498" s="38"/>
      <c r="Y4498" s="11"/>
      <c r="Z4498" s="38"/>
      <c r="AB4498" s="11"/>
      <c r="AC4498" s="38"/>
      <c r="AE4498" s="11"/>
      <c r="AF4498" s="38"/>
      <c r="AH4498" s="11"/>
      <c r="AI4498" s="38"/>
      <c r="AK4498" s="11"/>
      <c r="AL4498" s="38"/>
      <c r="AN4498" s="11"/>
      <c r="AO4498" s="38"/>
      <c r="AQ4498" s="11"/>
      <c r="AR4498" s="38"/>
      <c r="AT4498" s="11"/>
      <c r="AU4498" s="38"/>
    </row>
    <row r="4499" spans="15:47" ht="14" x14ac:dyDescent="0.3">
      <c r="O4499" s="8" t="s">
        <v>235</v>
      </c>
      <c r="P4499" s="6"/>
      <c r="Q4499" s="60"/>
      <c r="R4499" s="53">
        <f>R4488*1.02</f>
        <v>2481.7596675889231</v>
      </c>
      <c r="S4499" s="58" t="s">
        <v>238</v>
      </c>
      <c r="T4499" s="73" t="s">
        <v>241</v>
      </c>
      <c r="U4499" s="84">
        <f>U4488*1.01</f>
        <v>1605.4569328070579</v>
      </c>
      <c r="V4499" s="58" t="s">
        <v>238</v>
      </c>
      <c r="W4499" s="73" t="s">
        <v>241</v>
      </c>
      <c r="X4499" s="84">
        <f>X4488*1.01</f>
        <v>3853.7146391650745</v>
      </c>
      <c r="Y4499" s="58" t="s">
        <v>238</v>
      </c>
      <c r="Z4499" s="73" t="s">
        <v>241</v>
      </c>
      <c r="AA4499" s="84">
        <f>AA4488*1.01</f>
        <v>7358.1535870087009</v>
      </c>
      <c r="AB4499" s="58" t="s">
        <v>238</v>
      </c>
      <c r="AC4499" s="73" t="s">
        <v>241</v>
      </c>
      <c r="AD4499" s="84">
        <f>AD4488*1.01</f>
        <v>12101.45353920922</v>
      </c>
      <c r="AE4499" s="58" t="s">
        <v>238</v>
      </c>
      <c r="AF4499" s="73" t="s">
        <v>241</v>
      </c>
      <c r="AG4499" s="84">
        <f>AG4488*1.01</f>
        <v>18017.415298231441</v>
      </c>
      <c r="AH4499" s="58" t="s">
        <v>238</v>
      </c>
      <c r="AI4499" s="73" t="s">
        <v>241</v>
      </c>
      <c r="AJ4499" s="84">
        <f>AJ4488*1.01</f>
        <v>24044.310561211641</v>
      </c>
      <c r="AK4499" s="58" t="s">
        <v>238</v>
      </c>
      <c r="AL4499" s="73" t="s">
        <v>241</v>
      </c>
      <c r="AM4499" s="84">
        <f>AM4488*1.01</f>
        <v>29338.628264206152</v>
      </c>
      <c r="AN4499" s="58" t="s">
        <v>238</v>
      </c>
      <c r="AO4499" s="73" t="s">
        <v>241</v>
      </c>
      <c r="AP4499" s="84">
        <f>AP4488*1.01</f>
        <v>34061.236607884137</v>
      </c>
      <c r="AQ4499" s="58" t="s">
        <v>238</v>
      </c>
      <c r="AR4499" s="73" t="s">
        <v>241</v>
      </c>
      <c r="AS4499" s="84">
        <f>AS4488*1.01</f>
        <v>38764.864506681297</v>
      </c>
      <c r="AT4499" s="58" t="s">
        <v>238</v>
      </c>
      <c r="AU4499" s="73" t="s">
        <v>241</v>
      </c>
    </row>
    <row r="4500" spans="15:47" ht="13" x14ac:dyDescent="0.25">
      <c r="O4500" s="6"/>
      <c r="P4500" s="6"/>
      <c r="Q4500" s="60"/>
      <c r="R4500" s="70"/>
      <c r="S4500" s="63" t="s">
        <v>250</v>
      </c>
      <c r="T4500" s="71" t="s">
        <v>242</v>
      </c>
      <c r="U4500" s="61"/>
      <c r="V4500" s="63" t="s">
        <v>250</v>
      </c>
      <c r="W4500" s="71" t="s">
        <v>242</v>
      </c>
      <c r="X4500" s="61"/>
      <c r="Y4500" s="63" t="s">
        <v>250</v>
      </c>
      <c r="Z4500" s="71" t="s">
        <v>242</v>
      </c>
      <c r="AA4500" s="61"/>
      <c r="AB4500" s="63" t="s">
        <v>250</v>
      </c>
      <c r="AC4500" s="71" t="s">
        <v>242</v>
      </c>
      <c r="AD4500" s="61"/>
      <c r="AE4500" s="63" t="s">
        <v>250</v>
      </c>
      <c r="AF4500" s="71" t="s">
        <v>242</v>
      </c>
      <c r="AG4500" s="61"/>
      <c r="AH4500" s="63" t="s">
        <v>250</v>
      </c>
      <c r="AI4500" s="71" t="s">
        <v>242</v>
      </c>
      <c r="AJ4500" s="61"/>
      <c r="AK4500" s="63" t="s">
        <v>250</v>
      </c>
      <c r="AL4500" s="71" t="s">
        <v>242</v>
      </c>
      <c r="AM4500" s="61"/>
      <c r="AN4500" s="63" t="s">
        <v>250</v>
      </c>
      <c r="AO4500" s="71" t="s">
        <v>242</v>
      </c>
      <c r="AP4500" s="61"/>
      <c r="AQ4500" s="63" t="s">
        <v>250</v>
      </c>
      <c r="AR4500" s="71" t="s">
        <v>242</v>
      </c>
      <c r="AS4500" s="61"/>
      <c r="AT4500" s="63" t="s">
        <v>250</v>
      </c>
      <c r="AU4500" s="71" t="s">
        <v>242</v>
      </c>
    </row>
    <row r="4501" spans="15:47" ht="13" x14ac:dyDescent="0.3">
      <c r="O4501" s="6" t="s">
        <v>231</v>
      </c>
      <c r="P4501" s="6"/>
      <c r="Q4501" s="60"/>
      <c r="R4501" s="85">
        <f>P_1_minQ-(R4499^2*R_up)+dpup_minQ</f>
        <v>-151.09233528102274</v>
      </c>
      <c r="S4501" s="56"/>
      <c r="T4501" s="72"/>
      <c r="U4501" s="53">
        <f>P_1_minQ-(U4499^2*R_up)+dpup_minQ</f>
        <v>-30.131879874982989</v>
      </c>
      <c r="V4501" s="44"/>
      <c r="W4501" s="72"/>
      <c r="X4501" s="53">
        <f>P_1_minQ-(X4499^2*R_up)+dpup_minQ</f>
        <v>-444.64132117916927</v>
      </c>
      <c r="Y4501" s="44"/>
      <c r="Z4501" s="72"/>
      <c r="AA4501" s="53">
        <f>P_1_minQ-(AA4499^2*R_up)+dpup_minQ</f>
        <v>-1771.6020672073289</v>
      </c>
      <c r="AB4501" s="44"/>
      <c r="AC4501" s="72"/>
      <c r="AD4501" s="53">
        <f>P_1_minQ-(AD4499^2*R_up)+dpup_minQ</f>
        <v>-4888.8851996500971</v>
      </c>
      <c r="AE4501" s="44"/>
      <c r="AF4501" s="72"/>
      <c r="AG4501" s="53">
        <f>P_1_minQ-(AG4499^2*R_up)+dpup_minQ</f>
        <v>-10906.516954709368</v>
      </c>
      <c r="AH4501" s="44"/>
      <c r="AI4501" s="72"/>
      <c r="AJ4501" s="53">
        <f>P_1_minQ-(AJ4499^2*R_up)+dpup_minQ</f>
        <v>-19467.868401350683</v>
      </c>
      <c r="AK4501" s="44"/>
      <c r="AL4501" s="72"/>
      <c r="AM4501" s="53">
        <f>P_1_minQ-(AM4499^2*R_up)+dpup_minQ</f>
        <v>-29012.827471302811</v>
      </c>
      <c r="AN4501" s="44"/>
      <c r="AO4501" s="72"/>
      <c r="AP4501" s="53">
        <f>P_1_minQ-(AP4499^2*R_up)+dpup_minQ</f>
        <v>-39124.706256611498</v>
      </c>
      <c r="AQ4501" s="44"/>
      <c r="AR4501" s="72"/>
      <c r="AS4501" s="53">
        <f>P_1_minQ-(AS4499^2*R_up)+dpup_minQ</f>
        <v>-50693.32770082268</v>
      </c>
      <c r="AT4501" s="44"/>
      <c r="AU4501" s="72"/>
    </row>
    <row r="4502" spans="15:47" ht="13" x14ac:dyDescent="0.3">
      <c r="O4502" s="6" t="s">
        <v>233</v>
      </c>
      <c r="P4502" s="6"/>
      <c r="Q4502" s="60"/>
      <c r="R4502" s="85">
        <f>P_2_minQ+(R4499^2*R_dn)-dpdn_minQ</f>
        <v>66.258467056204552</v>
      </c>
      <c r="S4502" s="66"/>
      <c r="T4502" s="74"/>
      <c r="U4502" s="53">
        <f>P_2_minQ+(U4499^2*R_dn)-dpdn_minQ</f>
        <v>42.066375974996603</v>
      </c>
      <c r="V4502" s="45"/>
      <c r="W4502" s="74"/>
      <c r="X4502" s="53">
        <f>P_2_minQ+(X4499^2*R_dn)-dpdn_minQ</f>
        <v>124.96826423583384</v>
      </c>
      <c r="Y4502" s="45"/>
      <c r="Z4502" s="74"/>
      <c r="AA4502" s="53">
        <f>P_2_minQ+(AA4499^2*R_dn)-dpdn_minQ</f>
        <v>390.36041344146571</v>
      </c>
      <c r="AB4502" s="45"/>
      <c r="AC4502" s="74"/>
      <c r="AD4502" s="53">
        <f>P_2_minQ+(AD4499^2*R_dn)-dpdn_minQ</f>
        <v>1013.8170399300193</v>
      </c>
      <c r="AE4502" s="45"/>
      <c r="AF4502" s="74"/>
      <c r="AG4502" s="53">
        <f>P_2_minQ+(AG4499^2*R_dn)-dpdn_minQ</f>
        <v>2217.3433909418732</v>
      </c>
      <c r="AH4502" s="45"/>
      <c r="AI4502" s="74"/>
      <c r="AJ4502" s="53">
        <f>P_2_minQ+(AJ4499^2*R_dn)-dpdn_minQ</f>
        <v>3929.6136802701358</v>
      </c>
      <c r="AK4502" s="45"/>
      <c r="AL4502" s="74"/>
      <c r="AM4502" s="53">
        <f>P_2_minQ+(AM4499^2*R_dn)-dpdn_minQ</f>
        <v>5838.6054942605615</v>
      </c>
      <c r="AN4502" s="45"/>
      <c r="AO4502" s="74"/>
      <c r="AP4502" s="53">
        <f>P_2_minQ+(AP4499^2*R_dn)-dpdn_minQ</f>
        <v>7860.9812513222996</v>
      </c>
      <c r="AQ4502" s="45"/>
      <c r="AR4502" s="74"/>
      <c r="AS4502" s="53">
        <f>P_2_minQ+(AS4499^2*R_dn)-dpdn_minQ</f>
        <v>10174.705540164536</v>
      </c>
      <c r="AT4502" s="45"/>
      <c r="AU4502" s="74"/>
    </row>
    <row r="4503" spans="15:47" x14ac:dyDescent="0.25">
      <c r="O4503" s="6" t="s">
        <v>243</v>
      </c>
      <c r="Q4503" s="60"/>
      <c r="R4503" s="53">
        <f>R4501-R4502</f>
        <v>-217.35080233722729</v>
      </c>
      <c r="S4503" s="56"/>
      <c r="T4503" s="72"/>
      <c r="U4503" s="64">
        <f>U4501-U4502</f>
        <v>-72.198255849979589</v>
      </c>
      <c r="V4503" s="44"/>
      <c r="W4503" s="72"/>
      <c r="X4503" s="64">
        <f>X4501-X4502</f>
        <v>-569.60958541500315</v>
      </c>
      <c r="Y4503" s="44"/>
      <c r="Z4503" s="72"/>
      <c r="AA4503" s="64">
        <f>AA4501-AA4502</f>
        <v>-2161.9624806487946</v>
      </c>
      <c r="AB4503" s="44"/>
      <c r="AC4503" s="72"/>
      <c r="AD4503" s="64">
        <f>AD4501-AD4502</f>
        <v>-5902.7022395801159</v>
      </c>
      <c r="AE4503" s="44"/>
      <c r="AF4503" s="72"/>
      <c r="AG4503" s="64">
        <f>AG4501-AG4502</f>
        <v>-13123.860345651241</v>
      </c>
      <c r="AH4503" s="44"/>
      <c r="AI4503" s="72"/>
      <c r="AJ4503" s="64">
        <f>AJ4501-AJ4502</f>
        <v>-23397.482081620819</v>
      </c>
      <c r="AK4503" s="44"/>
      <c r="AL4503" s="72"/>
      <c r="AM4503" s="64">
        <f>AM4501-AM4502</f>
        <v>-34851.43296556337</v>
      </c>
      <c r="AN4503" s="44"/>
      <c r="AO4503" s="72"/>
      <c r="AP4503" s="64">
        <f>AP4501-AP4502</f>
        <v>-46985.687507933799</v>
      </c>
      <c r="AQ4503" s="44"/>
      <c r="AR4503" s="72"/>
      <c r="AS4503" s="64">
        <f>AS4501-AS4502</f>
        <v>-60868.033240987214</v>
      </c>
      <c r="AT4503" s="44"/>
      <c r="AU4503" s="72"/>
    </row>
    <row r="4504" spans="15:47" ht="13" x14ac:dyDescent="0.3">
      <c r="O4504" s="6" t="s">
        <v>75</v>
      </c>
      <c r="P4504" s="6">
        <v>3</v>
      </c>
      <c r="Q4504" s="65"/>
      <c r="R4504" s="85">
        <f>(F_LP_h/F_P_h)^2*(R4501-('Valve Sizing'!$V$4*'Valve Sizing'!$G$7))</f>
        <v>-125.47677528860042</v>
      </c>
      <c r="S4504" s="58"/>
      <c r="T4504" s="73"/>
      <c r="U4504" s="53">
        <f>(U$29/U$27)^2*(U4501-('Valve Sizing'!$V$4*'Valve Sizing'!$G$7))</f>
        <v>-25.308269136241851</v>
      </c>
      <c r="V4504" s="41"/>
      <c r="W4504" s="73"/>
      <c r="X4504" s="53">
        <f>(X$29/X$27)^2*(X4501-('Valve Sizing'!$V$4*'Valve Sizing'!$G$7))</f>
        <v>-360.13918436050506</v>
      </c>
      <c r="Y4504" s="41"/>
      <c r="Z4504" s="73"/>
      <c r="AA4504" s="53">
        <f>(AA$29/AA$27)^2*(AA4501-('Valve Sizing'!$V$4*'Valve Sizing'!$G$7))</f>
        <v>-1369.4292302254646</v>
      </c>
      <c r="AB4504" s="41"/>
      <c r="AC4504" s="73"/>
      <c r="AD4504" s="53">
        <f>(AD$29/AD$27)^2*(AD4501-('Valve Sizing'!$V$4*'Valve Sizing'!$G$7))</f>
        <v>-3526.1198051645451</v>
      </c>
      <c r="AE4504" s="41"/>
      <c r="AF4504" s="73"/>
      <c r="AG4504" s="53">
        <f>(AG$29/AG$27)^2*(AG4501-('Valve Sizing'!$V$4*'Valve Sizing'!$G$7))</f>
        <v>-7024.5596896363631</v>
      </c>
      <c r="AH4504" s="41"/>
      <c r="AI4504" s="73"/>
      <c r="AJ4504" s="53">
        <f>(AJ$29/AJ$27)^2*(AJ4501-('Valve Sizing'!$V$4*'Valve Sizing'!$G$7))</f>
        <v>-11259.775281826705</v>
      </c>
      <c r="AK4504" s="41"/>
      <c r="AL4504" s="73"/>
      <c r="AM4504" s="53">
        <f>(AM$29/AM$27)^2*(AM4501-('Valve Sizing'!$V$4*'Valve Sizing'!$G$7))</f>
        <v>-13882.040472934132</v>
      </c>
      <c r="AN4504" s="41"/>
      <c r="AO4504" s="73"/>
      <c r="AP4504" s="53">
        <f>(AP$29/AP$27)^2*(AP4501-('Valve Sizing'!$V$4*'Valve Sizing'!$G$7))</f>
        <v>-15439.832359937676</v>
      </c>
      <c r="AQ4504" s="41"/>
      <c r="AR4504" s="73"/>
      <c r="AS4504" s="53">
        <f>(AS$29/AS$27)^2*(AS4501-('Valve Sizing'!$V$4*'Valve Sizing'!$G$7))</f>
        <v>-19067.994060793644</v>
      </c>
      <c r="AT4504" s="41"/>
      <c r="AU4504" s="73"/>
    </row>
    <row r="4505" spans="15:47" ht="13" x14ac:dyDescent="0.25">
      <c r="O4505" s="1" t="s">
        <v>69</v>
      </c>
      <c r="P4505" s="17">
        <v>7</v>
      </c>
      <c r="Q4505" s="65"/>
      <c r="R4505" s="53" t="e">
        <f>(R4499/(N_1*F_P_h))*SQRT('Valve Sizing'!$G$6/R4503)</f>
        <v>#NUM!</v>
      </c>
      <c r="S4505" s="58"/>
      <c r="T4505" s="73"/>
      <c r="U4505" s="64" t="e">
        <f>(U4499/(N_1*U$27))*SQRT('Valve Sizing'!$G$6/U4503)</f>
        <v>#NUM!</v>
      </c>
      <c r="V4505" s="41"/>
      <c r="W4505" s="73"/>
      <c r="X4505" s="64" t="e">
        <f>(X4499/(N_1*X$27))*SQRT('Valve Sizing'!$G$6/X4503)</f>
        <v>#NUM!</v>
      </c>
      <c r="Y4505" s="41"/>
      <c r="Z4505" s="73"/>
      <c r="AA4505" s="64" t="e">
        <f>(AA4499/(N_1*AA$27))*SQRT('Valve Sizing'!$G$6/AA4503)</f>
        <v>#NUM!</v>
      </c>
      <c r="AB4505" s="41"/>
      <c r="AC4505" s="73"/>
      <c r="AD4505" s="64" t="e">
        <f>(AD4499/(N_1*AD$27))*SQRT('Valve Sizing'!$G$6/AD4503)</f>
        <v>#NUM!</v>
      </c>
      <c r="AE4505" s="41"/>
      <c r="AF4505" s="73"/>
      <c r="AG4505" s="64" t="e">
        <f>(AG4499/(N_1*AG$27))*SQRT('Valve Sizing'!$G$6/AG4503)</f>
        <v>#NUM!</v>
      </c>
      <c r="AH4505" s="41"/>
      <c r="AI4505" s="73"/>
      <c r="AJ4505" s="64" t="e">
        <f>(AJ4499/(N_1*AJ$27))*SQRT('Valve Sizing'!$G$6/AJ4503)</f>
        <v>#NUM!</v>
      </c>
      <c r="AK4505" s="41"/>
      <c r="AL4505" s="73"/>
      <c r="AM4505" s="64" t="e">
        <f>(AM4499/(N_1*AM$27))*SQRT('Valve Sizing'!$G$6/AM4503)</f>
        <v>#NUM!</v>
      </c>
      <c r="AN4505" s="41"/>
      <c r="AO4505" s="73"/>
      <c r="AP4505" s="64" t="e">
        <f>(AP4499/(N_1*AP$27))*SQRT('Valve Sizing'!$G$6/AP4503)</f>
        <v>#NUM!</v>
      </c>
      <c r="AQ4505" s="41"/>
      <c r="AR4505" s="73"/>
      <c r="AS4505" s="64" t="e">
        <f>(AS4499/(N_1*AS$27))*SQRT('Valve Sizing'!$G$6/AS4503)</f>
        <v>#NUM!</v>
      </c>
      <c r="AT4505" s="41"/>
      <c r="AU4505" s="73"/>
    </row>
    <row r="4506" spans="15:47" ht="13" x14ac:dyDescent="0.3">
      <c r="O4506" s="1" t="s">
        <v>72</v>
      </c>
      <c r="P4506" s="17">
        <v>7</v>
      </c>
      <c r="Q4506" s="65"/>
      <c r="R4506" s="53" t="e">
        <f>(R4499/(N_1*F_P_h))*SQRT('Valve Sizing'!$G$6/R4504)</f>
        <v>#NUM!</v>
      </c>
      <c r="S4506" s="56"/>
      <c r="T4506" s="72"/>
      <c r="U4506" s="85" t="e">
        <f>(U4499/(N_1*U$27))*SQRT('Valve Sizing'!$G$6/U4504)</f>
        <v>#NUM!</v>
      </c>
      <c r="V4506" s="44"/>
      <c r="W4506" s="72"/>
      <c r="X4506" s="85" t="e">
        <f>(X4499/(N_1*X$27))*SQRT('Valve Sizing'!$G$6/X4504)</f>
        <v>#NUM!</v>
      </c>
      <c r="Y4506" s="44"/>
      <c r="Z4506" s="72"/>
      <c r="AA4506" s="85" t="e">
        <f>(AA4499/(N_1*AA$27))*SQRT('Valve Sizing'!$G$6/AA4504)</f>
        <v>#NUM!</v>
      </c>
      <c r="AB4506" s="44"/>
      <c r="AC4506" s="72"/>
      <c r="AD4506" s="85" t="e">
        <f>(AD4499/(N_1*AD$27))*SQRT('Valve Sizing'!$G$6/AD4504)</f>
        <v>#NUM!</v>
      </c>
      <c r="AE4506" s="44"/>
      <c r="AF4506" s="72"/>
      <c r="AG4506" s="85" t="e">
        <f>(AG4499/(N_1*AG$27))*SQRT('Valve Sizing'!$G$6/AG4504)</f>
        <v>#NUM!</v>
      </c>
      <c r="AH4506" s="44"/>
      <c r="AI4506" s="72"/>
      <c r="AJ4506" s="85" t="e">
        <f>(AJ4499/(N_1*AJ$27))*SQRT('Valve Sizing'!$G$6/AJ4504)</f>
        <v>#NUM!</v>
      </c>
      <c r="AK4506" s="44"/>
      <c r="AL4506" s="72"/>
      <c r="AM4506" s="85" t="e">
        <f>(AM4499/(N_1*AM$27))*SQRT('Valve Sizing'!$G$6/AM4504)</f>
        <v>#NUM!</v>
      </c>
      <c r="AN4506" s="44"/>
      <c r="AO4506" s="72"/>
      <c r="AP4506" s="85" t="e">
        <f>(AP4499/(N_1*AP$27))*SQRT('Valve Sizing'!$G$6/AP4504)</f>
        <v>#NUM!</v>
      </c>
      <c r="AQ4506" s="44"/>
      <c r="AR4506" s="72"/>
      <c r="AS4506" s="85" t="e">
        <f>(AS4499/(N_1*AS$27))*SQRT('Valve Sizing'!$G$6/AS4504)</f>
        <v>#NUM!</v>
      </c>
      <c r="AT4506" s="44"/>
      <c r="AU4506" s="72"/>
    </row>
    <row r="4507" spans="15:47" x14ac:dyDescent="0.25">
      <c r="O4507" s="1" t="s">
        <v>246</v>
      </c>
      <c r="P4507" s="18"/>
      <c r="Q4507" s="65"/>
      <c r="R4507" s="53" t="e">
        <f>IF(R4503&lt;R4504,R4505,R4506)</f>
        <v>#NUM!</v>
      </c>
      <c r="S4507" s="49"/>
      <c r="T4507" s="72"/>
      <c r="U4507" s="64" t="e">
        <f>IF(U4503&lt;U4504,U4505,U4506)</f>
        <v>#NUM!</v>
      </c>
      <c r="V4507" s="44"/>
      <c r="W4507" s="72"/>
      <c r="X4507" s="64" t="e">
        <f>IF(X4503&lt;X4504,X4505,X4506)</f>
        <v>#NUM!</v>
      </c>
      <c r="Y4507" s="44"/>
      <c r="Z4507" s="72"/>
      <c r="AA4507" s="64" t="e">
        <f>IF(AA4503&lt;AA4504,AA4505,AA4506)</f>
        <v>#NUM!</v>
      </c>
      <c r="AB4507" s="44"/>
      <c r="AC4507" s="72"/>
      <c r="AD4507" s="64" t="e">
        <f>IF(AD4503&lt;AD4504,AD4505,AD4506)</f>
        <v>#NUM!</v>
      </c>
      <c r="AE4507" s="44"/>
      <c r="AF4507" s="72"/>
      <c r="AG4507" s="64" t="e">
        <f>IF(AG4503&lt;AG4504,AG4505,AG4506)</f>
        <v>#NUM!</v>
      </c>
      <c r="AH4507" s="44"/>
      <c r="AI4507" s="72"/>
      <c r="AJ4507" s="64" t="e">
        <f>IF(AJ4503&lt;AJ4504,AJ4505,AJ4506)</f>
        <v>#NUM!</v>
      </c>
      <c r="AK4507" s="44"/>
      <c r="AL4507" s="72"/>
      <c r="AM4507" s="64" t="e">
        <f>IF(AM4503&lt;AM4504,AM4505,AM4506)</f>
        <v>#NUM!</v>
      </c>
      <c r="AN4507" s="44"/>
      <c r="AO4507" s="72"/>
      <c r="AP4507" s="64" t="e">
        <f>IF(AP4503&lt;AP4504,AP4505,AP4506)</f>
        <v>#NUM!</v>
      </c>
      <c r="AQ4507" s="44"/>
      <c r="AR4507" s="72"/>
      <c r="AS4507" s="64" t="e">
        <f>IF(AS4503&lt;AS4504,AS4505,AS4506)</f>
        <v>#NUM!</v>
      </c>
      <c r="AT4507" s="44"/>
      <c r="AU4507" s="72"/>
    </row>
    <row r="4508" spans="15:47" ht="13" x14ac:dyDescent="0.3">
      <c r="O4508" s="7" t="s">
        <v>264</v>
      </c>
      <c r="Q4508" s="61"/>
      <c r="R4508" s="53"/>
      <c r="S4508" s="69">
        <f>IFERROR(ABS(C_h-R4507),Q_max*10)</f>
        <v>5500</v>
      </c>
      <c r="T4508" s="76">
        <f>R4499</f>
        <v>2481.7596675889231</v>
      </c>
      <c r="U4508" s="61"/>
      <c r="V4508" s="69">
        <f>IFERROR(ABS(U$23-U4507),Q_max*10)</f>
        <v>5500</v>
      </c>
      <c r="W4508" s="75">
        <f>U4499</f>
        <v>1605.4569328070579</v>
      </c>
      <c r="X4508" s="61"/>
      <c r="Y4508" s="69">
        <f>IFERROR(ABS(X$23-X4507),Q_max*10)</f>
        <v>5500</v>
      </c>
      <c r="Z4508" s="75">
        <f>X4499</f>
        <v>3853.7146391650745</v>
      </c>
      <c r="AA4508" s="61"/>
      <c r="AB4508" s="69">
        <f>IFERROR(ABS(AA$23-AA4507),Q_max*10)</f>
        <v>5500</v>
      </c>
      <c r="AC4508" s="75">
        <f>AA4499</f>
        <v>7358.1535870087009</v>
      </c>
      <c r="AD4508" s="61"/>
      <c r="AE4508" s="69">
        <f>IFERROR(ABS(AD$23-AD4507),Q_max*10)</f>
        <v>5500</v>
      </c>
      <c r="AF4508" s="75">
        <f>AD4499</f>
        <v>12101.45353920922</v>
      </c>
      <c r="AG4508" s="61"/>
      <c r="AH4508" s="69">
        <f>IFERROR(ABS(AG$23-AG4507),Q_max*10)</f>
        <v>5500</v>
      </c>
      <c r="AI4508" s="75">
        <f>AG4499</f>
        <v>18017.415298231441</v>
      </c>
      <c r="AJ4508" s="61"/>
      <c r="AK4508" s="69">
        <f>IFERROR(ABS(AJ$23-AJ4507),Q_max*10)</f>
        <v>5500</v>
      </c>
      <c r="AL4508" s="75">
        <f>AJ4499</f>
        <v>24044.310561211641</v>
      </c>
      <c r="AM4508" s="61"/>
      <c r="AN4508" s="69">
        <f>IFERROR(ABS(AM$23-AM4507),Q_max*10)</f>
        <v>5500</v>
      </c>
      <c r="AO4508" s="75">
        <f>AM4499</f>
        <v>29338.628264206152</v>
      </c>
      <c r="AP4508" s="61"/>
      <c r="AQ4508" s="69">
        <f>IFERROR(ABS(AP$23-AP4507),Q_max*10)</f>
        <v>5500</v>
      </c>
      <c r="AR4508" s="75">
        <f>AP4499</f>
        <v>34061.236607884137</v>
      </c>
      <c r="AS4508" s="61"/>
      <c r="AT4508" s="69">
        <f>IFERROR(ABS(AS$23-AS4507),Q_max*10)</f>
        <v>5500</v>
      </c>
      <c r="AU4508" s="75">
        <f>AS4499</f>
        <v>38764.864506681297</v>
      </c>
    </row>
    <row r="4509" spans="15:47" ht="14.5" x14ac:dyDescent="0.35">
      <c r="O4509" s="6"/>
      <c r="P4509" s="6"/>
      <c r="Q4509" s="60"/>
      <c r="R4509" s="67"/>
      <c r="S4509" s="56"/>
      <c r="T4509" s="72"/>
      <c r="V4509" s="11"/>
      <c r="W4509" s="38"/>
      <c r="Y4509" s="11"/>
      <c r="Z4509" s="38"/>
      <c r="AB4509" s="11"/>
      <c r="AC4509" s="38"/>
      <c r="AE4509" s="11"/>
      <c r="AF4509" s="38"/>
      <c r="AH4509" s="11"/>
      <c r="AI4509" s="38"/>
      <c r="AK4509" s="11"/>
      <c r="AL4509" s="38"/>
      <c r="AN4509" s="11"/>
      <c r="AO4509" s="38"/>
      <c r="AQ4509" s="11"/>
      <c r="AR4509" s="38"/>
      <c r="AT4509" s="11"/>
      <c r="AU4509" s="38"/>
    </row>
    <row r="4510" spans="15:47" ht="14" x14ac:dyDescent="0.3">
      <c r="O4510" s="8" t="s">
        <v>235</v>
      </c>
      <c r="P4510" s="6"/>
      <c r="Q4510" s="60"/>
      <c r="R4510" s="53">
        <f>R4499*1.02</f>
        <v>2531.3948609407016</v>
      </c>
      <c r="S4510" s="58" t="s">
        <v>238</v>
      </c>
      <c r="T4510" s="73" t="s">
        <v>241</v>
      </c>
      <c r="U4510" s="84">
        <f>U4499*1.01</f>
        <v>1621.5115021351285</v>
      </c>
      <c r="V4510" s="58" t="s">
        <v>238</v>
      </c>
      <c r="W4510" s="73" t="s">
        <v>241</v>
      </c>
      <c r="X4510" s="84">
        <f>X4499*1.01</f>
        <v>3892.2517855567253</v>
      </c>
      <c r="Y4510" s="58" t="s">
        <v>238</v>
      </c>
      <c r="Z4510" s="73" t="s">
        <v>241</v>
      </c>
      <c r="AA4510" s="84">
        <f>AA4499*1.01</f>
        <v>7431.7351228787884</v>
      </c>
      <c r="AB4510" s="58" t="s">
        <v>238</v>
      </c>
      <c r="AC4510" s="73" t="s">
        <v>241</v>
      </c>
      <c r="AD4510" s="84">
        <f>AD4499*1.01</f>
        <v>12222.468074601313</v>
      </c>
      <c r="AE4510" s="58" t="s">
        <v>238</v>
      </c>
      <c r="AF4510" s="73" t="s">
        <v>241</v>
      </c>
      <c r="AG4510" s="84">
        <f>AG4499*1.01</f>
        <v>18197.589451213757</v>
      </c>
      <c r="AH4510" s="58" t="s">
        <v>238</v>
      </c>
      <c r="AI4510" s="73" t="s">
        <v>241</v>
      </c>
      <c r="AJ4510" s="84">
        <f>AJ4499*1.01</f>
        <v>24284.753666823759</v>
      </c>
      <c r="AK4510" s="58" t="s">
        <v>238</v>
      </c>
      <c r="AL4510" s="73" t="s">
        <v>241</v>
      </c>
      <c r="AM4510" s="84">
        <f>AM4499*1.01</f>
        <v>29632.014546848215</v>
      </c>
      <c r="AN4510" s="58" t="s">
        <v>238</v>
      </c>
      <c r="AO4510" s="73" t="s">
        <v>241</v>
      </c>
      <c r="AP4510" s="84">
        <f>AP4499*1.01</f>
        <v>34401.84897396298</v>
      </c>
      <c r="AQ4510" s="58" t="s">
        <v>238</v>
      </c>
      <c r="AR4510" s="73" t="s">
        <v>241</v>
      </c>
      <c r="AS4510" s="84">
        <f>AS4499*1.01</f>
        <v>39152.513151748113</v>
      </c>
      <c r="AT4510" s="58" t="s">
        <v>238</v>
      </c>
      <c r="AU4510" s="73" t="s">
        <v>241</v>
      </c>
    </row>
    <row r="4511" spans="15:47" ht="13" x14ac:dyDescent="0.25">
      <c r="O4511" s="6"/>
      <c r="P4511" s="6"/>
      <c r="Q4511" s="60"/>
      <c r="R4511" s="70"/>
      <c r="S4511" s="63" t="s">
        <v>250</v>
      </c>
      <c r="T4511" s="71" t="s">
        <v>242</v>
      </c>
      <c r="U4511" s="61"/>
      <c r="V4511" s="63" t="s">
        <v>250</v>
      </c>
      <c r="W4511" s="71" t="s">
        <v>242</v>
      </c>
      <c r="X4511" s="61"/>
      <c r="Y4511" s="63" t="s">
        <v>250</v>
      </c>
      <c r="Z4511" s="71" t="s">
        <v>242</v>
      </c>
      <c r="AA4511" s="61"/>
      <c r="AB4511" s="63" t="s">
        <v>250</v>
      </c>
      <c r="AC4511" s="71" t="s">
        <v>242</v>
      </c>
      <c r="AD4511" s="61"/>
      <c r="AE4511" s="63" t="s">
        <v>250</v>
      </c>
      <c r="AF4511" s="71" t="s">
        <v>242</v>
      </c>
      <c r="AG4511" s="61"/>
      <c r="AH4511" s="63" t="s">
        <v>250</v>
      </c>
      <c r="AI4511" s="71" t="s">
        <v>242</v>
      </c>
      <c r="AJ4511" s="61"/>
      <c r="AK4511" s="63" t="s">
        <v>250</v>
      </c>
      <c r="AL4511" s="71" t="s">
        <v>242</v>
      </c>
      <c r="AM4511" s="61"/>
      <c r="AN4511" s="63" t="s">
        <v>250</v>
      </c>
      <c r="AO4511" s="71" t="s">
        <v>242</v>
      </c>
      <c r="AP4511" s="61"/>
      <c r="AQ4511" s="63" t="s">
        <v>250</v>
      </c>
      <c r="AR4511" s="71" t="s">
        <v>242</v>
      </c>
      <c r="AS4511" s="61"/>
      <c r="AT4511" s="63" t="s">
        <v>250</v>
      </c>
      <c r="AU4511" s="71" t="s">
        <v>242</v>
      </c>
    </row>
    <row r="4512" spans="15:47" ht="13" x14ac:dyDescent="0.3">
      <c r="O4512" s="6" t="s">
        <v>231</v>
      </c>
      <c r="P4512" s="6"/>
      <c r="Q4512" s="60"/>
      <c r="R4512" s="85">
        <f>P_1_minQ-(R4510^2*R_up)+dpup_minQ</f>
        <v>-159.49587781144865</v>
      </c>
      <c r="S4512" s="56"/>
      <c r="T4512" s="72"/>
      <c r="U4512" s="53">
        <f>P_1_minQ-(U4510^2*R_up)+dpup_minQ</f>
        <v>-31.881545138686949</v>
      </c>
      <c r="V4512" s="44"/>
      <c r="W4512" s="72"/>
      <c r="X4512" s="53">
        <f>P_1_minQ-(X4510^2*R_up)+dpup_minQ</f>
        <v>-454.72262621308738</v>
      </c>
      <c r="Y4512" s="44"/>
      <c r="Z4512" s="72"/>
      <c r="AA4512" s="53">
        <f>P_1_minQ-(AA4510^2*R_up)+dpup_minQ</f>
        <v>-1808.3552832364132</v>
      </c>
      <c r="AB4512" s="44"/>
      <c r="AC4512" s="72"/>
      <c r="AD4512" s="53">
        <f>P_1_minQ-(AD4510^2*R_up)+dpup_minQ</f>
        <v>-4988.2958066412812</v>
      </c>
      <c r="AE4512" s="44"/>
      <c r="AF4512" s="72"/>
      <c r="AG4512" s="53">
        <f>P_1_minQ-(AG4510^2*R_up)+dpup_minQ</f>
        <v>-11126.881959977245</v>
      </c>
      <c r="AH4512" s="44"/>
      <c r="AI4512" s="72"/>
      <c r="AJ4512" s="53">
        <f>P_1_minQ-(AJ4510^2*R_up)+dpup_minQ</f>
        <v>-19860.31657069605</v>
      </c>
      <c r="AK4512" s="44"/>
      <c r="AL4512" s="72"/>
      <c r="AM4512" s="53">
        <f>P_1_minQ-(AM4510^2*R_up)+dpup_minQ</f>
        <v>-29597.129317954215</v>
      </c>
      <c r="AN4512" s="44"/>
      <c r="AO4512" s="72"/>
      <c r="AP4512" s="53">
        <f>P_1_minQ-(AP4510^2*R_up)+dpup_minQ</f>
        <v>-39912.256866847616</v>
      </c>
      <c r="AQ4512" s="44"/>
      <c r="AR4512" s="72"/>
      <c r="AS4512" s="53">
        <f>P_1_minQ-(AS4510^2*R_up)+dpup_minQ</f>
        <v>-51713.407602087442</v>
      </c>
      <c r="AT4512" s="44"/>
      <c r="AU4512" s="72"/>
    </row>
    <row r="4513" spans="15:47" ht="13" x14ac:dyDescent="0.3">
      <c r="O4513" s="6" t="s">
        <v>233</v>
      </c>
      <c r="P4513" s="6"/>
      <c r="Q4513" s="60"/>
      <c r="R4513" s="85">
        <f>P_2_minQ+(R4510^2*R_dn)-dpdn_minQ</f>
        <v>67.939175562289734</v>
      </c>
      <c r="S4513" s="66"/>
      <c r="T4513" s="74"/>
      <c r="U4513" s="53">
        <f>P_2_minQ+(U4510^2*R_dn)-dpdn_minQ</f>
        <v>42.416309027737398</v>
      </c>
      <c r="V4513" s="45"/>
      <c r="W4513" s="74"/>
      <c r="X4513" s="53">
        <f>P_2_minQ+(X4510^2*R_dn)-dpdn_minQ</f>
        <v>126.98452524261748</v>
      </c>
      <c r="Y4513" s="45"/>
      <c r="Z4513" s="74"/>
      <c r="AA4513" s="53">
        <f>P_2_minQ+(AA4510^2*R_dn)-dpdn_minQ</f>
        <v>397.71105664728259</v>
      </c>
      <c r="AB4513" s="45"/>
      <c r="AC4513" s="74"/>
      <c r="AD4513" s="53">
        <f>P_2_minQ+(AD4510^2*R_dn)-dpdn_minQ</f>
        <v>1033.6991613282562</v>
      </c>
      <c r="AE4513" s="45"/>
      <c r="AF4513" s="74"/>
      <c r="AG4513" s="53">
        <f>P_2_minQ+(AG4510^2*R_dn)-dpdn_minQ</f>
        <v>2261.4163919954485</v>
      </c>
      <c r="AH4513" s="45"/>
      <c r="AI4513" s="74"/>
      <c r="AJ4513" s="53">
        <f>P_2_minQ+(AJ4510^2*R_dn)-dpdn_minQ</f>
        <v>4008.1033141392099</v>
      </c>
      <c r="AK4513" s="45"/>
      <c r="AL4513" s="74"/>
      <c r="AM4513" s="53">
        <f>P_2_minQ+(AM4510^2*R_dn)-dpdn_minQ</f>
        <v>5955.4658635908427</v>
      </c>
      <c r="AN4513" s="45"/>
      <c r="AO4513" s="74"/>
      <c r="AP4513" s="53">
        <f>P_2_minQ+(AP4510^2*R_dn)-dpdn_minQ</f>
        <v>8018.4913733695221</v>
      </c>
      <c r="AQ4513" s="45"/>
      <c r="AR4513" s="74"/>
      <c r="AS4513" s="53">
        <f>P_2_minQ+(AS4510^2*R_dn)-dpdn_minQ</f>
        <v>10378.721520417488</v>
      </c>
      <c r="AT4513" s="45"/>
      <c r="AU4513" s="74"/>
    </row>
    <row r="4514" spans="15:47" x14ac:dyDescent="0.25">
      <c r="O4514" s="6" t="s">
        <v>243</v>
      </c>
      <c r="Q4514" s="60"/>
      <c r="R4514" s="53">
        <f>R4512-R4513</f>
        <v>-227.43505337373838</v>
      </c>
      <c r="S4514" s="56"/>
      <c r="T4514" s="72"/>
      <c r="U4514" s="64">
        <f>U4512-U4513</f>
        <v>-74.297854166424344</v>
      </c>
      <c r="V4514" s="44"/>
      <c r="W4514" s="72"/>
      <c r="X4514" s="64">
        <f>X4512-X4513</f>
        <v>-581.70715145570489</v>
      </c>
      <c r="Y4514" s="44"/>
      <c r="Z4514" s="72"/>
      <c r="AA4514" s="64">
        <f>AA4512-AA4513</f>
        <v>-2206.0663398836959</v>
      </c>
      <c r="AB4514" s="44"/>
      <c r="AC4514" s="72"/>
      <c r="AD4514" s="64">
        <f>AD4512-AD4513</f>
        <v>-6021.9949679695374</v>
      </c>
      <c r="AE4514" s="44"/>
      <c r="AF4514" s="72"/>
      <c r="AG4514" s="64">
        <f>AG4512-AG4513</f>
        <v>-13388.298351972693</v>
      </c>
      <c r="AH4514" s="44"/>
      <c r="AI4514" s="72"/>
      <c r="AJ4514" s="64">
        <f>AJ4512-AJ4513</f>
        <v>-23868.419884835261</v>
      </c>
      <c r="AK4514" s="44"/>
      <c r="AL4514" s="72"/>
      <c r="AM4514" s="64">
        <f>AM4512-AM4513</f>
        <v>-35552.595181545061</v>
      </c>
      <c r="AN4514" s="44"/>
      <c r="AO4514" s="72"/>
      <c r="AP4514" s="64">
        <f>AP4512-AP4513</f>
        <v>-47930.748240217137</v>
      </c>
      <c r="AQ4514" s="44"/>
      <c r="AR4514" s="72"/>
      <c r="AS4514" s="64">
        <f>AS4512-AS4513</f>
        <v>-62092.129122504928</v>
      </c>
      <c r="AT4514" s="44"/>
      <c r="AU4514" s="72"/>
    </row>
    <row r="4515" spans="15:47" ht="13" x14ac:dyDescent="0.3">
      <c r="O4515" s="6" t="s">
        <v>75</v>
      </c>
      <c r="P4515" s="6">
        <v>3</v>
      </c>
      <c r="Q4515" s="65"/>
      <c r="R4515" s="85">
        <f>(F_LP_h/F_P_h)^2*(R4512-('Valve Sizing'!$V$4*'Valve Sizing'!$G$7))</f>
        <v>-132.43534960522524</v>
      </c>
      <c r="S4515" s="58"/>
      <c r="T4515" s="73"/>
      <c r="U4515" s="53">
        <f>(U$29/U$27)^2*(U4512-('Valve Sizing'!$V$4*'Valve Sizing'!$G$7))</f>
        <v>-26.756688927382196</v>
      </c>
      <c r="V4515" s="41"/>
      <c r="W4515" s="73"/>
      <c r="X4515" s="53">
        <f>(X$29/X$27)^2*(X4512-('Valve Sizing'!$V$4*'Valve Sizing'!$G$7))</f>
        <v>-368.29650826742949</v>
      </c>
      <c r="Y4515" s="41"/>
      <c r="Z4515" s="73"/>
      <c r="AA4515" s="53">
        <f>(AA$29/AA$27)^2*(AA4512-('Valve Sizing'!$V$4*'Valve Sizing'!$G$7))</f>
        <v>-1397.8320134485402</v>
      </c>
      <c r="AB4515" s="41"/>
      <c r="AC4515" s="73"/>
      <c r="AD4515" s="53">
        <f>(AD$29/AD$27)^2*(AD4512-('Valve Sizing'!$V$4*'Valve Sizing'!$G$7))</f>
        <v>-3597.8134830662789</v>
      </c>
      <c r="AE4515" s="41"/>
      <c r="AF4515" s="73"/>
      <c r="AG4515" s="53">
        <f>(AG$29/AG$27)^2*(AG4512-('Valve Sizing'!$V$4*'Valve Sizing'!$G$7))</f>
        <v>-7166.4844383315713</v>
      </c>
      <c r="AH4515" s="41"/>
      <c r="AI4515" s="73"/>
      <c r="AJ4515" s="53">
        <f>(AJ$29/AJ$27)^2*(AJ4512-('Valve Sizing'!$V$4*'Valve Sizing'!$G$7))</f>
        <v>-11486.75330644013</v>
      </c>
      <c r="AK4515" s="41"/>
      <c r="AL4515" s="73"/>
      <c r="AM4515" s="53">
        <f>(AM$29/AM$27)^2*(AM4512-('Valve Sizing'!$V$4*'Valve Sizing'!$G$7))</f>
        <v>-14161.612633344028</v>
      </c>
      <c r="AN4515" s="41"/>
      <c r="AO4515" s="73"/>
      <c r="AP4515" s="53">
        <f>(AP$29/AP$27)^2*(AP4512-('Valve Sizing'!$V$4*'Valve Sizing'!$G$7))</f>
        <v>-15750.620958639327</v>
      </c>
      <c r="AQ4515" s="41"/>
      <c r="AR4515" s="73"/>
      <c r="AS4515" s="53">
        <f>(AS$29/AS$27)^2*(AS4512-('Valve Sizing'!$V$4*'Valve Sizing'!$G$7))</f>
        <v>-19451.687724904717</v>
      </c>
      <c r="AT4515" s="41"/>
      <c r="AU4515" s="73"/>
    </row>
    <row r="4516" spans="15:47" ht="13" x14ac:dyDescent="0.25">
      <c r="O4516" s="1" t="s">
        <v>69</v>
      </c>
      <c r="P4516" s="17">
        <v>7</v>
      </c>
      <c r="Q4516" s="65"/>
      <c r="R4516" s="53" t="e">
        <f>(R4510/(N_1*F_P_h))*SQRT('Valve Sizing'!$G$6/R4514)</f>
        <v>#NUM!</v>
      </c>
      <c r="S4516" s="58"/>
      <c r="T4516" s="73"/>
      <c r="U4516" s="64" t="e">
        <f>(U4510/(N_1*U$27))*SQRT('Valve Sizing'!$G$6/U4514)</f>
        <v>#NUM!</v>
      </c>
      <c r="V4516" s="41"/>
      <c r="W4516" s="73"/>
      <c r="X4516" s="64" t="e">
        <f>(X4510/(N_1*X$27))*SQRT('Valve Sizing'!$G$6/X4514)</f>
        <v>#NUM!</v>
      </c>
      <c r="Y4516" s="41"/>
      <c r="Z4516" s="73"/>
      <c r="AA4516" s="64" t="e">
        <f>(AA4510/(N_1*AA$27))*SQRT('Valve Sizing'!$G$6/AA4514)</f>
        <v>#NUM!</v>
      </c>
      <c r="AB4516" s="41"/>
      <c r="AC4516" s="73"/>
      <c r="AD4516" s="64" t="e">
        <f>(AD4510/(N_1*AD$27))*SQRT('Valve Sizing'!$G$6/AD4514)</f>
        <v>#NUM!</v>
      </c>
      <c r="AE4516" s="41"/>
      <c r="AF4516" s="73"/>
      <c r="AG4516" s="64" t="e">
        <f>(AG4510/(N_1*AG$27))*SQRT('Valve Sizing'!$G$6/AG4514)</f>
        <v>#NUM!</v>
      </c>
      <c r="AH4516" s="41"/>
      <c r="AI4516" s="73"/>
      <c r="AJ4516" s="64" t="e">
        <f>(AJ4510/(N_1*AJ$27))*SQRT('Valve Sizing'!$G$6/AJ4514)</f>
        <v>#NUM!</v>
      </c>
      <c r="AK4516" s="41"/>
      <c r="AL4516" s="73"/>
      <c r="AM4516" s="64" t="e">
        <f>(AM4510/(N_1*AM$27))*SQRT('Valve Sizing'!$G$6/AM4514)</f>
        <v>#NUM!</v>
      </c>
      <c r="AN4516" s="41"/>
      <c r="AO4516" s="73"/>
      <c r="AP4516" s="64" t="e">
        <f>(AP4510/(N_1*AP$27))*SQRT('Valve Sizing'!$G$6/AP4514)</f>
        <v>#NUM!</v>
      </c>
      <c r="AQ4516" s="41"/>
      <c r="AR4516" s="73"/>
      <c r="AS4516" s="64" t="e">
        <f>(AS4510/(N_1*AS$27))*SQRT('Valve Sizing'!$G$6/AS4514)</f>
        <v>#NUM!</v>
      </c>
      <c r="AT4516" s="41"/>
      <c r="AU4516" s="73"/>
    </row>
    <row r="4517" spans="15:47" ht="13" x14ac:dyDescent="0.3">
      <c r="O4517" s="1" t="s">
        <v>72</v>
      </c>
      <c r="P4517" s="17">
        <v>7</v>
      </c>
      <c r="Q4517" s="65"/>
      <c r="R4517" s="53" t="e">
        <f>(R4510/(N_1*F_P_h))*SQRT('Valve Sizing'!$G$6/R4515)</f>
        <v>#NUM!</v>
      </c>
      <c r="S4517" s="56"/>
      <c r="T4517" s="72"/>
      <c r="U4517" s="85" t="e">
        <f>(U4510/(N_1*U$27))*SQRT('Valve Sizing'!$G$6/U4515)</f>
        <v>#NUM!</v>
      </c>
      <c r="V4517" s="44"/>
      <c r="W4517" s="72"/>
      <c r="X4517" s="85" t="e">
        <f>(X4510/(N_1*X$27))*SQRT('Valve Sizing'!$G$6/X4515)</f>
        <v>#NUM!</v>
      </c>
      <c r="Y4517" s="44"/>
      <c r="Z4517" s="72"/>
      <c r="AA4517" s="85" t="e">
        <f>(AA4510/(N_1*AA$27))*SQRT('Valve Sizing'!$G$6/AA4515)</f>
        <v>#NUM!</v>
      </c>
      <c r="AB4517" s="44"/>
      <c r="AC4517" s="72"/>
      <c r="AD4517" s="85" t="e">
        <f>(AD4510/(N_1*AD$27))*SQRT('Valve Sizing'!$G$6/AD4515)</f>
        <v>#NUM!</v>
      </c>
      <c r="AE4517" s="44"/>
      <c r="AF4517" s="72"/>
      <c r="AG4517" s="85" t="e">
        <f>(AG4510/(N_1*AG$27))*SQRT('Valve Sizing'!$G$6/AG4515)</f>
        <v>#NUM!</v>
      </c>
      <c r="AH4517" s="44"/>
      <c r="AI4517" s="72"/>
      <c r="AJ4517" s="85" t="e">
        <f>(AJ4510/(N_1*AJ$27))*SQRT('Valve Sizing'!$G$6/AJ4515)</f>
        <v>#NUM!</v>
      </c>
      <c r="AK4517" s="44"/>
      <c r="AL4517" s="72"/>
      <c r="AM4517" s="85" t="e">
        <f>(AM4510/(N_1*AM$27))*SQRT('Valve Sizing'!$G$6/AM4515)</f>
        <v>#NUM!</v>
      </c>
      <c r="AN4517" s="44"/>
      <c r="AO4517" s="72"/>
      <c r="AP4517" s="85" t="e">
        <f>(AP4510/(N_1*AP$27))*SQRT('Valve Sizing'!$G$6/AP4515)</f>
        <v>#NUM!</v>
      </c>
      <c r="AQ4517" s="44"/>
      <c r="AR4517" s="72"/>
      <c r="AS4517" s="85" t="e">
        <f>(AS4510/(N_1*AS$27))*SQRT('Valve Sizing'!$G$6/AS4515)</f>
        <v>#NUM!</v>
      </c>
      <c r="AT4517" s="44"/>
      <c r="AU4517" s="72"/>
    </row>
    <row r="4518" spans="15:47" x14ac:dyDescent="0.25">
      <c r="O4518" s="1" t="s">
        <v>246</v>
      </c>
      <c r="P4518" s="18"/>
      <c r="Q4518" s="65"/>
      <c r="R4518" s="53" t="e">
        <f>IF(R4514&lt;R4515,R4516,R4517)</f>
        <v>#NUM!</v>
      </c>
      <c r="S4518" s="49"/>
      <c r="T4518" s="72"/>
      <c r="U4518" s="64" t="e">
        <f>IF(U4514&lt;U4515,U4516,U4517)</f>
        <v>#NUM!</v>
      </c>
      <c r="V4518" s="44"/>
      <c r="W4518" s="72"/>
      <c r="X4518" s="64" t="e">
        <f>IF(X4514&lt;X4515,X4516,X4517)</f>
        <v>#NUM!</v>
      </c>
      <c r="Y4518" s="44"/>
      <c r="Z4518" s="72"/>
      <c r="AA4518" s="64" t="e">
        <f>IF(AA4514&lt;AA4515,AA4516,AA4517)</f>
        <v>#NUM!</v>
      </c>
      <c r="AB4518" s="44"/>
      <c r="AC4518" s="72"/>
      <c r="AD4518" s="64" t="e">
        <f>IF(AD4514&lt;AD4515,AD4516,AD4517)</f>
        <v>#NUM!</v>
      </c>
      <c r="AE4518" s="44"/>
      <c r="AF4518" s="72"/>
      <c r="AG4518" s="64" t="e">
        <f>IF(AG4514&lt;AG4515,AG4516,AG4517)</f>
        <v>#NUM!</v>
      </c>
      <c r="AH4518" s="44"/>
      <c r="AI4518" s="72"/>
      <c r="AJ4518" s="64" t="e">
        <f>IF(AJ4514&lt;AJ4515,AJ4516,AJ4517)</f>
        <v>#NUM!</v>
      </c>
      <c r="AK4518" s="44"/>
      <c r="AL4518" s="72"/>
      <c r="AM4518" s="64" t="e">
        <f>IF(AM4514&lt;AM4515,AM4516,AM4517)</f>
        <v>#NUM!</v>
      </c>
      <c r="AN4518" s="44"/>
      <c r="AO4518" s="72"/>
      <c r="AP4518" s="64" t="e">
        <f>IF(AP4514&lt;AP4515,AP4516,AP4517)</f>
        <v>#NUM!</v>
      </c>
      <c r="AQ4518" s="44"/>
      <c r="AR4518" s="72"/>
      <c r="AS4518" s="64" t="e">
        <f>IF(AS4514&lt;AS4515,AS4516,AS4517)</f>
        <v>#NUM!</v>
      </c>
      <c r="AT4518" s="44"/>
      <c r="AU4518" s="72"/>
    </row>
    <row r="4519" spans="15:47" ht="13" x14ac:dyDescent="0.3">
      <c r="O4519" s="7" t="s">
        <v>264</v>
      </c>
      <c r="Q4519" s="61"/>
      <c r="R4519" s="53"/>
      <c r="S4519" s="69">
        <f>IFERROR(ABS(C_h-R4518),Q_max*10)</f>
        <v>5500</v>
      </c>
      <c r="T4519" s="76">
        <f>R4510</f>
        <v>2531.3948609407016</v>
      </c>
      <c r="U4519" s="61"/>
      <c r="V4519" s="69">
        <f>IFERROR(ABS(U$23-U4518),Q_max*10)</f>
        <v>5500</v>
      </c>
      <c r="W4519" s="75">
        <f>U4510</f>
        <v>1621.5115021351285</v>
      </c>
      <c r="X4519" s="61"/>
      <c r="Y4519" s="69">
        <f>IFERROR(ABS(X$23-X4518),Q_max*10)</f>
        <v>5500</v>
      </c>
      <c r="Z4519" s="75">
        <f>X4510</f>
        <v>3892.2517855567253</v>
      </c>
      <c r="AA4519" s="61"/>
      <c r="AB4519" s="69">
        <f>IFERROR(ABS(AA$23-AA4518),Q_max*10)</f>
        <v>5500</v>
      </c>
      <c r="AC4519" s="75">
        <f>AA4510</f>
        <v>7431.7351228787884</v>
      </c>
      <c r="AD4519" s="61"/>
      <c r="AE4519" s="69">
        <f>IFERROR(ABS(AD$23-AD4518),Q_max*10)</f>
        <v>5500</v>
      </c>
      <c r="AF4519" s="75">
        <f>AD4510</f>
        <v>12222.468074601313</v>
      </c>
      <c r="AG4519" s="61"/>
      <c r="AH4519" s="69">
        <f>IFERROR(ABS(AG$23-AG4518),Q_max*10)</f>
        <v>5500</v>
      </c>
      <c r="AI4519" s="75">
        <f>AG4510</f>
        <v>18197.589451213757</v>
      </c>
      <c r="AJ4519" s="61"/>
      <c r="AK4519" s="69">
        <f>IFERROR(ABS(AJ$23-AJ4518),Q_max*10)</f>
        <v>5500</v>
      </c>
      <c r="AL4519" s="75">
        <f>AJ4510</f>
        <v>24284.753666823759</v>
      </c>
      <c r="AM4519" s="61"/>
      <c r="AN4519" s="69">
        <f>IFERROR(ABS(AM$23-AM4518),Q_max*10)</f>
        <v>5500</v>
      </c>
      <c r="AO4519" s="75">
        <f>AM4510</f>
        <v>29632.014546848215</v>
      </c>
      <c r="AP4519" s="61"/>
      <c r="AQ4519" s="69">
        <f>IFERROR(ABS(AP$23-AP4518),Q_max*10)</f>
        <v>5500</v>
      </c>
      <c r="AR4519" s="75">
        <f>AP4510</f>
        <v>34401.84897396298</v>
      </c>
      <c r="AS4519" s="61"/>
      <c r="AT4519" s="69">
        <f>IFERROR(ABS(AS$23-AS4518),Q_max*10)</f>
        <v>5500</v>
      </c>
      <c r="AU4519" s="75">
        <f>AS4510</f>
        <v>39152.513151748113</v>
      </c>
    </row>
    <row r="4520" spans="15:47" ht="14.5" x14ac:dyDescent="0.35">
      <c r="O4520" s="8"/>
      <c r="P4520" s="6"/>
      <c r="Q4520" s="60"/>
      <c r="R4520" s="67"/>
      <c r="S4520" s="66"/>
      <c r="T4520" s="74"/>
      <c r="V4520" s="11"/>
      <c r="W4520" s="38"/>
      <c r="Y4520" s="11"/>
      <c r="Z4520" s="38"/>
      <c r="AB4520" s="11"/>
      <c r="AC4520" s="38"/>
      <c r="AE4520" s="11"/>
      <c r="AF4520" s="38"/>
      <c r="AH4520" s="11"/>
      <c r="AI4520" s="38"/>
      <c r="AK4520" s="11"/>
      <c r="AL4520" s="38"/>
      <c r="AN4520" s="11"/>
      <c r="AO4520" s="38"/>
      <c r="AQ4520" s="11"/>
      <c r="AR4520" s="38"/>
      <c r="AT4520" s="11"/>
      <c r="AU4520" s="38"/>
    </row>
    <row r="4521" spans="15:47" ht="14" x14ac:dyDescent="0.3">
      <c r="O4521" s="8" t="s">
        <v>235</v>
      </c>
      <c r="P4521" s="6"/>
      <c r="Q4521" s="60"/>
      <c r="R4521" s="53">
        <f>R4510*1.02</f>
        <v>2582.0227581595159</v>
      </c>
      <c r="S4521" s="58" t="s">
        <v>238</v>
      </c>
      <c r="T4521" s="73" t="s">
        <v>241</v>
      </c>
      <c r="U4521" s="84">
        <f>U4510*1.01</f>
        <v>1637.7266171564797</v>
      </c>
      <c r="V4521" s="58" t="s">
        <v>238</v>
      </c>
      <c r="W4521" s="73" t="s">
        <v>241</v>
      </c>
      <c r="X4521" s="84">
        <f>X4510*1.01</f>
        <v>3931.1743034122924</v>
      </c>
      <c r="Y4521" s="58" t="s">
        <v>238</v>
      </c>
      <c r="Z4521" s="73" t="s">
        <v>241</v>
      </c>
      <c r="AA4521" s="84">
        <f>AA4510*1.01</f>
        <v>7506.052474107576</v>
      </c>
      <c r="AB4521" s="58" t="s">
        <v>238</v>
      </c>
      <c r="AC4521" s="73" t="s">
        <v>241</v>
      </c>
      <c r="AD4521" s="84">
        <f>AD4510*1.01</f>
        <v>12344.692755347325</v>
      </c>
      <c r="AE4521" s="58" t="s">
        <v>238</v>
      </c>
      <c r="AF4521" s="73" t="s">
        <v>241</v>
      </c>
      <c r="AG4521" s="84">
        <f>AG4510*1.01</f>
        <v>18379.565345725896</v>
      </c>
      <c r="AH4521" s="58" t="s">
        <v>238</v>
      </c>
      <c r="AI4521" s="73" t="s">
        <v>241</v>
      </c>
      <c r="AJ4521" s="84">
        <f>AJ4510*1.01</f>
        <v>24527.601203491995</v>
      </c>
      <c r="AK4521" s="58" t="s">
        <v>238</v>
      </c>
      <c r="AL4521" s="73" t="s">
        <v>241</v>
      </c>
      <c r="AM4521" s="84">
        <f>AM4510*1.01</f>
        <v>29928.334692316697</v>
      </c>
      <c r="AN4521" s="58" t="s">
        <v>238</v>
      </c>
      <c r="AO4521" s="73" t="s">
        <v>241</v>
      </c>
      <c r="AP4521" s="84">
        <f>AP4510*1.01</f>
        <v>34745.867463702612</v>
      </c>
      <c r="AQ4521" s="58" t="s">
        <v>238</v>
      </c>
      <c r="AR4521" s="73" t="s">
        <v>241</v>
      </c>
      <c r="AS4521" s="84">
        <f>AS4510*1.01</f>
        <v>39544.038283265596</v>
      </c>
      <c r="AT4521" s="58" t="s">
        <v>238</v>
      </c>
      <c r="AU4521" s="73" t="s">
        <v>241</v>
      </c>
    </row>
    <row r="4522" spans="15:47" ht="13" x14ac:dyDescent="0.25">
      <c r="O4522" s="6"/>
      <c r="P4522" s="6"/>
      <c r="Q4522" s="60"/>
      <c r="R4522" s="70"/>
      <c r="S4522" s="63" t="s">
        <v>250</v>
      </c>
      <c r="T4522" s="71" t="s">
        <v>242</v>
      </c>
      <c r="U4522" s="61"/>
      <c r="V4522" s="63" t="s">
        <v>250</v>
      </c>
      <c r="W4522" s="71" t="s">
        <v>242</v>
      </c>
      <c r="X4522" s="61"/>
      <c r="Y4522" s="63" t="s">
        <v>250</v>
      </c>
      <c r="Z4522" s="71" t="s">
        <v>242</v>
      </c>
      <c r="AA4522" s="61"/>
      <c r="AB4522" s="63" t="s">
        <v>250</v>
      </c>
      <c r="AC4522" s="71" t="s">
        <v>242</v>
      </c>
      <c r="AD4522" s="61"/>
      <c r="AE4522" s="63" t="s">
        <v>250</v>
      </c>
      <c r="AF4522" s="71" t="s">
        <v>242</v>
      </c>
      <c r="AG4522" s="61"/>
      <c r="AH4522" s="63" t="s">
        <v>250</v>
      </c>
      <c r="AI4522" s="71" t="s">
        <v>242</v>
      </c>
      <c r="AJ4522" s="61"/>
      <c r="AK4522" s="63" t="s">
        <v>250</v>
      </c>
      <c r="AL4522" s="71" t="s">
        <v>242</v>
      </c>
      <c r="AM4522" s="61"/>
      <c r="AN4522" s="63" t="s">
        <v>250</v>
      </c>
      <c r="AO4522" s="71" t="s">
        <v>242</v>
      </c>
      <c r="AP4522" s="61"/>
      <c r="AQ4522" s="63" t="s">
        <v>250</v>
      </c>
      <c r="AR4522" s="71" t="s">
        <v>242</v>
      </c>
      <c r="AS4522" s="61"/>
      <c r="AT4522" s="63" t="s">
        <v>250</v>
      </c>
      <c r="AU4522" s="71" t="s">
        <v>242</v>
      </c>
    </row>
    <row r="4523" spans="15:47" ht="13" x14ac:dyDescent="0.3">
      <c r="O4523" s="6" t="s">
        <v>231</v>
      </c>
      <c r="P4523" s="6"/>
      <c r="Q4523" s="60"/>
      <c r="R4523" s="85">
        <f>P_1_minQ-(R4521^2*R_up)+dpup_minQ</f>
        <v>-168.23892346010385</v>
      </c>
      <c r="S4523" s="56"/>
      <c r="T4523" s="72"/>
      <c r="U4523" s="53">
        <f>P_1_minQ-(U4521^2*R_up)+dpup_minQ</f>
        <v>-33.666378674191371</v>
      </c>
      <c r="V4523" s="44"/>
      <c r="W4523" s="72"/>
      <c r="X4523" s="53">
        <f>P_1_minQ-(X4521^2*R_up)+dpup_minQ</f>
        <v>-465.00656547818727</v>
      </c>
      <c r="Y4523" s="44"/>
      <c r="Z4523" s="72"/>
      <c r="AA4523" s="53">
        <f>P_1_minQ-(AA4521^2*R_up)+dpup_minQ</f>
        <v>-1845.8472389076821</v>
      </c>
      <c r="AB4523" s="44"/>
      <c r="AC4523" s="72"/>
      <c r="AD4523" s="53">
        <f>P_1_minQ-(AD4521^2*R_up)+dpup_minQ</f>
        <v>-5089.7045668329874</v>
      </c>
      <c r="AE4523" s="44"/>
      <c r="AF4523" s="72"/>
      <c r="AG4523" s="53">
        <f>P_1_minQ-(AG4521^2*R_up)+dpup_minQ</f>
        <v>-11351.676301851006</v>
      </c>
      <c r="AH4523" s="44"/>
      <c r="AI4523" s="72"/>
      <c r="AJ4523" s="53">
        <f>P_1_minQ-(AJ4521^2*R_up)+dpup_minQ</f>
        <v>-20260.652948245257</v>
      </c>
      <c r="AK4523" s="44"/>
      <c r="AL4523" s="72"/>
      <c r="AM4523" s="53">
        <f>P_1_minQ-(AM4521^2*R_up)+dpup_minQ</f>
        <v>-30193.175631723308</v>
      </c>
      <c r="AN4523" s="44"/>
      <c r="AO4523" s="72"/>
      <c r="AP4523" s="53">
        <f>P_1_minQ-(AP4521^2*R_up)+dpup_minQ</f>
        <v>-40715.637244349469</v>
      </c>
      <c r="AQ4523" s="44"/>
      <c r="AR4523" s="72"/>
      <c r="AS4523" s="53">
        <f>P_1_minQ-(AS4521^2*R_up)+dpup_minQ</f>
        <v>-52753.99110936762</v>
      </c>
      <c r="AT4523" s="44"/>
      <c r="AU4523" s="72"/>
    </row>
    <row r="4524" spans="15:47" ht="13" x14ac:dyDescent="0.3">
      <c r="O4524" s="6" t="s">
        <v>233</v>
      </c>
      <c r="P4524" s="6"/>
      <c r="Q4524" s="60"/>
      <c r="R4524" s="85">
        <f>P_2_minQ+(R4521^2*R_dn)-dpdn_minQ</f>
        <v>69.687784692020756</v>
      </c>
      <c r="S4524" s="66"/>
      <c r="T4524" s="74"/>
      <c r="U4524" s="53">
        <f>P_2_minQ+(U4521^2*R_dn)-dpdn_minQ</f>
        <v>42.773275734838279</v>
      </c>
      <c r="V4524" s="45"/>
      <c r="W4524" s="74"/>
      <c r="X4524" s="53">
        <f>P_2_minQ+(X4521^2*R_dn)-dpdn_minQ</f>
        <v>129.04131309563743</v>
      </c>
      <c r="Y4524" s="45"/>
      <c r="Z4524" s="74"/>
      <c r="AA4524" s="53">
        <f>P_2_minQ+(AA4521^2*R_dn)-dpdn_minQ</f>
        <v>405.20944778153637</v>
      </c>
      <c r="AB4524" s="45"/>
      <c r="AC4524" s="74"/>
      <c r="AD4524" s="53">
        <f>P_2_minQ+(AD4521^2*R_dn)-dpdn_minQ</f>
        <v>1053.9809133665974</v>
      </c>
      <c r="AE4524" s="45"/>
      <c r="AF4524" s="74"/>
      <c r="AG4524" s="53">
        <f>P_2_minQ+(AG4521^2*R_dn)-dpdn_minQ</f>
        <v>2306.375260370201</v>
      </c>
      <c r="AH4524" s="45"/>
      <c r="AI4524" s="74"/>
      <c r="AJ4524" s="53">
        <f>P_2_minQ+(AJ4521^2*R_dn)-dpdn_minQ</f>
        <v>4088.1705896490507</v>
      </c>
      <c r="AK4524" s="45"/>
      <c r="AL4524" s="74"/>
      <c r="AM4524" s="53">
        <f>P_2_minQ+(AM4521^2*R_dn)-dpdn_minQ</f>
        <v>6074.6751263446613</v>
      </c>
      <c r="AN4524" s="45"/>
      <c r="AO4524" s="74"/>
      <c r="AP4524" s="53">
        <f>P_2_minQ+(AP4521^2*R_dn)-dpdn_minQ</f>
        <v>8179.1674488698927</v>
      </c>
      <c r="AQ4524" s="45"/>
      <c r="AR4524" s="74"/>
      <c r="AS4524" s="53">
        <f>P_2_minQ+(AS4521^2*R_dn)-dpdn_minQ</f>
        <v>10586.838221873524</v>
      </c>
      <c r="AT4524" s="45"/>
      <c r="AU4524" s="74"/>
    </row>
    <row r="4525" spans="15:47" x14ac:dyDescent="0.25">
      <c r="O4525" s="6" t="s">
        <v>243</v>
      </c>
      <c r="Q4525" s="60"/>
      <c r="R4525" s="53">
        <f>R4523-R4524</f>
        <v>-237.9267081521246</v>
      </c>
      <c r="S4525" s="56"/>
      <c r="T4525" s="72"/>
      <c r="U4525" s="64">
        <f>U4523-U4524</f>
        <v>-76.439654409029657</v>
      </c>
      <c r="V4525" s="44"/>
      <c r="W4525" s="72"/>
      <c r="X4525" s="64">
        <f>X4523-X4524</f>
        <v>-594.04787857382473</v>
      </c>
      <c r="Y4525" s="44"/>
      <c r="Z4525" s="72"/>
      <c r="AA4525" s="64">
        <f>AA4523-AA4524</f>
        <v>-2251.0566866892186</v>
      </c>
      <c r="AB4525" s="44"/>
      <c r="AC4525" s="72"/>
      <c r="AD4525" s="64">
        <f>AD4523-AD4524</f>
        <v>-6143.6854801995851</v>
      </c>
      <c r="AE4525" s="44"/>
      <c r="AF4525" s="72"/>
      <c r="AG4525" s="64">
        <f>AG4523-AG4524</f>
        <v>-13658.051562221208</v>
      </c>
      <c r="AH4525" s="44"/>
      <c r="AI4525" s="72"/>
      <c r="AJ4525" s="64">
        <f>AJ4523-AJ4524</f>
        <v>-24348.823537894306</v>
      </c>
      <c r="AK4525" s="44"/>
      <c r="AL4525" s="72"/>
      <c r="AM4525" s="64">
        <f>AM4523-AM4524</f>
        <v>-36267.850758067972</v>
      </c>
      <c r="AN4525" s="44"/>
      <c r="AO4525" s="72"/>
      <c r="AP4525" s="64">
        <f>AP4523-AP4524</f>
        <v>-48894.804693219361</v>
      </c>
      <c r="AQ4525" s="44"/>
      <c r="AR4525" s="72"/>
      <c r="AS4525" s="64">
        <f>AS4523-AS4524</f>
        <v>-63340.829331241141</v>
      </c>
      <c r="AT4525" s="44"/>
      <c r="AU4525" s="72"/>
    </row>
    <row r="4526" spans="15:47" ht="13" x14ac:dyDescent="0.3">
      <c r="O4526" s="6" t="s">
        <v>75</v>
      </c>
      <c r="P4526" s="6">
        <v>3</v>
      </c>
      <c r="Q4526" s="65"/>
      <c r="R4526" s="85">
        <f>(F_LP_h/F_P_h)^2*(R4523-('Valve Sizing'!$V$4*'Valve Sizing'!$G$7))</f>
        <v>-139.67505032424177</v>
      </c>
      <c r="S4526" s="58"/>
      <c r="T4526" s="73"/>
      <c r="U4526" s="53">
        <f>(U$29/U$27)^2*(U4523-('Valve Sizing'!$V$4*'Valve Sizing'!$G$7))</f>
        <v>-28.234221956324475</v>
      </c>
      <c r="V4526" s="41"/>
      <c r="W4526" s="73"/>
      <c r="X4526" s="53">
        <f>(X$29/X$27)^2*(X4523-('Valve Sizing'!$V$4*'Valve Sizing'!$G$7))</f>
        <v>-376.6177943848831</v>
      </c>
      <c r="Y4526" s="41"/>
      <c r="Z4526" s="73"/>
      <c r="AA4526" s="53">
        <f>(AA$29/AA$27)^2*(AA4523-('Valve Sizing'!$V$4*'Valve Sizing'!$G$7))</f>
        <v>-1426.8056926143993</v>
      </c>
      <c r="AB4526" s="41"/>
      <c r="AC4526" s="73"/>
      <c r="AD4526" s="53">
        <f>(AD$29/AD$27)^2*(AD4523-('Valve Sizing'!$V$4*'Valve Sizing'!$G$7))</f>
        <v>-3670.9482038938368</v>
      </c>
      <c r="AE4526" s="41"/>
      <c r="AF4526" s="73"/>
      <c r="AG4526" s="53">
        <f>(AG$29/AG$27)^2*(AG4523-('Valve Sizing'!$V$4*'Valve Sizing'!$G$7))</f>
        <v>-7311.2618744755537</v>
      </c>
      <c r="AH4526" s="41"/>
      <c r="AI4526" s="73"/>
      <c r="AJ4526" s="53">
        <f>(AJ$29/AJ$27)^2*(AJ4523-('Valve Sizing'!$V$4*'Valve Sizing'!$G$7))</f>
        <v>-11718.293589348285</v>
      </c>
      <c r="AK4526" s="41"/>
      <c r="AL4526" s="73"/>
      <c r="AM4526" s="53">
        <f>(AM$29/AM$27)^2*(AM4523-('Valve Sizing'!$V$4*'Valve Sizing'!$G$7))</f>
        <v>-14446.804194178161</v>
      </c>
      <c r="AN4526" s="41"/>
      <c r="AO4526" s="73"/>
      <c r="AP4526" s="53">
        <f>(AP$29/AP$27)^2*(AP4523-('Valve Sizing'!$V$4*'Valve Sizing'!$G$7))</f>
        <v>-16067.656408174877</v>
      </c>
      <c r="AQ4526" s="41"/>
      <c r="AR4526" s="73"/>
      <c r="AS4526" s="53">
        <f>(AS$29/AS$27)^2*(AS4523-('Valve Sizing'!$V$4*'Valve Sizing'!$G$7))</f>
        <v>-19843.093631664422</v>
      </c>
      <c r="AT4526" s="41"/>
      <c r="AU4526" s="73"/>
    </row>
    <row r="4527" spans="15:47" ht="13" x14ac:dyDescent="0.25">
      <c r="O4527" s="1" t="s">
        <v>69</v>
      </c>
      <c r="P4527" s="17">
        <v>7</v>
      </c>
      <c r="Q4527" s="65"/>
      <c r="R4527" s="53" t="e">
        <f>(R4521/(N_1*F_P_h))*SQRT('Valve Sizing'!$G$6/R4525)</f>
        <v>#NUM!</v>
      </c>
      <c r="S4527" s="58"/>
      <c r="T4527" s="73"/>
      <c r="U4527" s="64" t="e">
        <f>(U4521/(N_1*U$27))*SQRT('Valve Sizing'!$G$6/U4525)</f>
        <v>#NUM!</v>
      </c>
      <c r="V4527" s="41"/>
      <c r="W4527" s="73"/>
      <c r="X4527" s="64" t="e">
        <f>(X4521/(N_1*X$27))*SQRT('Valve Sizing'!$G$6/X4525)</f>
        <v>#NUM!</v>
      </c>
      <c r="Y4527" s="41"/>
      <c r="Z4527" s="73"/>
      <c r="AA4527" s="64" t="e">
        <f>(AA4521/(N_1*AA$27))*SQRT('Valve Sizing'!$G$6/AA4525)</f>
        <v>#NUM!</v>
      </c>
      <c r="AB4527" s="41"/>
      <c r="AC4527" s="73"/>
      <c r="AD4527" s="64" t="e">
        <f>(AD4521/(N_1*AD$27))*SQRT('Valve Sizing'!$G$6/AD4525)</f>
        <v>#NUM!</v>
      </c>
      <c r="AE4527" s="41"/>
      <c r="AF4527" s="73"/>
      <c r="AG4527" s="64" t="e">
        <f>(AG4521/(N_1*AG$27))*SQRT('Valve Sizing'!$G$6/AG4525)</f>
        <v>#NUM!</v>
      </c>
      <c r="AH4527" s="41"/>
      <c r="AI4527" s="73"/>
      <c r="AJ4527" s="64" t="e">
        <f>(AJ4521/(N_1*AJ$27))*SQRT('Valve Sizing'!$G$6/AJ4525)</f>
        <v>#NUM!</v>
      </c>
      <c r="AK4527" s="41"/>
      <c r="AL4527" s="73"/>
      <c r="AM4527" s="64" t="e">
        <f>(AM4521/(N_1*AM$27))*SQRT('Valve Sizing'!$G$6/AM4525)</f>
        <v>#NUM!</v>
      </c>
      <c r="AN4527" s="41"/>
      <c r="AO4527" s="73"/>
      <c r="AP4527" s="64" t="e">
        <f>(AP4521/(N_1*AP$27))*SQRT('Valve Sizing'!$G$6/AP4525)</f>
        <v>#NUM!</v>
      </c>
      <c r="AQ4527" s="41"/>
      <c r="AR4527" s="73"/>
      <c r="AS4527" s="64" t="e">
        <f>(AS4521/(N_1*AS$27))*SQRT('Valve Sizing'!$G$6/AS4525)</f>
        <v>#NUM!</v>
      </c>
      <c r="AT4527" s="41"/>
      <c r="AU4527" s="73"/>
    </row>
    <row r="4528" spans="15:47" ht="13" x14ac:dyDescent="0.3">
      <c r="O4528" s="1" t="s">
        <v>72</v>
      </c>
      <c r="P4528" s="17">
        <v>7</v>
      </c>
      <c r="Q4528" s="65"/>
      <c r="R4528" s="53" t="e">
        <f>(R4521/(N_1*F_P_h))*SQRT('Valve Sizing'!$G$6/R4526)</f>
        <v>#NUM!</v>
      </c>
      <c r="S4528" s="56"/>
      <c r="T4528" s="72"/>
      <c r="U4528" s="85" t="e">
        <f>(U4521/(N_1*U$27))*SQRT('Valve Sizing'!$G$6/U4526)</f>
        <v>#NUM!</v>
      </c>
      <c r="V4528" s="44"/>
      <c r="W4528" s="72"/>
      <c r="X4528" s="85" t="e">
        <f>(X4521/(N_1*X$27))*SQRT('Valve Sizing'!$G$6/X4526)</f>
        <v>#NUM!</v>
      </c>
      <c r="Y4528" s="44"/>
      <c r="Z4528" s="72"/>
      <c r="AA4528" s="85" t="e">
        <f>(AA4521/(N_1*AA$27))*SQRT('Valve Sizing'!$G$6/AA4526)</f>
        <v>#NUM!</v>
      </c>
      <c r="AB4528" s="44"/>
      <c r="AC4528" s="72"/>
      <c r="AD4528" s="85" t="e">
        <f>(AD4521/(N_1*AD$27))*SQRT('Valve Sizing'!$G$6/AD4526)</f>
        <v>#NUM!</v>
      </c>
      <c r="AE4528" s="44"/>
      <c r="AF4528" s="72"/>
      <c r="AG4528" s="85" t="e">
        <f>(AG4521/(N_1*AG$27))*SQRT('Valve Sizing'!$G$6/AG4526)</f>
        <v>#NUM!</v>
      </c>
      <c r="AH4528" s="44"/>
      <c r="AI4528" s="72"/>
      <c r="AJ4528" s="85" t="e">
        <f>(AJ4521/(N_1*AJ$27))*SQRT('Valve Sizing'!$G$6/AJ4526)</f>
        <v>#NUM!</v>
      </c>
      <c r="AK4528" s="44"/>
      <c r="AL4528" s="72"/>
      <c r="AM4528" s="85" t="e">
        <f>(AM4521/(N_1*AM$27))*SQRT('Valve Sizing'!$G$6/AM4526)</f>
        <v>#NUM!</v>
      </c>
      <c r="AN4528" s="44"/>
      <c r="AO4528" s="72"/>
      <c r="AP4528" s="85" t="e">
        <f>(AP4521/(N_1*AP$27))*SQRT('Valve Sizing'!$G$6/AP4526)</f>
        <v>#NUM!</v>
      </c>
      <c r="AQ4528" s="44"/>
      <c r="AR4528" s="72"/>
      <c r="AS4528" s="85" t="e">
        <f>(AS4521/(N_1*AS$27))*SQRT('Valve Sizing'!$G$6/AS4526)</f>
        <v>#NUM!</v>
      </c>
      <c r="AT4528" s="44"/>
      <c r="AU4528" s="72"/>
    </row>
    <row r="4529" spans="15:47" x14ac:dyDescent="0.25">
      <c r="O4529" s="1" t="s">
        <v>246</v>
      </c>
      <c r="P4529" s="18"/>
      <c r="Q4529" s="65"/>
      <c r="R4529" s="53" t="e">
        <f>IF(R4525&lt;R4526,R4527,R4528)</f>
        <v>#NUM!</v>
      </c>
      <c r="S4529" s="49"/>
      <c r="T4529" s="72"/>
      <c r="U4529" s="64" t="e">
        <f>IF(U4525&lt;U4526,U4527,U4528)</f>
        <v>#NUM!</v>
      </c>
      <c r="V4529" s="44"/>
      <c r="W4529" s="72"/>
      <c r="X4529" s="64" t="e">
        <f>IF(X4525&lt;X4526,X4527,X4528)</f>
        <v>#NUM!</v>
      </c>
      <c r="Y4529" s="44"/>
      <c r="Z4529" s="72"/>
      <c r="AA4529" s="64" t="e">
        <f>IF(AA4525&lt;AA4526,AA4527,AA4528)</f>
        <v>#NUM!</v>
      </c>
      <c r="AB4529" s="44"/>
      <c r="AC4529" s="72"/>
      <c r="AD4529" s="64" t="e">
        <f>IF(AD4525&lt;AD4526,AD4527,AD4528)</f>
        <v>#NUM!</v>
      </c>
      <c r="AE4529" s="44"/>
      <c r="AF4529" s="72"/>
      <c r="AG4529" s="64" t="e">
        <f>IF(AG4525&lt;AG4526,AG4527,AG4528)</f>
        <v>#NUM!</v>
      </c>
      <c r="AH4529" s="44"/>
      <c r="AI4529" s="72"/>
      <c r="AJ4529" s="64" t="e">
        <f>IF(AJ4525&lt;AJ4526,AJ4527,AJ4528)</f>
        <v>#NUM!</v>
      </c>
      <c r="AK4529" s="44"/>
      <c r="AL4529" s="72"/>
      <c r="AM4529" s="64" t="e">
        <f>IF(AM4525&lt;AM4526,AM4527,AM4528)</f>
        <v>#NUM!</v>
      </c>
      <c r="AN4529" s="44"/>
      <c r="AO4529" s="72"/>
      <c r="AP4529" s="64" t="e">
        <f>IF(AP4525&lt;AP4526,AP4527,AP4528)</f>
        <v>#NUM!</v>
      </c>
      <c r="AQ4529" s="44"/>
      <c r="AR4529" s="72"/>
      <c r="AS4529" s="64" t="e">
        <f>IF(AS4525&lt;AS4526,AS4527,AS4528)</f>
        <v>#NUM!</v>
      </c>
      <c r="AT4529" s="44"/>
      <c r="AU4529" s="72"/>
    </row>
    <row r="4530" spans="15:47" ht="13" x14ac:dyDescent="0.3">
      <c r="O4530" s="7" t="s">
        <v>264</v>
      </c>
      <c r="Q4530" s="61"/>
      <c r="R4530" s="53"/>
      <c r="S4530" s="69">
        <f>IFERROR(ABS(C_h-R4529),Q_max*10)</f>
        <v>5500</v>
      </c>
      <c r="T4530" s="76">
        <f>R4521</f>
        <v>2582.0227581595159</v>
      </c>
      <c r="U4530" s="61"/>
      <c r="V4530" s="69">
        <f>IFERROR(ABS(U$23-U4529),Q_max*10)</f>
        <v>5500</v>
      </c>
      <c r="W4530" s="75">
        <f>U4521</f>
        <v>1637.7266171564797</v>
      </c>
      <c r="X4530" s="61"/>
      <c r="Y4530" s="69">
        <f>IFERROR(ABS(X$23-X4529),Q_max*10)</f>
        <v>5500</v>
      </c>
      <c r="Z4530" s="75">
        <f>X4521</f>
        <v>3931.1743034122924</v>
      </c>
      <c r="AA4530" s="61"/>
      <c r="AB4530" s="69">
        <f>IFERROR(ABS(AA$23-AA4529),Q_max*10)</f>
        <v>5500</v>
      </c>
      <c r="AC4530" s="75">
        <f>AA4521</f>
        <v>7506.052474107576</v>
      </c>
      <c r="AD4530" s="61"/>
      <c r="AE4530" s="69">
        <f>IFERROR(ABS(AD$23-AD4529),Q_max*10)</f>
        <v>5500</v>
      </c>
      <c r="AF4530" s="75">
        <f>AD4521</f>
        <v>12344.692755347325</v>
      </c>
      <c r="AG4530" s="61"/>
      <c r="AH4530" s="69">
        <f>IFERROR(ABS(AG$23-AG4529),Q_max*10)</f>
        <v>5500</v>
      </c>
      <c r="AI4530" s="75">
        <f>AG4521</f>
        <v>18379.565345725896</v>
      </c>
      <c r="AJ4530" s="61"/>
      <c r="AK4530" s="69">
        <f>IFERROR(ABS(AJ$23-AJ4529),Q_max*10)</f>
        <v>5500</v>
      </c>
      <c r="AL4530" s="75">
        <f>AJ4521</f>
        <v>24527.601203491995</v>
      </c>
      <c r="AM4530" s="61"/>
      <c r="AN4530" s="69">
        <f>IFERROR(ABS(AM$23-AM4529),Q_max*10)</f>
        <v>5500</v>
      </c>
      <c r="AO4530" s="75">
        <f>AM4521</f>
        <v>29928.334692316697</v>
      </c>
      <c r="AP4530" s="61"/>
      <c r="AQ4530" s="69">
        <f>IFERROR(ABS(AP$23-AP4529),Q_max*10)</f>
        <v>5500</v>
      </c>
      <c r="AR4530" s="75">
        <f>AP4521</f>
        <v>34745.867463702612</v>
      </c>
      <c r="AS4530" s="61"/>
      <c r="AT4530" s="69">
        <f>IFERROR(ABS(AS$23-AS4529),Q_max*10)</f>
        <v>5500</v>
      </c>
      <c r="AU4530" s="75">
        <f>AS4521</f>
        <v>39544.038283265596</v>
      </c>
    </row>
    <row r="4531" spans="15:47" ht="14.5" x14ac:dyDescent="0.35">
      <c r="O4531" s="6"/>
      <c r="P4531" s="6"/>
      <c r="Q4531" s="60"/>
      <c r="R4531" s="67"/>
      <c r="S4531" s="56"/>
      <c r="T4531" s="72"/>
      <c r="V4531" s="11"/>
      <c r="W4531" s="38"/>
      <c r="Y4531" s="11"/>
      <c r="Z4531" s="38"/>
      <c r="AB4531" s="11"/>
      <c r="AC4531" s="38"/>
      <c r="AE4531" s="11"/>
      <c r="AF4531" s="38"/>
      <c r="AH4531" s="11"/>
      <c r="AI4531" s="38"/>
      <c r="AK4531" s="11"/>
      <c r="AL4531" s="38"/>
      <c r="AN4531" s="11"/>
      <c r="AO4531" s="38"/>
      <c r="AQ4531" s="11"/>
      <c r="AR4531" s="38"/>
      <c r="AT4531" s="11"/>
      <c r="AU4531" s="38"/>
    </row>
    <row r="4532" spans="15:47" ht="14" x14ac:dyDescent="0.3">
      <c r="O4532" s="8" t="s">
        <v>235</v>
      </c>
      <c r="P4532" s="6"/>
      <c r="Q4532" s="60"/>
      <c r="R4532" s="53">
        <f>R4521*1.02</f>
        <v>2633.6632133227063</v>
      </c>
      <c r="S4532" s="58" t="s">
        <v>238</v>
      </c>
      <c r="T4532" s="73" t="s">
        <v>241</v>
      </c>
      <c r="U4532" s="84">
        <f>U4521*1.01</f>
        <v>1654.1038833280445</v>
      </c>
      <c r="V4532" s="58" t="s">
        <v>238</v>
      </c>
      <c r="W4532" s="73" t="s">
        <v>241</v>
      </c>
      <c r="X4532" s="84">
        <f>X4521*1.01</f>
        <v>3970.4860464464155</v>
      </c>
      <c r="Y4532" s="58" t="s">
        <v>238</v>
      </c>
      <c r="Z4532" s="73" t="s">
        <v>241</v>
      </c>
      <c r="AA4532" s="84">
        <f>AA4521*1.01</f>
        <v>7581.1129988486518</v>
      </c>
      <c r="AB4532" s="58" t="s">
        <v>238</v>
      </c>
      <c r="AC4532" s="73" t="s">
        <v>241</v>
      </c>
      <c r="AD4532" s="84">
        <f>AD4521*1.01</f>
        <v>12468.139682900799</v>
      </c>
      <c r="AE4532" s="58" t="s">
        <v>238</v>
      </c>
      <c r="AF4532" s="73" t="s">
        <v>241</v>
      </c>
      <c r="AG4532" s="84">
        <f>AG4521*1.01</f>
        <v>18563.360999183154</v>
      </c>
      <c r="AH4532" s="58" t="s">
        <v>238</v>
      </c>
      <c r="AI4532" s="73" t="s">
        <v>241</v>
      </c>
      <c r="AJ4532" s="84">
        <f>AJ4521*1.01</f>
        <v>24772.877215526914</v>
      </c>
      <c r="AK4532" s="58" t="s">
        <v>238</v>
      </c>
      <c r="AL4532" s="73" t="s">
        <v>241</v>
      </c>
      <c r="AM4532" s="84">
        <f>AM4521*1.01</f>
        <v>30227.618039239864</v>
      </c>
      <c r="AN4532" s="58" t="s">
        <v>238</v>
      </c>
      <c r="AO4532" s="73" t="s">
        <v>241</v>
      </c>
      <c r="AP4532" s="84">
        <f>AP4521*1.01</f>
        <v>35093.326138339638</v>
      </c>
      <c r="AQ4532" s="58" t="s">
        <v>238</v>
      </c>
      <c r="AR4532" s="73" t="s">
        <v>241</v>
      </c>
      <c r="AS4532" s="84">
        <f>AS4521*1.01</f>
        <v>39939.47866609825</v>
      </c>
      <c r="AT4532" s="58" t="s">
        <v>238</v>
      </c>
      <c r="AU4532" s="73" t="s">
        <v>241</v>
      </c>
    </row>
    <row r="4533" spans="15:47" ht="13" x14ac:dyDescent="0.25">
      <c r="O4533" s="6"/>
      <c r="P4533" s="6"/>
      <c r="Q4533" s="60"/>
      <c r="R4533" s="70"/>
      <c r="S4533" s="63" t="s">
        <v>250</v>
      </c>
      <c r="T4533" s="71" t="s">
        <v>242</v>
      </c>
      <c r="U4533" s="61"/>
      <c r="V4533" s="63" t="s">
        <v>250</v>
      </c>
      <c r="W4533" s="71" t="s">
        <v>242</v>
      </c>
      <c r="X4533" s="61"/>
      <c r="Y4533" s="63" t="s">
        <v>250</v>
      </c>
      <c r="Z4533" s="71" t="s">
        <v>242</v>
      </c>
      <c r="AA4533" s="61"/>
      <c r="AB4533" s="63" t="s">
        <v>250</v>
      </c>
      <c r="AC4533" s="71" t="s">
        <v>242</v>
      </c>
      <c r="AD4533" s="61"/>
      <c r="AE4533" s="63" t="s">
        <v>250</v>
      </c>
      <c r="AF4533" s="71" t="s">
        <v>242</v>
      </c>
      <c r="AG4533" s="61"/>
      <c r="AH4533" s="63" t="s">
        <v>250</v>
      </c>
      <c r="AI4533" s="71" t="s">
        <v>242</v>
      </c>
      <c r="AJ4533" s="61"/>
      <c r="AK4533" s="63" t="s">
        <v>250</v>
      </c>
      <c r="AL4533" s="71" t="s">
        <v>242</v>
      </c>
      <c r="AM4533" s="61"/>
      <c r="AN4533" s="63" t="s">
        <v>250</v>
      </c>
      <c r="AO4533" s="71" t="s">
        <v>242</v>
      </c>
      <c r="AP4533" s="61"/>
      <c r="AQ4533" s="63" t="s">
        <v>250</v>
      </c>
      <c r="AR4533" s="71" t="s">
        <v>242</v>
      </c>
      <c r="AS4533" s="61"/>
      <c r="AT4533" s="63" t="s">
        <v>250</v>
      </c>
      <c r="AU4533" s="71" t="s">
        <v>242</v>
      </c>
    </row>
    <row r="4534" spans="15:47" ht="13" x14ac:dyDescent="0.3">
      <c r="O4534" s="6" t="s">
        <v>231</v>
      </c>
      <c r="P4534" s="6"/>
      <c r="Q4534" s="60"/>
      <c r="R4534" s="85">
        <f>P_1_minQ-(R4532^2*R_up)+dpup_minQ</f>
        <v>-177.33518815296466</v>
      </c>
      <c r="S4534" s="56"/>
      <c r="T4534" s="72"/>
      <c r="U4534" s="53">
        <f>P_1_minQ-(U4532^2*R_up)+dpup_minQ</f>
        <v>-35.48708736375945</v>
      </c>
      <c r="V4534" s="44"/>
      <c r="W4534" s="72"/>
      <c r="X4534" s="53">
        <f>P_1_minQ-(X4532^2*R_up)+dpup_minQ</f>
        <v>-475.49721192251565</v>
      </c>
      <c r="Y4534" s="44"/>
      <c r="Z4534" s="72"/>
      <c r="AA4534" s="53">
        <f>P_1_minQ-(AA4532^2*R_up)+dpup_minQ</f>
        <v>-1884.0927828879433</v>
      </c>
      <c r="AB4534" s="44"/>
      <c r="AC4534" s="72"/>
      <c r="AD4534" s="53">
        <f>P_1_minQ-(AD4532^2*R_up)+dpup_minQ</f>
        <v>-5193.1516431045475</v>
      </c>
      <c r="AE4534" s="44"/>
      <c r="AF4534" s="72"/>
      <c r="AG4534" s="53">
        <f>P_1_minQ-(AG4532^2*R_up)+dpup_minQ</f>
        <v>-11580.989009996427</v>
      </c>
      <c r="AH4534" s="44"/>
      <c r="AI4534" s="72"/>
      <c r="AJ4534" s="53">
        <f>P_1_minQ-(AJ4532^2*R_up)+dpup_minQ</f>
        <v>-20669.0360869832</v>
      </c>
      <c r="AK4534" s="44"/>
      <c r="AL4534" s="72"/>
      <c r="AM4534" s="53">
        <f>P_1_minQ-(AM4532^2*R_up)+dpup_minQ</f>
        <v>-30801.202476399165</v>
      </c>
      <c r="AN4534" s="44"/>
      <c r="AO4534" s="72"/>
      <c r="AP4534" s="53">
        <f>P_1_minQ-(AP4532^2*R_up)+dpup_minQ</f>
        <v>-41535.165567439115</v>
      </c>
      <c r="AQ4534" s="44"/>
      <c r="AR4534" s="72"/>
      <c r="AS4534" s="53">
        <f>P_1_minQ-(AS4532^2*R_up)+dpup_minQ</f>
        <v>-53815.490345144121</v>
      </c>
      <c r="AT4534" s="44"/>
      <c r="AU4534" s="72"/>
    </row>
    <row r="4535" spans="15:47" ht="13" x14ac:dyDescent="0.3">
      <c r="O4535" s="6" t="s">
        <v>233</v>
      </c>
      <c r="P4535" s="6"/>
      <c r="Q4535" s="60"/>
      <c r="R4535" s="85">
        <f>P_2_minQ+(R4532^2*R_dn)-dpdn_minQ</f>
        <v>71.507037630592919</v>
      </c>
      <c r="S4535" s="66"/>
      <c r="T4535" s="74"/>
      <c r="U4535" s="53">
        <f>P_2_minQ+(U4532^2*R_dn)-dpdn_minQ</f>
        <v>43.137417472751892</v>
      </c>
      <c r="V4535" s="45"/>
      <c r="W4535" s="74"/>
      <c r="X4535" s="53">
        <f>P_2_minQ+(X4532^2*R_dn)-dpdn_minQ</f>
        <v>131.1394423845031</v>
      </c>
      <c r="Y4535" s="45"/>
      <c r="Z4535" s="74"/>
      <c r="AA4535" s="53">
        <f>P_2_minQ+(AA4532^2*R_dn)-dpdn_minQ</f>
        <v>412.85855657758862</v>
      </c>
      <c r="AB4535" s="45"/>
      <c r="AC4535" s="74"/>
      <c r="AD4535" s="53">
        <f>P_2_minQ+(AD4532^2*R_dn)-dpdn_minQ</f>
        <v>1074.6703286209095</v>
      </c>
      <c r="AE4535" s="45"/>
      <c r="AF4535" s="74"/>
      <c r="AG4535" s="53">
        <f>P_2_minQ+(AG4532^2*R_dn)-dpdn_minQ</f>
        <v>2352.2378019992852</v>
      </c>
      <c r="AH4535" s="45"/>
      <c r="AI4535" s="74"/>
      <c r="AJ4535" s="53">
        <f>P_2_minQ+(AJ4532^2*R_dn)-dpdn_minQ</f>
        <v>4169.8472173966393</v>
      </c>
      <c r="AK4535" s="45"/>
      <c r="AL4535" s="74"/>
      <c r="AM4535" s="53">
        <f>P_2_minQ+(AM4532^2*R_dn)-dpdn_minQ</f>
        <v>6196.2804952798324</v>
      </c>
      <c r="AN4535" s="45"/>
      <c r="AO4535" s="74"/>
      <c r="AP4535" s="53">
        <f>P_2_minQ+(AP4532^2*R_dn)-dpdn_minQ</f>
        <v>8343.0731134878224</v>
      </c>
      <c r="AQ4535" s="45"/>
      <c r="AR4535" s="74"/>
      <c r="AS4535" s="53">
        <f>P_2_minQ+(AS4532^2*R_dn)-dpdn_minQ</f>
        <v>10799.138069028824</v>
      </c>
      <c r="AT4535" s="45"/>
      <c r="AU4535" s="74"/>
    </row>
    <row r="4536" spans="15:47" x14ac:dyDescent="0.25">
      <c r="O4536" s="6" t="s">
        <v>243</v>
      </c>
      <c r="Q4536" s="60"/>
      <c r="R4536" s="53">
        <f>R4534-R4535</f>
        <v>-248.84222578355758</v>
      </c>
      <c r="S4536" s="56"/>
      <c r="T4536" s="72"/>
      <c r="U4536" s="64">
        <f>U4534-U4535</f>
        <v>-78.624504836511335</v>
      </c>
      <c r="V4536" s="44"/>
      <c r="W4536" s="72"/>
      <c r="X4536" s="64">
        <f>X4534-X4535</f>
        <v>-606.63665430701872</v>
      </c>
      <c r="Y4536" s="44"/>
      <c r="Z4536" s="72"/>
      <c r="AA4536" s="64">
        <f>AA4534-AA4535</f>
        <v>-2296.9513394655319</v>
      </c>
      <c r="AB4536" s="44"/>
      <c r="AC4536" s="72"/>
      <c r="AD4536" s="64">
        <f>AD4534-AD4535</f>
        <v>-6267.8219717254569</v>
      </c>
      <c r="AE4536" s="44"/>
      <c r="AF4536" s="72"/>
      <c r="AG4536" s="64">
        <f>AG4534-AG4535</f>
        <v>-13933.226811995712</v>
      </c>
      <c r="AH4536" s="44"/>
      <c r="AI4536" s="72"/>
      <c r="AJ4536" s="64">
        <f>AJ4534-AJ4535</f>
        <v>-24838.88330437984</v>
      </c>
      <c r="AK4536" s="44"/>
      <c r="AL4536" s="72"/>
      <c r="AM4536" s="64">
        <f>AM4534-AM4535</f>
        <v>-36997.482971678997</v>
      </c>
      <c r="AN4536" s="44"/>
      <c r="AO4536" s="72"/>
      <c r="AP4536" s="64">
        <f>AP4534-AP4535</f>
        <v>-49878.238680926937</v>
      </c>
      <c r="AQ4536" s="44"/>
      <c r="AR4536" s="72"/>
      <c r="AS4536" s="64">
        <f>AS4534-AS4535</f>
        <v>-64614.628414172941</v>
      </c>
      <c r="AT4536" s="44"/>
      <c r="AU4536" s="72"/>
    </row>
    <row r="4537" spans="15:47" ht="13" x14ac:dyDescent="0.3">
      <c r="O4537" s="6" t="s">
        <v>75</v>
      </c>
      <c r="P4537" s="6">
        <v>3</v>
      </c>
      <c r="Q4537" s="65"/>
      <c r="R4537" s="85">
        <f>(F_LP_h/F_P_h)^2*(R4534-('Valve Sizing'!$V$4*'Valve Sizing'!$G$7))</f>
        <v>-147.20723495230652</v>
      </c>
      <c r="S4537" s="58"/>
      <c r="T4537" s="73"/>
      <c r="U4537" s="53">
        <f>(U$29/U$27)^2*(U4534-('Valve Sizing'!$V$4*'Valve Sizing'!$G$7))</f>
        <v>-29.741453399148508</v>
      </c>
      <c r="V4537" s="41"/>
      <c r="W4537" s="73"/>
      <c r="X4537" s="53">
        <f>(X$29/X$27)^2*(X4534-('Valve Sizing'!$V$4*'Valve Sizing'!$G$7))</f>
        <v>-385.10633835329753</v>
      </c>
      <c r="Y4537" s="41"/>
      <c r="Z4537" s="73"/>
      <c r="AA4537" s="53">
        <f>(AA$29/AA$27)^2*(AA4534-('Valve Sizing'!$V$4*'Valve Sizing'!$G$7))</f>
        <v>-1456.3617427314921</v>
      </c>
      <c r="AB4537" s="41"/>
      <c r="AC4537" s="73"/>
      <c r="AD4537" s="53">
        <f>(AD$29/AD$27)^2*(AD4534-('Valve Sizing'!$V$4*'Valve Sizing'!$G$7))</f>
        <v>-3745.5529326100291</v>
      </c>
      <c r="AE4537" s="41"/>
      <c r="AF4537" s="73"/>
      <c r="AG4537" s="53">
        <f>(AG$29/AG$27)^2*(AG4534-('Valve Sizing'!$V$4*'Valve Sizing'!$G$7))</f>
        <v>-7458.9493370860273</v>
      </c>
      <c r="AH4537" s="41"/>
      <c r="AI4537" s="73"/>
      <c r="AJ4537" s="53">
        <f>(AJ$29/AJ$27)^2*(AJ4534-('Valve Sizing'!$V$4*'Valve Sizing'!$G$7))</f>
        <v>-11954.48783194289</v>
      </c>
      <c r="AK4537" s="41"/>
      <c r="AL4537" s="73"/>
      <c r="AM4537" s="53">
        <f>(AM$29/AM$27)^2*(AM4534-('Valve Sizing'!$V$4*'Valve Sizing'!$G$7))</f>
        <v>-14737.728105385064</v>
      </c>
      <c r="AN4537" s="41"/>
      <c r="AO4537" s="73"/>
      <c r="AP4537" s="53">
        <f>(AP$29/AP$27)^2*(AP4534-('Valve Sizing'!$V$4*'Valve Sizing'!$G$7))</f>
        <v>-16391.064270246094</v>
      </c>
      <c r="AQ4537" s="41"/>
      <c r="AR4537" s="73"/>
      <c r="AS4537" s="53">
        <f>(AS$29/AS$27)^2*(AS4534-('Valve Sizing'!$V$4*'Valve Sizing'!$G$7))</f>
        <v>-20242.366797149993</v>
      </c>
      <c r="AT4537" s="41"/>
      <c r="AU4537" s="73"/>
    </row>
    <row r="4538" spans="15:47" ht="13" x14ac:dyDescent="0.25">
      <c r="O4538" s="1" t="s">
        <v>69</v>
      </c>
      <c r="P4538" s="17">
        <v>7</v>
      </c>
      <c r="Q4538" s="65"/>
      <c r="R4538" s="53" t="e">
        <f>(R4532/(N_1*F_P_h))*SQRT('Valve Sizing'!$G$6/R4536)</f>
        <v>#NUM!</v>
      </c>
      <c r="S4538" s="58"/>
      <c r="T4538" s="73"/>
      <c r="U4538" s="64" t="e">
        <f>(U4532/(N_1*U$27))*SQRT('Valve Sizing'!$G$6/U4536)</f>
        <v>#NUM!</v>
      </c>
      <c r="V4538" s="41"/>
      <c r="W4538" s="73"/>
      <c r="X4538" s="64" t="e">
        <f>(X4532/(N_1*X$27))*SQRT('Valve Sizing'!$G$6/X4536)</f>
        <v>#NUM!</v>
      </c>
      <c r="Y4538" s="41"/>
      <c r="Z4538" s="73"/>
      <c r="AA4538" s="64" t="e">
        <f>(AA4532/(N_1*AA$27))*SQRT('Valve Sizing'!$G$6/AA4536)</f>
        <v>#NUM!</v>
      </c>
      <c r="AB4538" s="41"/>
      <c r="AC4538" s="73"/>
      <c r="AD4538" s="64" t="e">
        <f>(AD4532/(N_1*AD$27))*SQRT('Valve Sizing'!$G$6/AD4536)</f>
        <v>#NUM!</v>
      </c>
      <c r="AE4538" s="41"/>
      <c r="AF4538" s="73"/>
      <c r="AG4538" s="64" t="e">
        <f>(AG4532/(N_1*AG$27))*SQRT('Valve Sizing'!$G$6/AG4536)</f>
        <v>#NUM!</v>
      </c>
      <c r="AH4538" s="41"/>
      <c r="AI4538" s="73"/>
      <c r="AJ4538" s="64" t="e">
        <f>(AJ4532/(N_1*AJ$27))*SQRT('Valve Sizing'!$G$6/AJ4536)</f>
        <v>#NUM!</v>
      </c>
      <c r="AK4538" s="41"/>
      <c r="AL4538" s="73"/>
      <c r="AM4538" s="64" t="e">
        <f>(AM4532/(N_1*AM$27))*SQRT('Valve Sizing'!$G$6/AM4536)</f>
        <v>#NUM!</v>
      </c>
      <c r="AN4538" s="41"/>
      <c r="AO4538" s="73"/>
      <c r="AP4538" s="64" t="e">
        <f>(AP4532/(N_1*AP$27))*SQRT('Valve Sizing'!$G$6/AP4536)</f>
        <v>#NUM!</v>
      </c>
      <c r="AQ4538" s="41"/>
      <c r="AR4538" s="73"/>
      <c r="AS4538" s="64" t="e">
        <f>(AS4532/(N_1*AS$27))*SQRT('Valve Sizing'!$G$6/AS4536)</f>
        <v>#NUM!</v>
      </c>
      <c r="AT4538" s="41"/>
      <c r="AU4538" s="73"/>
    </row>
    <row r="4539" spans="15:47" ht="13" x14ac:dyDescent="0.3">
      <c r="O4539" s="1" t="s">
        <v>72</v>
      </c>
      <c r="P4539" s="17">
        <v>7</v>
      </c>
      <c r="Q4539" s="65"/>
      <c r="R4539" s="53" t="e">
        <f>(R4532/(N_1*F_P_h))*SQRT('Valve Sizing'!$G$6/R4537)</f>
        <v>#NUM!</v>
      </c>
      <c r="S4539" s="56"/>
      <c r="T4539" s="72"/>
      <c r="U4539" s="85" t="e">
        <f>(U4532/(N_1*U$27))*SQRT('Valve Sizing'!$G$6/U4537)</f>
        <v>#NUM!</v>
      </c>
      <c r="V4539" s="44"/>
      <c r="W4539" s="72"/>
      <c r="X4539" s="85" t="e">
        <f>(X4532/(N_1*X$27))*SQRT('Valve Sizing'!$G$6/X4537)</f>
        <v>#NUM!</v>
      </c>
      <c r="Y4539" s="44"/>
      <c r="Z4539" s="72"/>
      <c r="AA4539" s="85" t="e">
        <f>(AA4532/(N_1*AA$27))*SQRT('Valve Sizing'!$G$6/AA4537)</f>
        <v>#NUM!</v>
      </c>
      <c r="AB4539" s="44"/>
      <c r="AC4539" s="72"/>
      <c r="AD4539" s="85" t="e">
        <f>(AD4532/(N_1*AD$27))*SQRT('Valve Sizing'!$G$6/AD4537)</f>
        <v>#NUM!</v>
      </c>
      <c r="AE4539" s="44"/>
      <c r="AF4539" s="72"/>
      <c r="AG4539" s="85" t="e">
        <f>(AG4532/(N_1*AG$27))*SQRT('Valve Sizing'!$G$6/AG4537)</f>
        <v>#NUM!</v>
      </c>
      <c r="AH4539" s="44"/>
      <c r="AI4539" s="72"/>
      <c r="AJ4539" s="85" t="e">
        <f>(AJ4532/(N_1*AJ$27))*SQRT('Valve Sizing'!$G$6/AJ4537)</f>
        <v>#NUM!</v>
      </c>
      <c r="AK4539" s="44"/>
      <c r="AL4539" s="72"/>
      <c r="AM4539" s="85" t="e">
        <f>(AM4532/(N_1*AM$27))*SQRT('Valve Sizing'!$G$6/AM4537)</f>
        <v>#NUM!</v>
      </c>
      <c r="AN4539" s="44"/>
      <c r="AO4539" s="72"/>
      <c r="AP4539" s="85" t="e">
        <f>(AP4532/(N_1*AP$27))*SQRT('Valve Sizing'!$G$6/AP4537)</f>
        <v>#NUM!</v>
      </c>
      <c r="AQ4539" s="44"/>
      <c r="AR4539" s="72"/>
      <c r="AS4539" s="85" t="e">
        <f>(AS4532/(N_1*AS$27))*SQRT('Valve Sizing'!$G$6/AS4537)</f>
        <v>#NUM!</v>
      </c>
      <c r="AT4539" s="44"/>
      <c r="AU4539" s="72"/>
    </row>
    <row r="4540" spans="15:47" x14ac:dyDescent="0.25">
      <c r="O4540" s="1" t="s">
        <v>246</v>
      </c>
      <c r="P4540" s="18"/>
      <c r="Q4540" s="65"/>
      <c r="R4540" s="53" t="e">
        <f>IF(R4536&lt;R4537,R4538,R4539)</f>
        <v>#NUM!</v>
      </c>
      <c r="S4540" s="49"/>
      <c r="T4540" s="72"/>
      <c r="U4540" s="64" t="e">
        <f>IF(U4536&lt;U4537,U4538,U4539)</f>
        <v>#NUM!</v>
      </c>
      <c r="V4540" s="44"/>
      <c r="W4540" s="72"/>
      <c r="X4540" s="64" t="e">
        <f>IF(X4536&lt;X4537,X4538,X4539)</f>
        <v>#NUM!</v>
      </c>
      <c r="Y4540" s="44"/>
      <c r="Z4540" s="72"/>
      <c r="AA4540" s="64" t="e">
        <f>IF(AA4536&lt;AA4537,AA4538,AA4539)</f>
        <v>#NUM!</v>
      </c>
      <c r="AB4540" s="44"/>
      <c r="AC4540" s="72"/>
      <c r="AD4540" s="64" t="e">
        <f>IF(AD4536&lt;AD4537,AD4538,AD4539)</f>
        <v>#NUM!</v>
      </c>
      <c r="AE4540" s="44"/>
      <c r="AF4540" s="72"/>
      <c r="AG4540" s="64" t="e">
        <f>IF(AG4536&lt;AG4537,AG4538,AG4539)</f>
        <v>#NUM!</v>
      </c>
      <c r="AH4540" s="44"/>
      <c r="AI4540" s="72"/>
      <c r="AJ4540" s="64" t="e">
        <f>IF(AJ4536&lt;AJ4537,AJ4538,AJ4539)</f>
        <v>#NUM!</v>
      </c>
      <c r="AK4540" s="44"/>
      <c r="AL4540" s="72"/>
      <c r="AM4540" s="64" t="e">
        <f>IF(AM4536&lt;AM4537,AM4538,AM4539)</f>
        <v>#NUM!</v>
      </c>
      <c r="AN4540" s="44"/>
      <c r="AO4540" s="72"/>
      <c r="AP4540" s="64" t="e">
        <f>IF(AP4536&lt;AP4537,AP4538,AP4539)</f>
        <v>#NUM!</v>
      </c>
      <c r="AQ4540" s="44"/>
      <c r="AR4540" s="72"/>
      <c r="AS4540" s="64" t="e">
        <f>IF(AS4536&lt;AS4537,AS4538,AS4539)</f>
        <v>#NUM!</v>
      </c>
      <c r="AT4540" s="44"/>
      <c r="AU4540" s="72"/>
    </row>
    <row r="4541" spans="15:47" ht="13" x14ac:dyDescent="0.3">
      <c r="O4541" s="7" t="s">
        <v>264</v>
      </c>
      <c r="Q4541" s="61"/>
      <c r="R4541" s="53"/>
      <c r="S4541" s="69">
        <f>IFERROR(ABS(C_h-R4540),Q_max*10)</f>
        <v>5500</v>
      </c>
      <c r="T4541" s="76">
        <f>R4532</f>
        <v>2633.6632133227063</v>
      </c>
      <c r="U4541" s="61"/>
      <c r="V4541" s="69">
        <f>IFERROR(ABS(U$23-U4540),Q_max*10)</f>
        <v>5500</v>
      </c>
      <c r="W4541" s="75">
        <f>U4532</f>
        <v>1654.1038833280445</v>
      </c>
      <c r="X4541" s="61"/>
      <c r="Y4541" s="69">
        <f>IFERROR(ABS(X$23-X4540),Q_max*10)</f>
        <v>5500</v>
      </c>
      <c r="Z4541" s="75">
        <f>X4532</f>
        <v>3970.4860464464155</v>
      </c>
      <c r="AA4541" s="61"/>
      <c r="AB4541" s="69">
        <f>IFERROR(ABS(AA$23-AA4540),Q_max*10)</f>
        <v>5500</v>
      </c>
      <c r="AC4541" s="75">
        <f>AA4532</f>
        <v>7581.1129988486518</v>
      </c>
      <c r="AD4541" s="61"/>
      <c r="AE4541" s="69">
        <f>IFERROR(ABS(AD$23-AD4540),Q_max*10)</f>
        <v>5500</v>
      </c>
      <c r="AF4541" s="75">
        <f>AD4532</f>
        <v>12468.139682900799</v>
      </c>
      <c r="AG4541" s="61"/>
      <c r="AH4541" s="69">
        <f>IFERROR(ABS(AG$23-AG4540),Q_max*10)</f>
        <v>5500</v>
      </c>
      <c r="AI4541" s="75">
        <f>AG4532</f>
        <v>18563.360999183154</v>
      </c>
      <c r="AJ4541" s="61"/>
      <c r="AK4541" s="69">
        <f>IFERROR(ABS(AJ$23-AJ4540),Q_max*10)</f>
        <v>5500</v>
      </c>
      <c r="AL4541" s="75">
        <f>AJ4532</f>
        <v>24772.877215526914</v>
      </c>
      <c r="AM4541" s="61"/>
      <c r="AN4541" s="69">
        <f>IFERROR(ABS(AM$23-AM4540),Q_max*10)</f>
        <v>5500</v>
      </c>
      <c r="AO4541" s="75">
        <f>AM4532</f>
        <v>30227.618039239864</v>
      </c>
      <c r="AP4541" s="61"/>
      <c r="AQ4541" s="69">
        <f>IFERROR(ABS(AP$23-AP4540),Q_max*10)</f>
        <v>5500</v>
      </c>
      <c r="AR4541" s="75">
        <f>AP4532</f>
        <v>35093.326138339638</v>
      </c>
      <c r="AS4541" s="61"/>
      <c r="AT4541" s="69">
        <f>IFERROR(ABS(AS$23-AS4540),Q_max*10)</f>
        <v>5500</v>
      </c>
      <c r="AU4541" s="75">
        <f>AS4532</f>
        <v>39939.47866609825</v>
      </c>
    </row>
    <row r="4542" spans="15:47" ht="14.5" x14ac:dyDescent="0.35">
      <c r="O4542" s="6"/>
      <c r="P4542" s="6"/>
      <c r="Q4542" s="60"/>
      <c r="R4542" s="67"/>
      <c r="S4542" s="58"/>
      <c r="T4542" s="73"/>
      <c r="V4542" s="11"/>
      <c r="W4542" s="38"/>
      <c r="Y4542" s="11"/>
      <c r="Z4542" s="38"/>
      <c r="AB4542" s="11"/>
      <c r="AC4542" s="38"/>
      <c r="AE4542" s="11"/>
      <c r="AF4542" s="38"/>
      <c r="AH4542" s="11"/>
      <c r="AI4542" s="38"/>
      <c r="AK4542" s="11"/>
      <c r="AL4542" s="38"/>
      <c r="AN4542" s="11"/>
      <c r="AO4542" s="38"/>
      <c r="AQ4542" s="11"/>
      <c r="AR4542" s="38"/>
      <c r="AT4542" s="11"/>
      <c r="AU4542" s="38"/>
    </row>
    <row r="4543" spans="15:47" ht="14" x14ac:dyDescent="0.3">
      <c r="O4543" s="8" t="s">
        <v>235</v>
      </c>
      <c r="P4543" s="6"/>
      <c r="Q4543" s="60"/>
      <c r="R4543" s="53">
        <f>R4532*1.02</f>
        <v>2686.3364775891605</v>
      </c>
      <c r="S4543" s="58" t="s">
        <v>238</v>
      </c>
      <c r="T4543" s="73" t="s">
        <v>241</v>
      </c>
      <c r="U4543" s="84">
        <f>U4532*1.01</f>
        <v>1670.644922161325</v>
      </c>
      <c r="V4543" s="58" t="s">
        <v>238</v>
      </c>
      <c r="W4543" s="73" t="s">
        <v>241</v>
      </c>
      <c r="X4543" s="84">
        <f>X4532*1.01</f>
        <v>4010.1909069108797</v>
      </c>
      <c r="Y4543" s="58" t="s">
        <v>238</v>
      </c>
      <c r="Z4543" s="73" t="s">
        <v>241</v>
      </c>
      <c r="AA4543" s="84">
        <f>AA4532*1.01</f>
        <v>7656.9241288371386</v>
      </c>
      <c r="AB4543" s="58" t="s">
        <v>238</v>
      </c>
      <c r="AC4543" s="73" t="s">
        <v>241</v>
      </c>
      <c r="AD4543" s="84">
        <f>AD4532*1.01</f>
        <v>12592.821079729807</v>
      </c>
      <c r="AE4543" s="58" t="s">
        <v>238</v>
      </c>
      <c r="AF4543" s="73" t="s">
        <v>241</v>
      </c>
      <c r="AG4543" s="84">
        <f>AG4532*1.01</f>
        <v>18748.994609174988</v>
      </c>
      <c r="AH4543" s="58" t="s">
        <v>238</v>
      </c>
      <c r="AI4543" s="73" t="s">
        <v>241</v>
      </c>
      <c r="AJ4543" s="84">
        <f>AJ4532*1.01</f>
        <v>25020.605987682186</v>
      </c>
      <c r="AK4543" s="58" t="s">
        <v>238</v>
      </c>
      <c r="AL4543" s="73" t="s">
        <v>241</v>
      </c>
      <c r="AM4543" s="84">
        <f>AM4532*1.01</f>
        <v>30529.894219632264</v>
      </c>
      <c r="AN4543" s="58" t="s">
        <v>238</v>
      </c>
      <c r="AO4543" s="73" t="s">
        <v>241</v>
      </c>
      <c r="AP4543" s="84">
        <f>AP4532*1.01</f>
        <v>35444.259399723036</v>
      </c>
      <c r="AQ4543" s="58" t="s">
        <v>238</v>
      </c>
      <c r="AR4543" s="73" t="s">
        <v>241</v>
      </c>
      <c r="AS4543" s="84">
        <f>AS4532*1.01</f>
        <v>40338.873452759231</v>
      </c>
      <c r="AT4543" s="58" t="s">
        <v>238</v>
      </c>
      <c r="AU4543" s="73" t="s">
        <v>241</v>
      </c>
    </row>
    <row r="4544" spans="15:47" ht="13" x14ac:dyDescent="0.25">
      <c r="O4544" s="6"/>
      <c r="P4544" s="6"/>
      <c r="Q4544" s="60"/>
      <c r="R4544" s="70"/>
      <c r="S4544" s="63" t="s">
        <v>250</v>
      </c>
      <c r="T4544" s="71" t="s">
        <v>242</v>
      </c>
      <c r="U4544" s="61"/>
      <c r="V4544" s="63" t="s">
        <v>250</v>
      </c>
      <c r="W4544" s="71" t="s">
        <v>242</v>
      </c>
      <c r="X4544" s="61"/>
      <c r="Y4544" s="63" t="s">
        <v>250</v>
      </c>
      <c r="Z4544" s="71" t="s">
        <v>242</v>
      </c>
      <c r="AA4544" s="61"/>
      <c r="AB4544" s="63" t="s">
        <v>250</v>
      </c>
      <c r="AC4544" s="71" t="s">
        <v>242</v>
      </c>
      <c r="AD4544" s="61"/>
      <c r="AE4544" s="63" t="s">
        <v>250</v>
      </c>
      <c r="AF4544" s="71" t="s">
        <v>242</v>
      </c>
      <c r="AG4544" s="61"/>
      <c r="AH4544" s="63" t="s">
        <v>250</v>
      </c>
      <c r="AI4544" s="71" t="s">
        <v>242</v>
      </c>
      <c r="AJ4544" s="61"/>
      <c r="AK4544" s="63" t="s">
        <v>250</v>
      </c>
      <c r="AL4544" s="71" t="s">
        <v>242</v>
      </c>
      <c r="AM4544" s="61"/>
      <c r="AN4544" s="63" t="s">
        <v>250</v>
      </c>
      <c r="AO4544" s="71" t="s">
        <v>242</v>
      </c>
      <c r="AP4544" s="61"/>
      <c r="AQ4544" s="63" t="s">
        <v>250</v>
      </c>
      <c r="AR4544" s="71" t="s">
        <v>242</v>
      </c>
      <c r="AS4544" s="61"/>
      <c r="AT4544" s="63" t="s">
        <v>250</v>
      </c>
      <c r="AU4544" s="71" t="s">
        <v>242</v>
      </c>
    </row>
    <row r="4545" spans="15:47" ht="13" x14ac:dyDescent="0.3">
      <c r="O4545" s="6" t="s">
        <v>231</v>
      </c>
      <c r="P4545" s="6"/>
      <c r="Q4545" s="60"/>
      <c r="R4545" s="85">
        <f>P_1_minQ-(R4543^2*R_up)+dpup_minQ</f>
        <v>-186.79894193941706</v>
      </c>
      <c r="S4545" s="56"/>
      <c r="T4545" s="72"/>
      <c r="U4545" s="53">
        <f>P_1_minQ-(U4543^2*R_up)+dpup_minQ</f>
        <v>-37.344392297987831</v>
      </c>
      <c r="V4545" s="44"/>
      <c r="W4545" s="72"/>
      <c r="X4545" s="53">
        <f>P_1_minQ-(X4543^2*R_up)+dpup_minQ</f>
        <v>-486.19872036037503</v>
      </c>
      <c r="Y4545" s="44"/>
      <c r="Z4545" s="72"/>
      <c r="AA4545" s="53">
        <f>P_1_minQ-(AA4543^2*R_up)+dpup_minQ</f>
        <v>-1923.1070623022079</v>
      </c>
      <c r="AB4545" s="44"/>
      <c r="AC4545" s="72"/>
      <c r="AD4545" s="53">
        <f>P_1_minQ-(AD4543^2*R_up)+dpup_minQ</f>
        <v>-5298.6780056091657</v>
      </c>
      <c r="AE4545" s="44"/>
      <c r="AF4545" s="72"/>
      <c r="AG4545" s="53">
        <f>P_1_minQ-(AG4543^2*R_up)+dpup_minQ</f>
        <v>-11814.910903575576</v>
      </c>
      <c r="AH4545" s="44"/>
      <c r="AI4545" s="72"/>
      <c r="AJ4545" s="53">
        <f>P_1_minQ-(AJ4543^2*R_up)+dpup_minQ</f>
        <v>-21085.627726809784</v>
      </c>
      <c r="AK4545" s="44"/>
      <c r="AL4545" s="72"/>
      <c r="AM4545" s="53">
        <f>P_1_minQ-(AM4543^2*R_up)+dpup_minQ</f>
        <v>-31421.450660653009</v>
      </c>
      <c r="AN4545" s="44"/>
      <c r="AO4545" s="72"/>
      <c r="AP4545" s="53">
        <f>P_1_minQ-(AP4543^2*R_up)+dpup_minQ</f>
        <v>-42371.166409822858</v>
      </c>
      <c r="AQ4545" s="44"/>
      <c r="AR4545" s="72"/>
      <c r="AS4545" s="53">
        <f>P_1_minQ-(AS4543^2*R_up)+dpup_minQ</f>
        <v>-54898.325715559724</v>
      </c>
      <c r="AT4545" s="44"/>
      <c r="AU4545" s="72"/>
    </row>
    <row r="4546" spans="15:47" ht="13" x14ac:dyDescent="0.3">
      <c r="O4546" s="6" t="s">
        <v>233</v>
      </c>
      <c r="P4546" s="6"/>
      <c r="Q4546" s="60"/>
      <c r="R4546" s="85">
        <f>P_2_minQ+(R4543^2*R_dn)-dpdn_minQ</f>
        <v>73.399788387883405</v>
      </c>
      <c r="S4546" s="66"/>
      <c r="T4546" s="74"/>
      <c r="U4546" s="53">
        <f>P_2_minQ+(U4543^2*R_dn)-dpdn_minQ</f>
        <v>43.508878459597568</v>
      </c>
      <c r="V4546" s="45"/>
      <c r="W4546" s="74"/>
      <c r="X4546" s="53">
        <f>P_2_minQ+(X4543^2*R_dn)-dpdn_minQ</f>
        <v>133.279744072075</v>
      </c>
      <c r="Y4546" s="45"/>
      <c r="Z4546" s="74"/>
      <c r="AA4546" s="53">
        <f>P_2_minQ+(AA4543^2*R_dn)-dpdn_minQ</f>
        <v>420.66141246044151</v>
      </c>
      <c r="AB4546" s="45"/>
      <c r="AC4546" s="74"/>
      <c r="AD4546" s="53">
        <f>P_2_minQ+(AD4543^2*R_dn)-dpdn_minQ</f>
        <v>1095.775601121833</v>
      </c>
      <c r="AE4546" s="45"/>
      <c r="AF4546" s="74"/>
      <c r="AG4546" s="53">
        <f>P_2_minQ+(AG4543^2*R_dn)-dpdn_minQ</f>
        <v>2399.0221807151147</v>
      </c>
      <c r="AH4546" s="45"/>
      <c r="AI4546" s="74"/>
      <c r="AJ4546" s="53">
        <f>P_2_minQ+(AJ4543^2*R_dn)-dpdn_minQ</f>
        <v>4253.1655453619569</v>
      </c>
      <c r="AK4546" s="45"/>
      <c r="AL4546" s="74"/>
      <c r="AM4546" s="53">
        <f>P_2_minQ+(AM4543^2*R_dn)-dpdn_minQ</f>
        <v>6320.3301321306008</v>
      </c>
      <c r="AN4546" s="45"/>
      <c r="AO4546" s="74"/>
      <c r="AP4546" s="53">
        <f>P_2_minQ+(AP4543^2*R_dn)-dpdn_minQ</f>
        <v>8510.2732819645717</v>
      </c>
      <c r="AQ4546" s="45"/>
      <c r="AR4546" s="74"/>
      <c r="AS4546" s="53">
        <f>P_2_minQ+(AS4543^2*R_dn)-dpdn_minQ</f>
        <v>11015.705143111945</v>
      </c>
      <c r="AT4546" s="45"/>
      <c r="AU4546" s="74"/>
    </row>
    <row r="4547" spans="15:47" x14ac:dyDescent="0.25">
      <c r="O4547" s="6" t="s">
        <v>243</v>
      </c>
      <c r="Q4547" s="60"/>
      <c r="R4547" s="53">
        <f>R4545-R4546</f>
        <v>-260.1987303273005</v>
      </c>
      <c r="S4547" s="56"/>
      <c r="T4547" s="72"/>
      <c r="U4547" s="64">
        <f>U4545-U4546</f>
        <v>-80.853270757585392</v>
      </c>
      <c r="V4547" s="44"/>
      <c r="W4547" s="72"/>
      <c r="X4547" s="64">
        <f>X4545-X4546</f>
        <v>-619.47846443244998</v>
      </c>
      <c r="Y4547" s="44"/>
      <c r="Z4547" s="72"/>
      <c r="AA4547" s="64">
        <f>AA4545-AA4546</f>
        <v>-2343.7684747626495</v>
      </c>
      <c r="AB4547" s="44"/>
      <c r="AC4547" s="72"/>
      <c r="AD4547" s="64">
        <f>AD4545-AD4546</f>
        <v>-6394.4536067309982</v>
      </c>
      <c r="AE4547" s="44"/>
      <c r="AF4547" s="72"/>
      <c r="AG4547" s="64">
        <f>AG4545-AG4546</f>
        <v>-14213.933084290689</v>
      </c>
      <c r="AH4547" s="44"/>
      <c r="AI4547" s="72"/>
      <c r="AJ4547" s="64">
        <f>AJ4545-AJ4546</f>
        <v>-25338.793272171741</v>
      </c>
      <c r="AK4547" s="44"/>
      <c r="AL4547" s="72"/>
      <c r="AM4547" s="64">
        <f>AM4545-AM4546</f>
        <v>-37741.780792783611</v>
      </c>
      <c r="AN4547" s="44"/>
      <c r="AO4547" s="72"/>
      <c r="AP4547" s="64">
        <f>AP4545-AP4546</f>
        <v>-50881.439691787426</v>
      </c>
      <c r="AQ4547" s="44"/>
      <c r="AR4547" s="72"/>
      <c r="AS4547" s="64">
        <f>AS4545-AS4546</f>
        <v>-65914.030858671671</v>
      </c>
      <c r="AT4547" s="44"/>
      <c r="AU4547" s="72"/>
    </row>
    <row r="4548" spans="15:47" ht="13" x14ac:dyDescent="0.3">
      <c r="O4548" s="6" t="s">
        <v>75</v>
      </c>
      <c r="P4548" s="6">
        <v>3</v>
      </c>
      <c r="Q4548" s="65"/>
      <c r="R4548" s="85">
        <f>(F_LP_h/F_P_h)^2*(R4545-('Valve Sizing'!$V$4*'Valve Sizing'!$G$7))</f>
        <v>-155.0437198393451</v>
      </c>
      <c r="S4548" s="58"/>
      <c r="T4548" s="73"/>
      <c r="U4548" s="53">
        <f>(U$29/U$27)^2*(U4545-('Valve Sizing'!$V$4*'Valve Sizing'!$G$7))</f>
        <v>-31.27898019397329</v>
      </c>
      <c r="V4548" s="41"/>
      <c r="W4548" s="73"/>
      <c r="X4548" s="53">
        <f>(X$29/X$27)^2*(X4545-('Valve Sizing'!$V$4*'Valve Sizing'!$G$7))</f>
        <v>-393.76550205547704</v>
      </c>
      <c r="Y4548" s="41"/>
      <c r="Z4548" s="73"/>
      <c r="AA4548" s="53">
        <f>(AA$29/AA$27)^2*(AA4545-('Valve Sizing'!$V$4*'Valve Sizing'!$G$7))</f>
        <v>-1486.5118694559385</v>
      </c>
      <c r="AB4548" s="41"/>
      <c r="AC4548" s="73"/>
      <c r="AD4548" s="53">
        <f>(AD$29/AD$27)^2*(AD4545-('Valve Sizing'!$V$4*'Valve Sizing'!$G$7))</f>
        <v>-3821.6572163734168</v>
      </c>
      <c r="AE4548" s="41"/>
      <c r="AF4548" s="73"/>
      <c r="AG4548" s="53">
        <f>(AG$29/AG$27)^2*(AG4545-('Valve Sizing'!$V$4*'Valve Sizing'!$G$7))</f>
        <v>-7609.6053176949745</v>
      </c>
      <c r="AH4548" s="41"/>
      <c r="AI4548" s="73"/>
      <c r="AJ4548" s="53">
        <f>(AJ$29/AJ$27)^2*(AJ4545-('Valve Sizing'!$V$4*'Valve Sizing'!$G$7))</f>
        <v>-12195.429578813651</v>
      </c>
      <c r="AK4548" s="41"/>
      <c r="AL4548" s="73"/>
      <c r="AM4548" s="53">
        <f>(AM$29/AM$27)^2*(AM4545-('Valve Sizing'!$V$4*'Valve Sizing'!$G$7))</f>
        <v>-15034.499587207225</v>
      </c>
      <c r="AN4548" s="41"/>
      <c r="AO4548" s="73"/>
      <c r="AP4548" s="53">
        <f>(AP$29/AP$27)^2*(AP4545-('Valve Sizing'!$V$4*'Valve Sizing'!$G$7))</f>
        <v>-16720.972630344939</v>
      </c>
      <c r="AQ4548" s="41"/>
      <c r="AR4548" s="73"/>
      <c r="AS4548" s="53">
        <f>(AS$29/AS$27)^2*(AS4545-('Valve Sizing'!$V$4*'Valve Sizing'!$G$7))</f>
        <v>-20649.665353261822</v>
      </c>
      <c r="AT4548" s="41"/>
      <c r="AU4548" s="73"/>
    </row>
    <row r="4549" spans="15:47" ht="13" x14ac:dyDescent="0.25">
      <c r="O4549" s="1" t="s">
        <v>69</v>
      </c>
      <c r="P4549" s="17">
        <v>7</v>
      </c>
      <c r="Q4549" s="65"/>
      <c r="R4549" s="53" t="e">
        <f>(R4543/(N_1*F_P_h))*SQRT('Valve Sizing'!$G$6/R4547)</f>
        <v>#NUM!</v>
      </c>
      <c r="S4549" s="58"/>
      <c r="T4549" s="73"/>
      <c r="U4549" s="64" t="e">
        <f>(U4543/(N_1*U$27))*SQRT('Valve Sizing'!$G$6/U4547)</f>
        <v>#NUM!</v>
      </c>
      <c r="V4549" s="41"/>
      <c r="W4549" s="73"/>
      <c r="X4549" s="64" t="e">
        <f>(X4543/(N_1*X$27))*SQRT('Valve Sizing'!$G$6/X4547)</f>
        <v>#NUM!</v>
      </c>
      <c r="Y4549" s="41"/>
      <c r="Z4549" s="73"/>
      <c r="AA4549" s="64" t="e">
        <f>(AA4543/(N_1*AA$27))*SQRT('Valve Sizing'!$G$6/AA4547)</f>
        <v>#NUM!</v>
      </c>
      <c r="AB4549" s="41"/>
      <c r="AC4549" s="73"/>
      <c r="AD4549" s="64" t="e">
        <f>(AD4543/(N_1*AD$27))*SQRT('Valve Sizing'!$G$6/AD4547)</f>
        <v>#NUM!</v>
      </c>
      <c r="AE4549" s="41"/>
      <c r="AF4549" s="73"/>
      <c r="AG4549" s="64" t="e">
        <f>(AG4543/(N_1*AG$27))*SQRT('Valve Sizing'!$G$6/AG4547)</f>
        <v>#NUM!</v>
      </c>
      <c r="AH4549" s="41"/>
      <c r="AI4549" s="73"/>
      <c r="AJ4549" s="64" t="e">
        <f>(AJ4543/(N_1*AJ$27))*SQRT('Valve Sizing'!$G$6/AJ4547)</f>
        <v>#NUM!</v>
      </c>
      <c r="AK4549" s="41"/>
      <c r="AL4549" s="73"/>
      <c r="AM4549" s="64" t="e">
        <f>(AM4543/(N_1*AM$27))*SQRT('Valve Sizing'!$G$6/AM4547)</f>
        <v>#NUM!</v>
      </c>
      <c r="AN4549" s="41"/>
      <c r="AO4549" s="73"/>
      <c r="AP4549" s="64" t="e">
        <f>(AP4543/(N_1*AP$27))*SQRT('Valve Sizing'!$G$6/AP4547)</f>
        <v>#NUM!</v>
      </c>
      <c r="AQ4549" s="41"/>
      <c r="AR4549" s="73"/>
      <c r="AS4549" s="64" t="e">
        <f>(AS4543/(N_1*AS$27))*SQRT('Valve Sizing'!$G$6/AS4547)</f>
        <v>#NUM!</v>
      </c>
      <c r="AT4549" s="41"/>
      <c r="AU4549" s="73"/>
    </row>
    <row r="4550" spans="15:47" ht="13" x14ac:dyDescent="0.3">
      <c r="O4550" s="1" t="s">
        <v>72</v>
      </c>
      <c r="P4550" s="17">
        <v>7</v>
      </c>
      <c r="Q4550" s="65"/>
      <c r="R4550" s="53" t="e">
        <f>(R4543/(N_1*F_P_h))*SQRT('Valve Sizing'!$G$6/R4548)</f>
        <v>#NUM!</v>
      </c>
      <c r="S4550" s="56"/>
      <c r="T4550" s="72"/>
      <c r="U4550" s="85" t="e">
        <f>(U4543/(N_1*U$27))*SQRT('Valve Sizing'!$G$6/U4548)</f>
        <v>#NUM!</v>
      </c>
      <c r="V4550" s="44"/>
      <c r="W4550" s="72"/>
      <c r="X4550" s="85" t="e">
        <f>(X4543/(N_1*X$27))*SQRT('Valve Sizing'!$G$6/X4548)</f>
        <v>#NUM!</v>
      </c>
      <c r="Y4550" s="44"/>
      <c r="Z4550" s="72"/>
      <c r="AA4550" s="85" t="e">
        <f>(AA4543/(N_1*AA$27))*SQRT('Valve Sizing'!$G$6/AA4548)</f>
        <v>#NUM!</v>
      </c>
      <c r="AB4550" s="44"/>
      <c r="AC4550" s="72"/>
      <c r="AD4550" s="85" t="e">
        <f>(AD4543/(N_1*AD$27))*SQRT('Valve Sizing'!$G$6/AD4548)</f>
        <v>#NUM!</v>
      </c>
      <c r="AE4550" s="44"/>
      <c r="AF4550" s="72"/>
      <c r="AG4550" s="85" t="e">
        <f>(AG4543/(N_1*AG$27))*SQRT('Valve Sizing'!$G$6/AG4548)</f>
        <v>#NUM!</v>
      </c>
      <c r="AH4550" s="44"/>
      <c r="AI4550" s="72"/>
      <c r="AJ4550" s="85" t="e">
        <f>(AJ4543/(N_1*AJ$27))*SQRT('Valve Sizing'!$G$6/AJ4548)</f>
        <v>#NUM!</v>
      </c>
      <c r="AK4550" s="44"/>
      <c r="AL4550" s="72"/>
      <c r="AM4550" s="85" t="e">
        <f>(AM4543/(N_1*AM$27))*SQRT('Valve Sizing'!$G$6/AM4548)</f>
        <v>#NUM!</v>
      </c>
      <c r="AN4550" s="44"/>
      <c r="AO4550" s="72"/>
      <c r="AP4550" s="85" t="e">
        <f>(AP4543/(N_1*AP$27))*SQRT('Valve Sizing'!$G$6/AP4548)</f>
        <v>#NUM!</v>
      </c>
      <c r="AQ4550" s="44"/>
      <c r="AR4550" s="72"/>
      <c r="AS4550" s="85" t="e">
        <f>(AS4543/(N_1*AS$27))*SQRT('Valve Sizing'!$G$6/AS4548)</f>
        <v>#NUM!</v>
      </c>
      <c r="AT4550" s="44"/>
      <c r="AU4550" s="72"/>
    </row>
    <row r="4551" spans="15:47" x14ac:dyDescent="0.25">
      <c r="O4551" s="1" t="s">
        <v>246</v>
      </c>
      <c r="P4551" s="18"/>
      <c r="Q4551" s="65"/>
      <c r="R4551" s="53" t="e">
        <f>IF(R4547&lt;R4548,R4549,R4550)</f>
        <v>#NUM!</v>
      </c>
      <c r="S4551" s="49"/>
      <c r="T4551" s="72"/>
      <c r="U4551" s="64" t="e">
        <f>IF(U4547&lt;U4548,U4549,U4550)</f>
        <v>#NUM!</v>
      </c>
      <c r="V4551" s="44"/>
      <c r="W4551" s="72"/>
      <c r="X4551" s="64" t="e">
        <f>IF(X4547&lt;X4548,X4549,X4550)</f>
        <v>#NUM!</v>
      </c>
      <c r="Y4551" s="44"/>
      <c r="Z4551" s="72"/>
      <c r="AA4551" s="64" t="e">
        <f>IF(AA4547&lt;AA4548,AA4549,AA4550)</f>
        <v>#NUM!</v>
      </c>
      <c r="AB4551" s="44"/>
      <c r="AC4551" s="72"/>
      <c r="AD4551" s="64" t="e">
        <f>IF(AD4547&lt;AD4548,AD4549,AD4550)</f>
        <v>#NUM!</v>
      </c>
      <c r="AE4551" s="44"/>
      <c r="AF4551" s="72"/>
      <c r="AG4551" s="64" t="e">
        <f>IF(AG4547&lt;AG4548,AG4549,AG4550)</f>
        <v>#NUM!</v>
      </c>
      <c r="AH4551" s="44"/>
      <c r="AI4551" s="72"/>
      <c r="AJ4551" s="64" t="e">
        <f>IF(AJ4547&lt;AJ4548,AJ4549,AJ4550)</f>
        <v>#NUM!</v>
      </c>
      <c r="AK4551" s="44"/>
      <c r="AL4551" s="72"/>
      <c r="AM4551" s="64" t="e">
        <f>IF(AM4547&lt;AM4548,AM4549,AM4550)</f>
        <v>#NUM!</v>
      </c>
      <c r="AN4551" s="44"/>
      <c r="AO4551" s="72"/>
      <c r="AP4551" s="64" t="e">
        <f>IF(AP4547&lt;AP4548,AP4549,AP4550)</f>
        <v>#NUM!</v>
      </c>
      <c r="AQ4551" s="44"/>
      <c r="AR4551" s="72"/>
      <c r="AS4551" s="64" t="e">
        <f>IF(AS4547&lt;AS4548,AS4549,AS4550)</f>
        <v>#NUM!</v>
      </c>
      <c r="AT4551" s="44"/>
      <c r="AU4551" s="72"/>
    </row>
    <row r="4552" spans="15:47" ht="13" x14ac:dyDescent="0.3">
      <c r="O4552" s="7" t="s">
        <v>264</v>
      </c>
      <c r="Q4552" s="61"/>
      <c r="R4552" s="53"/>
      <c r="S4552" s="69">
        <f>IFERROR(ABS(C_h-R4551),Q_max*10)</f>
        <v>5500</v>
      </c>
      <c r="T4552" s="76">
        <f>R4543</f>
        <v>2686.3364775891605</v>
      </c>
      <c r="U4552" s="61"/>
      <c r="V4552" s="69">
        <f>IFERROR(ABS(U$23-U4551),Q_max*10)</f>
        <v>5500</v>
      </c>
      <c r="W4552" s="75">
        <f>U4543</f>
        <v>1670.644922161325</v>
      </c>
      <c r="X4552" s="61"/>
      <c r="Y4552" s="69">
        <f>IFERROR(ABS(X$23-X4551),Q_max*10)</f>
        <v>5500</v>
      </c>
      <c r="Z4552" s="75">
        <f>X4543</f>
        <v>4010.1909069108797</v>
      </c>
      <c r="AA4552" s="61"/>
      <c r="AB4552" s="69">
        <f>IFERROR(ABS(AA$23-AA4551),Q_max*10)</f>
        <v>5500</v>
      </c>
      <c r="AC4552" s="75">
        <f>AA4543</f>
        <v>7656.9241288371386</v>
      </c>
      <c r="AD4552" s="61"/>
      <c r="AE4552" s="69">
        <f>IFERROR(ABS(AD$23-AD4551),Q_max*10)</f>
        <v>5500</v>
      </c>
      <c r="AF4552" s="75">
        <f>AD4543</f>
        <v>12592.821079729807</v>
      </c>
      <c r="AG4552" s="61"/>
      <c r="AH4552" s="69">
        <f>IFERROR(ABS(AG$23-AG4551),Q_max*10)</f>
        <v>5500</v>
      </c>
      <c r="AI4552" s="75">
        <f>AG4543</f>
        <v>18748.994609174988</v>
      </c>
      <c r="AJ4552" s="61"/>
      <c r="AK4552" s="69">
        <f>IFERROR(ABS(AJ$23-AJ4551),Q_max*10)</f>
        <v>5500</v>
      </c>
      <c r="AL4552" s="75">
        <f>AJ4543</f>
        <v>25020.605987682186</v>
      </c>
      <c r="AM4552" s="61"/>
      <c r="AN4552" s="69">
        <f>IFERROR(ABS(AM$23-AM4551),Q_max*10)</f>
        <v>5500</v>
      </c>
      <c r="AO4552" s="75">
        <f>AM4543</f>
        <v>30529.894219632264</v>
      </c>
      <c r="AP4552" s="61"/>
      <c r="AQ4552" s="69">
        <f>IFERROR(ABS(AP$23-AP4551),Q_max*10)</f>
        <v>5500</v>
      </c>
      <c r="AR4552" s="75">
        <f>AP4543</f>
        <v>35444.259399723036</v>
      </c>
      <c r="AS4552" s="61"/>
      <c r="AT4552" s="69">
        <f>IFERROR(ABS(AS$23-AS4551),Q_max*10)</f>
        <v>5500</v>
      </c>
      <c r="AU4552" s="75">
        <f>AS4543</f>
        <v>40338.873452759231</v>
      </c>
    </row>
    <row r="4553" spans="15:47" ht="14.5" x14ac:dyDescent="0.35">
      <c r="O4553" s="6"/>
      <c r="P4553" s="6"/>
      <c r="Q4553" s="60"/>
      <c r="R4553" s="67"/>
      <c r="S4553" s="56"/>
      <c r="T4553" s="72"/>
      <c r="V4553" s="11"/>
      <c r="W4553" s="38"/>
      <c r="Y4553" s="11"/>
      <c r="Z4553" s="38"/>
      <c r="AB4553" s="11"/>
      <c r="AC4553" s="38"/>
      <c r="AE4553" s="11"/>
      <c r="AF4553" s="38"/>
      <c r="AH4553" s="11"/>
      <c r="AI4553" s="38"/>
      <c r="AK4553" s="11"/>
      <c r="AL4553" s="38"/>
      <c r="AN4553" s="11"/>
      <c r="AO4553" s="38"/>
      <c r="AQ4553" s="11"/>
      <c r="AR4553" s="38"/>
      <c r="AT4553" s="11"/>
      <c r="AU4553" s="38"/>
    </row>
    <row r="4554" spans="15:47" ht="14" x14ac:dyDescent="0.3">
      <c r="O4554" s="8" t="s">
        <v>235</v>
      </c>
      <c r="P4554" s="6"/>
      <c r="Q4554" s="60"/>
      <c r="R4554" s="53">
        <f>R4543*1.02</f>
        <v>2740.0632071409436</v>
      </c>
      <c r="S4554" s="58" t="s">
        <v>238</v>
      </c>
      <c r="T4554" s="73" t="s">
        <v>241</v>
      </c>
      <c r="U4554" s="84">
        <f>U4543*1.01</f>
        <v>1687.3513713829382</v>
      </c>
      <c r="V4554" s="58" t="s">
        <v>238</v>
      </c>
      <c r="W4554" s="73" t="s">
        <v>241</v>
      </c>
      <c r="X4554" s="84">
        <f>X4543*1.01</f>
        <v>4050.2928159799885</v>
      </c>
      <c r="Y4554" s="58" t="s">
        <v>238</v>
      </c>
      <c r="Z4554" s="73" t="s">
        <v>241</v>
      </c>
      <c r="AA4554" s="84">
        <f>AA4543*1.01</f>
        <v>7733.4933701255104</v>
      </c>
      <c r="AB4554" s="58" t="s">
        <v>238</v>
      </c>
      <c r="AC4554" s="73" t="s">
        <v>241</v>
      </c>
      <c r="AD4554" s="84">
        <f>AD4543*1.01</f>
        <v>12718.749290527105</v>
      </c>
      <c r="AE4554" s="58" t="s">
        <v>238</v>
      </c>
      <c r="AF4554" s="73" t="s">
        <v>241</v>
      </c>
      <c r="AG4554" s="84">
        <f>AG4543*1.01</f>
        <v>18936.484555266739</v>
      </c>
      <c r="AH4554" s="58" t="s">
        <v>238</v>
      </c>
      <c r="AI4554" s="73" t="s">
        <v>241</v>
      </c>
      <c r="AJ4554" s="84">
        <f>AJ4543*1.01</f>
        <v>25270.812047559008</v>
      </c>
      <c r="AK4554" s="58" t="s">
        <v>238</v>
      </c>
      <c r="AL4554" s="73" t="s">
        <v>241</v>
      </c>
      <c r="AM4554" s="84">
        <f>AM4543*1.01</f>
        <v>30835.193161828585</v>
      </c>
      <c r="AN4554" s="58" t="s">
        <v>238</v>
      </c>
      <c r="AO4554" s="73" t="s">
        <v>241</v>
      </c>
      <c r="AP4554" s="84">
        <f>AP4543*1.01</f>
        <v>35798.701993720264</v>
      </c>
      <c r="AQ4554" s="58" t="s">
        <v>238</v>
      </c>
      <c r="AR4554" s="73" t="s">
        <v>241</v>
      </c>
      <c r="AS4554" s="84">
        <f>AS4543*1.01</f>
        <v>40742.262187286826</v>
      </c>
      <c r="AT4554" s="58" t="s">
        <v>238</v>
      </c>
      <c r="AU4554" s="73" t="s">
        <v>241</v>
      </c>
    </row>
    <row r="4555" spans="15:47" ht="13" x14ac:dyDescent="0.25">
      <c r="O4555" s="6"/>
      <c r="P4555" s="6"/>
      <c r="Q4555" s="60"/>
      <c r="R4555" s="70"/>
      <c r="S4555" s="63" t="s">
        <v>250</v>
      </c>
      <c r="T4555" s="71" t="s">
        <v>242</v>
      </c>
      <c r="U4555" s="61"/>
      <c r="V4555" s="63" t="s">
        <v>250</v>
      </c>
      <c r="W4555" s="71" t="s">
        <v>242</v>
      </c>
      <c r="X4555" s="61"/>
      <c r="Y4555" s="63" t="s">
        <v>250</v>
      </c>
      <c r="Z4555" s="71" t="s">
        <v>242</v>
      </c>
      <c r="AA4555" s="61"/>
      <c r="AB4555" s="63" t="s">
        <v>250</v>
      </c>
      <c r="AC4555" s="71" t="s">
        <v>242</v>
      </c>
      <c r="AD4555" s="61"/>
      <c r="AE4555" s="63" t="s">
        <v>250</v>
      </c>
      <c r="AF4555" s="71" t="s">
        <v>242</v>
      </c>
      <c r="AG4555" s="61"/>
      <c r="AH4555" s="63" t="s">
        <v>250</v>
      </c>
      <c r="AI4555" s="71" t="s">
        <v>242</v>
      </c>
      <c r="AJ4555" s="61"/>
      <c r="AK4555" s="63" t="s">
        <v>250</v>
      </c>
      <c r="AL4555" s="71" t="s">
        <v>242</v>
      </c>
      <c r="AM4555" s="61"/>
      <c r="AN4555" s="63" t="s">
        <v>250</v>
      </c>
      <c r="AO4555" s="71" t="s">
        <v>242</v>
      </c>
      <c r="AP4555" s="61"/>
      <c r="AQ4555" s="63" t="s">
        <v>250</v>
      </c>
      <c r="AR4555" s="71" t="s">
        <v>242</v>
      </c>
      <c r="AS4555" s="61"/>
      <c r="AT4555" s="63" t="s">
        <v>250</v>
      </c>
      <c r="AU4555" s="71" t="s">
        <v>242</v>
      </c>
    </row>
    <row r="4556" spans="15:47" ht="13" x14ac:dyDescent="0.3">
      <c r="O4556" s="6" t="s">
        <v>231</v>
      </c>
      <c r="P4556" s="6"/>
      <c r="Q4556" s="60"/>
      <c r="R4556" s="85">
        <f>P_1_minQ-(R4554^2*R_up)+dpup_minQ</f>
        <v>-196.64503137884211</v>
      </c>
      <c r="S4556" s="56"/>
      <c r="T4556" s="72"/>
      <c r="U4556" s="53">
        <f>P_1_minQ-(U4554^2*R_up)+dpup_minQ</f>
        <v>-39.239029061394199</v>
      </c>
      <c r="V4556" s="44"/>
      <c r="W4556" s="72"/>
      <c r="X4556" s="53">
        <f>P_1_minQ-(X4554^2*R_up)+dpup_minQ</f>
        <v>-497.11532911783542</v>
      </c>
      <c r="Y4556" s="44"/>
      <c r="Z4556" s="72"/>
      <c r="AA4556" s="53">
        <f>P_1_minQ-(AA4554^2*R_up)+dpup_minQ</f>
        <v>-1962.9055287326994</v>
      </c>
      <c r="AB4556" s="44"/>
      <c r="AC4556" s="72"/>
      <c r="AD4556" s="53">
        <f>P_1_minQ-(AD4554^2*R_up)+dpup_minQ</f>
        <v>-5406.3254480001269</v>
      </c>
      <c r="AE4556" s="44"/>
      <c r="AF4556" s="72"/>
      <c r="AG4556" s="53">
        <f>P_1_minQ-(AG4554^2*R_up)+dpup_minQ</f>
        <v>-12053.534627215662</v>
      </c>
      <c r="AH4556" s="44"/>
      <c r="AI4556" s="72"/>
      <c r="AJ4556" s="53">
        <f>P_1_minQ-(AJ4554^2*R_up)+dpup_minQ</f>
        <v>-21510.592858596876</v>
      </c>
      <c r="AK4556" s="44"/>
      <c r="AL4556" s="72"/>
      <c r="AM4556" s="53">
        <f>P_1_minQ-(AM4554^2*R_up)+dpup_minQ</f>
        <v>-32054.165833410349</v>
      </c>
      <c r="AN4556" s="44"/>
      <c r="AO4556" s="72"/>
      <c r="AP4556" s="53">
        <f>P_1_minQ-(AP4554^2*R_up)+dpup_minQ</f>
        <v>-43223.970869138509</v>
      </c>
      <c r="AQ4556" s="44"/>
      <c r="AR4556" s="72"/>
      <c r="AS4556" s="53">
        <f>P_1_minQ-(AS4554^2*R_up)+dpup_minQ</f>
        <v>-56002.926076920703</v>
      </c>
      <c r="AT4556" s="44"/>
      <c r="AU4556" s="72"/>
    </row>
    <row r="4557" spans="15:47" ht="13" x14ac:dyDescent="0.3">
      <c r="O4557" s="6" t="s">
        <v>233</v>
      </c>
      <c r="P4557" s="6"/>
      <c r="Q4557" s="60"/>
      <c r="R4557" s="85">
        <f>P_2_minQ+(R4554^2*R_dn)-dpdn_minQ</f>
        <v>75.369006275768413</v>
      </c>
      <c r="S4557" s="66"/>
      <c r="T4557" s="74"/>
      <c r="U4557" s="53">
        <f>P_2_minQ+(U4554^2*R_dn)-dpdn_minQ</f>
        <v>43.887805812278842</v>
      </c>
      <c r="V4557" s="45"/>
      <c r="W4557" s="74"/>
      <c r="X4557" s="53">
        <f>P_2_minQ+(X4554^2*R_dn)-dpdn_minQ</f>
        <v>135.46306582356706</v>
      </c>
      <c r="Y4557" s="45"/>
      <c r="Z4557" s="74"/>
      <c r="AA4557" s="53">
        <f>P_2_minQ+(AA4554^2*R_dn)-dpdn_minQ</f>
        <v>428.6211057465398</v>
      </c>
      <c r="AB4557" s="45"/>
      <c r="AC4557" s="74"/>
      <c r="AD4557" s="53">
        <f>P_2_minQ+(AD4554^2*R_dn)-dpdn_minQ</f>
        <v>1117.3050896000252</v>
      </c>
      <c r="AE4557" s="45"/>
      <c r="AF4557" s="74"/>
      <c r="AG4557" s="53">
        <f>P_2_minQ+(AG4554^2*R_dn)-dpdn_minQ</f>
        <v>2446.7469254431321</v>
      </c>
      <c r="AH4557" s="45"/>
      <c r="AI4557" s="74"/>
      <c r="AJ4557" s="53">
        <f>P_2_minQ+(AJ4554^2*R_dn)-dpdn_minQ</f>
        <v>4338.1585717193748</v>
      </c>
      <c r="AK4557" s="45"/>
      <c r="AL4557" s="74"/>
      <c r="AM4557" s="53">
        <f>P_2_minQ+(AM4554^2*R_dn)-dpdn_minQ</f>
        <v>6446.8731666820695</v>
      </c>
      <c r="AN4557" s="45"/>
      <c r="AO4557" s="74"/>
      <c r="AP4557" s="53">
        <f>P_2_minQ+(AP4554^2*R_dn)-dpdn_minQ</f>
        <v>8680.8341738277013</v>
      </c>
      <c r="AQ4557" s="45"/>
      <c r="AR4557" s="74"/>
      <c r="AS4557" s="53">
        <f>P_2_minQ+(AS4554^2*R_dn)-dpdn_minQ</f>
        <v>11236.62521538414</v>
      </c>
      <c r="AT4557" s="45"/>
      <c r="AU4557" s="74"/>
    </row>
    <row r="4558" spans="15:47" x14ac:dyDescent="0.25">
      <c r="O4558" s="6" t="s">
        <v>243</v>
      </c>
      <c r="Q4558" s="60"/>
      <c r="R4558" s="53">
        <f>R4556-R4557</f>
        <v>-272.01403765461055</v>
      </c>
      <c r="S4558" s="56"/>
      <c r="T4558" s="72"/>
      <c r="U4558" s="64">
        <f>U4556-U4557</f>
        <v>-83.126834873673033</v>
      </c>
      <c r="V4558" s="44"/>
      <c r="W4558" s="72"/>
      <c r="X4558" s="64">
        <f>X4556-X4557</f>
        <v>-632.57839494140251</v>
      </c>
      <c r="Y4558" s="44"/>
      <c r="Z4558" s="72"/>
      <c r="AA4558" s="64">
        <f>AA4556-AA4557</f>
        <v>-2391.526634479239</v>
      </c>
      <c r="AB4558" s="44"/>
      <c r="AC4558" s="72"/>
      <c r="AD4558" s="64">
        <f>AD4556-AD4557</f>
        <v>-6523.6305376001519</v>
      </c>
      <c r="AE4558" s="44"/>
      <c r="AF4558" s="72"/>
      <c r="AG4558" s="64">
        <f>AG4556-AG4557</f>
        <v>-14500.281552658795</v>
      </c>
      <c r="AH4558" s="44"/>
      <c r="AI4558" s="72"/>
      <c r="AJ4558" s="64">
        <f>AJ4556-AJ4557</f>
        <v>-25848.75143031625</v>
      </c>
      <c r="AK4558" s="44"/>
      <c r="AL4558" s="72"/>
      <c r="AM4558" s="64">
        <f>AM4556-AM4557</f>
        <v>-38501.039000092416</v>
      </c>
      <c r="AN4558" s="44"/>
      <c r="AO4558" s="72"/>
      <c r="AP4558" s="64">
        <f>AP4556-AP4557</f>
        <v>-51904.805042966211</v>
      </c>
      <c r="AQ4558" s="44"/>
      <c r="AR4558" s="72"/>
      <c r="AS4558" s="64">
        <f>AS4556-AS4557</f>
        <v>-67239.551292304837</v>
      </c>
      <c r="AT4558" s="44"/>
      <c r="AU4558" s="72"/>
    </row>
    <row r="4559" spans="15:47" ht="13" x14ac:dyDescent="0.3">
      <c r="O4559" s="6" t="s">
        <v>75</v>
      </c>
      <c r="P4559" s="6">
        <v>3</v>
      </c>
      <c r="Q4559" s="65"/>
      <c r="R4559" s="85">
        <f>(F_LP_h/F_P_h)^2*(R4556-('Valve Sizing'!$V$4*'Valve Sizing'!$G$7))</f>
        <v>-163.19679871581999</v>
      </c>
      <c r="S4559" s="58"/>
      <c r="T4559" s="73"/>
      <c r="U4559" s="53">
        <f>(U$29/U$27)^2*(U4556-('Valve Sizing'!$V$4*'Valve Sizing'!$G$7))</f>
        <v>-32.847411277374043</v>
      </c>
      <c r="V4559" s="41"/>
      <c r="W4559" s="73"/>
      <c r="X4559" s="53">
        <f>(X$29/X$27)^2*(X4556-('Valve Sizing'!$V$4*'Valve Sizing'!$G$7))</f>
        <v>-402.59871494807044</v>
      </c>
      <c r="Y4559" s="41"/>
      <c r="Z4559" s="73"/>
      <c r="AA4559" s="53">
        <f>(AA$29/AA$27)^2*(AA4556-('Valve Sizing'!$V$4*'Valve Sizing'!$G$7))</f>
        <v>-1517.2680137275468</v>
      </c>
      <c r="AB4559" s="41"/>
      <c r="AC4559" s="73"/>
      <c r="AD4559" s="53">
        <f>(AD$29/AD$27)^2*(AD4556-('Valve Sizing'!$V$4*'Valve Sizing'!$G$7))</f>
        <v>-3899.2911962404487</v>
      </c>
      <c r="AE4559" s="41"/>
      <c r="AF4559" s="73"/>
      <c r="AG4559" s="53">
        <f>(AG$29/AG$27)^2*(AG4556-('Valve Sizing'!$V$4*'Valve Sizing'!$G$7))</f>
        <v>-7763.2894835141606</v>
      </c>
      <c r="AH4559" s="41"/>
      <c r="AI4559" s="73"/>
      <c r="AJ4559" s="53">
        <f>(AJ$29/AJ$27)^2*(AJ4556-('Valve Sizing'!$V$4*'Valve Sizing'!$G$7))</f>
        <v>-12441.214254796512</v>
      </c>
      <c r="AK4559" s="41"/>
      <c r="AL4559" s="73"/>
      <c r="AM4559" s="53">
        <f>(AM$29/AM$27)^2*(AM4556-('Valve Sizing'!$V$4*'Valve Sizing'!$G$7))</f>
        <v>-15337.23617581401</v>
      </c>
      <c r="AN4559" s="41"/>
      <c r="AO4559" s="73"/>
      <c r="AP4559" s="53">
        <f>(AP$29/AP$27)^2*(AP4556-('Valve Sizing'!$V$4*'Valve Sizing'!$G$7))</f>
        <v>-17057.512148481768</v>
      </c>
      <c r="AQ4559" s="41"/>
      <c r="AR4559" s="73"/>
      <c r="AS4559" s="53">
        <f>(AS$29/AS$27)^2*(AS4556-('Valve Sizing'!$V$4*'Valve Sizing'!$G$7))</f>
        <v>-21065.150610351506</v>
      </c>
      <c r="AT4559" s="41"/>
      <c r="AU4559" s="73"/>
    </row>
    <row r="4560" spans="15:47" ht="13" x14ac:dyDescent="0.25">
      <c r="O4560" s="1" t="s">
        <v>69</v>
      </c>
      <c r="P4560" s="17">
        <v>7</v>
      </c>
      <c r="Q4560" s="65"/>
      <c r="R4560" s="53" t="e">
        <f>(R4554/(N_1*F_P_h))*SQRT('Valve Sizing'!$G$6/R4558)</f>
        <v>#NUM!</v>
      </c>
      <c r="S4560" s="58"/>
      <c r="T4560" s="73"/>
      <c r="U4560" s="64" t="e">
        <f>(U4554/(N_1*U$27))*SQRT('Valve Sizing'!$G$6/U4558)</f>
        <v>#NUM!</v>
      </c>
      <c r="V4560" s="41"/>
      <c r="W4560" s="73"/>
      <c r="X4560" s="64" t="e">
        <f>(X4554/(N_1*X$27))*SQRT('Valve Sizing'!$G$6/X4558)</f>
        <v>#NUM!</v>
      </c>
      <c r="Y4560" s="41"/>
      <c r="Z4560" s="73"/>
      <c r="AA4560" s="64" t="e">
        <f>(AA4554/(N_1*AA$27))*SQRT('Valve Sizing'!$G$6/AA4558)</f>
        <v>#NUM!</v>
      </c>
      <c r="AB4560" s="41"/>
      <c r="AC4560" s="73"/>
      <c r="AD4560" s="64" t="e">
        <f>(AD4554/(N_1*AD$27))*SQRT('Valve Sizing'!$G$6/AD4558)</f>
        <v>#NUM!</v>
      </c>
      <c r="AE4560" s="41"/>
      <c r="AF4560" s="73"/>
      <c r="AG4560" s="64" t="e">
        <f>(AG4554/(N_1*AG$27))*SQRT('Valve Sizing'!$G$6/AG4558)</f>
        <v>#NUM!</v>
      </c>
      <c r="AH4560" s="41"/>
      <c r="AI4560" s="73"/>
      <c r="AJ4560" s="64" t="e">
        <f>(AJ4554/(N_1*AJ$27))*SQRT('Valve Sizing'!$G$6/AJ4558)</f>
        <v>#NUM!</v>
      </c>
      <c r="AK4560" s="41"/>
      <c r="AL4560" s="73"/>
      <c r="AM4560" s="64" t="e">
        <f>(AM4554/(N_1*AM$27))*SQRT('Valve Sizing'!$G$6/AM4558)</f>
        <v>#NUM!</v>
      </c>
      <c r="AN4560" s="41"/>
      <c r="AO4560" s="73"/>
      <c r="AP4560" s="64" t="e">
        <f>(AP4554/(N_1*AP$27))*SQRT('Valve Sizing'!$G$6/AP4558)</f>
        <v>#NUM!</v>
      </c>
      <c r="AQ4560" s="41"/>
      <c r="AR4560" s="73"/>
      <c r="AS4560" s="64" t="e">
        <f>(AS4554/(N_1*AS$27))*SQRT('Valve Sizing'!$G$6/AS4558)</f>
        <v>#NUM!</v>
      </c>
      <c r="AT4560" s="41"/>
      <c r="AU4560" s="73"/>
    </row>
    <row r="4561" spans="15:47" ht="13" x14ac:dyDescent="0.3">
      <c r="O4561" s="1" t="s">
        <v>72</v>
      </c>
      <c r="P4561" s="17">
        <v>7</v>
      </c>
      <c r="Q4561" s="65"/>
      <c r="R4561" s="53" t="e">
        <f>(R4554/(N_1*F_P_h))*SQRT('Valve Sizing'!$G$6/R4559)</f>
        <v>#NUM!</v>
      </c>
      <c r="S4561" s="56"/>
      <c r="T4561" s="72"/>
      <c r="U4561" s="85" t="e">
        <f>(U4554/(N_1*U$27))*SQRT('Valve Sizing'!$G$6/U4559)</f>
        <v>#NUM!</v>
      </c>
      <c r="V4561" s="44"/>
      <c r="W4561" s="72"/>
      <c r="X4561" s="85" t="e">
        <f>(X4554/(N_1*X$27))*SQRT('Valve Sizing'!$G$6/X4559)</f>
        <v>#NUM!</v>
      </c>
      <c r="Y4561" s="44"/>
      <c r="Z4561" s="72"/>
      <c r="AA4561" s="85" t="e">
        <f>(AA4554/(N_1*AA$27))*SQRT('Valve Sizing'!$G$6/AA4559)</f>
        <v>#NUM!</v>
      </c>
      <c r="AB4561" s="44"/>
      <c r="AC4561" s="72"/>
      <c r="AD4561" s="85" t="e">
        <f>(AD4554/(N_1*AD$27))*SQRT('Valve Sizing'!$G$6/AD4559)</f>
        <v>#NUM!</v>
      </c>
      <c r="AE4561" s="44"/>
      <c r="AF4561" s="72"/>
      <c r="AG4561" s="85" t="e">
        <f>(AG4554/(N_1*AG$27))*SQRT('Valve Sizing'!$G$6/AG4559)</f>
        <v>#NUM!</v>
      </c>
      <c r="AH4561" s="44"/>
      <c r="AI4561" s="72"/>
      <c r="AJ4561" s="85" t="e">
        <f>(AJ4554/(N_1*AJ$27))*SQRT('Valve Sizing'!$G$6/AJ4559)</f>
        <v>#NUM!</v>
      </c>
      <c r="AK4561" s="44"/>
      <c r="AL4561" s="72"/>
      <c r="AM4561" s="85" t="e">
        <f>(AM4554/(N_1*AM$27))*SQRT('Valve Sizing'!$G$6/AM4559)</f>
        <v>#NUM!</v>
      </c>
      <c r="AN4561" s="44"/>
      <c r="AO4561" s="72"/>
      <c r="AP4561" s="85" t="e">
        <f>(AP4554/(N_1*AP$27))*SQRT('Valve Sizing'!$G$6/AP4559)</f>
        <v>#NUM!</v>
      </c>
      <c r="AQ4561" s="44"/>
      <c r="AR4561" s="72"/>
      <c r="AS4561" s="85" t="e">
        <f>(AS4554/(N_1*AS$27))*SQRT('Valve Sizing'!$G$6/AS4559)</f>
        <v>#NUM!</v>
      </c>
      <c r="AT4561" s="44"/>
      <c r="AU4561" s="72"/>
    </row>
    <row r="4562" spans="15:47" x14ac:dyDescent="0.25">
      <c r="O4562" s="1" t="s">
        <v>246</v>
      </c>
      <c r="P4562" s="18"/>
      <c r="Q4562" s="65"/>
      <c r="R4562" s="53" t="e">
        <f>IF(R4558&lt;R4559,R4560,R4561)</f>
        <v>#NUM!</v>
      </c>
      <c r="S4562" s="49"/>
      <c r="T4562" s="72"/>
      <c r="U4562" s="64" t="e">
        <f>IF(U4558&lt;U4559,U4560,U4561)</f>
        <v>#NUM!</v>
      </c>
      <c r="V4562" s="44"/>
      <c r="W4562" s="72"/>
      <c r="X4562" s="64" t="e">
        <f>IF(X4558&lt;X4559,X4560,X4561)</f>
        <v>#NUM!</v>
      </c>
      <c r="Y4562" s="44"/>
      <c r="Z4562" s="72"/>
      <c r="AA4562" s="64" t="e">
        <f>IF(AA4558&lt;AA4559,AA4560,AA4561)</f>
        <v>#NUM!</v>
      </c>
      <c r="AB4562" s="44"/>
      <c r="AC4562" s="72"/>
      <c r="AD4562" s="64" t="e">
        <f>IF(AD4558&lt;AD4559,AD4560,AD4561)</f>
        <v>#NUM!</v>
      </c>
      <c r="AE4562" s="44"/>
      <c r="AF4562" s="72"/>
      <c r="AG4562" s="64" t="e">
        <f>IF(AG4558&lt;AG4559,AG4560,AG4561)</f>
        <v>#NUM!</v>
      </c>
      <c r="AH4562" s="44"/>
      <c r="AI4562" s="72"/>
      <c r="AJ4562" s="64" t="e">
        <f>IF(AJ4558&lt;AJ4559,AJ4560,AJ4561)</f>
        <v>#NUM!</v>
      </c>
      <c r="AK4562" s="44"/>
      <c r="AL4562" s="72"/>
      <c r="AM4562" s="64" t="e">
        <f>IF(AM4558&lt;AM4559,AM4560,AM4561)</f>
        <v>#NUM!</v>
      </c>
      <c r="AN4562" s="44"/>
      <c r="AO4562" s="72"/>
      <c r="AP4562" s="64" t="e">
        <f>IF(AP4558&lt;AP4559,AP4560,AP4561)</f>
        <v>#NUM!</v>
      </c>
      <c r="AQ4562" s="44"/>
      <c r="AR4562" s="72"/>
      <c r="AS4562" s="64" t="e">
        <f>IF(AS4558&lt;AS4559,AS4560,AS4561)</f>
        <v>#NUM!</v>
      </c>
      <c r="AT4562" s="44"/>
      <c r="AU4562" s="72"/>
    </row>
    <row r="4563" spans="15:47" ht="13" x14ac:dyDescent="0.3">
      <c r="O4563" s="7" t="s">
        <v>264</v>
      </c>
      <c r="Q4563" s="61"/>
      <c r="R4563" s="53"/>
      <c r="S4563" s="69">
        <f>IFERROR(ABS(C_h-R4562),Q_max*10)</f>
        <v>5500</v>
      </c>
      <c r="T4563" s="76">
        <f>R4554</f>
        <v>2740.0632071409436</v>
      </c>
      <c r="U4563" s="61"/>
      <c r="V4563" s="69">
        <f>IFERROR(ABS(U$23-U4562),Q_max*10)</f>
        <v>5500</v>
      </c>
      <c r="W4563" s="75">
        <f>U4554</f>
        <v>1687.3513713829382</v>
      </c>
      <c r="X4563" s="61"/>
      <c r="Y4563" s="69">
        <f>IFERROR(ABS(X$23-X4562),Q_max*10)</f>
        <v>5500</v>
      </c>
      <c r="Z4563" s="75">
        <f>X4554</f>
        <v>4050.2928159799885</v>
      </c>
      <c r="AA4563" s="61"/>
      <c r="AB4563" s="69">
        <f>IFERROR(ABS(AA$23-AA4562),Q_max*10)</f>
        <v>5500</v>
      </c>
      <c r="AC4563" s="75">
        <f>AA4554</f>
        <v>7733.4933701255104</v>
      </c>
      <c r="AD4563" s="61"/>
      <c r="AE4563" s="69">
        <f>IFERROR(ABS(AD$23-AD4562),Q_max*10)</f>
        <v>5500</v>
      </c>
      <c r="AF4563" s="75">
        <f>AD4554</f>
        <v>12718.749290527105</v>
      </c>
      <c r="AG4563" s="61"/>
      <c r="AH4563" s="69">
        <f>IFERROR(ABS(AG$23-AG4562),Q_max*10)</f>
        <v>5500</v>
      </c>
      <c r="AI4563" s="75">
        <f>AG4554</f>
        <v>18936.484555266739</v>
      </c>
      <c r="AJ4563" s="61"/>
      <c r="AK4563" s="69">
        <f>IFERROR(ABS(AJ$23-AJ4562),Q_max*10)</f>
        <v>5500</v>
      </c>
      <c r="AL4563" s="75">
        <f>AJ4554</f>
        <v>25270.812047559008</v>
      </c>
      <c r="AM4563" s="61"/>
      <c r="AN4563" s="69">
        <f>IFERROR(ABS(AM$23-AM4562),Q_max*10)</f>
        <v>5500</v>
      </c>
      <c r="AO4563" s="75">
        <f>AM4554</f>
        <v>30835.193161828585</v>
      </c>
      <c r="AP4563" s="61"/>
      <c r="AQ4563" s="69">
        <f>IFERROR(ABS(AP$23-AP4562),Q_max*10)</f>
        <v>5500</v>
      </c>
      <c r="AR4563" s="75">
        <f>AP4554</f>
        <v>35798.701993720264</v>
      </c>
      <c r="AS4563" s="61"/>
      <c r="AT4563" s="69">
        <f>IFERROR(ABS(AS$23-AS4562),Q_max*10)</f>
        <v>5500</v>
      </c>
      <c r="AU4563" s="75">
        <f>AS4554</f>
        <v>40742.262187286826</v>
      </c>
    </row>
    <row r="4564" spans="15:47" ht="14.5" x14ac:dyDescent="0.35">
      <c r="O4564" s="8"/>
      <c r="P4564" s="6"/>
      <c r="Q4564" s="60"/>
      <c r="R4564" s="67"/>
      <c r="S4564" s="56"/>
      <c r="T4564" s="72"/>
      <c r="V4564" s="11"/>
      <c r="W4564" s="38"/>
      <c r="Y4564" s="11"/>
      <c r="Z4564" s="38"/>
      <c r="AB4564" s="11"/>
      <c r="AC4564" s="38"/>
      <c r="AE4564" s="11"/>
      <c r="AF4564" s="38"/>
      <c r="AH4564" s="11"/>
      <c r="AI4564" s="38"/>
      <c r="AK4564" s="11"/>
      <c r="AL4564" s="38"/>
      <c r="AN4564" s="11"/>
      <c r="AO4564" s="38"/>
      <c r="AQ4564" s="11"/>
      <c r="AR4564" s="38"/>
      <c r="AT4564" s="11"/>
      <c r="AU4564" s="38"/>
    </row>
    <row r="4565" spans="15:47" ht="14" x14ac:dyDescent="0.3">
      <c r="O4565" s="8" t="s">
        <v>235</v>
      </c>
      <c r="P4565" s="6"/>
      <c r="Q4565" s="60"/>
      <c r="R4565" s="53">
        <f>R4554*1.02</f>
        <v>2794.8644712837627</v>
      </c>
      <c r="S4565" s="58" t="s">
        <v>238</v>
      </c>
      <c r="T4565" s="73" t="s">
        <v>241</v>
      </c>
      <c r="U4565" s="84">
        <f>U4554*1.01</f>
        <v>1704.2248850967676</v>
      </c>
      <c r="V4565" s="58" t="s">
        <v>238</v>
      </c>
      <c r="W4565" s="73" t="s">
        <v>241</v>
      </c>
      <c r="X4565" s="84">
        <f>X4554*1.01</f>
        <v>4090.7957441397884</v>
      </c>
      <c r="Y4565" s="58" t="s">
        <v>238</v>
      </c>
      <c r="Z4565" s="73" t="s">
        <v>241</v>
      </c>
      <c r="AA4565" s="84">
        <f>AA4554*1.01</f>
        <v>7810.8283038267655</v>
      </c>
      <c r="AB4565" s="58" t="s">
        <v>238</v>
      </c>
      <c r="AC4565" s="73" t="s">
        <v>241</v>
      </c>
      <c r="AD4565" s="84">
        <f>AD4554*1.01</f>
        <v>12845.936783432377</v>
      </c>
      <c r="AE4565" s="58" t="s">
        <v>238</v>
      </c>
      <c r="AF4565" s="73" t="s">
        <v>241</v>
      </c>
      <c r="AG4565" s="84">
        <f>AG4554*1.01</f>
        <v>19125.849400819407</v>
      </c>
      <c r="AH4565" s="58" t="s">
        <v>238</v>
      </c>
      <c r="AI4565" s="73" t="s">
        <v>241</v>
      </c>
      <c r="AJ4565" s="84">
        <f>AJ4554*1.01</f>
        <v>25523.520168034596</v>
      </c>
      <c r="AK4565" s="58" t="s">
        <v>238</v>
      </c>
      <c r="AL4565" s="73" t="s">
        <v>241</v>
      </c>
      <c r="AM4565" s="84">
        <f>AM4554*1.01</f>
        <v>31143.545093446872</v>
      </c>
      <c r="AN4565" s="58" t="s">
        <v>238</v>
      </c>
      <c r="AO4565" s="73" t="s">
        <v>241</v>
      </c>
      <c r="AP4565" s="84">
        <f>AP4554*1.01</f>
        <v>36156.689013657466</v>
      </c>
      <c r="AQ4565" s="58" t="s">
        <v>238</v>
      </c>
      <c r="AR4565" s="73" t="s">
        <v>241</v>
      </c>
      <c r="AS4565" s="84">
        <f>AS4554*1.01</f>
        <v>41149.684809159691</v>
      </c>
      <c r="AT4565" s="58" t="s">
        <v>238</v>
      </c>
      <c r="AU4565" s="73" t="s">
        <v>241</v>
      </c>
    </row>
    <row r="4566" spans="15:47" ht="13" x14ac:dyDescent="0.25">
      <c r="O4566" s="6"/>
      <c r="P4566" s="6"/>
      <c r="Q4566" s="60"/>
      <c r="R4566" s="70"/>
      <c r="S4566" s="63" t="s">
        <v>250</v>
      </c>
      <c r="T4566" s="71" t="s">
        <v>242</v>
      </c>
      <c r="U4566" s="61"/>
      <c r="V4566" s="63" t="s">
        <v>250</v>
      </c>
      <c r="W4566" s="71" t="s">
        <v>242</v>
      </c>
      <c r="X4566" s="61"/>
      <c r="Y4566" s="63" t="s">
        <v>250</v>
      </c>
      <c r="Z4566" s="71" t="s">
        <v>242</v>
      </c>
      <c r="AA4566" s="61"/>
      <c r="AB4566" s="63" t="s">
        <v>250</v>
      </c>
      <c r="AC4566" s="71" t="s">
        <v>242</v>
      </c>
      <c r="AD4566" s="61"/>
      <c r="AE4566" s="63" t="s">
        <v>250</v>
      </c>
      <c r="AF4566" s="71" t="s">
        <v>242</v>
      </c>
      <c r="AG4566" s="61"/>
      <c r="AH4566" s="63" t="s">
        <v>250</v>
      </c>
      <c r="AI4566" s="71" t="s">
        <v>242</v>
      </c>
      <c r="AJ4566" s="61"/>
      <c r="AK4566" s="63" t="s">
        <v>250</v>
      </c>
      <c r="AL4566" s="71" t="s">
        <v>242</v>
      </c>
      <c r="AM4566" s="61"/>
      <c r="AN4566" s="63" t="s">
        <v>250</v>
      </c>
      <c r="AO4566" s="71" t="s">
        <v>242</v>
      </c>
      <c r="AP4566" s="61"/>
      <c r="AQ4566" s="63" t="s">
        <v>250</v>
      </c>
      <c r="AR4566" s="71" t="s">
        <v>242</v>
      </c>
      <c r="AS4566" s="61"/>
      <c r="AT4566" s="63" t="s">
        <v>250</v>
      </c>
      <c r="AU4566" s="71" t="s">
        <v>242</v>
      </c>
    </row>
    <row r="4567" spans="15:47" ht="13" x14ac:dyDescent="0.3">
      <c r="O4567" s="6" t="s">
        <v>231</v>
      </c>
      <c r="P4567" s="6"/>
      <c r="Q4567" s="60"/>
      <c r="R4567" s="85">
        <f>P_1_minQ-(R4565^2*R_up)+dpup_minQ</f>
        <v>-206.88890283161996</v>
      </c>
      <c r="S4567" s="56"/>
      <c r="T4567" s="72"/>
      <c r="U4567" s="53">
        <f>P_1_minQ-(U4565^2*R_up)+dpup_minQ</f>
        <v>-41.171748023745046</v>
      </c>
      <c r="V4567" s="44"/>
      <c r="W4567" s="72"/>
      <c r="X4567" s="53">
        <f>P_1_minQ-(X4565^2*R_up)+dpup_minQ</f>
        <v>-508.25136171132073</v>
      </c>
      <c r="Y4567" s="44"/>
      <c r="Z4567" s="72"/>
      <c r="AA4567" s="53">
        <f>P_1_minQ-(AA4565^2*R_up)+dpup_minQ</f>
        <v>-2003.5039443384433</v>
      </c>
      <c r="AB4567" s="44"/>
      <c r="AC4567" s="72"/>
      <c r="AD4567" s="53">
        <f>P_1_minQ-(AD4565^2*R_up)+dpup_minQ</f>
        <v>-5516.1366039831464</v>
      </c>
      <c r="AE4567" s="44"/>
      <c r="AF4567" s="72"/>
      <c r="AG4567" s="53">
        <f>P_1_minQ-(AG4565^2*R_up)+dpup_minQ</f>
        <v>-12296.954687700914</v>
      </c>
      <c r="AH4567" s="44"/>
      <c r="AI4567" s="72"/>
      <c r="AJ4567" s="53">
        <f>P_1_minQ-(AJ4565^2*R_up)+dpup_minQ</f>
        <v>-21944.099789532887</v>
      </c>
      <c r="AK4567" s="44"/>
      <c r="AL4567" s="72"/>
      <c r="AM4567" s="53">
        <f>P_1_minQ-(AM4565^2*R_up)+dpup_minQ</f>
        <v>-32699.598581140115</v>
      </c>
      <c r="AN4567" s="44"/>
      <c r="AO4567" s="72"/>
      <c r="AP4567" s="53">
        <f>P_1_minQ-(AP4565^2*R_up)+dpup_minQ</f>
        <v>-44093.916698086403</v>
      </c>
      <c r="AQ4567" s="44"/>
      <c r="AR4567" s="72"/>
      <c r="AS4567" s="53">
        <f>P_1_minQ-(AS4565^2*R_up)+dpup_minQ</f>
        <v>-57129.728905545016</v>
      </c>
      <c r="AT4567" s="44"/>
      <c r="AU4567" s="72"/>
    </row>
    <row r="4568" spans="15:47" ht="13" x14ac:dyDescent="0.3">
      <c r="O4568" s="6" t="s">
        <v>233</v>
      </c>
      <c r="P4568" s="6"/>
      <c r="Q4568" s="60"/>
      <c r="R4568" s="85">
        <f>P_2_minQ+(R4565^2*R_dn)-dpdn_minQ</f>
        <v>77.417780566323984</v>
      </c>
      <c r="S4568" s="66"/>
      <c r="T4568" s="74"/>
      <c r="U4568" s="53">
        <f>P_2_minQ+(U4565^2*R_dn)-dpdn_minQ</f>
        <v>44.274349604749013</v>
      </c>
      <c r="V4568" s="45"/>
      <c r="W4568" s="74"/>
      <c r="X4568" s="53">
        <f>P_2_minQ+(X4565^2*R_dn)-dpdn_minQ</f>
        <v>137.69027234226414</v>
      </c>
      <c r="Y4568" s="45"/>
      <c r="Z4568" s="74"/>
      <c r="AA4568" s="53">
        <f>P_2_minQ+(AA4565^2*R_dn)-dpdn_minQ</f>
        <v>436.74078886768859</v>
      </c>
      <c r="AB4568" s="45"/>
      <c r="AC4568" s="74"/>
      <c r="AD4568" s="53">
        <f>P_2_minQ+(AD4565^2*R_dn)-dpdn_minQ</f>
        <v>1139.2673207966293</v>
      </c>
      <c r="AE4568" s="45"/>
      <c r="AF4568" s="74"/>
      <c r="AG4568" s="53">
        <f>P_2_minQ+(AG4565^2*R_dn)-dpdn_minQ</f>
        <v>2495.4309375401826</v>
      </c>
      <c r="AH4568" s="45"/>
      <c r="AI4568" s="74"/>
      <c r="AJ4568" s="53">
        <f>P_2_minQ+(AJ4565^2*R_dn)-dpdn_minQ</f>
        <v>4424.8599579065776</v>
      </c>
      <c r="AK4568" s="45"/>
      <c r="AL4568" s="74"/>
      <c r="AM4568" s="53">
        <f>P_2_minQ+(AM4565^2*R_dn)-dpdn_minQ</f>
        <v>6575.9597162280224</v>
      </c>
      <c r="AN4568" s="45"/>
      <c r="AO4568" s="74"/>
      <c r="AP4568" s="53">
        <f>P_2_minQ+(AP4565^2*R_dn)-dpdn_minQ</f>
        <v>8854.8233396172818</v>
      </c>
      <c r="AQ4568" s="45"/>
      <c r="AR4568" s="74"/>
      <c r="AS4568" s="53">
        <f>P_2_minQ+(AS4565^2*R_dn)-dpdn_minQ</f>
        <v>11461.985781109002</v>
      </c>
      <c r="AT4568" s="45"/>
      <c r="AU4568" s="74"/>
    </row>
    <row r="4569" spans="15:47" x14ac:dyDescent="0.25">
      <c r="O4569" s="6" t="s">
        <v>243</v>
      </c>
      <c r="Q4569" s="60"/>
      <c r="R4569" s="53">
        <f>R4567-R4568</f>
        <v>-284.30668339794397</v>
      </c>
      <c r="S4569" s="56"/>
      <c r="T4569" s="72"/>
      <c r="U4569" s="64">
        <f>U4567-U4568</f>
        <v>-85.446097628494059</v>
      </c>
      <c r="V4569" s="44"/>
      <c r="W4569" s="72"/>
      <c r="X4569" s="64">
        <f>X4567-X4568</f>
        <v>-645.94163405358483</v>
      </c>
      <c r="Y4569" s="44"/>
      <c r="Z4569" s="72"/>
      <c r="AA4569" s="64">
        <f>AA4567-AA4568</f>
        <v>-2440.244733206132</v>
      </c>
      <c r="AB4569" s="44"/>
      <c r="AC4569" s="72"/>
      <c r="AD4569" s="64">
        <f>AD4567-AD4568</f>
        <v>-6655.4039247797755</v>
      </c>
      <c r="AE4569" s="44"/>
      <c r="AF4569" s="72"/>
      <c r="AG4569" s="64">
        <f>AG4567-AG4568</f>
        <v>-14792.385625241097</v>
      </c>
      <c r="AH4569" s="44"/>
      <c r="AI4569" s="72"/>
      <c r="AJ4569" s="64">
        <f>AJ4567-AJ4568</f>
        <v>-26368.959747439465</v>
      </c>
      <c r="AK4569" s="44"/>
      <c r="AL4569" s="72"/>
      <c r="AM4569" s="64">
        <f>AM4567-AM4568</f>
        <v>-39275.558297368138</v>
      </c>
      <c r="AN4569" s="44"/>
      <c r="AO4569" s="72"/>
      <c r="AP4569" s="64">
        <f>AP4567-AP4568</f>
        <v>-52948.740037703683</v>
      </c>
      <c r="AQ4569" s="44"/>
      <c r="AR4569" s="72"/>
      <c r="AS4569" s="64">
        <f>AS4567-AS4568</f>
        <v>-68591.714686654013</v>
      </c>
      <c r="AT4569" s="44"/>
      <c r="AU4569" s="72"/>
    </row>
    <row r="4570" spans="15:47" ht="13" x14ac:dyDescent="0.3">
      <c r="O4570" s="6" t="s">
        <v>75</v>
      </c>
      <c r="P4570" s="6">
        <v>3</v>
      </c>
      <c r="Q4570" s="65"/>
      <c r="R4570" s="85">
        <f>(F_LP_h/F_P_h)^2*(R4567-('Valve Sizing'!$V$4*'Valve Sizing'!$G$7))</f>
        <v>-171.67926197890452</v>
      </c>
      <c r="S4570" s="58"/>
      <c r="T4570" s="73"/>
      <c r="U4570" s="53">
        <f>(U$29/U$27)^2*(U4567-('Valve Sizing'!$V$4*'Valve Sizing'!$G$7))</f>
        <v>-34.447367825551169</v>
      </c>
      <c r="V4570" s="41"/>
      <c r="W4570" s="73"/>
      <c r="X4570" s="53">
        <f>(X$29/X$27)^2*(X4567-('Valve Sizing'!$V$4*'Valve Sizing'!$G$7))</f>
        <v>-411.60947541980488</v>
      </c>
      <c r="Y4570" s="41"/>
      <c r="Z4570" s="73"/>
      <c r="AA4570" s="53">
        <f>(AA$29/AA$27)^2*(AA4567-('Valve Sizing'!$V$4*'Valve Sizing'!$G$7))</f>
        <v>-1548.6423564990137</v>
      </c>
      <c r="AB4570" s="41"/>
      <c r="AC4570" s="73"/>
      <c r="AD4570" s="53">
        <f>(AD$29/AD$27)^2*(AD4567-('Valve Sizing'!$V$4*'Valve Sizing'!$G$7))</f>
        <v>-3978.4856191028075</v>
      </c>
      <c r="AE4570" s="41"/>
      <c r="AF4570" s="73"/>
      <c r="AG4570" s="53">
        <f>(AG$29/AG$27)^2*(AG4567-('Valve Sizing'!$V$4*'Valve Sizing'!$G$7))</f>
        <v>-7920.0627010663111</v>
      </c>
      <c r="AH4570" s="41"/>
      <c r="AI4570" s="73"/>
      <c r="AJ4570" s="53">
        <f>(AJ$29/AJ$27)^2*(AJ4567-('Valve Sizing'!$V$4*'Valve Sizing'!$G$7))</f>
        <v>-12691.939202766627</v>
      </c>
      <c r="AK4570" s="41"/>
      <c r="AL4570" s="73"/>
      <c r="AM4570" s="53">
        <f>(AM$29/AM$27)^2*(AM4567-('Valve Sizing'!$V$4*'Valve Sizing'!$G$7))</f>
        <v>-15646.057769851794</v>
      </c>
      <c r="AN4570" s="41"/>
      <c r="AO4570" s="73"/>
      <c r="AP4570" s="53">
        <f>(AP$29/AP$27)^2*(AP4567-('Valve Sizing'!$V$4*'Valve Sizing'!$G$7))</f>
        <v>-17400.816110933149</v>
      </c>
      <c r="AQ4570" s="41"/>
      <c r="AR4570" s="73"/>
      <c r="AS4570" s="53">
        <f>(AS$29/AS$27)^2*(AS4567-('Valve Sizing'!$V$4*'Valve Sizing'!$G$7))</f>
        <v>-21488.987121108683</v>
      </c>
      <c r="AT4570" s="41"/>
      <c r="AU4570" s="73"/>
    </row>
    <row r="4571" spans="15:47" ht="13" x14ac:dyDescent="0.25">
      <c r="O4571" s="1" t="s">
        <v>69</v>
      </c>
      <c r="P4571" s="17">
        <v>7</v>
      </c>
      <c r="Q4571" s="65"/>
      <c r="R4571" s="53" t="e">
        <f>(R4565/(N_1*F_P_h))*SQRT('Valve Sizing'!$G$6/R4569)</f>
        <v>#NUM!</v>
      </c>
      <c r="S4571" s="58"/>
      <c r="T4571" s="73"/>
      <c r="U4571" s="64" t="e">
        <f>(U4565/(N_1*U$27))*SQRT('Valve Sizing'!$G$6/U4569)</f>
        <v>#NUM!</v>
      </c>
      <c r="V4571" s="41"/>
      <c r="W4571" s="73"/>
      <c r="X4571" s="64" t="e">
        <f>(X4565/(N_1*X$27))*SQRT('Valve Sizing'!$G$6/X4569)</f>
        <v>#NUM!</v>
      </c>
      <c r="Y4571" s="41"/>
      <c r="Z4571" s="73"/>
      <c r="AA4571" s="64" t="e">
        <f>(AA4565/(N_1*AA$27))*SQRT('Valve Sizing'!$G$6/AA4569)</f>
        <v>#NUM!</v>
      </c>
      <c r="AB4571" s="41"/>
      <c r="AC4571" s="73"/>
      <c r="AD4571" s="64" t="e">
        <f>(AD4565/(N_1*AD$27))*SQRT('Valve Sizing'!$G$6/AD4569)</f>
        <v>#NUM!</v>
      </c>
      <c r="AE4571" s="41"/>
      <c r="AF4571" s="73"/>
      <c r="AG4571" s="64" t="e">
        <f>(AG4565/(N_1*AG$27))*SQRT('Valve Sizing'!$G$6/AG4569)</f>
        <v>#NUM!</v>
      </c>
      <c r="AH4571" s="41"/>
      <c r="AI4571" s="73"/>
      <c r="AJ4571" s="64" t="e">
        <f>(AJ4565/(N_1*AJ$27))*SQRT('Valve Sizing'!$G$6/AJ4569)</f>
        <v>#NUM!</v>
      </c>
      <c r="AK4571" s="41"/>
      <c r="AL4571" s="73"/>
      <c r="AM4571" s="64" t="e">
        <f>(AM4565/(N_1*AM$27))*SQRT('Valve Sizing'!$G$6/AM4569)</f>
        <v>#NUM!</v>
      </c>
      <c r="AN4571" s="41"/>
      <c r="AO4571" s="73"/>
      <c r="AP4571" s="64" t="e">
        <f>(AP4565/(N_1*AP$27))*SQRT('Valve Sizing'!$G$6/AP4569)</f>
        <v>#NUM!</v>
      </c>
      <c r="AQ4571" s="41"/>
      <c r="AR4571" s="73"/>
      <c r="AS4571" s="64" t="e">
        <f>(AS4565/(N_1*AS$27))*SQRT('Valve Sizing'!$G$6/AS4569)</f>
        <v>#NUM!</v>
      </c>
      <c r="AT4571" s="41"/>
      <c r="AU4571" s="73"/>
    </row>
    <row r="4572" spans="15:47" ht="13" x14ac:dyDescent="0.3">
      <c r="O4572" s="1" t="s">
        <v>72</v>
      </c>
      <c r="P4572" s="17">
        <v>7</v>
      </c>
      <c r="Q4572" s="65"/>
      <c r="R4572" s="53" t="e">
        <f>(R4565/(N_1*F_P_h))*SQRT('Valve Sizing'!$G$6/R4570)</f>
        <v>#NUM!</v>
      </c>
      <c r="S4572" s="56"/>
      <c r="T4572" s="72"/>
      <c r="U4572" s="85" t="e">
        <f>(U4565/(N_1*U$27))*SQRT('Valve Sizing'!$G$6/U4570)</f>
        <v>#NUM!</v>
      </c>
      <c r="V4572" s="44"/>
      <c r="W4572" s="72"/>
      <c r="X4572" s="85" t="e">
        <f>(X4565/(N_1*X$27))*SQRT('Valve Sizing'!$G$6/X4570)</f>
        <v>#NUM!</v>
      </c>
      <c r="Y4572" s="44"/>
      <c r="Z4572" s="72"/>
      <c r="AA4572" s="85" t="e">
        <f>(AA4565/(N_1*AA$27))*SQRT('Valve Sizing'!$G$6/AA4570)</f>
        <v>#NUM!</v>
      </c>
      <c r="AB4572" s="44"/>
      <c r="AC4572" s="72"/>
      <c r="AD4572" s="85" t="e">
        <f>(AD4565/(N_1*AD$27))*SQRT('Valve Sizing'!$G$6/AD4570)</f>
        <v>#NUM!</v>
      </c>
      <c r="AE4572" s="44"/>
      <c r="AF4572" s="72"/>
      <c r="AG4572" s="85" t="e">
        <f>(AG4565/(N_1*AG$27))*SQRT('Valve Sizing'!$G$6/AG4570)</f>
        <v>#NUM!</v>
      </c>
      <c r="AH4572" s="44"/>
      <c r="AI4572" s="72"/>
      <c r="AJ4572" s="85" t="e">
        <f>(AJ4565/(N_1*AJ$27))*SQRT('Valve Sizing'!$G$6/AJ4570)</f>
        <v>#NUM!</v>
      </c>
      <c r="AK4572" s="44"/>
      <c r="AL4572" s="72"/>
      <c r="AM4572" s="85" t="e">
        <f>(AM4565/(N_1*AM$27))*SQRT('Valve Sizing'!$G$6/AM4570)</f>
        <v>#NUM!</v>
      </c>
      <c r="AN4572" s="44"/>
      <c r="AO4572" s="72"/>
      <c r="AP4572" s="85" t="e">
        <f>(AP4565/(N_1*AP$27))*SQRT('Valve Sizing'!$G$6/AP4570)</f>
        <v>#NUM!</v>
      </c>
      <c r="AQ4572" s="44"/>
      <c r="AR4572" s="72"/>
      <c r="AS4572" s="85" t="e">
        <f>(AS4565/(N_1*AS$27))*SQRT('Valve Sizing'!$G$6/AS4570)</f>
        <v>#NUM!</v>
      </c>
      <c r="AT4572" s="44"/>
      <c r="AU4572" s="72"/>
    </row>
    <row r="4573" spans="15:47" x14ac:dyDescent="0.25">
      <c r="O4573" s="1" t="s">
        <v>246</v>
      </c>
      <c r="P4573" s="18"/>
      <c r="Q4573" s="65"/>
      <c r="R4573" s="53" t="e">
        <f>IF(R4569&lt;R4570,R4571,R4572)</f>
        <v>#NUM!</v>
      </c>
      <c r="S4573" s="49"/>
      <c r="T4573" s="72"/>
      <c r="U4573" s="64" t="e">
        <f>IF(U4569&lt;U4570,U4571,U4572)</f>
        <v>#NUM!</v>
      </c>
      <c r="V4573" s="44"/>
      <c r="W4573" s="72"/>
      <c r="X4573" s="64" t="e">
        <f>IF(X4569&lt;X4570,X4571,X4572)</f>
        <v>#NUM!</v>
      </c>
      <c r="Y4573" s="44"/>
      <c r="Z4573" s="72"/>
      <c r="AA4573" s="64" t="e">
        <f>IF(AA4569&lt;AA4570,AA4571,AA4572)</f>
        <v>#NUM!</v>
      </c>
      <c r="AB4573" s="44"/>
      <c r="AC4573" s="72"/>
      <c r="AD4573" s="64" t="e">
        <f>IF(AD4569&lt;AD4570,AD4571,AD4572)</f>
        <v>#NUM!</v>
      </c>
      <c r="AE4573" s="44"/>
      <c r="AF4573" s="72"/>
      <c r="AG4573" s="64" t="e">
        <f>IF(AG4569&lt;AG4570,AG4571,AG4572)</f>
        <v>#NUM!</v>
      </c>
      <c r="AH4573" s="44"/>
      <c r="AI4573" s="72"/>
      <c r="AJ4573" s="64" t="e">
        <f>IF(AJ4569&lt;AJ4570,AJ4571,AJ4572)</f>
        <v>#NUM!</v>
      </c>
      <c r="AK4573" s="44"/>
      <c r="AL4573" s="72"/>
      <c r="AM4573" s="64" t="e">
        <f>IF(AM4569&lt;AM4570,AM4571,AM4572)</f>
        <v>#NUM!</v>
      </c>
      <c r="AN4573" s="44"/>
      <c r="AO4573" s="72"/>
      <c r="AP4573" s="64" t="e">
        <f>IF(AP4569&lt;AP4570,AP4571,AP4572)</f>
        <v>#NUM!</v>
      </c>
      <c r="AQ4573" s="44"/>
      <c r="AR4573" s="72"/>
      <c r="AS4573" s="64" t="e">
        <f>IF(AS4569&lt;AS4570,AS4571,AS4572)</f>
        <v>#NUM!</v>
      </c>
      <c r="AT4573" s="44"/>
      <c r="AU4573" s="72"/>
    </row>
    <row r="4574" spans="15:47" ht="13" x14ac:dyDescent="0.3">
      <c r="O4574" s="7" t="s">
        <v>264</v>
      </c>
      <c r="Q4574" s="61"/>
      <c r="R4574" s="53"/>
      <c r="S4574" s="69">
        <f>IFERROR(ABS(C_h-R4573),Q_max*10)</f>
        <v>5500</v>
      </c>
      <c r="T4574" s="76">
        <f>R4565</f>
        <v>2794.8644712837627</v>
      </c>
      <c r="U4574" s="61"/>
      <c r="V4574" s="69">
        <f>IFERROR(ABS(U$23-U4573),Q_max*10)</f>
        <v>5500</v>
      </c>
      <c r="W4574" s="75">
        <f>U4565</f>
        <v>1704.2248850967676</v>
      </c>
      <c r="X4574" s="61"/>
      <c r="Y4574" s="69">
        <f>IFERROR(ABS(X$23-X4573),Q_max*10)</f>
        <v>5500</v>
      </c>
      <c r="Z4574" s="75">
        <f>X4565</f>
        <v>4090.7957441397884</v>
      </c>
      <c r="AA4574" s="61"/>
      <c r="AB4574" s="69">
        <f>IFERROR(ABS(AA$23-AA4573),Q_max*10)</f>
        <v>5500</v>
      </c>
      <c r="AC4574" s="75">
        <f>AA4565</f>
        <v>7810.8283038267655</v>
      </c>
      <c r="AD4574" s="61"/>
      <c r="AE4574" s="69">
        <f>IFERROR(ABS(AD$23-AD4573),Q_max*10)</f>
        <v>5500</v>
      </c>
      <c r="AF4574" s="75">
        <f>AD4565</f>
        <v>12845.936783432377</v>
      </c>
      <c r="AG4574" s="61"/>
      <c r="AH4574" s="69">
        <f>IFERROR(ABS(AG$23-AG4573),Q_max*10)</f>
        <v>5500</v>
      </c>
      <c r="AI4574" s="75">
        <f>AG4565</f>
        <v>19125.849400819407</v>
      </c>
      <c r="AJ4574" s="61"/>
      <c r="AK4574" s="69">
        <f>IFERROR(ABS(AJ$23-AJ4573),Q_max*10)</f>
        <v>5500</v>
      </c>
      <c r="AL4574" s="75">
        <f>AJ4565</f>
        <v>25523.520168034596</v>
      </c>
      <c r="AM4574" s="61"/>
      <c r="AN4574" s="69">
        <f>IFERROR(ABS(AM$23-AM4573),Q_max*10)</f>
        <v>5500</v>
      </c>
      <c r="AO4574" s="75">
        <f>AM4565</f>
        <v>31143.545093446872</v>
      </c>
      <c r="AP4574" s="61"/>
      <c r="AQ4574" s="69">
        <f>IFERROR(ABS(AP$23-AP4573),Q_max*10)</f>
        <v>5500</v>
      </c>
      <c r="AR4574" s="75">
        <f>AP4565</f>
        <v>36156.689013657466</v>
      </c>
      <c r="AS4574" s="61"/>
      <c r="AT4574" s="69">
        <f>IFERROR(ABS(AS$23-AS4573),Q_max*10)</f>
        <v>5500</v>
      </c>
      <c r="AU4574" s="75">
        <f>AS4565</f>
        <v>41149.684809159691</v>
      </c>
    </row>
    <row r="4575" spans="15:47" ht="14.5" x14ac:dyDescent="0.35">
      <c r="O4575" s="6"/>
      <c r="P4575" s="6"/>
      <c r="Q4575" s="60"/>
      <c r="R4575" s="67"/>
      <c r="S4575" s="56"/>
      <c r="T4575" s="72"/>
      <c r="V4575" s="11"/>
      <c r="W4575" s="38"/>
      <c r="Y4575" s="11"/>
      <c r="Z4575" s="38"/>
      <c r="AB4575" s="11"/>
      <c r="AC4575" s="38"/>
      <c r="AE4575" s="11"/>
      <c r="AF4575" s="38"/>
      <c r="AH4575" s="11"/>
      <c r="AI4575" s="38"/>
      <c r="AK4575" s="11"/>
      <c r="AL4575" s="38"/>
      <c r="AN4575" s="11"/>
      <c r="AO4575" s="38"/>
      <c r="AQ4575" s="11"/>
      <c r="AR4575" s="38"/>
      <c r="AT4575" s="11"/>
      <c r="AU4575" s="38"/>
    </row>
    <row r="4576" spans="15:47" ht="14" x14ac:dyDescent="0.3">
      <c r="O4576" s="8" t="s">
        <v>235</v>
      </c>
      <c r="P4576" s="6"/>
      <c r="Q4576" s="60"/>
      <c r="R4576" s="53">
        <f>R4565*1.02</f>
        <v>2850.761760709438</v>
      </c>
      <c r="S4576" s="58" t="s">
        <v>238</v>
      </c>
      <c r="T4576" s="73" t="s">
        <v>241</v>
      </c>
      <c r="U4576" s="84">
        <f>U4565*1.01</f>
        <v>1721.2671339477354</v>
      </c>
      <c r="V4576" s="58" t="s">
        <v>238</v>
      </c>
      <c r="W4576" s="73" t="s">
        <v>241</v>
      </c>
      <c r="X4576" s="84">
        <f>X4565*1.01</f>
        <v>4131.7037015811866</v>
      </c>
      <c r="Y4576" s="58" t="s">
        <v>238</v>
      </c>
      <c r="Z4576" s="73" t="s">
        <v>241</v>
      </c>
      <c r="AA4576" s="84">
        <f>AA4565*1.01</f>
        <v>7888.936586865033</v>
      </c>
      <c r="AB4576" s="58" t="s">
        <v>238</v>
      </c>
      <c r="AC4576" s="73" t="s">
        <v>241</v>
      </c>
      <c r="AD4576" s="84">
        <f>AD4565*1.01</f>
        <v>12974.396151266701</v>
      </c>
      <c r="AE4576" s="58" t="s">
        <v>238</v>
      </c>
      <c r="AF4576" s="73" t="s">
        <v>241</v>
      </c>
      <c r="AG4576" s="84">
        <f>AG4565*1.01</f>
        <v>19317.107894827601</v>
      </c>
      <c r="AH4576" s="58" t="s">
        <v>238</v>
      </c>
      <c r="AI4576" s="73" t="s">
        <v>241</v>
      </c>
      <c r="AJ4576" s="84">
        <f>AJ4565*1.01</f>
        <v>25778.755369714941</v>
      </c>
      <c r="AK4576" s="58" t="s">
        <v>238</v>
      </c>
      <c r="AL4576" s="73" t="s">
        <v>241</v>
      </c>
      <c r="AM4576" s="84">
        <f>AM4565*1.01</f>
        <v>31454.980544381342</v>
      </c>
      <c r="AN4576" s="58" t="s">
        <v>238</v>
      </c>
      <c r="AO4576" s="73" t="s">
        <v>241</v>
      </c>
      <c r="AP4576" s="84">
        <f>AP4565*1.01</f>
        <v>36518.255903794037</v>
      </c>
      <c r="AQ4576" s="58" t="s">
        <v>238</v>
      </c>
      <c r="AR4576" s="73" t="s">
        <v>241</v>
      </c>
      <c r="AS4576" s="84">
        <f>AS4565*1.01</f>
        <v>41561.181657251291</v>
      </c>
      <c r="AT4576" s="58" t="s">
        <v>238</v>
      </c>
      <c r="AU4576" s="73" t="s">
        <v>241</v>
      </c>
    </row>
    <row r="4577" spans="15:47" ht="13" x14ac:dyDescent="0.25">
      <c r="O4577" s="6"/>
      <c r="P4577" s="6"/>
      <c r="Q4577" s="60"/>
      <c r="R4577" s="70"/>
      <c r="S4577" s="63" t="s">
        <v>250</v>
      </c>
      <c r="T4577" s="71" t="s">
        <v>242</v>
      </c>
      <c r="U4577" s="61"/>
      <c r="V4577" s="63" t="s">
        <v>250</v>
      </c>
      <c r="W4577" s="71" t="s">
        <v>242</v>
      </c>
      <c r="X4577" s="61"/>
      <c r="Y4577" s="63" t="s">
        <v>250</v>
      </c>
      <c r="Z4577" s="71" t="s">
        <v>242</v>
      </c>
      <c r="AA4577" s="61"/>
      <c r="AB4577" s="63" t="s">
        <v>250</v>
      </c>
      <c r="AC4577" s="71" t="s">
        <v>242</v>
      </c>
      <c r="AD4577" s="61"/>
      <c r="AE4577" s="63" t="s">
        <v>250</v>
      </c>
      <c r="AF4577" s="71" t="s">
        <v>242</v>
      </c>
      <c r="AG4577" s="61"/>
      <c r="AH4577" s="63" t="s">
        <v>250</v>
      </c>
      <c r="AI4577" s="71" t="s">
        <v>242</v>
      </c>
      <c r="AJ4577" s="61"/>
      <c r="AK4577" s="63" t="s">
        <v>250</v>
      </c>
      <c r="AL4577" s="71" t="s">
        <v>242</v>
      </c>
      <c r="AM4577" s="61"/>
      <c r="AN4577" s="63" t="s">
        <v>250</v>
      </c>
      <c r="AO4577" s="71" t="s">
        <v>242</v>
      </c>
      <c r="AP4577" s="61"/>
      <c r="AQ4577" s="63" t="s">
        <v>250</v>
      </c>
      <c r="AR4577" s="71" t="s">
        <v>242</v>
      </c>
      <c r="AS4577" s="61"/>
      <c r="AT4577" s="63" t="s">
        <v>250</v>
      </c>
      <c r="AU4577" s="71" t="s">
        <v>242</v>
      </c>
    </row>
    <row r="4578" spans="15:47" ht="13" x14ac:dyDescent="0.3">
      <c r="O4578" s="6" t="s">
        <v>231</v>
      </c>
      <c r="P4578" s="6"/>
      <c r="Q4578" s="60"/>
      <c r="R4578" s="85">
        <f>P_1_minQ-(R4576^2*R_up)+dpup_minQ</f>
        <v>-217.54662669109004</v>
      </c>
      <c r="S4578" s="56"/>
      <c r="T4578" s="72"/>
      <c r="U4578" s="53">
        <f>P_1_minQ-(U4576^2*R_up)+dpup_minQ</f>
        <v>-43.143314637239165</v>
      </c>
      <c r="V4578" s="44"/>
      <c r="W4578" s="72"/>
      <c r="X4578" s="53">
        <f>P_1_minQ-(X4576^2*R_up)+dpup_minQ</f>
        <v>-519.61122855993517</v>
      </c>
      <c r="Y4578" s="44"/>
      <c r="Z4578" s="72"/>
      <c r="AA4578" s="53">
        <f>P_1_minQ-(AA4576^2*R_up)+dpup_minQ</f>
        <v>-2044.9183880978628</v>
      </c>
      <c r="AB4578" s="44"/>
      <c r="AC4578" s="72"/>
      <c r="AD4578" s="53">
        <f>P_1_minQ-(AD4576^2*R_up)+dpup_minQ</f>
        <v>-5628.1549642014252</v>
      </c>
      <c r="AE4578" s="44"/>
      <c r="AF4578" s="72"/>
      <c r="AG4578" s="53">
        <f>P_1_minQ-(AG4576^2*R_up)+dpup_minQ</f>
        <v>-12545.267491401919</v>
      </c>
      <c r="AH4578" s="44"/>
      <c r="AI4578" s="72"/>
      <c r="AJ4578" s="53">
        <f>P_1_minQ-(AJ4576^2*R_up)+dpup_minQ</f>
        <v>-22386.320209780715</v>
      </c>
      <c r="AK4578" s="44"/>
      <c r="AL4578" s="72"/>
      <c r="AM4578" s="53">
        <f>P_1_minQ-(AM4576^2*R_up)+dpup_minQ</f>
        <v>-33358.004527099249</v>
      </c>
      <c r="AN4578" s="44"/>
      <c r="AO4578" s="72"/>
      <c r="AP4578" s="53">
        <f>P_1_minQ-(AP4576^2*R_up)+dpup_minQ</f>
        <v>-44981.348438196153</v>
      </c>
      <c r="AQ4578" s="44"/>
      <c r="AR4578" s="72"/>
      <c r="AS4578" s="53">
        <f>P_1_minQ-(AS4576^2*R_up)+dpup_minQ</f>
        <v>-58279.180471024702</v>
      </c>
      <c r="AT4578" s="44"/>
      <c r="AU4578" s="72"/>
    </row>
    <row r="4579" spans="15:47" ht="13" x14ac:dyDescent="0.3">
      <c r="O4579" s="6" t="s">
        <v>233</v>
      </c>
      <c r="P4579" s="6"/>
      <c r="Q4579" s="60"/>
      <c r="R4579" s="85">
        <f>P_2_minQ+(R4576^2*R_dn)-dpdn_minQ</f>
        <v>79.549325338218011</v>
      </c>
      <c r="S4579" s="66"/>
      <c r="T4579" s="74"/>
      <c r="U4579" s="53">
        <f>P_2_minQ+(U4576^2*R_dn)-dpdn_minQ</f>
        <v>44.668662927447834</v>
      </c>
      <c r="V4579" s="45"/>
      <c r="W4579" s="74"/>
      <c r="X4579" s="53">
        <f>P_2_minQ+(X4576^2*R_dn)-dpdn_minQ</f>
        <v>139.96224571198704</v>
      </c>
      <c r="Y4579" s="45"/>
      <c r="Z4579" s="74"/>
      <c r="AA4579" s="53">
        <f>P_2_minQ+(AA4576^2*R_dn)-dpdn_minQ</f>
        <v>445.02367761957254</v>
      </c>
      <c r="AB4579" s="45"/>
      <c r="AC4579" s="74"/>
      <c r="AD4579" s="53">
        <f>P_2_minQ+(AD4576^2*R_dn)-dpdn_minQ</f>
        <v>1161.670992840285</v>
      </c>
      <c r="AE4579" s="45"/>
      <c r="AF4579" s="74"/>
      <c r="AG4579" s="53">
        <f>P_2_minQ+(AG4576^2*R_dn)-dpdn_minQ</f>
        <v>2545.0934982803838</v>
      </c>
      <c r="AH4579" s="45"/>
      <c r="AI4579" s="74"/>
      <c r="AJ4579" s="53">
        <f>P_2_minQ+(AJ4576^2*R_dn)-dpdn_minQ</f>
        <v>4513.3040419561421</v>
      </c>
      <c r="AK4579" s="45"/>
      <c r="AL4579" s="74"/>
      <c r="AM4579" s="53">
        <f>P_2_minQ+(AM4576^2*R_dn)-dpdn_minQ</f>
        <v>6707.6409054198493</v>
      </c>
      <c r="AN4579" s="45"/>
      <c r="AO4579" s="74"/>
      <c r="AP4579" s="53">
        <f>P_2_minQ+(AP4576^2*R_dn)-dpdn_minQ</f>
        <v>9032.3096876392301</v>
      </c>
      <c r="AQ4579" s="45"/>
      <c r="AR4579" s="74"/>
      <c r="AS4579" s="53">
        <f>P_2_minQ+(AS4576^2*R_dn)-dpdn_minQ</f>
        <v>11691.876094204939</v>
      </c>
      <c r="AT4579" s="45"/>
      <c r="AU4579" s="74"/>
    </row>
    <row r="4580" spans="15:47" x14ac:dyDescent="0.25">
      <c r="O4580" s="6" t="s">
        <v>243</v>
      </c>
      <c r="Q4580" s="60"/>
      <c r="R4580" s="53">
        <f>R4578-R4579</f>
        <v>-297.09595202930802</v>
      </c>
      <c r="S4580" s="56"/>
      <c r="T4580" s="72"/>
      <c r="U4580" s="64">
        <f>U4578-U4579</f>
        <v>-87.811977564686998</v>
      </c>
      <c r="V4580" s="44"/>
      <c r="W4580" s="72"/>
      <c r="X4580" s="64">
        <f>X4578-X4579</f>
        <v>-659.57347427192224</v>
      </c>
      <c r="Y4580" s="44"/>
      <c r="Z4580" s="72"/>
      <c r="AA4580" s="64">
        <f>AA4578-AA4579</f>
        <v>-2489.9420657174355</v>
      </c>
      <c r="AB4580" s="44"/>
      <c r="AC4580" s="72"/>
      <c r="AD4580" s="64">
        <f>AD4578-AD4579</f>
        <v>-6789.8259570417104</v>
      </c>
      <c r="AE4580" s="44"/>
      <c r="AF4580" s="72"/>
      <c r="AG4580" s="64">
        <f>AG4578-AG4579</f>
        <v>-15090.360989682304</v>
      </c>
      <c r="AH4580" s="44"/>
      <c r="AI4580" s="72"/>
      <c r="AJ4580" s="64">
        <f>AJ4578-AJ4579</f>
        <v>-26899.624251736859</v>
      </c>
      <c r="AK4580" s="44"/>
      <c r="AL4580" s="72"/>
      <c r="AM4580" s="64">
        <f>AM4578-AM4579</f>
        <v>-40065.645432519101</v>
      </c>
      <c r="AN4580" s="44"/>
      <c r="AO4580" s="72"/>
      <c r="AP4580" s="64">
        <f>AP4578-AP4579</f>
        <v>-54013.658125835384</v>
      </c>
      <c r="AQ4580" s="44"/>
      <c r="AR4580" s="72"/>
      <c r="AS4580" s="64">
        <f>AS4578-AS4579</f>
        <v>-69971.056565229635</v>
      </c>
      <c r="AT4580" s="44"/>
      <c r="AU4580" s="72"/>
    </row>
    <row r="4581" spans="15:47" ht="13" x14ac:dyDescent="0.3">
      <c r="O4581" s="6" t="s">
        <v>75</v>
      </c>
      <c r="P4581" s="6">
        <v>3</v>
      </c>
      <c r="Q4581" s="65"/>
      <c r="R4581" s="85">
        <f>(F_LP_h/F_P_h)^2*(R4578-('Valve Sizing'!$V$4*'Valve Sizing'!$G$7))</f>
        <v>-180.50441675781767</v>
      </c>
      <c r="S4581" s="58"/>
      <c r="T4581" s="73"/>
      <c r="U4581" s="53">
        <f>(U$29/U$27)^2*(U4578-('Valve Sizing'!$V$4*'Valve Sizing'!$G$7))</f>
        <v>-36.079483500346662</v>
      </c>
      <c r="V4581" s="41"/>
      <c r="W4581" s="73"/>
      <c r="X4581" s="53">
        <f>(X$29/X$27)^2*(X4578-('Valve Sizing'!$V$4*'Valve Sizing'!$G$7))</f>
        <v>-420.80135217702133</v>
      </c>
      <c r="Y4581" s="41"/>
      <c r="Z4581" s="73"/>
      <c r="AA4581" s="53">
        <f>(AA$29/AA$27)^2*(AA4578-('Valve Sizing'!$V$4*'Valve Sizing'!$G$7))</f>
        <v>-1580.6473235601873</v>
      </c>
      <c r="AB4581" s="41"/>
      <c r="AC4581" s="73"/>
      <c r="AD4581" s="53">
        <f>(AD$29/AD$27)^2*(AD4578-('Valve Sizing'!$V$4*'Valve Sizing'!$G$7))</f>
        <v>-4059.2718498647005</v>
      </c>
      <c r="AE4581" s="41"/>
      <c r="AF4581" s="73"/>
      <c r="AG4581" s="53">
        <f>(AG$29/AG$27)^2*(AG4578-('Valve Sizing'!$V$4*'Valve Sizing'!$G$7))</f>
        <v>-8079.9870602912597</v>
      </c>
      <c r="AH4581" s="41"/>
      <c r="AI4581" s="73"/>
      <c r="AJ4581" s="53">
        <f>(AJ$29/AJ$27)^2*(AJ4578-('Valve Sizing'!$V$4*'Valve Sizing'!$G$7))</f>
        <v>-12947.703722190945</v>
      </c>
      <c r="AK4581" s="41"/>
      <c r="AL4581" s="73"/>
      <c r="AM4581" s="53">
        <f>(AM$29/AM$27)^2*(AM4578-('Valve Sizing'!$V$4*'Valve Sizing'!$G$7))</f>
        <v>-15961.086677929734</v>
      </c>
      <c r="AN4581" s="41"/>
      <c r="AO4581" s="73"/>
      <c r="AP4581" s="53">
        <f>(AP$29/AP$27)^2*(AP4578-('Valve Sizing'!$V$4*'Valve Sizing'!$G$7))</f>
        <v>-17751.020483029803</v>
      </c>
      <c r="AQ4581" s="41"/>
      <c r="AR4581" s="73"/>
      <c r="AS4581" s="53">
        <f>(AS$29/AS$27)^2*(AS4578-('Valve Sizing'!$V$4*'Valve Sizing'!$G$7))</f>
        <v>-21921.34274573209</v>
      </c>
      <c r="AT4581" s="41"/>
      <c r="AU4581" s="73"/>
    </row>
    <row r="4582" spans="15:47" ht="13" x14ac:dyDescent="0.25">
      <c r="O4582" s="1" t="s">
        <v>69</v>
      </c>
      <c r="P4582" s="17">
        <v>7</v>
      </c>
      <c r="Q4582" s="65"/>
      <c r="R4582" s="53" t="e">
        <f>(R4576/(N_1*F_P_h))*SQRT('Valve Sizing'!$G$6/R4580)</f>
        <v>#NUM!</v>
      </c>
      <c r="S4582" s="58"/>
      <c r="T4582" s="73"/>
      <c r="U4582" s="64" t="e">
        <f>(U4576/(N_1*U$27))*SQRT('Valve Sizing'!$G$6/U4580)</f>
        <v>#NUM!</v>
      </c>
      <c r="V4582" s="41"/>
      <c r="W4582" s="73"/>
      <c r="X4582" s="64" t="e">
        <f>(X4576/(N_1*X$27))*SQRT('Valve Sizing'!$G$6/X4580)</f>
        <v>#NUM!</v>
      </c>
      <c r="Y4582" s="41"/>
      <c r="Z4582" s="73"/>
      <c r="AA4582" s="64" t="e">
        <f>(AA4576/(N_1*AA$27))*SQRT('Valve Sizing'!$G$6/AA4580)</f>
        <v>#NUM!</v>
      </c>
      <c r="AB4582" s="41"/>
      <c r="AC4582" s="73"/>
      <c r="AD4582" s="64" t="e">
        <f>(AD4576/(N_1*AD$27))*SQRT('Valve Sizing'!$G$6/AD4580)</f>
        <v>#NUM!</v>
      </c>
      <c r="AE4582" s="41"/>
      <c r="AF4582" s="73"/>
      <c r="AG4582" s="64" t="e">
        <f>(AG4576/(N_1*AG$27))*SQRT('Valve Sizing'!$G$6/AG4580)</f>
        <v>#NUM!</v>
      </c>
      <c r="AH4582" s="41"/>
      <c r="AI4582" s="73"/>
      <c r="AJ4582" s="64" t="e">
        <f>(AJ4576/(N_1*AJ$27))*SQRT('Valve Sizing'!$G$6/AJ4580)</f>
        <v>#NUM!</v>
      </c>
      <c r="AK4582" s="41"/>
      <c r="AL4582" s="73"/>
      <c r="AM4582" s="64" t="e">
        <f>(AM4576/(N_1*AM$27))*SQRT('Valve Sizing'!$G$6/AM4580)</f>
        <v>#NUM!</v>
      </c>
      <c r="AN4582" s="41"/>
      <c r="AO4582" s="73"/>
      <c r="AP4582" s="64" t="e">
        <f>(AP4576/(N_1*AP$27))*SQRT('Valve Sizing'!$G$6/AP4580)</f>
        <v>#NUM!</v>
      </c>
      <c r="AQ4582" s="41"/>
      <c r="AR4582" s="73"/>
      <c r="AS4582" s="64" t="e">
        <f>(AS4576/(N_1*AS$27))*SQRT('Valve Sizing'!$G$6/AS4580)</f>
        <v>#NUM!</v>
      </c>
      <c r="AT4582" s="41"/>
      <c r="AU4582" s="73"/>
    </row>
    <row r="4583" spans="15:47" ht="13" x14ac:dyDescent="0.3">
      <c r="O4583" s="1" t="s">
        <v>72</v>
      </c>
      <c r="P4583" s="17">
        <v>7</v>
      </c>
      <c r="Q4583" s="65"/>
      <c r="R4583" s="53" t="e">
        <f>(R4576/(N_1*F_P_h))*SQRT('Valve Sizing'!$G$6/R4581)</f>
        <v>#NUM!</v>
      </c>
      <c r="S4583" s="56"/>
      <c r="T4583" s="72"/>
      <c r="U4583" s="85" t="e">
        <f>(U4576/(N_1*U$27))*SQRT('Valve Sizing'!$G$6/U4581)</f>
        <v>#NUM!</v>
      </c>
      <c r="V4583" s="44"/>
      <c r="W4583" s="72"/>
      <c r="X4583" s="85" t="e">
        <f>(X4576/(N_1*X$27))*SQRT('Valve Sizing'!$G$6/X4581)</f>
        <v>#NUM!</v>
      </c>
      <c r="Y4583" s="44"/>
      <c r="Z4583" s="72"/>
      <c r="AA4583" s="85" t="e">
        <f>(AA4576/(N_1*AA$27))*SQRT('Valve Sizing'!$G$6/AA4581)</f>
        <v>#NUM!</v>
      </c>
      <c r="AB4583" s="44"/>
      <c r="AC4583" s="72"/>
      <c r="AD4583" s="85" t="e">
        <f>(AD4576/(N_1*AD$27))*SQRT('Valve Sizing'!$G$6/AD4581)</f>
        <v>#NUM!</v>
      </c>
      <c r="AE4583" s="44"/>
      <c r="AF4583" s="72"/>
      <c r="AG4583" s="85" t="e">
        <f>(AG4576/(N_1*AG$27))*SQRT('Valve Sizing'!$G$6/AG4581)</f>
        <v>#NUM!</v>
      </c>
      <c r="AH4583" s="44"/>
      <c r="AI4583" s="72"/>
      <c r="AJ4583" s="85" t="e">
        <f>(AJ4576/(N_1*AJ$27))*SQRT('Valve Sizing'!$G$6/AJ4581)</f>
        <v>#NUM!</v>
      </c>
      <c r="AK4583" s="44"/>
      <c r="AL4583" s="72"/>
      <c r="AM4583" s="85" t="e">
        <f>(AM4576/(N_1*AM$27))*SQRT('Valve Sizing'!$G$6/AM4581)</f>
        <v>#NUM!</v>
      </c>
      <c r="AN4583" s="44"/>
      <c r="AO4583" s="72"/>
      <c r="AP4583" s="85" t="e">
        <f>(AP4576/(N_1*AP$27))*SQRT('Valve Sizing'!$G$6/AP4581)</f>
        <v>#NUM!</v>
      </c>
      <c r="AQ4583" s="44"/>
      <c r="AR4583" s="72"/>
      <c r="AS4583" s="85" t="e">
        <f>(AS4576/(N_1*AS$27))*SQRT('Valve Sizing'!$G$6/AS4581)</f>
        <v>#NUM!</v>
      </c>
      <c r="AT4583" s="44"/>
      <c r="AU4583" s="72"/>
    </row>
    <row r="4584" spans="15:47" x14ac:dyDescent="0.25">
      <c r="O4584" s="1" t="s">
        <v>246</v>
      </c>
      <c r="P4584" s="18"/>
      <c r="Q4584" s="65"/>
      <c r="R4584" s="53" t="e">
        <f>IF(R4580&lt;R4581,R4582,R4583)</f>
        <v>#NUM!</v>
      </c>
      <c r="S4584" s="49"/>
      <c r="T4584" s="72"/>
      <c r="U4584" s="64" t="e">
        <f>IF(U4580&lt;U4581,U4582,U4583)</f>
        <v>#NUM!</v>
      </c>
      <c r="V4584" s="44"/>
      <c r="W4584" s="72"/>
      <c r="X4584" s="64" t="e">
        <f>IF(X4580&lt;X4581,X4582,X4583)</f>
        <v>#NUM!</v>
      </c>
      <c r="Y4584" s="44"/>
      <c r="Z4584" s="72"/>
      <c r="AA4584" s="64" t="e">
        <f>IF(AA4580&lt;AA4581,AA4582,AA4583)</f>
        <v>#NUM!</v>
      </c>
      <c r="AB4584" s="44"/>
      <c r="AC4584" s="72"/>
      <c r="AD4584" s="64" t="e">
        <f>IF(AD4580&lt;AD4581,AD4582,AD4583)</f>
        <v>#NUM!</v>
      </c>
      <c r="AE4584" s="44"/>
      <c r="AF4584" s="72"/>
      <c r="AG4584" s="64" t="e">
        <f>IF(AG4580&lt;AG4581,AG4582,AG4583)</f>
        <v>#NUM!</v>
      </c>
      <c r="AH4584" s="44"/>
      <c r="AI4584" s="72"/>
      <c r="AJ4584" s="64" t="e">
        <f>IF(AJ4580&lt;AJ4581,AJ4582,AJ4583)</f>
        <v>#NUM!</v>
      </c>
      <c r="AK4584" s="44"/>
      <c r="AL4584" s="72"/>
      <c r="AM4584" s="64" t="e">
        <f>IF(AM4580&lt;AM4581,AM4582,AM4583)</f>
        <v>#NUM!</v>
      </c>
      <c r="AN4584" s="44"/>
      <c r="AO4584" s="72"/>
      <c r="AP4584" s="64" t="e">
        <f>IF(AP4580&lt;AP4581,AP4582,AP4583)</f>
        <v>#NUM!</v>
      </c>
      <c r="AQ4584" s="44"/>
      <c r="AR4584" s="72"/>
      <c r="AS4584" s="64" t="e">
        <f>IF(AS4580&lt;AS4581,AS4582,AS4583)</f>
        <v>#NUM!</v>
      </c>
      <c r="AT4584" s="44"/>
      <c r="AU4584" s="72"/>
    </row>
    <row r="4585" spans="15:47" ht="13" x14ac:dyDescent="0.3">
      <c r="O4585" s="7" t="s">
        <v>264</v>
      </c>
      <c r="Q4585" s="61"/>
      <c r="R4585" s="53"/>
      <c r="S4585" s="69">
        <f>IFERROR(ABS(C_h-R4584),Q_max*10)</f>
        <v>5500</v>
      </c>
      <c r="T4585" s="76">
        <f>R4576</f>
        <v>2850.761760709438</v>
      </c>
      <c r="U4585" s="61"/>
      <c r="V4585" s="69">
        <f>IFERROR(ABS(U$23-U4584),Q_max*10)</f>
        <v>5500</v>
      </c>
      <c r="W4585" s="75">
        <f>U4576</f>
        <v>1721.2671339477354</v>
      </c>
      <c r="X4585" s="61"/>
      <c r="Y4585" s="69">
        <f>IFERROR(ABS(X$23-X4584),Q_max*10)</f>
        <v>5500</v>
      </c>
      <c r="Z4585" s="75">
        <f>X4576</f>
        <v>4131.7037015811866</v>
      </c>
      <c r="AA4585" s="61"/>
      <c r="AB4585" s="69">
        <f>IFERROR(ABS(AA$23-AA4584),Q_max*10)</f>
        <v>5500</v>
      </c>
      <c r="AC4585" s="75">
        <f>AA4576</f>
        <v>7888.936586865033</v>
      </c>
      <c r="AD4585" s="61"/>
      <c r="AE4585" s="69">
        <f>IFERROR(ABS(AD$23-AD4584),Q_max*10)</f>
        <v>5500</v>
      </c>
      <c r="AF4585" s="75">
        <f>AD4576</f>
        <v>12974.396151266701</v>
      </c>
      <c r="AG4585" s="61"/>
      <c r="AH4585" s="69">
        <f>IFERROR(ABS(AG$23-AG4584),Q_max*10)</f>
        <v>5500</v>
      </c>
      <c r="AI4585" s="75">
        <f>AG4576</f>
        <v>19317.107894827601</v>
      </c>
      <c r="AJ4585" s="61"/>
      <c r="AK4585" s="69">
        <f>IFERROR(ABS(AJ$23-AJ4584),Q_max*10)</f>
        <v>5500</v>
      </c>
      <c r="AL4585" s="75">
        <f>AJ4576</f>
        <v>25778.755369714941</v>
      </c>
      <c r="AM4585" s="61"/>
      <c r="AN4585" s="69">
        <f>IFERROR(ABS(AM$23-AM4584),Q_max*10)</f>
        <v>5500</v>
      </c>
      <c r="AO4585" s="75">
        <f>AM4576</f>
        <v>31454.980544381342</v>
      </c>
      <c r="AP4585" s="61"/>
      <c r="AQ4585" s="69">
        <f>IFERROR(ABS(AP$23-AP4584),Q_max*10)</f>
        <v>5500</v>
      </c>
      <c r="AR4585" s="75">
        <f>AP4576</f>
        <v>36518.255903794037</v>
      </c>
      <c r="AS4585" s="61"/>
      <c r="AT4585" s="69">
        <f>IFERROR(ABS(AS$23-AS4584),Q_max*10)</f>
        <v>5500</v>
      </c>
      <c r="AU4585" s="75">
        <f>AS4576</f>
        <v>41561.181657251291</v>
      </c>
    </row>
    <row r="4586" spans="15:47" ht="14.5" x14ac:dyDescent="0.35">
      <c r="O4586" s="8"/>
      <c r="P4586" s="6"/>
      <c r="Q4586" s="60"/>
      <c r="R4586" s="67"/>
      <c r="S4586" s="58"/>
      <c r="T4586" s="73"/>
      <c r="V4586" s="11"/>
      <c r="W4586" s="38"/>
      <c r="Y4586" s="11"/>
      <c r="Z4586" s="38"/>
      <c r="AB4586" s="11"/>
      <c r="AC4586" s="38"/>
      <c r="AE4586" s="11"/>
      <c r="AF4586" s="38"/>
      <c r="AH4586" s="11"/>
      <c r="AI4586" s="38"/>
      <c r="AK4586" s="11"/>
      <c r="AL4586" s="38"/>
      <c r="AN4586" s="11"/>
      <c r="AO4586" s="38"/>
      <c r="AQ4586" s="11"/>
      <c r="AR4586" s="38"/>
      <c r="AT4586" s="11"/>
      <c r="AU4586" s="38"/>
    </row>
    <row r="4587" spans="15:47" ht="14" x14ac:dyDescent="0.3">
      <c r="O4587" s="8" t="s">
        <v>235</v>
      </c>
      <c r="P4587" s="6"/>
      <c r="Q4587" s="60"/>
      <c r="R4587" s="53">
        <f>R4576*1.02</f>
        <v>2907.7769959236271</v>
      </c>
      <c r="S4587" s="58" t="s">
        <v>238</v>
      </c>
      <c r="T4587" s="73" t="s">
        <v>241</v>
      </c>
      <c r="U4587" s="84">
        <f>U4576*1.01</f>
        <v>1738.4798052872127</v>
      </c>
      <c r="V4587" s="58" t="s">
        <v>238</v>
      </c>
      <c r="W4587" s="73" t="s">
        <v>241</v>
      </c>
      <c r="X4587" s="84">
        <f>X4576*1.01</f>
        <v>4173.0207385969989</v>
      </c>
      <c r="Y4587" s="58" t="s">
        <v>238</v>
      </c>
      <c r="Z4587" s="73" t="s">
        <v>241</v>
      </c>
      <c r="AA4587" s="84">
        <f>AA4576*1.01</f>
        <v>7967.8259527336832</v>
      </c>
      <c r="AB4587" s="58" t="s">
        <v>238</v>
      </c>
      <c r="AC4587" s="73" t="s">
        <v>241</v>
      </c>
      <c r="AD4587" s="84">
        <f>AD4576*1.01</f>
        <v>13104.140112779369</v>
      </c>
      <c r="AE4587" s="58" t="s">
        <v>238</v>
      </c>
      <c r="AF4587" s="73" t="s">
        <v>241</v>
      </c>
      <c r="AG4587" s="84">
        <f>AG4576*1.01</f>
        <v>19510.278973775876</v>
      </c>
      <c r="AH4587" s="58" t="s">
        <v>238</v>
      </c>
      <c r="AI4587" s="73" t="s">
        <v>241</v>
      </c>
      <c r="AJ4587" s="84">
        <f>AJ4576*1.01</f>
        <v>26036.542923412093</v>
      </c>
      <c r="AK4587" s="58" t="s">
        <v>238</v>
      </c>
      <c r="AL4587" s="73" t="s">
        <v>241</v>
      </c>
      <c r="AM4587" s="84">
        <f>AM4576*1.01</f>
        <v>31769.530349825156</v>
      </c>
      <c r="AN4587" s="58" t="s">
        <v>238</v>
      </c>
      <c r="AO4587" s="73" t="s">
        <v>241</v>
      </c>
      <c r="AP4587" s="84">
        <f>AP4576*1.01</f>
        <v>36883.438462831975</v>
      </c>
      <c r="AQ4587" s="58" t="s">
        <v>238</v>
      </c>
      <c r="AR4587" s="73" t="s">
        <v>241</v>
      </c>
      <c r="AS4587" s="84">
        <f>AS4576*1.01</f>
        <v>41976.793473823804</v>
      </c>
      <c r="AT4587" s="58" t="s">
        <v>238</v>
      </c>
      <c r="AU4587" s="73" t="s">
        <v>241</v>
      </c>
    </row>
    <row r="4588" spans="15:47" ht="13" x14ac:dyDescent="0.25">
      <c r="O4588" s="6"/>
      <c r="P4588" s="6"/>
      <c r="Q4588" s="60"/>
      <c r="R4588" s="70"/>
      <c r="S4588" s="63" t="s">
        <v>250</v>
      </c>
      <c r="T4588" s="71" t="s">
        <v>242</v>
      </c>
      <c r="U4588" s="61"/>
      <c r="V4588" s="63" t="s">
        <v>250</v>
      </c>
      <c r="W4588" s="71" t="s">
        <v>242</v>
      </c>
      <c r="X4588" s="61"/>
      <c r="Y4588" s="63" t="s">
        <v>250</v>
      </c>
      <c r="Z4588" s="71" t="s">
        <v>242</v>
      </c>
      <c r="AA4588" s="61"/>
      <c r="AB4588" s="63" t="s">
        <v>250</v>
      </c>
      <c r="AC4588" s="71" t="s">
        <v>242</v>
      </c>
      <c r="AD4588" s="61"/>
      <c r="AE4588" s="63" t="s">
        <v>250</v>
      </c>
      <c r="AF4588" s="71" t="s">
        <v>242</v>
      </c>
      <c r="AG4588" s="61"/>
      <c r="AH4588" s="63" t="s">
        <v>250</v>
      </c>
      <c r="AI4588" s="71" t="s">
        <v>242</v>
      </c>
      <c r="AJ4588" s="61"/>
      <c r="AK4588" s="63" t="s">
        <v>250</v>
      </c>
      <c r="AL4588" s="71" t="s">
        <v>242</v>
      </c>
      <c r="AM4588" s="61"/>
      <c r="AN4588" s="63" t="s">
        <v>250</v>
      </c>
      <c r="AO4588" s="71" t="s">
        <v>242</v>
      </c>
      <c r="AP4588" s="61"/>
      <c r="AQ4588" s="63" t="s">
        <v>250</v>
      </c>
      <c r="AR4588" s="71" t="s">
        <v>242</v>
      </c>
      <c r="AS4588" s="61"/>
      <c r="AT4588" s="63" t="s">
        <v>250</v>
      </c>
      <c r="AU4588" s="71" t="s">
        <v>242</v>
      </c>
    </row>
    <row r="4589" spans="15:47" ht="13" x14ac:dyDescent="0.3">
      <c r="O4589" s="6" t="s">
        <v>231</v>
      </c>
      <c r="P4589" s="6"/>
      <c r="Q4589" s="60"/>
      <c r="R4589" s="85">
        <f>P_1_minQ-(R4587^2*R_up)+dpup_minQ</f>
        <v>-228.63492259448273</v>
      </c>
      <c r="S4589" s="56"/>
      <c r="T4589" s="72"/>
      <c r="U4589" s="53">
        <f>P_1_minQ-(U4587^2*R_up)+dpup_minQ</f>
        <v>-45.154509739664483</v>
      </c>
      <c r="V4589" s="44"/>
      <c r="W4589" s="72"/>
      <c r="X4589" s="53">
        <f>P_1_minQ-(X4587^2*R_up)+dpup_minQ</f>
        <v>-531.1994287322068</v>
      </c>
      <c r="Y4589" s="44"/>
      <c r="Z4589" s="72"/>
      <c r="AA4589" s="53">
        <f>P_1_minQ-(AA4587^2*R_up)+dpup_minQ</f>
        <v>-2087.1652621768467</v>
      </c>
      <c r="AB4589" s="44"/>
      <c r="AC4589" s="72"/>
      <c r="AD4589" s="53">
        <f>P_1_minQ-(AD4587^2*R_up)+dpup_minQ</f>
        <v>-5742.424893460091</v>
      </c>
      <c r="AE4589" s="44"/>
      <c r="AF4589" s="72"/>
      <c r="AG4589" s="53">
        <f>P_1_minQ-(AG4587^2*R_up)+dpup_minQ</f>
        <v>-12798.571382457314</v>
      </c>
      <c r="AH4589" s="44"/>
      <c r="AI4589" s="72"/>
      <c r="AJ4589" s="53">
        <f>P_1_minQ-(AJ4587^2*R_up)+dpup_minQ</f>
        <v>-22837.429260475525</v>
      </c>
      <c r="AK4589" s="44"/>
      <c r="AL4589" s="72"/>
      <c r="AM4589" s="53">
        <f>P_1_minQ-(AM4587^2*R_up)+dpup_minQ</f>
        <v>-34029.64443257216</v>
      </c>
      <c r="AN4589" s="44"/>
      <c r="AO4589" s="72"/>
      <c r="AP4589" s="53">
        <f>P_1_minQ-(AP4587^2*R_up)+dpup_minQ</f>
        <v>-45886.617556282108</v>
      </c>
      <c r="AQ4589" s="44"/>
      <c r="AR4589" s="72"/>
      <c r="AS4589" s="53">
        <f>P_1_minQ-(AS4587^2*R_up)+dpup_minQ</f>
        <v>-59451.736012970505</v>
      </c>
      <c r="AT4589" s="44"/>
      <c r="AU4589" s="72"/>
    </row>
    <row r="4590" spans="15:47" ht="13" x14ac:dyDescent="0.3">
      <c r="O4590" s="6" t="s">
        <v>233</v>
      </c>
      <c r="P4590" s="6"/>
      <c r="Q4590" s="60"/>
      <c r="R4590" s="85">
        <f>P_2_minQ+(R4587^2*R_dn)-dpdn_minQ</f>
        <v>81.76698451889655</v>
      </c>
      <c r="S4590" s="66"/>
      <c r="T4590" s="74"/>
      <c r="U4590" s="53">
        <f>P_2_minQ+(U4587^2*R_dn)-dpdn_minQ</f>
        <v>45.070901947932896</v>
      </c>
      <c r="V4590" s="45"/>
      <c r="W4590" s="74"/>
      <c r="X4590" s="53">
        <f>P_2_minQ+(X4587^2*R_dn)-dpdn_minQ</f>
        <v>142.27988574644135</v>
      </c>
      <c r="Y4590" s="45"/>
      <c r="Z4590" s="74"/>
      <c r="AA4590" s="53">
        <f>P_2_minQ+(AA4587^2*R_dn)-dpdn_minQ</f>
        <v>453.47305243536925</v>
      </c>
      <c r="AB4590" s="45"/>
      <c r="AC4590" s="74"/>
      <c r="AD4590" s="53">
        <f>P_2_minQ+(AD4587^2*R_dn)-dpdn_minQ</f>
        <v>1184.5249786920181</v>
      </c>
      <c r="AE4590" s="45"/>
      <c r="AF4590" s="74"/>
      <c r="AG4590" s="53">
        <f>P_2_minQ+(AG4587^2*R_dn)-dpdn_minQ</f>
        <v>2595.7542764914624</v>
      </c>
      <c r="AH4590" s="45"/>
      <c r="AI4590" s="74"/>
      <c r="AJ4590" s="53">
        <f>P_2_minQ+(AJ4587^2*R_dn)-dpdn_minQ</f>
        <v>4603.5258520951047</v>
      </c>
      <c r="AK4590" s="45"/>
      <c r="AL4590" s="74"/>
      <c r="AM4590" s="53">
        <f>P_2_minQ+(AM4587^2*R_dn)-dpdn_minQ</f>
        <v>6841.9688865144317</v>
      </c>
      <c r="AN4590" s="45"/>
      <c r="AO4590" s="74"/>
      <c r="AP4590" s="53">
        <f>P_2_minQ+(AP4587^2*R_dn)-dpdn_minQ</f>
        <v>9213.3635112564225</v>
      </c>
      <c r="AQ4590" s="45"/>
      <c r="AR4590" s="74"/>
      <c r="AS4590" s="53">
        <f>P_2_minQ+(AS4587^2*R_dn)-dpdn_minQ</f>
        <v>11926.387202594102</v>
      </c>
      <c r="AT4590" s="45"/>
      <c r="AU4590" s="74"/>
    </row>
    <row r="4591" spans="15:47" x14ac:dyDescent="0.25">
      <c r="O4591" s="6" t="s">
        <v>243</v>
      </c>
      <c r="Q4591" s="60"/>
      <c r="R4591" s="53">
        <f>R4589-R4590</f>
        <v>-310.40190711337925</v>
      </c>
      <c r="S4591" s="56"/>
      <c r="T4591" s="72"/>
      <c r="U4591" s="64">
        <f>U4589-U4590</f>
        <v>-90.225411687597386</v>
      </c>
      <c r="V4591" s="44"/>
      <c r="W4591" s="72"/>
      <c r="X4591" s="64">
        <f>X4589-X4590</f>
        <v>-673.47931447864812</v>
      </c>
      <c r="Y4591" s="44"/>
      <c r="Z4591" s="72"/>
      <c r="AA4591" s="64">
        <f>AA4589-AA4590</f>
        <v>-2540.6383146122162</v>
      </c>
      <c r="AB4591" s="44"/>
      <c r="AC4591" s="72"/>
      <c r="AD4591" s="64">
        <f>AD4589-AD4590</f>
        <v>-6926.9498721521086</v>
      </c>
      <c r="AE4591" s="44"/>
      <c r="AF4591" s="72"/>
      <c r="AG4591" s="64">
        <f>AG4589-AG4590</f>
        <v>-15394.325658948776</v>
      </c>
      <c r="AH4591" s="44"/>
      <c r="AI4591" s="72"/>
      <c r="AJ4591" s="64">
        <f>AJ4589-AJ4590</f>
        <v>-27440.955112570628</v>
      </c>
      <c r="AK4591" s="44"/>
      <c r="AL4591" s="72"/>
      <c r="AM4591" s="64">
        <f>AM4589-AM4590</f>
        <v>-40871.613319086595</v>
      </c>
      <c r="AN4591" s="44"/>
      <c r="AO4591" s="72"/>
      <c r="AP4591" s="64">
        <f>AP4589-AP4590</f>
        <v>-55099.981067538531</v>
      </c>
      <c r="AQ4591" s="44"/>
      <c r="AR4591" s="72"/>
      <c r="AS4591" s="64">
        <f>AS4589-AS4590</f>
        <v>-71378.123215564614</v>
      </c>
      <c r="AT4591" s="44"/>
      <c r="AU4591" s="72"/>
    </row>
    <row r="4592" spans="15:47" ht="13" x14ac:dyDescent="0.3">
      <c r="O4592" s="6" t="s">
        <v>75</v>
      </c>
      <c r="P4592" s="6">
        <v>3</v>
      </c>
      <c r="Q4592" s="65"/>
      <c r="R4592" s="85">
        <f>(F_LP_h/F_P_h)^2*(R4589-('Valve Sizing'!$V$4*'Valve Sizing'!$G$7))</f>
        <v>-189.68610778979891</v>
      </c>
      <c r="S4592" s="58"/>
      <c r="T4592" s="73"/>
      <c r="U4592" s="53">
        <f>(U$29/U$27)^2*(U4589-('Valve Sizing'!$V$4*'Valve Sizing'!$G$7))</f>
        <v>-37.744404700205529</v>
      </c>
      <c r="V4592" s="41"/>
      <c r="W4592" s="73"/>
      <c r="X4592" s="53">
        <f>(X$29/X$27)^2*(X4589-('Valve Sizing'!$V$4*'Valve Sizing'!$G$7))</f>
        <v>-430.17798565705777</v>
      </c>
      <c r="Y4592" s="41"/>
      <c r="Z4592" s="73"/>
      <c r="AA4592" s="53">
        <f>(AA$29/AA$27)^2*(AA4589-('Valve Sizing'!$V$4*'Valve Sizing'!$G$7))</f>
        <v>-1613.2955904592907</v>
      </c>
      <c r="AB4592" s="41"/>
      <c r="AC4592" s="73"/>
      <c r="AD4592" s="53">
        <f>(AD$29/AD$27)^2*(AD4589-('Valve Sizing'!$V$4*'Valve Sizing'!$G$7))</f>
        <v>-4141.6818838649069</v>
      </c>
      <c r="AE4592" s="41"/>
      <c r="AF4592" s="73"/>
      <c r="AG4592" s="53">
        <f>(AG$29/AG$27)^2*(AG4589-('Valve Sizing'!$V$4*'Valve Sizing'!$G$7))</f>
        <v>-8243.1258991366303</v>
      </c>
      <c r="AH4592" s="41"/>
      <c r="AI4592" s="73"/>
      <c r="AJ4592" s="53">
        <f>(AJ$29/AJ$27)^2*(AJ4589-('Valve Sizing'!$V$4*'Valve Sizing'!$G$7))</f>
        <v>-13208.60910845569</v>
      </c>
      <c r="AK4592" s="41"/>
      <c r="AL4592" s="73"/>
      <c r="AM4592" s="53">
        <f>(AM$29/AM$27)^2*(AM4589-('Valve Sizing'!$V$4*'Valve Sizing'!$G$7))</f>
        <v>-16282.447667060042</v>
      </c>
      <c r="AN4592" s="41"/>
      <c r="AO4592" s="73"/>
      <c r="AP4592" s="53">
        <f>(AP$29/AP$27)^2*(AP4589-('Valve Sizing'!$V$4*'Valve Sizing'!$G$7))</f>
        <v>-18108.2639630056</v>
      </c>
      <c r="AQ4592" s="41"/>
      <c r="AR4592" s="73"/>
      <c r="AS4592" s="53">
        <f>(AS$29/AS$27)^2*(AS4589-('Valve Sizing'!$V$4*'Valve Sizing'!$G$7))</f>
        <v>-22362.388718410421</v>
      </c>
      <c r="AT4592" s="41"/>
      <c r="AU4592" s="73"/>
    </row>
    <row r="4593" spans="15:47" ht="13" x14ac:dyDescent="0.25">
      <c r="O4593" s="1" t="s">
        <v>69</v>
      </c>
      <c r="P4593" s="17">
        <v>7</v>
      </c>
      <c r="Q4593" s="65"/>
      <c r="R4593" s="53" t="e">
        <f>(R4587/(N_1*F_P_h))*SQRT('Valve Sizing'!$G$6/R4591)</f>
        <v>#NUM!</v>
      </c>
      <c r="S4593" s="58"/>
      <c r="T4593" s="73"/>
      <c r="U4593" s="64" t="e">
        <f>(U4587/(N_1*U$27))*SQRT('Valve Sizing'!$G$6/U4591)</f>
        <v>#NUM!</v>
      </c>
      <c r="V4593" s="41"/>
      <c r="W4593" s="73"/>
      <c r="X4593" s="64" t="e">
        <f>(X4587/(N_1*X$27))*SQRT('Valve Sizing'!$G$6/X4591)</f>
        <v>#NUM!</v>
      </c>
      <c r="Y4593" s="41"/>
      <c r="Z4593" s="73"/>
      <c r="AA4593" s="64" t="e">
        <f>(AA4587/(N_1*AA$27))*SQRT('Valve Sizing'!$G$6/AA4591)</f>
        <v>#NUM!</v>
      </c>
      <c r="AB4593" s="41"/>
      <c r="AC4593" s="73"/>
      <c r="AD4593" s="64" t="e">
        <f>(AD4587/(N_1*AD$27))*SQRT('Valve Sizing'!$G$6/AD4591)</f>
        <v>#NUM!</v>
      </c>
      <c r="AE4593" s="41"/>
      <c r="AF4593" s="73"/>
      <c r="AG4593" s="64" t="e">
        <f>(AG4587/(N_1*AG$27))*SQRT('Valve Sizing'!$G$6/AG4591)</f>
        <v>#NUM!</v>
      </c>
      <c r="AH4593" s="41"/>
      <c r="AI4593" s="73"/>
      <c r="AJ4593" s="64" t="e">
        <f>(AJ4587/(N_1*AJ$27))*SQRT('Valve Sizing'!$G$6/AJ4591)</f>
        <v>#NUM!</v>
      </c>
      <c r="AK4593" s="41"/>
      <c r="AL4593" s="73"/>
      <c r="AM4593" s="64" t="e">
        <f>(AM4587/(N_1*AM$27))*SQRT('Valve Sizing'!$G$6/AM4591)</f>
        <v>#NUM!</v>
      </c>
      <c r="AN4593" s="41"/>
      <c r="AO4593" s="73"/>
      <c r="AP4593" s="64" t="e">
        <f>(AP4587/(N_1*AP$27))*SQRT('Valve Sizing'!$G$6/AP4591)</f>
        <v>#NUM!</v>
      </c>
      <c r="AQ4593" s="41"/>
      <c r="AR4593" s="73"/>
      <c r="AS4593" s="64" t="e">
        <f>(AS4587/(N_1*AS$27))*SQRT('Valve Sizing'!$G$6/AS4591)</f>
        <v>#NUM!</v>
      </c>
      <c r="AT4593" s="41"/>
      <c r="AU4593" s="73"/>
    </row>
    <row r="4594" spans="15:47" ht="13" x14ac:dyDescent="0.3">
      <c r="O4594" s="1" t="s">
        <v>72</v>
      </c>
      <c r="P4594" s="17">
        <v>7</v>
      </c>
      <c r="Q4594" s="65"/>
      <c r="R4594" s="53" t="e">
        <f>(R4587/(N_1*F_P_h))*SQRT('Valve Sizing'!$G$6/R4592)</f>
        <v>#NUM!</v>
      </c>
      <c r="S4594" s="56"/>
      <c r="T4594" s="72"/>
      <c r="U4594" s="85" t="e">
        <f>(U4587/(N_1*U$27))*SQRT('Valve Sizing'!$G$6/U4592)</f>
        <v>#NUM!</v>
      </c>
      <c r="V4594" s="44"/>
      <c r="W4594" s="72"/>
      <c r="X4594" s="85" t="e">
        <f>(X4587/(N_1*X$27))*SQRT('Valve Sizing'!$G$6/X4592)</f>
        <v>#NUM!</v>
      </c>
      <c r="Y4594" s="44"/>
      <c r="Z4594" s="72"/>
      <c r="AA4594" s="85" t="e">
        <f>(AA4587/(N_1*AA$27))*SQRT('Valve Sizing'!$G$6/AA4592)</f>
        <v>#NUM!</v>
      </c>
      <c r="AB4594" s="44"/>
      <c r="AC4594" s="72"/>
      <c r="AD4594" s="85" t="e">
        <f>(AD4587/(N_1*AD$27))*SQRT('Valve Sizing'!$G$6/AD4592)</f>
        <v>#NUM!</v>
      </c>
      <c r="AE4594" s="44"/>
      <c r="AF4594" s="72"/>
      <c r="AG4594" s="85" t="e">
        <f>(AG4587/(N_1*AG$27))*SQRT('Valve Sizing'!$G$6/AG4592)</f>
        <v>#NUM!</v>
      </c>
      <c r="AH4594" s="44"/>
      <c r="AI4594" s="72"/>
      <c r="AJ4594" s="85" t="e">
        <f>(AJ4587/(N_1*AJ$27))*SQRT('Valve Sizing'!$G$6/AJ4592)</f>
        <v>#NUM!</v>
      </c>
      <c r="AK4594" s="44"/>
      <c r="AL4594" s="72"/>
      <c r="AM4594" s="85" t="e">
        <f>(AM4587/(N_1*AM$27))*SQRT('Valve Sizing'!$G$6/AM4592)</f>
        <v>#NUM!</v>
      </c>
      <c r="AN4594" s="44"/>
      <c r="AO4594" s="72"/>
      <c r="AP4594" s="85" t="e">
        <f>(AP4587/(N_1*AP$27))*SQRT('Valve Sizing'!$G$6/AP4592)</f>
        <v>#NUM!</v>
      </c>
      <c r="AQ4594" s="44"/>
      <c r="AR4594" s="72"/>
      <c r="AS4594" s="85" t="e">
        <f>(AS4587/(N_1*AS$27))*SQRT('Valve Sizing'!$G$6/AS4592)</f>
        <v>#NUM!</v>
      </c>
      <c r="AT4594" s="44"/>
      <c r="AU4594" s="72"/>
    </row>
    <row r="4595" spans="15:47" x14ac:dyDescent="0.25">
      <c r="O4595" s="1" t="s">
        <v>246</v>
      </c>
      <c r="P4595" s="18"/>
      <c r="Q4595" s="65"/>
      <c r="R4595" s="53" t="e">
        <f>IF(R4591&lt;R4592,R4593,R4594)</f>
        <v>#NUM!</v>
      </c>
      <c r="S4595" s="49"/>
      <c r="T4595" s="72"/>
      <c r="U4595" s="64" t="e">
        <f>IF(U4591&lt;U4592,U4593,U4594)</f>
        <v>#NUM!</v>
      </c>
      <c r="V4595" s="44"/>
      <c r="W4595" s="72"/>
      <c r="X4595" s="64" t="e">
        <f>IF(X4591&lt;X4592,X4593,X4594)</f>
        <v>#NUM!</v>
      </c>
      <c r="Y4595" s="44"/>
      <c r="Z4595" s="72"/>
      <c r="AA4595" s="64" t="e">
        <f>IF(AA4591&lt;AA4592,AA4593,AA4594)</f>
        <v>#NUM!</v>
      </c>
      <c r="AB4595" s="44"/>
      <c r="AC4595" s="72"/>
      <c r="AD4595" s="64" t="e">
        <f>IF(AD4591&lt;AD4592,AD4593,AD4594)</f>
        <v>#NUM!</v>
      </c>
      <c r="AE4595" s="44"/>
      <c r="AF4595" s="72"/>
      <c r="AG4595" s="64" t="e">
        <f>IF(AG4591&lt;AG4592,AG4593,AG4594)</f>
        <v>#NUM!</v>
      </c>
      <c r="AH4595" s="44"/>
      <c r="AI4595" s="72"/>
      <c r="AJ4595" s="64" t="e">
        <f>IF(AJ4591&lt;AJ4592,AJ4593,AJ4594)</f>
        <v>#NUM!</v>
      </c>
      <c r="AK4595" s="44"/>
      <c r="AL4595" s="72"/>
      <c r="AM4595" s="64" t="e">
        <f>IF(AM4591&lt;AM4592,AM4593,AM4594)</f>
        <v>#NUM!</v>
      </c>
      <c r="AN4595" s="44"/>
      <c r="AO4595" s="72"/>
      <c r="AP4595" s="64" t="e">
        <f>IF(AP4591&lt;AP4592,AP4593,AP4594)</f>
        <v>#NUM!</v>
      </c>
      <c r="AQ4595" s="44"/>
      <c r="AR4595" s="72"/>
      <c r="AS4595" s="64" t="e">
        <f>IF(AS4591&lt;AS4592,AS4593,AS4594)</f>
        <v>#NUM!</v>
      </c>
      <c r="AT4595" s="44"/>
      <c r="AU4595" s="72"/>
    </row>
    <row r="4596" spans="15:47" ht="13" x14ac:dyDescent="0.3">
      <c r="O4596" s="7" t="s">
        <v>264</v>
      </c>
      <c r="Q4596" s="61"/>
      <c r="R4596" s="53"/>
      <c r="S4596" s="69">
        <f>IFERROR(ABS(C_h-R4595),Q_max*10)</f>
        <v>5500</v>
      </c>
      <c r="T4596" s="76">
        <f>R4587</f>
        <v>2907.7769959236271</v>
      </c>
      <c r="U4596" s="61"/>
      <c r="V4596" s="69">
        <f>IFERROR(ABS(U$23-U4595),Q_max*10)</f>
        <v>5500</v>
      </c>
      <c r="W4596" s="75">
        <f>U4587</f>
        <v>1738.4798052872127</v>
      </c>
      <c r="X4596" s="61"/>
      <c r="Y4596" s="69">
        <f>IFERROR(ABS(X$23-X4595),Q_max*10)</f>
        <v>5500</v>
      </c>
      <c r="Z4596" s="75">
        <f>X4587</f>
        <v>4173.0207385969989</v>
      </c>
      <c r="AA4596" s="61"/>
      <c r="AB4596" s="69">
        <f>IFERROR(ABS(AA$23-AA4595),Q_max*10)</f>
        <v>5500</v>
      </c>
      <c r="AC4596" s="75">
        <f>AA4587</f>
        <v>7967.8259527336832</v>
      </c>
      <c r="AD4596" s="61"/>
      <c r="AE4596" s="69">
        <f>IFERROR(ABS(AD$23-AD4595),Q_max*10)</f>
        <v>5500</v>
      </c>
      <c r="AF4596" s="75">
        <f>AD4587</f>
        <v>13104.140112779369</v>
      </c>
      <c r="AG4596" s="61"/>
      <c r="AH4596" s="69">
        <f>IFERROR(ABS(AG$23-AG4595),Q_max*10)</f>
        <v>5500</v>
      </c>
      <c r="AI4596" s="75">
        <f>AG4587</f>
        <v>19510.278973775876</v>
      </c>
      <c r="AJ4596" s="61"/>
      <c r="AK4596" s="69">
        <f>IFERROR(ABS(AJ$23-AJ4595),Q_max*10)</f>
        <v>5500</v>
      </c>
      <c r="AL4596" s="75">
        <f>AJ4587</f>
        <v>26036.542923412093</v>
      </c>
      <c r="AM4596" s="61"/>
      <c r="AN4596" s="69">
        <f>IFERROR(ABS(AM$23-AM4595),Q_max*10)</f>
        <v>5500</v>
      </c>
      <c r="AO4596" s="75">
        <f>AM4587</f>
        <v>31769.530349825156</v>
      </c>
      <c r="AP4596" s="61"/>
      <c r="AQ4596" s="69">
        <f>IFERROR(ABS(AP$23-AP4595),Q_max*10)</f>
        <v>5500</v>
      </c>
      <c r="AR4596" s="75">
        <f>AP4587</f>
        <v>36883.438462831975</v>
      </c>
      <c r="AS4596" s="61"/>
      <c r="AT4596" s="69">
        <f>IFERROR(ABS(AS$23-AS4595),Q_max*10)</f>
        <v>5500</v>
      </c>
      <c r="AU4596" s="75">
        <f>AS4587</f>
        <v>41976.793473823804</v>
      </c>
    </row>
    <row r="4597" spans="15:47" ht="14.5" x14ac:dyDescent="0.35">
      <c r="O4597" s="6"/>
      <c r="P4597" s="6"/>
      <c r="Q4597" s="60"/>
      <c r="R4597" s="67"/>
      <c r="S4597" s="56"/>
      <c r="T4597" s="72"/>
      <c r="V4597" s="11"/>
      <c r="W4597" s="38"/>
      <c r="Y4597" s="11"/>
      <c r="Z4597" s="38"/>
      <c r="AB4597" s="11"/>
      <c r="AC4597" s="38"/>
      <c r="AE4597" s="11"/>
      <c r="AF4597" s="38"/>
      <c r="AH4597" s="11"/>
      <c r="AI4597" s="38"/>
      <c r="AK4597" s="11"/>
      <c r="AL4597" s="38"/>
      <c r="AN4597" s="11"/>
      <c r="AO4597" s="38"/>
      <c r="AQ4597" s="11"/>
      <c r="AR4597" s="38"/>
      <c r="AT4597" s="11"/>
      <c r="AU4597" s="38"/>
    </row>
    <row r="4598" spans="15:47" ht="14" x14ac:dyDescent="0.3">
      <c r="O4598" s="8" t="s">
        <v>235</v>
      </c>
      <c r="P4598" s="6"/>
      <c r="Q4598" s="60"/>
      <c r="R4598" s="53">
        <f>R4587*1.02</f>
        <v>2965.9325358420997</v>
      </c>
      <c r="S4598" s="58" t="s">
        <v>238</v>
      </c>
      <c r="T4598" s="73" t="s">
        <v>241</v>
      </c>
      <c r="U4598" s="84">
        <f>U4587*1.01</f>
        <v>1755.8646033400848</v>
      </c>
      <c r="V4598" s="58" t="s">
        <v>238</v>
      </c>
      <c r="W4598" s="73" t="s">
        <v>241</v>
      </c>
      <c r="X4598" s="84">
        <f>X4587*1.01</f>
        <v>4214.7509459829689</v>
      </c>
      <c r="Y4598" s="58" t="s">
        <v>238</v>
      </c>
      <c r="Z4598" s="73" t="s">
        <v>241</v>
      </c>
      <c r="AA4598" s="84">
        <f>AA4587*1.01</f>
        <v>8047.5042122610203</v>
      </c>
      <c r="AB4598" s="58" t="s">
        <v>238</v>
      </c>
      <c r="AC4598" s="73" t="s">
        <v>241</v>
      </c>
      <c r="AD4598" s="84">
        <f>AD4587*1.01</f>
        <v>13235.181513907162</v>
      </c>
      <c r="AE4598" s="58" t="s">
        <v>238</v>
      </c>
      <c r="AF4598" s="73" t="s">
        <v>241</v>
      </c>
      <c r="AG4598" s="84">
        <f>AG4587*1.01</f>
        <v>19705.381763513633</v>
      </c>
      <c r="AH4598" s="58" t="s">
        <v>238</v>
      </c>
      <c r="AI4598" s="73" t="s">
        <v>241</v>
      </c>
      <c r="AJ4598" s="84">
        <f>AJ4587*1.01</f>
        <v>26296.908352646213</v>
      </c>
      <c r="AK4598" s="58" t="s">
        <v>238</v>
      </c>
      <c r="AL4598" s="73" t="s">
        <v>241</v>
      </c>
      <c r="AM4598" s="84">
        <f>AM4587*1.01</f>
        <v>32087.225653323407</v>
      </c>
      <c r="AN4598" s="58" t="s">
        <v>238</v>
      </c>
      <c r="AO4598" s="73" t="s">
        <v>241</v>
      </c>
      <c r="AP4598" s="84">
        <f>AP4587*1.01</f>
        <v>37252.272847460292</v>
      </c>
      <c r="AQ4598" s="58" t="s">
        <v>238</v>
      </c>
      <c r="AR4598" s="73" t="s">
        <v>241</v>
      </c>
      <c r="AS4598" s="84">
        <f>AS4587*1.01</f>
        <v>42396.56140856204</v>
      </c>
      <c r="AT4598" s="58" t="s">
        <v>238</v>
      </c>
      <c r="AU4598" s="73" t="s">
        <v>241</v>
      </c>
    </row>
    <row r="4599" spans="15:47" ht="13" x14ac:dyDescent="0.25">
      <c r="O4599" s="6"/>
      <c r="P4599" s="6"/>
      <c r="Q4599" s="60"/>
      <c r="R4599" s="70"/>
      <c r="S4599" s="63" t="s">
        <v>250</v>
      </c>
      <c r="T4599" s="71" t="s">
        <v>242</v>
      </c>
      <c r="U4599" s="61"/>
      <c r="V4599" s="63" t="s">
        <v>250</v>
      </c>
      <c r="W4599" s="71" t="s">
        <v>242</v>
      </c>
      <c r="X4599" s="61"/>
      <c r="Y4599" s="63" t="s">
        <v>250</v>
      </c>
      <c r="Z4599" s="71" t="s">
        <v>242</v>
      </c>
      <c r="AA4599" s="61"/>
      <c r="AB4599" s="63" t="s">
        <v>250</v>
      </c>
      <c r="AC4599" s="71" t="s">
        <v>242</v>
      </c>
      <c r="AD4599" s="61"/>
      <c r="AE4599" s="63" t="s">
        <v>250</v>
      </c>
      <c r="AF4599" s="71" t="s">
        <v>242</v>
      </c>
      <c r="AG4599" s="61"/>
      <c r="AH4599" s="63" t="s">
        <v>250</v>
      </c>
      <c r="AI4599" s="71" t="s">
        <v>242</v>
      </c>
      <c r="AJ4599" s="61"/>
      <c r="AK4599" s="63" t="s">
        <v>250</v>
      </c>
      <c r="AL4599" s="71" t="s">
        <v>242</v>
      </c>
      <c r="AM4599" s="61"/>
      <c r="AN4599" s="63" t="s">
        <v>250</v>
      </c>
      <c r="AO4599" s="71" t="s">
        <v>242</v>
      </c>
      <c r="AP4599" s="61"/>
      <c r="AQ4599" s="63" t="s">
        <v>250</v>
      </c>
      <c r="AR4599" s="71" t="s">
        <v>242</v>
      </c>
      <c r="AS4599" s="61"/>
      <c r="AT4599" s="63" t="s">
        <v>250</v>
      </c>
      <c r="AU4599" s="71" t="s">
        <v>242</v>
      </c>
    </row>
    <row r="4600" spans="15:47" ht="13" x14ac:dyDescent="0.3">
      <c r="O4600" s="6" t="s">
        <v>231</v>
      </c>
      <c r="P4600" s="6"/>
      <c r="Q4600" s="60"/>
      <c r="R4600" s="85">
        <f>P_1_minQ-(R4598^2*R_up)+dpup_minQ</f>
        <v>-240.17118565237249</v>
      </c>
      <c r="S4600" s="56"/>
      <c r="T4600" s="72"/>
      <c r="U4600" s="53">
        <f>P_1_minQ-(U4598^2*R_up)+dpup_minQ</f>
        <v>-47.206129863648549</v>
      </c>
      <c r="V4600" s="44"/>
      <c r="W4600" s="72"/>
      <c r="X4600" s="53">
        <f>P_1_minQ-(X4598^2*R_up)+dpup_minQ</f>
        <v>-543.02055172794098</v>
      </c>
      <c r="Y4600" s="44"/>
      <c r="Z4600" s="72"/>
      <c r="AA4600" s="53">
        <f>P_1_minQ-(AA4598^2*R_up)+dpup_minQ</f>
        <v>-2130.2612984248185</v>
      </c>
      <c r="AB4600" s="44"/>
      <c r="AC4600" s="72"/>
      <c r="AD4600" s="53">
        <f>P_1_minQ-(AD4598^2*R_up)+dpup_minQ</f>
        <v>-5858.9916482968565</v>
      </c>
      <c r="AE4600" s="44"/>
      <c r="AF4600" s="72"/>
      <c r="AG4600" s="53">
        <f>P_1_minQ-(AG4598^2*R_up)+dpup_minQ</f>
        <v>-13056.966681722921</v>
      </c>
      <c r="AH4600" s="44"/>
      <c r="AI4600" s="72"/>
      <c r="AJ4600" s="53">
        <f>P_1_minQ-(AJ4598^2*R_up)+dpup_minQ</f>
        <v>-23297.605603089301</v>
      </c>
      <c r="AK4600" s="44"/>
      <c r="AL4600" s="72"/>
      <c r="AM4600" s="53">
        <f>P_1_minQ-(AM4598^2*R_up)+dpup_minQ</f>
        <v>-34714.784300145082</v>
      </c>
      <c r="AN4600" s="44"/>
      <c r="AO4600" s="72"/>
      <c r="AP4600" s="53">
        <f>P_1_minQ-(AP4598^2*R_up)+dpup_minQ</f>
        <v>-46810.08258364159</v>
      </c>
      <c r="AQ4600" s="44"/>
      <c r="AR4600" s="72"/>
      <c r="AS4600" s="53">
        <f>P_1_minQ-(AS4598^2*R_up)+dpup_minQ</f>
        <v>-60647.859921309428</v>
      </c>
      <c r="AT4600" s="44"/>
      <c r="AU4600" s="72"/>
    </row>
    <row r="4601" spans="15:47" ht="13" x14ac:dyDescent="0.3">
      <c r="O4601" s="6" t="s">
        <v>233</v>
      </c>
      <c r="P4601" s="6"/>
      <c r="Q4601" s="60"/>
      <c r="R4601" s="85">
        <f>P_2_minQ+(R4598^2*R_dn)-dpdn_minQ</f>
        <v>84.074237130474486</v>
      </c>
      <c r="S4601" s="66"/>
      <c r="T4601" s="74"/>
      <c r="U4601" s="53">
        <f>P_2_minQ+(U4598^2*R_dn)-dpdn_minQ</f>
        <v>45.481225972729717</v>
      </c>
      <c r="V4601" s="45"/>
      <c r="W4601" s="74"/>
      <c r="X4601" s="53">
        <f>P_2_minQ+(X4598^2*R_dn)-dpdn_minQ</f>
        <v>144.64411034558819</v>
      </c>
      <c r="Y4601" s="45"/>
      <c r="Z4601" s="74"/>
      <c r="AA4601" s="53">
        <f>P_2_minQ+(AA4598^2*R_dn)-dpdn_minQ</f>
        <v>462.09225968496355</v>
      </c>
      <c r="AB4601" s="45"/>
      <c r="AC4601" s="74"/>
      <c r="AD4601" s="53">
        <f>P_2_minQ+(AD4598^2*R_dn)-dpdn_minQ</f>
        <v>1207.8383296593711</v>
      </c>
      <c r="AE4601" s="45"/>
      <c r="AF4601" s="74"/>
      <c r="AG4601" s="53">
        <f>P_2_minQ+(AG4598^2*R_dn)-dpdn_minQ</f>
        <v>2647.4333363445839</v>
      </c>
      <c r="AH4601" s="45"/>
      <c r="AI4601" s="74"/>
      <c r="AJ4601" s="53">
        <f>P_2_minQ+(AJ4598^2*R_dn)-dpdn_minQ</f>
        <v>4695.5611206178601</v>
      </c>
      <c r="AK4601" s="45"/>
      <c r="AL4601" s="74"/>
      <c r="AM4601" s="53">
        <f>P_2_minQ+(AM4598^2*R_dn)-dpdn_minQ</f>
        <v>6978.9968600290149</v>
      </c>
      <c r="AN4601" s="45"/>
      <c r="AO4601" s="74"/>
      <c r="AP4601" s="53">
        <f>P_2_minQ+(AP4598^2*R_dn)-dpdn_minQ</f>
        <v>9398.0565167283185</v>
      </c>
      <c r="AQ4601" s="45"/>
      <c r="AR4601" s="74"/>
      <c r="AS4601" s="53">
        <f>P_2_minQ+(AS4598^2*R_dn)-dpdn_minQ</f>
        <v>12165.611984261886</v>
      </c>
      <c r="AT4601" s="45"/>
      <c r="AU4601" s="74"/>
    </row>
    <row r="4602" spans="15:47" x14ac:dyDescent="0.25">
      <c r="O4602" s="6" t="s">
        <v>243</v>
      </c>
      <c r="Q4602" s="60"/>
      <c r="R4602" s="53">
        <f>R4600-R4601</f>
        <v>-324.24542278284696</v>
      </c>
      <c r="S4602" s="56"/>
      <c r="T4602" s="72"/>
      <c r="U4602" s="64">
        <f>U4600-U4601</f>
        <v>-92.687355836378259</v>
      </c>
      <c r="V4602" s="44"/>
      <c r="W4602" s="72"/>
      <c r="X4602" s="64">
        <f>X4600-X4601</f>
        <v>-687.66466207352914</v>
      </c>
      <c r="Y4602" s="44"/>
      <c r="Z4602" s="72"/>
      <c r="AA4602" s="64">
        <f>AA4600-AA4601</f>
        <v>-2592.3535581097822</v>
      </c>
      <c r="AB4602" s="44"/>
      <c r="AC4602" s="72"/>
      <c r="AD4602" s="64">
        <f>AD4600-AD4601</f>
        <v>-7066.8299779562276</v>
      </c>
      <c r="AE4602" s="44"/>
      <c r="AF4602" s="72"/>
      <c r="AG4602" s="64">
        <f>AG4600-AG4601</f>
        <v>-15704.400018067505</v>
      </c>
      <c r="AH4602" s="44"/>
      <c r="AI4602" s="72"/>
      <c r="AJ4602" s="64">
        <f>AJ4600-AJ4601</f>
        <v>-27993.16672370716</v>
      </c>
      <c r="AK4602" s="44"/>
      <c r="AL4602" s="72"/>
      <c r="AM4602" s="64">
        <f>AM4600-AM4601</f>
        <v>-41693.781160174098</v>
      </c>
      <c r="AN4602" s="44"/>
      <c r="AO4602" s="72"/>
      <c r="AP4602" s="64">
        <f>AP4600-AP4601</f>
        <v>-56208.13910036991</v>
      </c>
      <c r="AQ4602" s="44"/>
      <c r="AR4602" s="72"/>
      <c r="AS4602" s="64">
        <f>AS4600-AS4601</f>
        <v>-72813.471905571321</v>
      </c>
      <c r="AT4602" s="44"/>
      <c r="AU4602" s="72"/>
    </row>
    <row r="4603" spans="15:47" ht="13" x14ac:dyDescent="0.3">
      <c r="O4603" s="6" t="s">
        <v>75</v>
      </c>
      <c r="P4603" s="6">
        <v>3</v>
      </c>
      <c r="Q4603" s="65"/>
      <c r="R4603" s="85">
        <f>(F_LP_h/F_P_h)^2*(R4600-('Valve Sizing'!$V$4*'Valve Sizing'!$G$7))</f>
        <v>-199.23873913947222</v>
      </c>
      <c r="S4603" s="58"/>
      <c r="T4603" s="73"/>
      <c r="U4603" s="53">
        <f>(U$29/U$27)^2*(U4600-('Valve Sizing'!$V$4*'Valve Sizing'!$G$7))</f>
        <v>-39.442790816181549</v>
      </c>
      <c r="V4603" s="41"/>
      <c r="W4603" s="73"/>
      <c r="X4603" s="53">
        <f>(X$29/X$27)^2*(X4600-('Valve Sizing'!$V$4*'Valve Sizing'!$G$7))</f>
        <v>-439.74308947004289</v>
      </c>
      <c r="Y4603" s="41"/>
      <c r="Z4603" s="73"/>
      <c r="AA4603" s="53">
        <f>(AA$29/AA$27)^2*(AA4600-('Valve Sizing'!$V$4*'Valve Sizing'!$G$7))</f>
        <v>-1646.6000875230661</v>
      </c>
      <c r="AB4603" s="41"/>
      <c r="AC4603" s="73"/>
      <c r="AD4603" s="53">
        <f>(AD$29/AD$27)^2*(AD4600-('Valve Sizing'!$V$4*'Valve Sizing'!$G$7))</f>
        <v>-4225.7483595485182</v>
      </c>
      <c r="AE4603" s="41"/>
      <c r="AF4603" s="73"/>
      <c r="AG4603" s="53">
        <f>(AG$29/AG$27)^2*(AG4600-('Valve Sizing'!$V$4*'Valve Sizing'!$G$7))</f>
        <v>-8409.5438286427907</v>
      </c>
      <c r="AH4603" s="41"/>
      <c r="AI4603" s="73"/>
      <c r="AJ4603" s="53">
        <f>(AJ$29/AJ$27)^2*(AJ4600-('Valve Sizing'!$V$4*'Valve Sizing'!$G$7))</f>
        <v>-13474.758692984356</v>
      </c>
      <c r="AK4603" s="41"/>
      <c r="AL4603" s="73"/>
      <c r="AM4603" s="53">
        <f>(AM$29/AM$27)^2*(AM4600-('Valve Sizing'!$V$4*'Valve Sizing'!$G$7))</f>
        <v>-16610.268012071872</v>
      </c>
      <c r="AN4603" s="41"/>
      <c r="AO4603" s="73"/>
      <c r="AP4603" s="53">
        <f>(AP$29/AP$27)^2*(AP4600-('Valve Sizing'!$V$4*'Valve Sizing'!$G$7))</f>
        <v>-18472.68803692891</v>
      </c>
      <c r="AQ4603" s="41"/>
      <c r="AR4603" s="73"/>
      <c r="AS4603" s="53">
        <f>(AS$29/AS$27)^2*(AS4600-('Valve Sizing'!$V$4*'Valve Sizing'!$G$7))</f>
        <v>-22812.299715139587</v>
      </c>
      <c r="AT4603" s="41"/>
      <c r="AU4603" s="73"/>
    </row>
    <row r="4604" spans="15:47" ht="13" x14ac:dyDescent="0.25">
      <c r="O4604" s="1" t="s">
        <v>69</v>
      </c>
      <c r="P4604" s="17">
        <v>7</v>
      </c>
      <c r="Q4604" s="65"/>
      <c r="R4604" s="53" t="e">
        <f>(R4598/(N_1*F_P_h))*SQRT('Valve Sizing'!$G$6/R4602)</f>
        <v>#NUM!</v>
      </c>
      <c r="S4604" s="58"/>
      <c r="T4604" s="73"/>
      <c r="U4604" s="64" t="e">
        <f>(U4598/(N_1*U$27))*SQRT('Valve Sizing'!$G$6/U4602)</f>
        <v>#NUM!</v>
      </c>
      <c r="V4604" s="41"/>
      <c r="W4604" s="73"/>
      <c r="X4604" s="64" t="e">
        <f>(X4598/(N_1*X$27))*SQRT('Valve Sizing'!$G$6/X4602)</f>
        <v>#NUM!</v>
      </c>
      <c r="Y4604" s="41"/>
      <c r="Z4604" s="73"/>
      <c r="AA4604" s="64" t="e">
        <f>(AA4598/(N_1*AA$27))*SQRT('Valve Sizing'!$G$6/AA4602)</f>
        <v>#NUM!</v>
      </c>
      <c r="AB4604" s="41"/>
      <c r="AC4604" s="73"/>
      <c r="AD4604" s="64" t="e">
        <f>(AD4598/(N_1*AD$27))*SQRT('Valve Sizing'!$G$6/AD4602)</f>
        <v>#NUM!</v>
      </c>
      <c r="AE4604" s="41"/>
      <c r="AF4604" s="73"/>
      <c r="AG4604" s="64" t="e">
        <f>(AG4598/(N_1*AG$27))*SQRT('Valve Sizing'!$G$6/AG4602)</f>
        <v>#NUM!</v>
      </c>
      <c r="AH4604" s="41"/>
      <c r="AI4604" s="73"/>
      <c r="AJ4604" s="64" t="e">
        <f>(AJ4598/(N_1*AJ$27))*SQRT('Valve Sizing'!$G$6/AJ4602)</f>
        <v>#NUM!</v>
      </c>
      <c r="AK4604" s="41"/>
      <c r="AL4604" s="73"/>
      <c r="AM4604" s="64" t="e">
        <f>(AM4598/(N_1*AM$27))*SQRT('Valve Sizing'!$G$6/AM4602)</f>
        <v>#NUM!</v>
      </c>
      <c r="AN4604" s="41"/>
      <c r="AO4604" s="73"/>
      <c r="AP4604" s="64" t="e">
        <f>(AP4598/(N_1*AP$27))*SQRT('Valve Sizing'!$G$6/AP4602)</f>
        <v>#NUM!</v>
      </c>
      <c r="AQ4604" s="41"/>
      <c r="AR4604" s="73"/>
      <c r="AS4604" s="64" t="e">
        <f>(AS4598/(N_1*AS$27))*SQRT('Valve Sizing'!$G$6/AS4602)</f>
        <v>#NUM!</v>
      </c>
      <c r="AT4604" s="41"/>
      <c r="AU4604" s="73"/>
    </row>
    <row r="4605" spans="15:47" ht="13" x14ac:dyDescent="0.3">
      <c r="O4605" s="1" t="s">
        <v>72</v>
      </c>
      <c r="P4605" s="17">
        <v>7</v>
      </c>
      <c r="Q4605" s="65"/>
      <c r="R4605" s="53" t="e">
        <f>(R4598/(N_1*F_P_h))*SQRT('Valve Sizing'!$G$6/R4603)</f>
        <v>#NUM!</v>
      </c>
      <c r="S4605" s="56"/>
      <c r="T4605" s="72"/>
      <c r="U4605" s="85" t="e">
        <f>(U4598/(N_1*U$27))*SQRT('Valve Sizing'!$G$6/U4603)</f>
        <v>#NUM!</v>
      </c>
      <c r="V4605" s="44"/>
      <c r="W4605" s="72"/>
      <c r="X4605" s="85" t="e">
        <f>(X4598/(N_1*X$27))*SQRT('Valve Sizing'!$G$6/X4603)</f>
        <v>#NUM!</v>
      </c>
      <c r="Y4605" s="44"/>
      <c r="Z4605" s="72"/>
      <c r="AA4605" s="85" t="e">
        <f>(AA4598/(N_1*AA$27))*SQRT('Valve Sizing'!$G$6/AA4603)</f>
        <v>#NUM!</v>
      </c>
      <c r="AB4605" s="44"/>
      <c r="AC4605" s="72"/>
      <c r="AD4605" s="85" t="e">
        <f>(AD4598/(N_1*AD$27))*SQRT('Valve Sizing'!$G$6/AD4603)</f>
        <v>#NUM!</v>
      </c>
      <c r="AE4605" s="44"/>
      <c r="AF4605" s="72"/>
      <c r="AG4605" s="85" t="e">
        <f>(AG4598/(N_1*AG$27))*SQRT('Valve Sizing'!$G$6/AG4603)</f>
        <v>#NUM!</v>
      </c>
      <c r="AH4605" s="44"/>
      <c r="AI4605" s="72"/>
      <c r="AJ4605" s="85" t="e">
        <f>(AJ4598/(N_1*AJ$27))*SQRT('Valve Sizing'!$G$6/AJ4603)</f>
        <v>#NUM!</v>
      </c>
      <c r="AK4605" s="44"/>
      <c r="AL4605" s="72"/>
      <c r="AM4605" s="85" t="e">
        <f>(AM4598/(N_1*AM$27))*SQRT('Valve Sizing'!$G$6/AM4603)</f>
        <v>#NUM!</v>
      </c>
      <c r="AN4605" s="44"/>
      <c r="AO4605" s="72"/>
      <c r="AP4605" s="85" t="e">
        <f>(AP4598/(N_1*AP$27))*SQRT('Valve Sizing'!$G$6/AP4603)</f>
        <v>#NUM!</v>
      </c>
      <c r="AQ4605" s="44"/>
      <c r="AR4605" s="72"/>
      <c r="AS4605" s="85" t="e">
        <f>(AS4598/(N_1*AS$27))*SQRT('Valve Sizing'!$G$6/AS4603)</f>
        <v>#NUM!</v>
      </c>
      <c r="AT4605" s="44"/>
      <c r="AU4605" s="72"/>
    </row>
    <row r="4606" spans="15:47" x14ac:dyDescent="0.25">
      <c r="O4606" s="1" t="s">
        <v>246</v>
      </c>
      <c r="P4606" s="18"/>
      <c r="Q4606" s="65"/>
      <c r="R4606" s="53" t="e">
        <f>IF(R4602&lt;R4603,R4604,R4605)</f>
        <v>#NUM!</v>
      </c>
      <c r="S4606" s="49"/>
      <c r="T4606" s="72"/>
      <c r="U4606" s="64" t="e">
        <f>IF(U4602&lt;U4603,U4604,U4605)</f>
        <v>#NUM!</v>
      </c>
      <c r="V4606" s="44"/>
      <c r="W4606" s="72"/>
      <c r="X4606" s="64" t="e">
        <f>IF(X4602&lt;X4603,X4604,X4605)</f>
        <v>#NUM!</v>
      </c>
      <c r="Y4606" s="44"/>
      <c r="Z4606" s="72"/>
      <c r="AA4606" s="64" t="e">
        <f>IF(AA4602&lt;AA4603,AA4604,AA4605)</f>
        <v>#NUM!</v>
      </c>
      <c r="AB4606" s="44"/>
      <c r="AC4606" s="72"/>
      <c r="AD4606" s="64" t="e">
        <f>IF(AD4602&lt;AD4603,AD4604,AD4605)</f>
        <v>#NUM!</v>
      </c>
      <c r="AE4606" s="44"/>
      <c r="AF4606" s="72"/>
      <c r="AG4606" s="64" t="e">
        <f>IF(AG4602&lt;AG4603,AG4604,AG4605)</f>
        <v>#NUM!</v>
      </c>
      <c r="AH4606" s="44"/>
      <c r="AI4606" s="72"/>
      <c r="AJ4606" s="64" t="e">
        <f>IF(AJ4602&lt;AJ4603,AJ4604,AJ4605)</f>
        <v>#NUM!</v>
      </c>
      <c r="AK4606" s="44"/>
      <c r="AL4606" s="72"/>
      <c r="AM4606" s="64" t="e">
        <f>IF(AM4602&lt;AM4603,AM4604,AM4605)</f>
        <v>#NUM!</v>
      </c>
      <c r="AN4606" s="44"/>
      <c r="AO4606" s="72"/>
      <c r="AP4606" s="64" t="e">
        <f>IF(AP4602&lt;AP4603,AP4604,AP4605)</f>
        <v>#NUM!</v>
      </c>
      <c r="AQ4606" s="44"/>
      <c r="AR4606" s="72"/>
      <c r="AS4606" s="64" t="e">
        <f>IF(AS4602&lt;AS4603,AS4604,AS4605)</f>
        <v>#NUM!</v>
      </c>
      <c r="AT4606" s="44"/>
      <c r="AU4606" s="72"/>
    </row>
    <row r="4607" spans="15:47" ht="13" x14ac:dyDescent="0.3">
      <c r="O4607" s="7" t="s">
        <v>264</v>
      </c>
      <c r="Q4607" s="61"/>
      <c r="R4607" s="53"/>
      <c r="S4607" s="69">
        <f>IFERROR(ABS(C_h-R4606),Q_max*10)</f>
        <v>5500</v>
      </c>
      <c r="T4607" s="76">
        <f>R4598</f>
        <v>2965.9325358420997</v>
      </c>
      <c r="U4607" s="61"/>
      <c r="V4607" s="69">
        <f>IFERROR(ABS(U$23-U4606),Q_max*10)</f>
        <v>5500</v>
      </c>
      <c r="W4607" s="75">
        <f>U4598</f>
        <v>1755.8646033400848</v>
      </c>
      <c r="X4607" s="61"/>
      <c r="Y4607" s="69">
        <f>IFERROR(ABS(X$23-X4606),Q_max*10)</f>
        <v>5500</v>
      </c>
      <c r="Z4607" s="75">
        <f>X4598</f>
        <v>4214.7509459829689</v>
      </c>
      <c r="AA4607" s="61"/>
      <c r="AB4607" s="69">
        <f>IFERROR(ABS(AA$23-AA4606),Q_max*10)</f>
        <v>5500</v>
      </c>
      <c r="AC4607" s="75">
        <f>AA4598</f>
        <v>8047.5042122610203</v>
      </c>
      <c r="AD4607" s="61"/>
      <c r="AE4607" s="69">
        <f>IFERROR(ABS(AD$23-AD4606),Q_max*10)</f>
        <v>5500</v>
      </c>
      <c r="AF4607" s="75">
        <f>AD4598</f>
        <v>13235.181513907162</v>
      </c>
      <c r="AG4607" s="61"/>
      <c r="AH4607" s="69">
        <f>IFERROR(ABS(AG$23-AG4606),Q_max*10)</f>
        <v>5500</v>
      </c>
      <c r="AI4607" s="75">
        <f>AG4598</f>
        <v>19705.381763513633</v>
      </c>
      <c r="AJ4607" s="61"/>
      <c r="AK4607" s="69">
        <f>IFERROR(ABS(AJ$23-AJ4606),Q_max*10)</f>
        <v>5500</v>
      </c>
      <c r="AL4607" s="75">
        <f>AJ4598</f>
        <v>26296.908352646213</v>
      </c>
      <c r="AM4607" s="61"/>
      <c r="AN4607" s="69">
        <f>IFERROR(ABS(AM$23-AM4606),Q_max*10)</f>
        <v>5500</v>
      </c>
      <c r="AO4607" s="75">
        <f>AM4598</f>
        <v>32087.225653323407</v>
      </c>
      <c r="AP4607" s="61"/>
      <c r="AQ4607" s="69">
        <f>IFERROR(ABS(AP$23-AP4606),Q_max*10)</f>
        <v>5500</v>
      </c>
      <c r="AR4607" s="75">
        <f>AP4598</f>
        <v>37252.272847460292</v>
      </c>
      <c r="AS4607" s="61"/>
      <c r="AT4607" s="69">
        <f>IFERROR(ABS(AS$23-AS4606),Q_max*10)</f>
        <v>5500</v>
      </c>
      <c r="AU4607" s="75">
        <f>AS4598</f>
        <v>42396.56140856204</v>
      </c>
    </row>
    <row r="4608" spans="15:47" ht="14.5" x14ac:dyDescent="0.35">
      <c r="O4608" s="8"/>
      <c r="P4608" s="6"/>
      <c r="Q4608" s="60"/>
      <c r="R4608" s="67"/>
      <c r="S4608" s="66"/>
      <c r="T4608" s="74"/>
      <c r="V4608" s="11"/>
      <c r="W4608" s="38"/>
      <c r="Y4608" s="11"/>
      <c r="Z4608" s="38"/>
      <c r="AB4608" s="11"/>
      <c r="AC4608" s="38"/>
      <c r="AE4608" s="11"/>
      <c r="AF4608" s="38"/>
      <c r="AH4608" s="11"/>
      <c r="AI4608" s="38"/>
      <c r="AK4608" s="11"/>
      <c r="AL4608" s="38"/>
      <c r="AN4608" s="11"/>
      <c r="AO4608" s="38"/>
      <c r="AQ4608" s="11"/>
      <c r="AR4608" s="38"/>
      <c r="AT4608" s="11"/>
      <c r="AU4608" s="38"/>
    </row>
    <row r="4609" spans="15:47" ht="14" x14ac:dyDescent="0.3">
      <c r="O4609" s="8" t="s">
        <v>235</v>
      </c>
      <c r="P4609" s="6"/>
      <c r="Q4609" s="60"/>
      <c r="R4609" s="53">
        <f>R4598*1.02</f>
        <v>3025.2511865589418</v>
      </c>
      <c r="S4609" s="58" t="s">
        <v>238</v>
      </c>
      <c r="T4609" s="73" t="s">
        <v>241</v>
      </c>
      <c r="U4609" s="84">
        <f>U4598*1.01</f>
        <v>1773.4232493734858</v>
      </c>
      <c r="V4609" s="58" t="s">
        <v>238</v>
      </c>
      <c r="W4609" s="73" t="s">
        <v>241</v>
      </c>
      <c r="X4609" s="84">
        <f>X4598*1.01</f>
        <v>4256.8984554427989</v>
      </c>
      <c r="Y4609" s="58" t="s">
        <v>238</v>
      </c>
      <c r="Z4609" s="73" t="s">
        <v>241</v>
      </c>
      <c r="AA4609" s="84">
        <f>AA4598*1.01</f>
        <v>8127.9792543836302</v>
      </c>
      <c r="AB4609" s="58" t="s">
        <v>238</v>
      </c>
      <c r="AC4609" s="73" t="s">
        <v>241</v>
      </c>
      <c r="AD4609" s="84">
        <f>AD4598*1.01</f>
        <v>13367.533329046235</v>
      </c>
      <c r="AE4609" s="58" t="s">
        <v>238</v>
      </c>
      <c r="AF4609" s="73" t="s">
        <v>241</v>
      </c>
      <c r="AG4609" s="84">
        <f>AG4598*1.01</f>
        <v>19902.435581148769</v>
      </c>
      <c r="AH4609" s="58" t="s">
        <v>238</v>
      </c>
      <c r="AI4609" s="73" t="s">
        <v>241</v>
      </c>
      <c r="AJ4609" s="84">
        <f>AJ4598*1.01</f>
        <v>26559.877436172676</v>
      </c>
      <c r="AK4609" s="58" t="s">
        <v>238</v>
      </c>
      <c r="AL4609" s="73" t="s">
        <v>241</v>
      </c>
      <c r="AM4609" s="84">
        <f>AM4598*1.01</f>
        <v>32408.097909856642</v>
      </c>
      <c r="AN4609" s="58" t="s">
        <v>238</v>
      </c>
      <c r="AO4609" s="73" t="s">
        <v>241</v>
      </c>
      <c r="AP4609" s="84">
        <f>AP4598*1.01</f>
        <v>37624.795575934892</v>
      </c>
      <c r="AQ4609" s="58" t="s">
        <v>238</v>
      </c>
      <c r="AR4609" s="73" t="s">
        <v>241</v>
      </c>
      <c r="AS4609" s="84">
        <f>AS4598*1.01</f>
        <v>42820.527022647664</v>
      </c>
      <c r="AT4609" s="58" t="s">
        <v>238</v>
      </c>
      <c r="AU4609" s="73" t="s">
        <v>241</v>
      </c>
    </row>
    <row r="4610" spans="15:47" ht="13" x14ac:dyDescent="0.25">
      <c r="O4610" s="6"/>
      <c r="P4610" s="6"/>
      <c r="Q4610" s="60"/>
      <c r="R4610" s="70"/>
      <c r="S4610" s="63" t="s">
        <v>250</v>
      </c>
      <c r="T4610" s="71" t="s">
        <v>242</v>
      </c>
      <c r="U4610" s="61"/>
      <c r="V4610" s="63" t="s">
        <v>250</v>
      </c>
      <c r="W4610" s="71" t="s">
        <v>242</v>
      </c>
      <c r="X4610" s="61"/>
      <c r="Y4610" s="63" t="s">
        <v>250</v>
      </c>
      <c r="Z4610" s="71" t="s">
        <v>242</v>
      </c>
      <c r="AA4610" s="61"/>
      <c r="AB4610" s="63" t="s">
        <v>250</v>
      </c>
      <c r="AC4610" s="71" t="s">
        <v>242</v>
      </c>
      <c r="AD4610" s="61"/>
      <c r="AE4610" s="63" t="s">
        <v>250</v>
      </c>
      <c r="AF4610" s="71" t="s">
        <v>242</v>
      </c>
      <c r="AG4610" s="61"/>
      <c r="AH4610" s="63" t="s">
        <v>250</v>
      </c>
      <c r="AI4610" s="71" t="s">
        <v>242</v>
      </c>
      <c r="AJ4610" s="61"/>
      <c r="AK4610" s="63" t="s">
        <v>250</v>
      </c>
      <c r="AL4610" s="71" t="s">
        <v>242</v>
      </c>
      <c r="AM4610" s="61"/>
      <c r="AN4610" s="63" t="s">
        <v>250</v>
      </c>
      <c r="AO4610" s="71" t="s">
        <v>242</v>
      </c>
      <c r="AP4610" s="61"/>
      <c r="AQ4610" s="63" t="s">
        <v>250</v>
      </c>
      <c r="AR4610" s="71" t="s">
        <v>242</v>
      </c>
      <c r="AS4610" s="61"/>
      <c r="AT4610" s="63" t="s">
        <v>250</v>
      </c>
      <c r="AU4610" s="71" t="s">
        <v>242</v>
      </c>
    </row>
    <row r="4611" spans="15:47" ht="13" x14ac:dyDescent="0.3">
      <c r="O4611" s="6" t="s">
        <v>231</v>
      </c>
      <c r="P4611" s="6"/>
      <c r="Q4611" s="60"/>
      <c r="R4611" s="85">
        <f>P_1_minQ-(R4609^2*R_up)+dpup_minQ</f>
        <v>-252.17351373780096</v>
      </c>
      <c r="S4611" s="56"/>
      <c r="T4611" s="72"/>
      <c r="U4611" s="53">
        <f>P_1_minQ-(U4609^2*R_up)+dpup_minQ</f>
        <v>-49.298987552124721</v>
      </c>
      <c r="V4611" s="44"/>
      <c r="W4611" s="72"/>
      <c r="X4611" s="53">
        <f>P_1_minQ-(X4609^2*R_up)+dpup_minQ</f>
        <v>-555.07927929588936</v>
      </c>
      <c r="Y4611" s="44"/>
      <c r="Z4611" s="72"/>
      <c r="AA4611" s="53">
        <f>P_1_minQ-(AA4609^2*R_up)+dpup_minQ</f>
        <v>-2174.223565001374</v>
      </c>
      <c r="AB4611" s="44"/>
      <c r="AC4611" s="72"/>
      <c r="AD4611" s="53">
        <f>P_1_minQ-(AD4609^2*R_up)+dpup_minQ</f>
        <v>-5977.9013949058408</v>
      </c>
      <c r="AE4611" s="44"/>
      <c r="AF4611" s="72"/>
      <c r="AG4611" s="53">
        <f>P_1_minQ-(AG4609^2*R_up)+dpup_minQ</f>
        <v>-13320.55572650377</v>
      </c>
      <c r="AH4611" s="44"/>
      <c r="AI4611" s="72"/>
      <c r="AJ4611" s="53">
        <f>P_1_minQ-(AJ4609^2*R_up)+dpup_minQ</f>
        <v>-23767.031490189613</v>
      </c>
      <c r="AK4611" s="44"/>
      <c r="AL4611" s="72"/>
      <c r="AM4611" s="53">
        <f>P_1_minQ-(AM4609^2*R_up)+dpup_minQ</f>
        <v>-35413.695479056216</v>
      </c>
      <c r="AN4611" s="44"/>
      <c r="AO4611" s="72"/>
      <c r="AP4611" s="53">
        <f>P_1_minQ-(AP4609^2*R_up)+dpup_minQ</f>
        <v>-47752.109258050994</v>
      </c>
      <c r="AQ4611" s="44"/>
      <c r="AR4611" s="72"/>
      <c r="AS4611" s="53">
        <f>P_1_minQ-(AS4609^2*R_up)+dpup_minQ</f>
        <v>-61868.025920205975</v>
      </c>
      <c r="AT4611" s="44"/>
      <c r="AU4611" s="72"/>
    </row>
    <row r="4612" spans="15:47" ht="13" x14ac:dyDescent="0.3">
      <c r="O4612" s="6" t="s">
        <v>233</v>
      </c>
      <c r="P4612" s="6"/>
      <c r="Q4612" s="60"/>
      <c r="R4612" s="85">
        <f>P_2_minQ+(R4609^2*R_dn)-dpdn_minQ</f>
        <v>86.474702747560187</v>
      </c>
      <c r="S4612" s="66"/>
      <c r="T4612" s="74"/>
      <c r="U4612" s="53">
        <f>P_2_minQ+(U4609^2*R_dn)-dpdn_minQ</f>
        <v>45.899797510424946</v>
      </c>
      <c r="V4612" s="45"/>
      <c r="W4612" s="74"/>
      <c r="X4612" s="53">
        <f>P_2_minQ+(X4609^2*R_dn)-dpdn_minQ</f>
        <v>147.05585585917788</v>
      </c>
      <c r="Y4612" s="45"/>
      <c r="Z4612" s="74"/>
      <c r="AA4612" s="53">
        <f>P_2_minQ+(AA4609^2*R_dn)-dpdn_minQ</f>
        <v>470.88471300027464</v>
      </c>
      <c r="AB4612" s="45"/>
      <c r="AC4612" s="74"/>
      <c r="AD4612" s="53">
        <f>P_2_minQ+(AD4609^2*R_dn)-dpdn_minQ</f>
        <v>1231.620278981168</v>
      </c>
      <c r="AE4612" s="45"/>
      <c r="AF4612" s="74"/>
      <c r="AG4612" s="53">
        <f>P_2_minQ+(AG4609^2*R_dn)-dpdn_minQ</f>
        <v>2700.1511453007533</v>
      </c>
      <c r="AH4612" s="45"/>
      <c r="AI4612" s="74"/>
      <c r="AJ4612" s="53">
        <f>P_2_minQ+(AJ4609^2*R_dn)-dpdn_minQ</f>
        <v>4789.4462980379221</v>
      </c>
      <c r="AK4612" s="45"/>
      <c r="AL4612" s="74"/>
      <c r="AM4612" s="53">
        <f>P_2_minQ+(AM4609^2*R_dn)-dpdn_minQ</f>
        <v>7118.7790958112419</v>
      </c>
      <c r="AN4612" s="45"/>
      <c r="AO4612" s="74"/>
      <c r="AP4612" s="53">
        <f>P_2_minQ+(AP4609^2*R_dn)-dpdn_minQ</f>
        <v>9586.4618516101982</v>
      </c>
      <c r="AQ4612" s="45"/>
      <c r="AR4612" s="74"/>
      <c r="AS4612" s="53">
        <f>P_2_minQ+(AS4609^2*R_dn)-dpdn_minQ</f>
        <v>12409.645184041194</v>
      </c>
      <c r="AT4612" s="45"/>
      <c r="AU4612" s="74"/>
    </row>
    <row r="4613" spans="15:47" x14ac:dyDescent="0.25">
      <c r="O4613" s="6" t="s">
        <v>243</v>
      </c>
      <c r="Q4613" s="60"/>
      <c r="R4613" s="53">
        <f>R4611-R4612</f>
        <v>-338.64821648536116</v>
      </c>
      <c r="S4613" s="56"/>
      <c r="T4613" s="72"/>
      <c r="U4613" s="64">
        <f>U4611-U4612</f>
        <v>-95.198785062549661</v>
      </c>
      <c r="V4613" s="44"/>
      <c r="W4613" s="72"/>
      <c r="X4613" s="64">
        <f>X4611-X4612</f>
        <v>-702.13513515506725</v>
      </c>
      <c r="Y4613" s="44"/>
      <c r="Z4613" s="72"/>
      <c r="AA4613" s="64">
        <f>AA4611-AA4612</f>
        <v>-2645.1082780016486</v>
      </c>
      <c r="AB4613" s="44"/>
      <c r="AC4613" s="72"/>
      <c r="AD4613" s="64">
        <f>AD4611-AD4612</f>
        <v>-7209.5216738870085</v>
      </c>
      <c r="AE4613" s="44"/>
      <c r="AF4613" s="72"/>
      <c r="AG4613" s="64">
        <f>AG4611-AG4612</f>
        <v>-16020.706871804523</v>
      </c>
      <c r="AH4613" s="44"/>
      <c r="AI4613" s="72"/>
      <c r="AJ4613" s="64">
        <f>AJ4611-AJ4612</f>
        <v>-28556.477788227534</v>
      </c>
      <c r="AK4613" s="44"/>
      <c r="AL4613" s="72"/>
      <c r="AM4613" s="64">
        <f>AM4611-AM4612</f>
        <v>-42532.474574867461</v>
      </c>
      <c r="AN4613" s="44"/>
      <c r="AO4613" s="72"/>
      <c r="AP4613" s="64">
        <f>AP4611-AP4612</f>
        <v>-57338.571109661192</v>
      </c>
      <c r="AQ4613" s="44"/>
      <c r="AR4613" s="72"/>
      <c r="AS4613" s="64">
        <f>AS4611-AS4612</f>
        <v>-74277.671104247172</v>
      </c>
      <c r="AT4613" s="44"/>
      <c r="AU4613" s="72"/>
    </row>
    <row r="4614" spans="15:47" ht="13" x14ac:dyDescent="0.3">
      <c r="O4614" s="6" t="s">
        <v>75</v>
      </c>
      <c r="P4614" s="6">
        <v>3</v>
      </c>
      <c r="Q4614" s="65"/>
      <c r="R4614" s="85">
        <f>(F_LP_h/F_P_h)^2*(R4611-('Valve Sizing'!$V$4*'Valve Sizing'!$G$7))</f>
        <v>-209.17729679567228</v>
      </c>
      <c r="S4614" s="58"/>
      <c r="T4614" s="73"/>
      <c r="U4614" s="53">
        <f>(U$29/U$27)^2*(U4611-('Valve Sizing'!$V$4*'Valve Sizing'!$G$7))</f>
        <v>-41.175314493088713</v>
      </c>
      <c r="V4614" s="41"/>
      <c r="W4614" s="73"/>
      <c r="X4614" s="53">
        <f>(X$29/X$27)^2*(X4611-('Valve Sizing'!$V$4*'Valve Sizing'!$G$7))</f>
        <v>-449.50045186966901</v>
      </c>
      <c r="Y4614" s="41"/>
      <c r="Z4614" s="73"/>
      <c r="AA4614" s="53">
        <f>(AA$29/AA$27)^2*(AA4611-('Valve Sizing'!$V$4*'Valve Sizing'!$G$7))</f>
        <v>-1680.5740049778231</v>
      </c>
      <c r="AB4614" s="41"/>
      <c r="AC4614" s="73"/>
      <c r="AD4614" s="53">
        <f>(AD$29/AD$27)^2*(AD4611-('Valve Sizing'!$V$4*'Valve Sizing'!$G$7))</f>
        <v>-4311.5045713933705</v>
      </c>
      <c r="AE4614" s="41"/>
      <c r="AF4614" s="73"/>
      <c r="AG4614" s="53">
        <f>(AG$29/AG$27)^2*(AG4611-('Valve Sizing'!$V$4*'Valve Sizing'!$G$7))</f>
        <v>-8579.3067585320277</v>
      </c>
      <c r="AH4614" s="41"/>
      <c r="AI4614" s="73"/>
      <c r="AJ4614" s="53">
        <f>(AJ$29/AJ$27)^2*(AJ4611-('Valve Sizing'!$V$4*'Valve Sizing'!$G$7))</f>
        <v>-13746.257884162049</v>
      </c>
      <c r="AK4614" s="41"/>
      <c r="AL4614" s="73"/>
      <c r="AM4614" s="53">
        <f>(AM$29/AM$27)^2*(AM4611-('Valve Sizing'!$V$4*'Valve Sizing'!$G$7))</f>
        <v>-16944.677546018436</v>
      </c>
      <c r="AN4614" s="41"/>
      <c r="AO4614" s="73"/>
      <c r="AP4614" s="53">
        <f>(AP$29/AP$27)^2*(AP4611-('Valve Sizing'!$V$4*'Valve Sizing'!$G$7))</f>
        <v>-18844.437034738079</v>
      </c>
      <c r="AQ4614" s="41"/>
      <c r="AR4614" s="73"/>
      <c r="AS4614" s="53">
        <f>(AS$29/AS$27)^2*(AS4611-('Valve Sizing'!$V$4*'Valve Sizing'!$G$7))</f>
        <v>-23271.253922903015</v>
      </c>
      <c r="AT4614" s="41"/>
      <c r="AU4614" s="73"/>
    </row>
    <row r="4615" spans="15:47" ht="13" x14ac:dyDescent="0.25">
      <c r="O4615" s="1" t="s">
        <v>69</v>
      </c>
      <c r="P4615" s="17">
        <v>7</v>
      </c>
      <c r="Q4615" s="65"/>
      <c r="R4615" s="53" t="e">
        <f>(R4609/(N_1*F_P_h))*SQRT('Valve Sizing'!$G$6/R4613)</f>
        <v>#NUM!</v>
      </c>
      <c r="S4615" s="58"/>
      <c r="T4615" s="73"/>
      <c r="U4615" s="64" t="e">
        <f>(U4609/(N_1*U$27))*SQRT('Valve Sizing'!$G$6/U4613)</f>
        <v>#NUM!</v>
      </c>
      <c r="V4615" s="41"/>
      <c r="W4615" s="73"/>
      <c r="X4615" s="64" t="e">
        <f>(X4609/(N_1*X$27))*SQRT('Valve Sizing'!$G$6/X4613)</f>
        <v>#NUM!</v>
      </c>
      <c r="Y4615" s="41"/>
      <c r="Z4615" s="73"/>
      <c r="AA4615" s="64" t="e">
        <f>(AA4609/(N_1*AA$27))*SQRT('Valve Sizing'!$G$6/AA4613)</f>
        <v>#NUM!</v>
      </c>
      <c r="AB4615" s="41"/>
      <c r="AC4615" s="73"/>
      <c r="AD4615" s="64" t="e">
        <f>(AD4609/(N_1*AD$27))*SQRT('Valve Sizing'!$G$6/AD4613)</f>
        <v>#NUM!</v>
      </c>
      <c r="AE4615" s="41"/>
      <c r="AF4615" s="73"/>
      <c r="AG4615" s="64" t="e">
        <f>(AG4609/(N_1*AG$27))*SQRT('Valve Sizing'!$G$6/AG4613)</f>
        <v>#NUM!</v>
      </c>
      <c r="AH4615" s="41"/>
      <c r="AI4615" s="73"/>
      <c r="AJ4615" s="64" t="e">
        <f>(AJ4609/(N_1*AJ$27))*SQRT('Valve Sizing'!$G$6/AJ4613)</f>
        <v>#NUM!</v>
      </c>
      <c r="AK4615" s="41"/>
      <c r="AL4615" s="73"/>
      <c r="AM4615" s="64" t="e">
        <f>(AM4609/(N_1*AM$27))*SQRT('Valve Sizing'!$G$6/AM4613)</f>
        <v>#NUM!</v>
      </c>
      <c r="AN4615" s="41"/>
      <c r="AO4615" s="73"/>
      <c r="AP4615" s="64" t="e">
        <f>(AP4609/(N_1*AP$27))*SQRT('Valve Sizing'!$G$6/AP4613)</f>
        <v>#NUM!</v>
      </c>
      <c r="AQ4615" s="41"/>
      <c r="AR4615" s="73"/>
      <c r="AS4615" s="64" t="e">
        <f>(AS4609/(N_1*AS$27))*SQRT('Valve Sizing'!$G$6/AS4613)</f>
        <v>#NUM!</v>
      </c>
      <c r="AT4615" s="41"/>
      <c r="AU4615" s="73"/>
    </row>
    <row r="4616" spans="15:47" ht="13" x14ac:dyDescent="0.3">
      <c r="O4616" s="1" t="s">
        <v>72</v>
      </c>
      <c r="P4616" s="17">
        <v>7</v>
      </c>
      <c r="Q4616" s="65"/>
      <c r="R4616" s="53" t="e">
        <f>(R4609/(N_1*F_P_h))*SQRT('Valve Sizing'!$G$6/R4614)</f>
        <v>#NUM!</v>
      </c>
      <c r="S4616" s="56"/>
      <c r="T4616" s="72"/>
      <c r="U4616" s="85" t="e">
        <f>(U4609/(N_1*U$27))*SQRT('Valve Sizing'!$G$6/U4614)</f>
        <v>#NUM!</v>
      </c>
      <c r="V4616" s="44"/>
      <c r="W4616" s="72"/>
      <c r="X4616" s="85" t="e">
        <f>(X4609/(N_1*X$27))*SQRT('Valve Sizing'!$G$6/X4614)</f>
        <v>#NUM!</v>
      </c>
      <c r="Y4616" s="44"/>
      <c r="Z4616" s="72"/>
      <c r="AA4616" s="85" t="e">
        <f>(AA4609/(N_1*AA$27))*SQRT('Valve Sizing'!$G$6/AA4614)</f>
        <v>#NUM!</v>
      </c>
      <c r="AB4616" s="44"/>
      <c r="AC4616" s="72"/>
      <c r="AD4616" s="85" t="e">
        <f>(AD4609/(N_1*AD$27))*SQRT('Valve Sizing'!$G$6/AD4614)</f>
        <v>#NUM!</v>
      </c>
      <c r="AE4616" s="44"/>
      <c r="AF4616" s="72"/>
      <c r="AG4616" s="85" t="e">
        <f>(AG4609/(N_1*AG$27))*SQRT('Valve Sizing'!$G$6/AG4614)</f>
        <v>#NUM!</v>
      </c>
      <c r="AH4616" s="44"/>
      <c r="AI4616" s="72"/>
      <c r="AJ4616" s="85" t="e">
        <f>(AJ4609/(N_1*AJ$27))*SQRT('Valve Sizing'!$G$6/AJ4614)</f>
        <v>#NUM!</v>
      </c>
      <c r="AK4616" s="44"/>
      <c r="AL4616" s="72"/>
      <c r="AM4616" s="85" t="e">
        <f>(AM4609/(N_1*AM$27))*SQRT('Valve Sizing'!$G$6/AM4614)</f>
        <v>#NUM!</v>
      </c>
      <c r="AN4616" s="44"/>
      <c r="AO4616" s="72"/>
      <c r="AP4616" s="85" t="e">
        <f>(AP4609/(N_1*AP$27))*SQRT('Valve Sizing'!$G$6/AP4614)</f>
        <v>#NUM!</v>
      </c>
      <c r="AQ4616" s="44"/>
      <c r="AR4616" s="72"/>
      <c r="AS4616" s="85" t="e">
        <f>(AS4609/(N_1*AS$27))*SQRT('Valve Sizing'!$G$6/AS4614)</f>
        <v>#NUM!</v>
      </c>
      <c r="AT4616" s="44"/>
      <c r="AU4616" s="72"/>
    </row>
    <row r="4617" spans="15:47" x14ac:dyDescent="0.25">
      <c r="O4617" s="1" t="s">
        <v>246</v>
      </c>
      <c r="P4617" s="18"/>
      <c r="Q4617" s="65"/>
      <c r="R4617" s="53" t="e">
        <f>IF(R4613&lt;R4614,R4615,R4616)</f>
        <v>#NUM!</v>
      </c>
      <c r="S4617" s="49"/>
      <c r="T4617" s="72"/>
      <c r="U4617" s="64" t="e">
        <f>IF(U4613&lt;U4614,U4615,U4616)</f>
        <v>#NUM!</v>
      </c>
      <c r="V4617" s="44"/>
      <c r="W4617" s="72"/>
      <c r="X4617" s="64" t="e">
        <f>IF(X4613&lt;X4614,X4615,X4616)</f>
        <v>#NUM!</v>
      </c>
      <c r="Y4617" s="44"/>
      <c r="Z4617" s="72"/>
      <c r="AA4617" s="64" t="e">
        <f>IF(AA4613&lt;AA4614,AA4615,AA4616)</f>
        <v>#NUM!</v>
      </c>
      <c r="AB4617" s="44"/>
      <c r="AC4617" s="72"/>
      <c r="AD4617" s="64" t="e">
        <f>IF(AD4613&lt;AD4614,AD4615,AD4616)</f>
        <v>#NUM!</v>
      </c>
      <c r="AE4617" s="44"/>
      <c r="AF4617" s="72"/>
      <c r="AG4617" s="64" t="e">
        <f>IF(AG4613&lt;AG4614,AG4615,AG4616)</f>
        <v>#NUM!</v>
      </c>
      <c r="AH4617" s="44"/>
      <c r="AI4617" s="72"/>
      <c r="AJ4617" s="64" t="e">
        <f>IF(AJ4613&lt;AJ4614,AJ4615,AJ4616)</f>
        <v>#NUM!</v>
      </c>
      <c r="AK4617" s="44"/>
      <c r="AL4617" s="72"/>
      <c r="AM4617" s="64" t="e">
        <f>IF(AM4613&lt;AM4614,AM4615,AM4616)</f>
        <v>#NUM!</v>
      </c>
      <c r="AN4617" s="44"/>
      <c r="AO4617" s="72"/>
      <c r="AP4617" s="64" t="e">
        <f>IF(AP4613&lt;AP4614,AP4615,AP4616)</f>
        <v>#NUM!</v>
      </c>
      <c r="AQ4617" s="44"/>
      <c r="AR4617" s="72"/>
      <c r="AS4617" s="64" t="e">
        <f>IF(AS4613&lt;AS4614,AS4615,AS4616)</f>
        <v>#NUM!</v>
      </c>
      <c r="AT4617" s="44"/>
      <c r="AU4617" s="72"/>
    </row>
    <row r="4618" spans="15:47" ht="13" x14ac:dyDescent="0.3">
      <c r="O4618" s="7" t="s">
        <v>264</v>
      </c>
      <c r="Q4618" s="61"/>
      <c r="R4618" s="53"/>
      <c r="S4618" s="69">
        <f>IFERROR(ABS(C_h-R4617),Q_max*10)</f>
        <v>5500</v>
      </c>
      <c r="T4618" s="76">
        <f>R4609</f>
        <v>3025.2511865589418</v>
      </c>
      <c r="U4618" s="61"/>
      <c r="V4618" s="69">
        <f>IFERROR(ABS(U$23-U4617),Q_max*10)</f>
        <v>5500</v>
      </c>
      <c r="W4618" s="75">
        <f>U4609</f>
        <v>1773.4232493734858</v>
      </c>
      <c r="X4618" s="61"/>
      <c r="Y4618" s="69">
        <f>IFERROR(ABS(X$23-X4617),Q_max*10)</f>
        <v>5500</v>
      </c>
      <c r="Z4618" s="75">
        <f>X4609</f>
        <v>4256.8984554427989</v>
      </c>
      <c r="AA4618" s="61"/>
      <c r="AB4618" s="69">
        <f>IFERROR(ABS(AA$23-AA4617),Q_max*10)</f>
        <v>5500</v>
      </c>
      <c r="AC4618" s="75">
        <f>AA4609</f>
        <v>8127.9792543836302</v>
      </c>
      <c r="AD4618" s="61"/>
      <c r="AE4618" s="69">
        <f>IFERROR(ABS(AD$23-AD4617),Q_max*10)</f>
        <v>5500</v>
      </c>
      <c r="AF4618" s="75">
        <f>AD4609</f>
        <v>13367.533329046235</v>
      </c>
      <c r="AG4618" s="61"/>
      <c r="AH4618" s="69">
        <f>IFERROR(ABS(AG$23-AG4617),Q_max*10)</f>
        <v>5500</v>
      </c>
      <c r="AI4618" s="75">
        <f>AG4609</f>
        <v>19902.435581148769</v>
      </c>
      <c r="AJ4618" s="61"/>
      <c r="AK4618" s="69">
        <f>IFERROR(ABS(AJ$23-AJ4617),Q_max*10)</f>
        <v>5500</v>
      </c>
      <c r="AL4618" s="75">
        <f>AJ4609</f>
        <v>26559.877436172676</v>
      </c>
      <c r="AM4618" s="61"/>
      <c r="AN4618" s="69">
        <f>IFERROR(ABS(AM$23-AM4617),Q_max*10)</f>
        <v>5500</v>
      </c>
      <c r="AO4618" s="75">
        <f>AM4609</f>
        <v>32408.097909856642</v>
      </c>
      <c r="AP4618" s="61"/>
      <c r="AQ4618" s="69">
        <f>IFERROR(ABS(AP$23-AP4617),Q_max*10)</f>
        <v>5500</v>
      </c>
      <c r="AR4618" s="75">
        <f>AP4609</f>
        <v>37624.795575934892</v>
      </c>
      <c r="AS4618" s="61"/>
      <c r="AT4618" s="69">
        <f>IFERROR(ABS(AS$23-AS4617),Q_max*10)</f>
        <v>5500</v>
      </c>
      <c r="AU4618" s="75">
        <f>AS4609</f>
        <v>42820.527022647664</v>
      </c>
    </row>
    <row r="4619" spans="15:47" ht="14.5" x14ac:dyDescent="0.35">
      <c r="O4619" s="6"/>
      <c r="P4619" s="6"/>
      <c r="Q4619" s="60"/>
      <c r="R4619" s="67"/>
      <c r="S4619" s="56"/>
      <c r="T4619" s="72"/>
      <c r="V4619" s="11"/>
      <c r="W4619" s="38"/>
      <c r="Y4619" s="11"/>
      <c r="Z4619" s="38"/>
      <c r="AB4619" s="11"/>
      <c r="AC4619" s="38"/>
      <c r="AE4619" s="11"/>
      <c r="AF4619" s="38"/>
      <c r="AH4619" s="11"/>
      <c r="AI4619" s="38"/>
      <c r="AK4619" s="11"/>
      <c r="AL4619" s="38"/>
      <c r="AN4619" s="11"/>
      <c r="AO4619" s="38"/>
      <c r="AQ4619" s="11"/>
      <c r="AR4619" s="38"/>
      <c r="AT4619" s="11"/>
      <c r="AU4619" s="38"/>
    </row>
    <row r="4620" spans="15:47" ht="14" x14ac:dyDescent="0.3">
      <c r="O4620" s="8" t="s">
        <v>235</v>
      </c>
      <c r="P4620" s="6"/>
      <c r="Q4620" s="60"/>
      <c r="R4620" s="53">
        <f>R4609*1.02</f>
        <v>3085.7562102901206</v>
      </c>
      <c r="S4620" s="58" t="s">
        <v>238</v>
      </c>
      <c r="T4620" s="73" t="s">
        <v>241</v>
      </c>
      <c r="U4620" s="84">
        <f>U4609*1.01</f>
        <v>1791.1574818672207</v>
      </c>
      <c r="V4620" s="58" t="s">
        <v>238</v>
      </c>
      <c r="W4620" s="73" t="s">
        <v>241</v>
      </c>
      <c r="X4620" s="84">
        <f>X4609*1.01</f>
        <v>4299.4674399972273</v>
      </c>
      <c r="Y4620" s="58" t="s">
        <v>238</v>
      </c>
      <c r="Z4620" s="73" t="s">
        <v>241</v>
      </c>
      <c r="AA4620" s="84">
        <f>AA4609*1.01</f>
        <v>8209.2590469274674</v>
      </c>
      <c r="AB4620" s="58" t="s">
        <v>238</v>
      </c>
      <c r="AC4620" s="73" t="s">
        <v>241</v>
      </c>
      <c r="AD4620" s="84">
        <f>AD4609*1.01</f>
        <v>13501.208662336698</v>
      </c>
      <c r="AE4620" s="58" t="s">
        <v>238</v>
      </c>
      <c r="AF4620" s="73" t="s">
        <v>241</v>
      </c>
      <c r="AG4620" s="84">
        <f>AG4609*1.01</f>
        <v>20101.459936960258</v>
      </c>
      <c r="AH4620" s="58" t="s">
        <v>238</v>
      </c>
      <c r="AI4620" s="73" t="s">
        <v>241</v>
      </c>
      <c r="AJ4620" s="84">
        <f>AJ4609*1.01</f>
        <v>26825.476210534402</v>
      </c>
      <c r="AK4620" s="58" t="s">
        <v>238</v>
      </c>
      <c r="AL4620" s="73" t="s">
        <v>241</v>
      </c>
      <c r="AM4620" s="84">
        <f>AM4609*1.01</f>
        <v>32732.178888955208</v>
      </c>
      <c r="AN4620" s="58" t="s">
        <v>238</v>
      </c>
      <c r="AO4620" s="73" t="s">
        <v>241</v>
      </c>
      <c r="AP4620" s="84">
        <f>AP4609*1.01</f>
        <v>38001.043531694238</v>
      </c>
      <c r="AQ4620" s="58" t="s">
        <v>238</v>
      </c>
      <c r="AR4620" s="73" t="s">
        <v>241</v>
      </c>
      <c r="AS4620" s="84">
        <f>AS4609*1.01</f>
        <v>43248.732292874141</v>
      </c>
      <c r="AT4620" s="58" t="s">
        <v>238</v>
      </c>
      <c r="AU4620" s="73" t="s">
        <v>241</v>
      </c>
    </row>
    <row r="4621" spans="15:47" ht="13" x14ac:dyDescent="0.25">
      <c r="O4621" s="6"/>
      <c r="P4621" s="6"/>
      <c r="Q4621" s="60"/>
      <c r="R4621" s="70"/>
      <c r="S4621" s="63" t="s">
        <v>250</v>
      </c>
      <c r="T4621" s="71" t="s">
        <v>242</v>
      </c>
      <c r="U4621" s="61"/>
      <c r="V4621" s="63" t="s">
        <v>250</v>
      </c>
      <c r="W4621" s="71" t="s">
        <v>242</v>
      </c>
      <c r="X4621" s="61"/>
      <c r="Y4621" s="63" t="s">
        <v>250</v>
      </c>
      <c r="Z4621" s="71" t="s">
        <v>242</v>
      </c>
      <c r="AA4621" s="61"/>
      <c r="AB4621" s="63" t="s">
        <v>250</v>
      </c>
      <c r="AC4621" s="71" t="s">
        <v>242</v>
      </c>
      <c r="AD4621" s="61"/>
      <c r="AE4621" s="63" t="s">
        <v>250</v>
      </c>
      <c r="AF4621" s="71" t="s">
        <v>242</v>
      </c>
      <c r="AG4621" s="61"/>
      <c r="AH4621" s="63" t="s">
        <v>250</v>
      </c>
      <c r="AI4621" s="71" t="s">
        <v>242</v>
      </c>
      <c r="AJ4621" s="61"/>
      <c r="AK4621" s="63" t="s">
        <v>250</v>
      </c>
      <c r="AL4621" s="71" t="s">
        <v>242</v>
      </c>
      <c r="AM4621" s="61"/>
      <c r="AN4621" s="63" t="s">
        <v>250</v>
      </c>
      <c r="AO4621" s="71" t="s">
        <v>242</v>
      </c>
      <c r="AP4621" s="61"/>
      <c r="AQ4621" s="63" t="s">
        <v>250</v>
      </c>
      <c r="AR4621" s="71" t="s">
        <v>242</v>
      </c>
      <c r="AS4621" s="61"/>
      <c r="AT4621" s="63" t="s">
        <v>250</v>
      </c>
      <c r="AU4621" s="71" t="s">
        <v>242</v>
      </c>
    </row>
    <row r="4622" spans="15:47" ht="13" x14ac:dyDescent="0.3">
      <c r="O4622" s="6" t="s">
        <v>231</v>
      </c>
      <c r="P4622" s="6"/>
      <c r="Q4622" s="60"/>
      <c r="R4622" s="85">
        <f>P_1_minQ-(R4620^2*R_up)+dpup_minQ</f>
        <v>-264.66073587788071</v>
      </c>
      <c r="S4622" s="56"/>
      <c r="T4622" s="72"/>
      <c r="U4622" s="53">
        <f>P_1_minQ-(U4620^2*R_up)+dpup_minQ</f>
        <v>-51.433911680139239</v>
      </c>
      <c r="V4622" s="44"/>
      <c r="W4622" s="72"/>
      <c r="X4622" s="53">
        <f>P_1_minQ-(X4620^2*R_up)+dpup_minQ</f>
        <v>-567.38038728795379</v>
      </c>
      <c r="Y4622" s="44"/>
      <c r="Z4622" s="72"/>
      <c r="AA4622" s="53">
        <f>P_1_minQ-(AA4620^2*R_up)+dpup_minQ</f>
        <v>-2219.0694731361186</v>
      </c>
      <c r="AB4622" s="44"/>
      <c r="AC4622" s="72"/>
      <c r="AD4622" s="53">
        <f>P_1_minQ-(AD4620^2*R_up)+dpup_minQ</f>
        <v>-6099.2012274216659</v>
      </c>
      <c r="AE4622" s="44"/>
      <c r="AF4622" s="72"/>
      <c r="AG4622" s="53">
        <f>P_1_minQ-(AG4620^2*R_up)+dpup_minQ</f>
        <v>-13589.442911084712</v>
      </c>
      <c r="AH4622" s="44"/>
      <c r="AI4622" s="72"/>
      <c r="AJ4622" s="53">
        <f>P_1_minQ-(AJ4620^2*R_up)+dpup_minQ</f>
        <v>-24245.892837620639</v>
      </c>
      <c r="AK4622" s="44"/>
      <c r="AL4622" s="72"/>
      <c r="AM4622" s="53">
        <f>P_1_minQ-(AM4620^2*R_up)+dpup_minQ</f>
        <v>-36126.65477266346</v>
      </c>
      <c r="AN4622" s="44"/>
      <c r="AO4622" s="72"/>
      <c r="AP4622" s="53">
        <f>P_1_minQ-(AP4620^2*R_up)+dpup_minQ</f>
        <v>-48713.070668616027</v>
      </c>
      <c r="AQ4622" s="44"/>
      <c r="AR4622" s="72"/>
      <c r="AS4622" s="53">
        <f>P_1_minQ-(AS4620^2*R_up)+dpup_minQ</f>
        <v>-63112.717255680334</v>
      </c>
      <c r="AT4622" s="44"/>
      <c r="AU4622" s="72"/>
    </row>
    <row r="4623" spans="15:47" ht="13" x14ac:dyDescent="0.3">
      <c r="O4623" s="6" t="s">
        <v>233</v>
      </c>
      <c r="P4623" s="6"/>
      <c r="Q4623" s="60"/>
      <c r="R4623" s="85">
        <f>P_2_minQ+(R4620^2*R_dn)-dpdn_minQ</f>
        <v>88.97214717557614</v>
      </c>
      <c r="S4623" s="66"/>
      <c r="T4623" s="74"/>
      <c r="U4623" s="53">
        <f>P_2_minQ+(U4620^2*R_dn)-dpdn_minQ</f>
        <v>46.326782336027847</v>
      </c>
      <c r="V4623" s="45"/>
      <c r="W4623" s="74"/>
      <c r="X4623" s="53">
        <f>P_2_minQ+(X4620^2*R_dn)-dpdn_minQ</f>
        <v>149.51607745759074</v>
      </c>
      <c r="Y4623" s="45"/>
      <c r="Z4623" s="74"/>
      <c r="AA4623" s="53">
        <f>P_2_minQ+(AA4620^2*R_dn)-dpdn_minQ</f>
        <v>479.85389462722367</v>
      </c>
      <c r="AB4623" s="45"/>
      <c r="AC4623" s="74"/>
      <c r="AD4623" s="53">
        <f>P_2_minQ+(AD4620^2*R_dn)-dpdn_minQ</f>
        <v>1255.880245484333</v>
      </c>
      <c r="AE4623" s="45"/>
      <c r="AF4623" s="74"/>
      <c r="AG4623" s="53">
        <f>P_2_minQ+(AG4620^2*R_dn)-dpdn_minQ</f>
        <v>2753.9285822169422</v>
      </c>
      <c r="AH4623" s="45"/>
      <c r="AI4623" s="74"/>
      <c r="AJ4623" s="53">
        <f>P_2_minQ+(AJ4620^2*R_dn)-dpdn_minQ</f>
        <v>4885.2185675241271</v>
      </c>
      <c r="AK4623" s="45"/>
      <c r="AL4623" s="74"/>
      <c r="AM4623" s="53">
        <f>P_2_minQ+(AM4620^2*R_dn)-dpdn_minQ</f>
        <v>7261.370954532691</v>
      </c>
      <c r="AN4623" s="45"/>
      <c r="AO4623" s="74"/>
      <c r="AP4623" s="53">
        <f>P_2_minQ+(AP4620^2*R_dn)-dpdn_minQ</f>
        <v>9778.6541337232047</v>
      </c>
      <c r="AQ4623" s="45"/>
      <c r="AR4623" s="74"/>
      <c r="AS4623" s="53">
        <f>P_2_minQ+(AS4620^2*R_dn)-dpdn_minQ</f>
        <v>12658.583451136066</v>
      </c>
      <c r="AT4623" s="45"/>
      <c r="AU4623" s="74"/>
    </row>
    <row r="4624" spans="15:47" x14ac:dyDescent="0.25">
      <c r="O4624" s="6" t="s">
        <v>243</v>
      </c>
      <c r="Q4624" s="60"/>
      <c r="R4624" s="53">
        <f>R4622-R4623</f>
        <v>-353.63288305345685</v>
      </c>
      <c r="S4624" s="56"/>
      <c r="T4624" s="72"/>
      <c r="U4624" s="64">
        <f>U4622-U4623</f>
        <v>-97.760694016167093</v>
      </c>
      <c r="V4624" s="44"/>
      <c r="W4624" s="72"/>
      <c r="X4624" s="64">
        <f>X4622-X4623</f>
        <v>-716.89646474554456</v>
      </c>
      <c r="Y4624" s="44"/>
      <c r="Z4624" s="72"/>
      <c r="AA4624" s="64">
        <f>AA4622-AA4623</f>
        <v>-2698.9233677633424</v>
      </c>
      <c r="AB4624" s="44"/>
      <c r="AC4624" s="72"/>
      <c r="AD4624" s="64">
        <f>AD4622-AD4623</f>
        <v>-7355.0814729059985</v>
      </c>
      <c r="AE4624" s="44"/>
      <c r="AF4624" s="72"/>
      <c r="AG4624" s="64">
        <f>AG4622-AG4623</f>
        <v>-16343.371493301654</v>
      </c>
      <c r="AH4624" s="44"/>
      <c r="AI4624" s="72"/>
      <c r="AJ4624" s="64">
        <f>AJ4622-AJ4623</f>
        <v>-29131.111405144766</v>
      </c>
      <c r="AK4624" s="44"/>
      <c r="AL4624" s="72"/>
      <c r="AM4624" s="64">
        <f>AM4622-AM4623</f>
        <v>-43388.025727196153</v>
      </c>
      <c r="AN4624" s="44"/>
      <c r="AO4624" s="72"/>
      <c r="AP4624" s="64">
        <f>AP4622-AP4623</f>
        <v>-58491.724802339231</v>
      </c>
      <c r="AQ4624" s="44"/>
      <c r="AR4624" s="72"/>
      <c r="AS4624" s="64">
        <f>AS4622-AS4623</f>
        <v>-75771.300706816401</v>
      </c>
      <c r="AT4624" s="44"/>
      <c r="AU4624" s="72"/>
    </row>
    <row r="4625" spans="15:47" ht="13" x14ac:dyDescent="0.3">
      <c r="O4625" s="6" t="s">
        <v>75</v>
      </c>
      <c r="P4625" s="6">
        <v>3</v>
      </c>
      <c r="Q4625" s="65"/>
      <c r="R4625" s="85">
        <f>(F_LP_h/F_P_h)^2*(R4622-('Valve Sizing'!$V$4*'Valve Sizing'!$G$7))</f>
        <v>-219.51737218118282</v>
      </c>
      <c r="S4625" s="58"/>
      <c r="T4625" s="73"/>
      <c r="U4625" s="53">
        <f>(U$29/U$27)^2*(U4622-('Valve Sizing'!$V$4*'Valve Sizing'!$G$7))</f>
        <v>-42.942661895901686</v>
      </c>
      <c r="V4625" s="41"/>
      <c r="W4625" s="73"/>
      <c r="X4625" s="53">
        <f>(X$29/X$27)^2*(X4622-('Valve Sizing'!$V$4*'Valve Sizing'!$G$7))</f>
        <v>-459.45393725352778</v>
      </c>
      <c r="Y4625" s="41"/>
      <c r="Z4625" s="73"/>
      <c r="AA4625" s="53">
        <f>(AA$29/AA$27)^2*(AA4622-('Valve Sizing'!$V$4*'Valve Sizing'!$G$7))</f>
        <v>-1715.2307981734207</v>
      </c>
      <c r="AB4625" s="41"/>
      <c r="AC4625" s="73"/>
      <c r="AD4625" s="53">
        <f>(AD$29/AD$27)^2*(AD4622-('Valve Sizing'!$V$4*'Valve Sizing'!$G$7))</f>
        <v>-4398.9844830963038</v>
      </c>
      <c r="AE4625" s="41"/>
      <c r="AF4625" s="73"/>
      <c r="AG4625" s="53">
        <f>(AG$29/AG$27)^2*(AG4622-('Valve Sizing'!$V$4*'Valve Sizing'!$G$7))</f>
        <v>-8752.4819233120379</v>
      </c>
      <c r="AH4625" s="41"/>
      <c r="AI4625" s="73"/>
      <c r="AJ4625" s="53">
        <f>(AJ$29/AJ$27)^2*(AJ4622-('Valve Sizing'!$V$4*'Valve Sizing'!$G$7))</f>
        <v>-14023.214209082413</v>
      </c>
      <c r="AK4625" s="41"/>
      <c r="AL4625" s="73"/>
      <c r="AM4625" s="53">
        <f>(AM$29/AM$27)^2*(AM4622-('Valve Sizing'!$V$4*'Valve Sizing'!$G$7))</f>
        <v>-17285.808711597325</v>
      </c>
      <c r="AN4625" s="41"/>
      <c r="AO4625" s="73"/>
      <c r="AP4625" s="53">
        <f>(AP$29/AP$27)^2*(AP4622-('Valve Sizing'!$V$4*'Valve Sizing'!$G$7))</f>
        <v>-19223.658187403209</v>
      </c>
      <c r="AQ4625" s="41"/>
      <c r="AR4625" s="73"/>
      <c r="AS4625" s="53">
        <f>(AS$29/AS$27)^2*(AS4622-('Valve Sizing'!$V$4*'Valve Sizing'!$G$7))</f>
        <v>-23739.433110242484</v>
      </c>
      <c r="AT4625" s="41"/>
      <c r="AU4625" s="73"/>
    </row>
    <row r="4626" spans="15:47" ht="13" x14ac:dyDescent="0.25">
      <c r="O4626" s="1" t="s">
        <v>69</v>
      </c>
      <c r="P4626" s="17">
        <v>7</v>
      </c>
      <c r="Q4626" s="65"/>
      <c r="R4626" s="53" t="e">
        <f>(R4620/(N_1*F_P_h))*SQRT('Valve Sizing'!$G$6/R4624)</f>
        <v>#NUM!</v>
      </c>
      <c r="S4626" s="58"/>
      <c r="T4626" s="73"/>
      <c r="U4626" s="64" t="e">
        <f>(U4620/(N_1*U$27))*SQRT('Valve Sizing'!$G$6/U4624)</f>
        <v>#NUM!</v>
      </c>
      <c r="V4626" s="41"/>
      <c r="W4626" s="73"/>
      <c r="X4626" s="64" t="e">
        <f>(X4620/(N_1*X$27))*SQRT('Valve Sizing'!$G$6/X4624)</f>
        <v>#NUM!</v>
      </c>
      <c r="Y4626" s="41"/>
      <c r="Z4626" s="73"/>
      <c r="AA4626" s="64" t="e">
        <f>(AA4620/(N_1*AA$27))*SQRT('Valve Sizing'!$G$6/AA4624)</f>
        <v>#NUM!</v>
      </c>
      <c r="AB4626" s="41"/>
      <c r="AC4626" s="73"/>
      <c r="AD4626" s="64" t="e">
        <f>(AD4620/(N_1*AD$27))*SQRT('Valve Sizing'!$G$6/AD4624)</f>
        <v>#NUM!</v>
      </c>
      <c r="AE4626" s="41"/>
      <c r="AF4626" s="73"/>
      <c r="AG4626" s="64" t="e">
        <f>(AG4620/(N_1*AG$27))*SQRT('Valve Sizing'!$G$6/AG4624)</f>
        <v>#NUM!</v>
      </c>
      <c r="AH4626" s="41"/>
      <c r="AI4626" s="73"/>
      <c r="AJ4626" s="64" t="e">
        <f>(AJ4620/(N_1*AJ$27))*SQRT('Valve Sizing'!$G$6/AJ4624)</f>
        <v>#NUM!</v>
      </c>
      <c r="AK4626" s="41"/>
      <c r="AL4626" s="73"/>
      <c r="AM4626" s="64" t="e">
        <f>(AM4620/(N_1*AM$27))*SQRT('Valve Sizing'!$G$6/AM4624)</f>
        <v>#NUM!</v>
      </c>
      <c r="AN4626" s="41"/>
      <c r="AO4626" s="73"/>
      <c r="AP4626" s="64" t="e">
        <f>(AP4620/(N_1*AP$27))*SQRT('Valve Sizing'!$G$6/AP4624)</f>
        <v>#NUM!</v>
      </c>
      <c r="AQ4626" s="41"/>
      <c r="AR4626" s="73"/>
      <c r="AS4626" s="64" t="e">
        <f>(AS4620/(N_1*AS$27))*SQRT('Valve Sizing'!$G$6/AS4624)</f>
        <v>#NUM!</v>
      </c>
      <c r="AT4626" s="41"/>
      <c r="AU4626" s="73"/>
    </row>
    <row r="4627" spans="15:47" ht="13" x14ac:dyDescent="0.3">
      <c r="O4627" s="1" t="s">
        <v>72</v>
      </c>
      <c r="P4627" s="17">
        <v>7</v>
      </c>
      <c r="Q4627" s="65"/>
      <c r="R4627" s="53" t="e">
        <f>(R4620/(N_1*F_P_h))*SQRT('Valve Sizing'!$G$6/R4625)</f>
        <v>#NUM!</v>
      </c>
      <c r="S4627" s="56"/>
      <c r="T4627" s="72"/>
      <c r="U4627" s="85" t="e">
        <f>(U4620/(N_1*U$27))*SQRT('Valve Sizing'!$G$6/U4625)</f>
        <v>#NUM!</v>
      </c>
      <c r="V4627" s="44"/>
      <c r="W4627" s="72"/>
      <c r="X4627" s="85" t="e">
        <f>(X4620/(N_1*X$27))*SQRT('Valve Sizing'!$G$6/X4625)</f>
        <v>#NUM!</v>
      </c>
      <c r="Y4627" s="44"/>
      <c r="Z4627" s="72"/>
      <c r="AA4627" s="85" t="e">
        <f>(AA4620/(N_1*AA$27))*SQRT('Valve Sizing'!$G$6/AA4625)</f>
        <v>#NUM!</v>
      </c>
      <c r="AB4627" s="44"/>
      <c r="AC4627" s="72"/>
      <c r="AD4627" s="85" t="e">
        <f>(AD4620/(N_1*AD$27))*SQRT('Valve Sizing'!$G$6/AD4625)</f>
        <v>#NUM!</v>
      </c>
      <c r="AE4627" s="44"/>
      <c r="AF4627" s="72"/>
      <c r="AG4627" s="85" t="e">
        <f>(AG4620/(N_1*AG$27))*SQRT('Valve Sizing'!$G$6/AG4625)</f>
        <v>#NUM!</v>
      </c>
      <c r="AH4627" s="44"/>
      <c r="AI4627" s="72"/>
      <c r="AJ4627" s="85" t="e">
        <f>(AJ4620/(N_1*AJ$27))*SQRT('Valve Sizing'!$G$6/AJ4625)</f>
        <v>#NUM!</v>
      </c>
      <c r="AK4627" s="44"/>
      <c r="AL4627" s="72"/>
      <c r="AM4627" s="85" t="e">
        <f>(AM4620/(N_1*AM$27))*SQRT('Valve Sizing'!$G$6/AM4625)</f>
        <v>#NUM!</v>
      </c>
      <c r="AN4627" s="44"/>
      <c r="AO4627" s="72"/>
      <c r="AP4627" s="85" t="e">
        <f>(AP4620/(N_1*AP$27))*SQRT('Valve Sizing'!$G$6/AP4625)</f>
        <v>#NUM!</v>
      </c>
      <c r="AQ4627" s="44"/>
      <c r="AR4627" s="72"/>
      <c r="AS4627" s="85" t="e">
        <f>(AS4620/(N_1*AS$27))*SQRT('Valve Sizing'!$G$6/AS4625)</f>
        <v>#NUM!</v>
      </c>
      <c r="AT4627" s="44"/>
      <c r="AU4627" s="72"/>
    </row>
    <row r="4628" spans="15:47" x14ac:dyDescent="0.25">
      <c r="O4628" s="1" t="s">
        <v>246</v>
      </c>
      <c r="P4628" s="18"/>
      <c r="Q4628" s="65"/>
      <c r="R4628" s="53" t="e">
        <f>IF(R4624&lt;R4625,R4626,R4627)</f>
        <v>#NUM!</v>
      </c>
      <c r="S4628" s="49"/>
      <c r="T4628" s="72"/>
      <c r="U4628" s="64" t="e">
        <f>IF(U4624&lt;U4625,U4626,U4627)</f>
        <v>#NUM!</v>
      </c>
      <c r="V4628" s="44"/>
      <c r="W4628" s="72"/>
      <c r="X4628" s="64" t="e">
        <f>IF(X4624&lt;X4625,X4626,X4627)</f>
        <v>#NUM!</v>
      </c>
      <c r="Y4628" s="44"/>
      <c r="Z4628" s="72"/>
      <c r="AA4628" s="64" t="e">
        <f>IF(AA4624&lt;AA4625,AA4626,AA4627)</f>
        <v>#NUM!</v>
      </c>
      <c r="AB4628" s="44"/>
      <c r="AC4628" s="72"/>
      <c r="AD4628" s="64" t="e">
        <f>IF(AD4624&lt;AD4625,AD4626,AD4627)</f>
        <v>#NUM!</v>
      </c>
      <c r="AE4628" s="44"/>
      <c r="AF4628" s="72"/>
      <c r="AG4628" s="64" t="e">
        <f>IF(AG4624&lt;AG4625,AG4626,AG4627)</f>
        <v>#NUM!</v>
      </c>
      <c r="AH4628" s="44"/>
      <c r="AI4628" s="72"/>
      <c r="AJ4628" s="64" t="e">
        <f>IF(AJ4624&lt;AJ4625,AJ4626,AJ4627)</f>
        <v>#NUM!</v>
      </c>
      <c r="AK4628" s="44"/>
      <c r="AL4628" s="72"/>
      <c r="AM4628" s="64" t="e">
        <f>IF(AM4624&lt;AM4625,AM4626,AM4627)</f>
        <v>#NUM!</v>
      </c>
      <c r="AN4628" s="44"/>
      <c r="AO4628" s="72"/>
      <c r="AP4628" s="64" t="e">
        <f>IF(AP4624&lt;AP4625,AP4626,AP4627)</f>
        <v>#NUM!</v>
      </c>
      <c r="AQ4628" s="44"/>
      <c r="AR4628" s="72"/>
      <c r="AS4628" s="64" t="e">
        <f>IF(AS4624&lt;AS4625,AS4626,AS4627)</f>
        <v>#NUM!</v>
      </c>
      <c r="AT4628" s="44"/>
      <c r="AU4628" s="72"/>
    </row>
    <row r="4629" spans="15:47" ht="13" x14ac:dyDescent="0.3">
      <c r="O4629" s="7" t="s">
        <v>264</v>
      </c>
      <c r="Q4629" s="61"/>
      <c r="R4629" s="53"/>
      <c r="S4629" s="69">
        <f>IFERROR(ABS(C_h-R4628),Q_max*10)</f>
        <v>5500</v>
      </c>
      <c r="T4629" s="76">
        <f>R4620</f>
        <v>3085.7562102901206</v>
      </c>
      <c r="U4629" s="61"/>
      <c r="V4629" s="69">
        <f>IFERROR(ABS(U$23-U4628),Q_max*10)</f>
        <v>5500</v>
      </c>
      <c r="W4629" s="75">
        <f>U4620</f>
        <v>1791.1574818672207</v>
      </c>
      <c r="X4629" s="61"/>
      <c r="Y4629" s="69">
        <f>IFERROR(ABS(X$23-X4628),Q_max*10)</f>
        <v>5500</v>
      </c>
      <c r="Z4629" s="75">
        <f>X4620</f>
        <v>4299.4674399972273</v>
      </c>
      <c r="AA4629" s="61"/>
      <c r="AB4629" s="69">
        <f>IFERROR(ABS(AA$23-AA4628),Q_max*10)</f>
        <v>5500</v>
      </c>
      <c r="AC4629" s="75">
        <f>AA4620</f>
        <v>8209.2590469274674</v>
      </c>
      <c r="AD4629" s="61"/>
      <c r="AE4629" s="69">
        <f>IFERROR(ABS(AD$23-AD4628),Q_max*10)</f>
        <v>5500</v>
      </c>
      <c r="AF4629" s="75">
        <f>AD4620</f>
        <v>13501.208662336698</v>
      </c>
      <c r="AG4629" s="61"/>
      <c r="AH4629" s="69">
        <f>IFERROR(ABS(AG$23-AG4628),Q_max*10)</f>
        <v>5500</v>
      </c>
      <c r="AI4629" s="75">
        <f>AG4620</f>
        <v>20101.459936960258</v>
      </c>
      <c r="AJ4629" s="61"/>
      <c r="AK4629" s="69">
        <f>IFERROR(ABS(AJ$23-AJ4628),Q_max*10)</f>
        <v>5500</v>
      </c>
      <c r="AL4629" s="75">
        <f>AJ4620</f>
        <v>26825.476210534402</v>
      </c>
      <c r="AM4629" s="61"/>
      <c r="AN4629" s="69">
        <f>IFERROR(ABS(AM$23-AM4628),Q_max*10)</f>
        <v>5500</v>
      </c>
      <c r="AO4629" s="75">
        <f>AM4620</f>
        <v>32732.178888955208</v>
      </c>
      <c r="AP4629" s="61"/>
      <c r="AQ4629" s="69">
        <f>IFERROR(ABS(AP$23-AP4628),Q_max*10)</f>
        <v>5500</v>
      </c>
      <c r="AR4629" s="75">
        <f>AP4620</f>
        <v>38001.043531694238</v>
      </c>
      <c r="AS4629" s="61"/>
      <c r="AT4629" s="69">
        <f>IFERROR(ABS(AS$23-AS4628),Q_max*10)</f>
        <v>5500</v>
      </c>
      <c r="AU4629" s="75">
        <f>AS4620</f>
        <v>43248.732292874141</v>
      </c>
    </row>
    <row r="4630" spans="15:47" ht="14.5" x14ac:dyDescent="0.35">
      <c r="O4630" s="6"/>
      <c r="P4630" s="6"/>
      <c r="Q4630" s="60"/>
      <c r="R4630" s="67"/>
      <c r="S4630" s="58"/>
      <c r="T4630" s="73"/>
      <c r="V4630" s="11"/>
      <c r="W4630" s="38"/>
      <c r="Y4630" s="11"/>
      <c r="Z4630" s="38"/>
      <c r="AB4630" s="11"/>
      <c r="AC4630" s="38"/>
      <c r="AE4630" s="11"/>
      <c r="AF4630" s="38"/>
      <c r="AH4630" s="11"/>
      <c r="AI4630" s="38"/>
      <c r="AK4630" s="11"/>
      <c r="AL4630" s="38"/>
      <c r="AN4630" s="11"/>
      <c r="AO4630" s="38"/>
      <c r="AQ4630" s="11"/>
      <c r="AR4630" s="38"/>
      <c r="AT4630" s="11"/>
      <c r="AU4630" s="38"/>
    </row>
    <row r="4631" spans="15:47" ht="14" x14ac:dyDescent="0.3">
      <c r="O4631" s="8" t="s">
        <v>235</v>
      </c>
      <c r="P4631" s="6"/>
      <c r="Q4631" s="60"/>
      <c r="R4631" s="53">
        <f>R4620*1.02</f>
        <v>3147.4713344959232</v>
      </c>
      <c r="S4631" s="58" t="s">
        <v>238</v>
      </c>
      <c r="T4631" s="73" t="s">
        <v>241</v>
      </c>
      <c r="U4631" s="84">
        <f>U4620*1.01</f>
        <v>1809.069056685893</v>
      </c>
      <c r="V4631" s="58" t="s">
        <v>238</v>
      </c>
      <c r="W4631" s="73" t="s">
        <v>241</v>
      </c>
      <c r="X4631" s="84">
        <f>X4620*1.01</f>
        <v>4342.4621143971999</v>
      </c>
      <c r="Y4631" s="58" t="s">
        <v>238</v>
      </c>
      <c r="Z4631" s="73" t="s">
        <v>241</v>
      </c>
      <c r="AA4631" s="84">
        <f>AA4620*1.01</f>
        <v>8291.3516373967414</v>
      </c>
      <c r="AB4631" s="58" t="s">
        <v>238</v>
      </c>
      <c r="AC4631" s="73" t="s">
        <v>241</v>
      </c>
      <c r="AD4631" s="84">
        <f>AD4620*1.01</f>
        <v>13636.220748960064</v>
      </c>
      <c r="AE4631" s="58" t="s">
        <v>238</v>
      </c>
      <c r="AF4631" s="73" t="s">
        <v>241</v>
      </c>
      <c r="AG4631" s="84">
        <f>AG4620*1.01</f>
        <v>20302.474536329861</v>
      </c>
      <c r="AH4631" s="58" t="s">
        <v>238</v>
      </c>
      <c r="AI4631" s="73" t="s">
        <v>241</v>
      </c>
      <c r="AJ4631" s="84">
        <f>AJ4620*1.01</f>
        <v>27093.730972639747</v>
      </c>
      <c r="AK4631" s="58" t="s">
        <v>238</v>
      </c>
      <c r="AL4631" s="73" t="s">
        <v>241</v>
      </c>
      <c r="AM4631" s="84">
        <f>AM4620*1.01</f>
        <v>33059.500677844757</v>
      </c>
      <c r="AN4631" s="58" t="s">
        <v>238</v>
      </c>
      <c r="AO4631" s="73" t="s">
        <v>241</v>
      </c>
      <c r="AP4631" s="84">
        <f>AP4620*1.01</f>
        <v>38381.053967011183</v>
      </c>
      <c r="AQ4631" s="58" t="s">
        <v>238</v>
      </c>
      <c r="AR4631" s="73" t="s">
        <v>241</v>
      </c>
      <c r="AS4631" s="84">
        <f>AS4620*1.01</f>
        <v>43681.219615802882</v>
      </c>
      <c r="AT4631" s="58" t="s">
        <v>238</v>
      </c>
      <c r="AU4631" s="73" t="s">
        <v>241</v>
      </c>
    </row>
    <row r="4632" spans="15:47" ht="13" x14ac:dyDescent="0.25">
      <c r="O4632" s="6"/>
      <c r="P4632" s="6"/>
      <c r="Q4632" s="60"/>
      <c r="R4632" s="70"/>
      <c r="S4632" s="63" t="s">
        <v>250</v>
      </c>
      <c r="T4632" s="71" t="s">
        <v>242</v>
      </c>
      <c r="U4632" s="61"/>
      <c r="V4632" s="63" t="s">
        <v>250</v>
      </c>
      <c r="W4632" s="71" t="s">
        <v>242</v>
      </c>
      <c r="X4632" s="61"/>
      <c r="Y4632" s="63" t="s">
        <v>250</v>
      </c>
      <c r="Z4632" s="71" t="s">
        <v>242</v>
      </c>
      <c r="AA4632" s="61"/>
      <c r="AB4632" s="63" t="s">
        <v>250</v>
      </c>
      <c r="AC4632" s="71" t="s">
        <v>242</v>
      </c>
      <c r="AD4632" s="61"/>
      <c r="AE4632" s="63" t="s">
        <v>250</v>
      </c>
      <c r="AF4632" s="71" t="s">
        <v>242</v>
      </c>
      <c r="AG4632" s="61"/>
      <c r="AH4632" s="63" t="s">
        <v>250</v>
      </c>
      <c r="AI4632" s="71" t="s">
        <v>242</v>
      </c>
      <c r="AJ4632" s="61"/>
      <c r="AK4632" s="63" t="s">
        <v>250</v>
      </c>
      <c r="AL4632" s="71" t="s">
        <v>242</v>
      </c>
      <c r="AM4632" s="61"/>
      <c r="AN4632" s="63" t="s">
        <v>250</v>
      </c>
      <c r="AO4632" s="71" t="s">
        <v>242</v>
      </c>
      <c r="AP4632" s="61"/>
      <c r="AQ4632" s="63" t="s">
        <v>250</v>
      </c>
      <c r="AR4632" s="71" t="s">
        <v>242</v>
      </c>
      <c r="AS4632" s="61"/>
      <c r="AT4632" s="63" t="s">
        <v>250</v>
      </c>
      <c r="AU4632" s="71" t="s">
        <v>242</v>
      </c>
    </row>
    <row r="4633" spans="15:47" ht="13" x14ac:dyDescent="0.3">
      <c r="O4633" s="6" t="s">
        <v>231</v>
      </c>
      <c r="P4633" s="6"/>
      <c r="Q4633" s="60"/>
      <c r="R4633" s="85">
        <f>P_1_minQ-(R4631^2*R_up)+dpup_minQ</f>
        <v>-277.65244179241972</v>
      </c>
      <c r="S4633" s="56"/>
      <c r="T4633" s="72"/>
      <c r="U4633" s="53">
        <f>P_1_minQ-(U4631^2*R_up)+dpup_minQ</f>
        <v>-53.61174778312688</v>
      </c>
      <c r="V4633" s="44"/>
      <c r="W4633" s="72"/>
      <c r="X4633" s="53">
        <f>P_1_minQ-(X4631^2*R_up)+dpup_minQ</f>
        <v>-579.9287475506585</v>
      </c>
      <c r="Y4633" s="44"/>
      <c r="Z4633" s="72"/>
      <c r="AA4633" s="53">
        <f>P_1_minQ-(AA4631^2*R_up)+dpup_minQ</f>
        <v>-2264.8167840243714</v>
      </c>
      <c r="AB4633" s="44"/>
      <c r="AC4633" s="72"/>
      <c r="AD4633" s="53">
        <f>P_1_minQ-(AD4631^2*R_up)+dpup_minQ</f>
        <v>-6222.9391865710568</v>
      </c>
      <c r="AE4633" s="44"/>
      <c r="AF4633" s="72"/>
      <c r="AG4633" s="53">
        <f>P_1_minQ-(AG4631^2*R_up)+dpup_minQ</f>
        <v>-13863.734728075731</v>
      </c>
      <c r="AH4633" s="44"/>
      <c r="AI4633" s="72"/>
      <c r="AJ4633" s="53">
        <f>P_1_minQ-(AJ4631^2*R_up)+dpup_minQ</f>
        <v>-24734.379298135034</v>
      </c>
      <c r="AK4633" s="44"/>
      <c r="AL4633" s="72"/>
      <c r="AM4633" s="53">
        <f>P_1_minQ-(AM4631^2*R_up)+dpup_minQ</f>
        <v>-36853.944548072206</v>
      </c>
      <c r="AN4633" s="44"/>
      <c r="AO4633" s="72"/>
      <c r="AP4633" s="53">
        <f>P_1_minQ-(AP4631^2*R_up)+dpup_minQ</f>
        <v>-49693.347403533437</v>
      </c>
      <c r="AQ4633" s="44"/>
      <c r="AR4633" s="72"/>
      <c r="AS4633" s="53">
        <f>P_1_minQ-(AS4631^2*R_up)+dpup_minQ</f>
        <v>-64382.426886997724</v>
      </c>
      <c r="AT4633" s="44"/>
      <c r="AU4633" s="72"/>
    </row>
    <row r="4634" spans="15:47" ht="13" x14ac:dyDescent="0.3">
      <c r="O4634" s="6" t="s">
        <v>233</v>
      </c>
      <c r="P4634" s="6"/>
      <c r="Q4634" s="60"/>
      <c r="R4634" s="85">
        <f>P_2_minQ+(R4631^2*R_dn)-dpdn_minQ</f>
        <v>91.570488358483942</v>
      </c>
      <c r="S4634" s="66"/>
      <c r="T4634" s="74"/>
      <c r="U4634" s="53">
        <f>P_2_minQ+(U4631^2*R_dn)-dpdn_minQ</f>
        <v>46.762349556625381</v>
      </c>
      <c r="V4634" s="45"/>
      <c r="W4634" s="74"/>
      <c r="X4634" s="53">
        <f>P_2_minQ+(X4631^2*R_dn)-dpdn_minQ</f>
        <v>152.0257495101317</v>
      </c>
      <c r="Y4634" s="45"/>
      <c r="Z4634" s="74"/>
      <c r="AA4634" s="53">
        <f>P_2_minQ+(AA4631^2*R_dn)-dpdn_minQ</f>
        <v>489.00335680487416</v>
      </c>
      <c r="AB4634" s="45"/>
      <c r="AC4634" s="74"/>
      <c r="AD4634" s="53">
        <f>P_2_minQ+(AD4631^2*R_dn)-dpdn_minQ</f>
        <v>1280.6278373142113</v>
      </c>
      <c r="AE4634" s="45"/>
      <c r="AF4634" s="74"/>
      <c r="AG4634" s="53">
        <f>P_2_minQ+(AG4631^2*R_dn)-dpdn_minQ</f>
        <v>2808.7869456151461</v>
      </c>
      <c r="AH4634" s="45"/>
      <c r="AI4634" s="74"/>
      <c r="AJ4634" s="53">
        <f>P_2_minQ+(AJ4631^2*R_dn)-dpdn_minQ</f>
        <v>4982.9158596270063</v>
      </c>
      <c r="AK4634" s="45"/>
      <c r="AL4634" s="74"/>
      <c r="AM4634" s="53">
        <f>P_2_minQ+(AM4631^2*R_dn)-dpdn_minQ</f>
        <v>7406.8289096144408</v>
      </c>
      <c r="AN4634" s="45"/>
      <c r="AO4634" s="74"/>
      <c r="AP4634" s="53">
        <f>P_2_minQ+(AP4631^2*R_dn)-dpdn_minQ</f>
        <v>9974.709480706686</v>
      </c>
      <c r="AQ4634" s="45"/>
      <c r="AR4634" s="74"/>
      <c r="AS4634" s="53">
        <f>P_2_minQ+(AS4631^2*R_dn)-dpdn_minQ</f>
        <v>12912.525377399545</v>
      </c>
      <c r="AT4634" s="45"/>
      <c r="AU4634" s="74"/>
    </row>
    <row r="4635" spans="15:47" x14ac:dyDescent="0.25">
      <c r="O4635" s="6" t="s">
        <v>243</v>
      </c>
      <c r="Q4635" s="60"/>
      <c r="R4635" s="53">
        <f>R4633-R4634</f>
        <v>-369.22293015090366</v>
      </c>
      <c r="S4635" s="56"/>
      <c r="T4635" s="72"/>
      <c r="U4635" s="64">
        <f>U4633-U4634</f>
        <v>-100.37409733975227</v>
      </c>
      <c r="V4635" s="44"/>
      <c r="W4635" s="72"/>
      <c r="X4635" s="64">
        <f>X4633-X4634</f>
        <v>-731.95449706079023</v>
      </c>
      <c r="Y4635" s="44"/>
      <c r="Z4635" s="72"/>
      <c r="AA4635" s="64">
        <f>AA4633-AA4634</f>
        <v>-2753.8201408292457</v>
      </c>
      <c r="AB4635" s="44"/>
      <c r="AC4635" s="72"/>
      <c r="AD4635" s="64">
        <f>AD4633-AD4634</f>
        <v>-7503.5670238852681</v>
      </c>
      <c r="AE4635" s="44"/>
      <c r="AF4635" s="72"/>
      <c r="AG4635" s="64">
        <f>AG4633-AG4634</f>
        <v>-16672.521673690877</v>
      </c>
      <c r="AH4635" s="44"/>
      <c r="AI4635" s="72"/>
      <c r="AJ4635" s="64">
        <f>AJ4633-AJ4634</f>
        <v>-29717.295157762041</v>
      </c>
      <c r="AK4635" s="44"/>
      <c r="AL4635" s="72"/>
      <c r="AM4635" s="64">
        <f>AM4633-AM4634</f>
        <v>-44260.77345768665</v>
      </c>
      <c r="AN4635" s="44"/>
      <c r="AO4635" s="72"/>
      <c r="AP4635" s="64">
        <f>AP4633-AP4634</f>
        <v>-59668.056884240126</v>
      </c>
      <c r="AQ4635" s="44"/>
      <c r="AR4635" s="72"/>
      <c r="AS4635" s="64">
        <f>AS4633-AS4634</f>
        <v>-77294.952264397274</v>
      </c>
      <c r="AT4635" s="44"/>
      <c r="AU4635" s="72"/>
    </row>
    <row r="4636" spans="15:47" ht="13" x14ac:dyDescent="0.3">
      <c r="O4636" s="6" t="s">
        <v>75</v>
      </c>
      <c r="P4636" s="6">
        <v>3</v>
      </c>
      <c r="Q4636" s="65"/>
      <c r="R4636" s="85">
        <f>(F_LP_h/F_P_h)^2*(R4633-('Valve Sizing'!$V$4*'Valve Sizing'!$G$7))</f>
        <v>-230.27518661226799</v>
      </c>
      <c r="S4636" s="58"/>
      <c r="T4636" s="73"/>
      <c r="U4636" s="53">
        <f>(U$29/U$27)^2*(U4633-('Valve Sizing'!$V$4*'Valve Sizing'!$G$7))</f>
        <v>-44.745532981511225</v>
      </c>
      <c r="V4636" s="41"/>
      <c r="W4636" s="73"/>
      <c r="X4636" s="53">
        <f>(X$29/X$27)^2*(X4633-('Valve Sizing'!$V$4*'Valve Sizing'!$G$7))</f>
        <v>-469.60748769360197</v>
      </c>
      <c r="Y4636" s="41"/>
      <c r="Z4636" s="73"/>
      <c r="AA4636" s="53">
        <f>(AA$29/AA$27)^2*(AA4633-('Valve Sizing'!$V$4*'Valve Sizing'!$G$7))</f>
        <v>-1750.5841929122498</v>
      </c>
      <c r="AB4636" s="41"/>
      <c r="AC4636" s="73"/>
      <c r="AD4636" s="53">
        <f>(AD$29/AD$27)^2*(AD4633-('Valve Sizing'!$V$4*'Valve Sizing'!$G$7))</f>
        <v>-4488.2227410244641</v>
      </c>
      <c r="AE4636" s="41"/>
      <c r="AF4636" s="73"/>
      <c r="AG4636" s="53">
        <f>(AG$29/AG$27)^2*(AG4633-('Valve Sizing'!$V$4*'Valve Sizing'!$G$7))</f>
        <v>-8929.1379089041257</v>
      </c>
      <c r="AH4636" s="41"/>
      <c r="AI4636" s="73"/>
      <c r="AJ4636" s="53">
        <f>(AJ$29/AJ$27)^2*(AJ4633-('Valve Sizing'!$V$4*'Valve Sizing'!$G$7))</f>
        <v>-14305.737356133679</v>
      </c>
      <c r="AK4636" s="41"/>
      <c r="AL4636" s="73"/>
      <c r="AM4636" s="53">
        <f>(AM$29/AM$27)^2*(AM4633-('Valve Sizing'!$V$4*'Valve Sizing'!$G$7))</f>
        <v>-17633.796613604351</v>
      </c>
      <c r="AN4636" s="41"/>
      <c r="AO4636" s="73"/>
      <c r="AP4636" s="53">
        <f>(AP$29/AP$27)^2*(AP4633-('Valve Sizing'!$V$4*'Valve Sizing'!$G$7))</f>
        <v>-19610.501685236919</v>
      </c>
      <c r="AQ4636" s="41"/>
      <c r="AR4636" s="73"/>
      <c r="AS4636" s="53">
        <f>(AS$29/AS$27)^2*(AS4633-('Valve Sizing'!$V$4*'Valve Sizing'!$G$7))</f>
        <v>-24217.022699247475</v>
      </c>
      <c r="AT4636" s="41"/>
      <c r="AU4636" s="73"/>
    </row>
    <row r="4637" spans="15:47" ht="13" x14ac:dyDescent="0.25">
      <c r="O4637" s="1" t="s">
        <v>69</v>
      </c>
      <c r="P4637" s="17">
        <v>7</v>
      </c>
      <c r="Q4637" s="65"/>
      <c r="R4637" s="53" t="e">
        <f>(R4631/(N_1*F_P_h))*SQRT('Valve Sizing'!$G$6/R4635)</f>
        <v>#NUM!</v>
      </c>
      <c r="S4637" s="58"/>
      <c r="T4637" s="73"/>
      <c r="U4637" s="64" t="e">
        <f>(U4631/(N_1*U$27))*SQRT('Valve Sizing'!$G$6/U4635)</f>
        <v>#NUM!</v>
      </c>
      <c r="V4637" s="41"/>
      <c r="W4637" s="73"/>
      <c r="X4637" s="64" t="e">
        <f>(X4631/(N_1*X$27))*SQRT('Valve Sizing'!$G$6/X4635)</f>
        <v>#NUM!</v>
      </c>
      <c r="Y4637" s="41"/>
      <c r="Z4637" s="73"/>
      <c r="AA4637" s="64" t="e">
        <f>(AA4631/(N_1*AA$27))*SQRT('Valve Sizing'!$G$6/AA4635)</f>
        <v>#NUM!</v>
      </c>
      <c r="AB4637" s="41"/>
      <c r="AC4637" s="73"/>
      <c r="AD4637" s="64" t="e">
        <f>(AD4631/(N_1*AD$27))*SQRT('Valve Sizing'!$G$6/AD4635)</f>
        <v>#NUM!</v>
      </c>
      <c r="AE4637" s="41"/>
      <c r="AF4637" s="73"/>
      <c r="AG4637" s="64" t="e">
        <f>(AG4631/(N_1*AG$27))*SQRT('Valve Sizing'!$G$6/AG4635)</f>
        <v>#NUM!</v>
      </c>
      <c r="AH4637" s="41"/>
      <c r="AI4637" s="73"/>
      <c r="AJ4637" s="64" t="e">
        <f>(AJ4631/(N_1*AJ$27))*SQRT('Valve Sizing'!$G$6/AJ4635)</f>
        <v>#NUM!</v>
      </c>
      <c r="AK4637" s="41"/>
      <c r="AL4637" s="73"/>
      <c r="AM4637" s="64" t="e">
        <f>(AM4631/(N_1*AM$27))*SQRT('Valve Sizing'!$G$6/AM4635)</f>
        <v>#NUM!</v>
      </c>
      <c r="AN4637" s="41"/>
      <c r="AO4637" s="73"/>
      <c r="AP4637" s="64" t="e">
        <f>(AP4631/(N_1*AP$27))*SQRT('Valve Sizing'!$G$6/AP4635)</f>
        <v>#NUM!</v>
      </c>
      <c r="AQ4637" s="41"/>
      <c r="AR4637" s="73"/>
      <c r="AS4637" s="64" t="e">
        <f>(AS4631/(N_1*AS$27))*SQRT('Valve Sizing'!$G$6/AS4635)</f>
        <v>#NUM!</v>
      </c>
      <c r="AT4637" s="41"/>
      <c r="AU4637" s="73"/>
    </row>
    <row r="4638" spans="15:47" ht="13" x14ac:dyDescent="0.3">
      <c r="O4638" s="1" t="s">
        <v>72</v>
      </c>
      <c r="P4638" s="17">
        <v>7</v>
      </c>
      <c r="Q4638" s="65"/>
      <c r="R4638" s="53" t="e">
        <f>(R4631/(N_1*F_P_h))*SQRT('Valve Sizing'!$G$6/R4636)</f>
        <v>#NUM!</v>
      </c>
      <c r="S4638" s="56"/>
      <c r="T4638" s="72"/>
      <c r="U4638" s="85" t="e">
        <f>(U4631/(N_1*U$27))*SQRT('Valve Sizing'!$G$6/U4636)</f>
        <v>#NUM!</v>
      </c>
      <c r="V4638" s="44"/>
      <c r="W4638" s="72"/>
      <c r="X4638" s="85" t="e">
        <f>(X4631/(N_1*X$27))*SQRT('Valve Sizing'!$G$6/X4636)</f>
        <v>#NUM!</v>
      </c>
      <c r="Y4638" s="44"/>
      <c r="Z4638" s="72"/>
      <c r="AA4638" s="85" t="e">
        <f>(AA4631/(N_1*AA$27))*SQRT('Valve Sizing'!$G$6/AA4636)</f>
        <v>#NUM!</v>
      </c>
      <c r="AB4638" s="44"/>
      <c r="AC4638" s="72"/>
      <c r="AD4638" s="85" t="e">
        <f>(AD4631/(N_1*AD$27))*SQRT('Valve Sizing'!$G$6/AD4636)</f>
        <v>#NUM!</v>
      </c>
      <c r="AE4638" s="44"/>
      <c r="AF4638" s="72"/>
      <c r="AG4638" s="85" t="e">
        <f>(AG4631/(N_1*AG$27))*SQRT('Valve Sizing'!$G$6/AG4636)</f>
        <v>#NUM!</v>
      </c>
      <c r="AH4638" s="44"/>
      <c r="AI4638" s="72"/>
      <c r="AJ4638" s="85" t="e">
        <f>(AJ4631/(N_1*AJ$27))*SQRT('Valve Sizing'!$G$6/AJ4636)</f>
        <v>#NUM!</v>
      </c>
      <c r="AK4638" s="44"/>
      <c r="AL4638" s="72"/>
      <c r="AM4638" s="85" t="e">
        <f>(AM4631/(N_1*AM$27))*SQRT('Valve Sizing'!$G$6/AM4636)</f>
        <v>#NUM!</v>
      </c>
      <c r="AN4638" s="44"/>
      <c r="AO4638" s="72"/>
      <c r="AP4638" s="85" t="e">
        <f>(AP4631/(N_1*AP$27))*SQRT('Valve Sizing'!$G$6/AP4636)</f>
        <v>#NUM!</v>
      </c>
      <c r="AQ4638" s="44"/>
      <c r="AR4638" s="72"/>
      <c r="AS4638" s="85" t="e">
        <f>(AS4631/(N_1*AS$27))*SQRT('Valve Sizing'!$G$6/AS4636)</f>
        <v>#NUM!</v>
      </c>
      <c r="AT4638" s="44"/>
      <c r="AU4638" s="72"/>
    </row>
    <row r="4639" spans="15:47" x14ac:dyDescent="0.25">
      <c r="O4639" s="1" t="s">
        <v>246</v>
      </c>
      <c r="P4639" s="18"/>
      <c r="Q4639" s="65"/>
      <c r="R4639" s="53" t="e">
        <f>IF(R4635&lt;R4636,R4637,R4638)</f>
        <v>#NUM!</v>
      </c>
      <c r="S4639" s="49"/>
      <c r="T4639" s="72"/>
      <c r="U4639" s="64" t="e">
        <f>IF(U4635&lt;U4636,U4637,U4638)</f>
        <v>#NUM!</v>
      </c>
      <c r="V4639" s="44"/>
      <c r="W4639" s="72"/>
      <c r="X4639" s="64" t="e">
        <f>IF(X4635&lt;X4636,X4637,X4638)</f>
        <v>#NUM!</v>
      </c>
      <c r="Y4639" s="44"/>
      <c r="Z4639" s="72"/>
      <c r="AA4639" s="64" t="e">
        <f>IF(AA4635&lt;AA4636,AA4637,AA4638)</f>
        <v>#NUM!</v>
      </c>
      <c r="AB4639" s="44"/>
      <c r="AC4639" s="72"/>
      <c r="AD4639" s="64" t="e">
        <f>IF(AD4635&lt;AD4636,AD4637,AD4638)</f>
        <v>#NUM!</v>
      </c>
      <c r="AE4639" s="44"/>
      <c r="AF4639" s="72"/>
      <c r="AG4639" s="64" t="e">
        <f>IF(AG4635&lt;AG4636,AG4637,AG4638)</f>
        <v>#NUM!</v>
      </c>
      <c r="AH4639" s="44"/>
      <c r="AI4639" s="72"/>
      <c r="AJ4639" s="64" t="e">
        <f>IF(AJ4635&lt;AJ4636,AJ4637,AJ4638)</f>
        <v>#NUM!</v>
      </c>
      <c r="AK4639" s="44"/>
      <c r="AL4639" s="72"/>
      <c r="AM4639" s="64" t="e">
        <f>IF(AM4635&lt;AM4636,AM4637,AM4638)</f>
        <v>#NUM!</v>
      </c>
      <c r="AN4639" s="44"/>
      <c r="AO4639" s="72"/>
      <c r="AP4639" s="64" t="e">
        <f>IF(AP4635&lt;AP4636,AP4637,AP4638)</f>
        <v>#NUM!</v>
      </c>
      <c r="AQ4639" s="44"/>
      <c r="AR4639" s="72"/>
      <c r="AS4639" s="64" t="e">
        <f>IF(AS4635&lt;AS4636,AS4637,AS4638)</f>
        <v>#NUM!</v>
      </c>
      <c r="AT4639" s="44"/>
      <c r="AU4639" s="72"/>
    </row>
    <row r="4640" spans="15:47" ht="13" x14ac:dyDescent="0.3">
      <c r="O4640" s="7" t="s">
        <v>264</v>
      </c>
      <c r="Q4640" s="61"/>
      <c r="R4640" s="53"/>
      <c r="S4640" s="69">
        <f>IFERROR(ABS(C_h-R4639),Q_max*10)</f>
        <v>5500</v>
      </c>
      <c r="T4640" s="76">
        <f>R4631</f>
        <v>3147.4713344959232</v>
      </c>
      <c r="U4640" s="61"/>
      <c r="V4640" s="69">
        <f>IFERROR(ABS(U$23-U4639),Q_max*10)</f>
        <v>5500</v>
      </c>
      <c r="W4640" s="75">
        <f>U4631</f>
        <v>1809.069056685893</v>
      </c>
      <c r="X4640" s="61"/>
      <c r="Y4640" s="69">
        <f>IFERROR(ABS(X$23-X4639),Q_max*10)</f>
        <v>5500</v>
      </c>
      <c r="Z4640" s="75">
        <f>X4631</f>
        <v>4342.4621143971999</v>
      </c>
      <c r="AA4640" s="61"/>
      <c r="AB4640" s="69">
        <f>IFERROR(ABS(AA$23-AA4639),Q_max*10)</f>
        <v>5500</v>
      </c>
      <c r="AC4640" s="75">
        <f>AA4631</f>
        <v>8291.3516373967414</v>
      </c>
      <c r="AD4640" s="61"/>
      <c r="AE4640" s="69">
        <f>IFERROR(ABS(AD$23-AD4639),Q_max*10)</f>
        <v>5500</v>
      </c>
      <c r="AF4640" s="75">
        <f>AD4631</f>
        <v>13636.220748960064</v>
      </c>
      <c r="AG4640" s="61"/>
      <c r="AH4640" s="69">
        <f>IFERROR(ABS(AG$23-AG4639),Q_max*10)</f>
        <v>5500</v>
      </c>
      <c r="AI4640" s="75">
        <f>AG4631</f>
        <v>20302.474536329861</v>
      </c>
      <c r="AJ4640" s="61"/>
      <c r="AK4640" s="69">
        <f>IFERROR(ABS(AJ$23-AJ4639),Q_max*10)</f>
        <v>5500</v>
      </c>
      <c r="AL4640" s="75">
        <f>AJ4631</f>
        <v>27093.730972639747</v>
      </c>
      <c r="AM4640" s="61"/>
      <c r="AN4640" s="69">
        <f>IFERROR(ABS(AM$23-AM4639),Q_max*10)</f>
        <v>5500</v>
      </c>
      <c r="AO4640" s="75">
        <f>AM4631</f>
        <v>33059.500677844757</v>
      </c>
      <c r="AP4640" s="61"/>
      <c r="AQ4640" s="69">
        <f>IFERROR(ABS(AP$23-AP4639),Q_max*10)</f>
        <v>5500</v>
      </c>
      <c r="AR4640" s="75">
        <f>AP4631</f>
        <v>38381.053967011183</v>
      </c>
      <c r="AS4640" s="61"/>
      <c r="AT4640" s="69">
        <f>IFERROR(ABS(AS$23-AS4639),Q_max*10)</f>
        <v>5500</v>
      </c>
      <c r="AU4640" s="75">
        <f>AS4631</f>
        <v>43681.219615802882</v>
      </c>
    </row>
    <row r="4641" spans="15:47" ht="14.5" x14ac:dyDescent="0.35">
      <c r="O4641" s="6"/>
      <c r="P4641" s="6"/>
      <c r="Q4641" s="60"/>
      <c r="R4641" s="67"/>
      <c r="S4641" s="56"/>
      <c r="T4641" s="72"/>
      <c r="V4641" s="11"/>
      <c r="W4641" s="38"/>
      <c r="Y4641" s="11"/>
      <c r="Z4641" s="38"/>
      <c r="AB4641" s="11"/>
      <c r="AC4641" s="38"/>
      <c r="AE4641" s="11"/>
      <c r="AF4641" s="38"/>
      <c r="AH4641" s="11"/>
      <c r="AI4641" s="38"/>
      <c r="AK4641" s="11"/>
      <c r="AL4641" s="38"/>
      <c r="AN4641" s="11"/>
      <c r="AO4641" s="38"/>
      <c r="AQ4641" s="11"/>
      <c r="AR4641" s="38"/>
      <c r="AT4641" s="11"/>
      <c r="AU4641" s="38"/>
    </row>
    <row r="4642" spans="15:47" ht="14" x14ac:dyDescent="0.3">
      <c r="O4642" s="8" t="s">
        <v>235</v>
      </c>
      <c r="P4642" s="6"/>
      <c r="Q4642" s="60"/>
      <c r="R4642" s="53">
        <f>R4631*1.02</f>
        <v>3210.4207611858419</v>
      </c>
      <c r="S4642" s="58" t="s">
        <v>238</v>
      </c>
      <c r="T4642" s="73" t="s">
        <v>241</v>
      </c>
      <c r="U4642" s="84">
        <f>U4631*1.01</f>
        <v>1827.1597472527519</v>
      </c>
      <c r="V4642" s="58" t="s">
        <v>238</v>
      </c>
      <c r="W4642" s="73" t="s">
        <v>241</v>
      </c>
      <c r="X4642" s="84">
        <f>X4631*1.01</f>
        <v>4385.8867355411721</v>
      </c>
      <c r="Y4642" s="58" t="s">
        <v>238</v>
      </c>
      <c r="Z4642" s="73" t="s">
        <v>241</v>
      </c>
      <c r="AA4642" s="84">
        <f>AA4631*1.01</f>
        <v>8374.2651537707097</v>
      </c>
      <c r="AB4642" s="58" t="s">
        <v>238</v>
      </c>
      <c r="AC4642" s="73" t="s">
        <v>241</v>
      </c>
      <c r="AD4642" s="84">
        <f>AD4631*1.01</f>
        <v>13772.582956449665</v>
      </c>
      <c r="AE4642" s="58" t="s">
        <v>238</v>
      </c>
      <c r="AF4642" s="73" t="s">
        <v>241</v>
      </c>
      <c r="AG4642" s="84">
        <f>AG4631*1.01</f>
        <v>20505.499281693159</v>
      </c>
      <c r="AH4642" s="58" t="s">
        <v>238</v>
      </c>
      <c r="AI4642" s="73" t="s">
        <v>241</v>
      </c>
      <c r="AJ4642" s="84">
        <f>AJ4631*1.01</f>
        <v>27364.668282366143</v>
      </c>
      <c r="AK4642" s="58" t="s">
        <v>238</v>
      </c>
      <c r="AL4642" s="73" t="s">
        <v>241</v>
      </c>
      <c r="AM4642" s="84">
        <f>AM4631*1.01</f>
        <v>33390.095684623207</v>
      </c>
      <c r="AN4642" s="58" t="s">
        <v>238</v>
      </c>
      <c r="AO4642" s="73" t="s">
        <v>241</v>
      </c>
      <c r="AP4642" s="84">
        <f>AP4631*1.01</f>
        <v>38764.864506681297</v>
      </c>
      <c r="AQ4642" s="58" t="s">
        <v>238</v>
      </c>
      <c r="AR4642" s="73" t="s">
        <v>241</v>
      </c>
      <c r="AS4642" s="84">
        <f>AS4631*1.01</f>
        <v>44118.031811960915</v>
      </c>
      <c r="AT4642" s="58" t="s">
        <v>238</v>
      </c>
      <c r="AU4642" s="73" t="s">
        <v>241</v>
      </c>
    </row>
    <row r="4643" spans="15:47" ht="13" x14ac:dyDescent="0.25">
      <c r="O4643" s="6"/>
      <c r="P4643" s="6"/>
      <c r="Q4643" s="60"/>
      <c r="R4643" s="70"/>
      <c r="S4643" s="63" t="s">
        <v>250</v>
      </c>
      <c r="T4643" s="71" t="s">
        <v>242</v>
      </c>
      <c r="U4643" s="61"/>
      <c r="V4643" s="63" t="s">
        <v>250</v>
      </c>
      <c r="W4643" s="71" t="s">
        <v>242</v>
      </c>
      <c r="X4643" s="61"/>
      <c r="Y4643" s="63" t="s">
        <v>250</v>
      </c>
      <c r="Z4643" s="71" t="s">
        <v>242</v>
      </c>
      <c r="AA4643" s="61"/>
      <c r="AB4643" s="63" t="s">
        <v>250</v>
      </c>
      <c r="AC4643" s="71" t="s">
        <v>242</v>
      </c>
      <c r="AD4643" s="61"/>
      <c r="AE4643" s="63" t="s">
        <v>250</v>
      </c>
      <c r="AF4643" s="71" t="s">
        <v>242</v>
      </c>
      <c r="AG4643" s="61"/>
      <c r="AH4643" s="63" t="s">
        <v>250</v>
      </c>
      <c r="AI4643" s="71" t="s">
        <v>242</v>
      </c>
      <c r="AJ4643" s="61"/>
      <c r="AK4643" s="63" t="s">
        <v>250</v>
      </c>
      <c r="AL4643" s="71" t="s">
        <v>242</v>
      </c>
      <c r="AM4643" s="61"/>
      <c r="AN4643" s="63" t="s">
        <v>250</v>
      </c>
      <c r="AO4643" s="71" t="s">
        <v>242</v>
      </c>
      <c r="AP4643" s="61"/>
      <c r="AQ4643" s="63" t="s">
        <v>250</v>
      </c>
      <c r="AR4643" s="71" t="s">
        <v>242</v>
      </c>
      <c r="AS4643" s="61"/>
      <c r="AT4643" s="63" t="s">
        <v>250</v>
      </c>
      <c r="AU4643" s="71" t="s">
        <v>242</v>
      </c>
    </row>
    <row r="4644" spans="15:47" ht="13" x14ac:dyDescent="0.3">
      <c r="O4644" s="6" t="s">
        <v>231</v>
      </c>
      <c r="P4644" s="6"/>
      <c r="Q4644" s="60"/>
      <c r="R4644" s="85">
        <f>P_1_minQ-(R4642^2*R_up)+dpup_minQ</f>
        <v>-291.16901262590613</v>
      </c>
      <c r="S4644" s="56"/>
      <c r="T4644" s="72"/>
      <c r="U4644" s="53">
        <f>P_1_minQ-(U4642^2*R_up)+dpup_minQ</f>
        <v>-55.83335839178455</v>
      </c>
      <c r="V4644" s="44"/>
      <c r="W4644" s="72"/>
      <c r="X4644" s="53">
        <f>P_1_minQ-(X4642^2*R_up)+dpup_minQ</f>
        <v>-592.72932985464377</v>
      </c>
      <c r="Y4644" s="44"/>
      <c r="Z4644" s="72"/>
      <c r="AA4644" s="53">
        <f>P_1_minQ-(AA4642^2*R_up)+dpup_minQ</f>
        <v>-2311.4836158614785</v>
      </c>
      <c r="AB4644" s="44"/>
      <c r="AC4644" s="72"/>
      <c r="AD4644" s="53">
        <f>P_1_minQ-(AD4642^2*R_up)+dpup_minQ</f>
        <v>-6349.1642786993525</v>
      </c>
      <c r="AE4644" s="44"/>
      <c r="AF4644" s="72"/>
      <c r="AG4644" s="53">
        <f>P_1_minQ-(AG4642^2*R_up)+dpup_minQ</f>
        <v>-14143.53981058827</v>
      </c>
      <c r="AH4644" s="44"/>
      <c r="AI4644" s="72"/>
      <c r="AJ4644" s="53">
        <f>P_1_minQ-(AJ4642^2*R_up)+dpup_minQ</f>
        <v>-25232.684336505765</v>
      </c>
      <c r="AK4644" s="44"/>
      <c r="AL4644" s="72"/>
      <c r="AM4644" s="53">
        <f>P_1_minQ-(AM4642^2*R_up)+dpup_minQ</f>
        <v>-37595.852847966678</v>
      </c>
      <c r="AN4644" s="44"/>
      <c r="AO4644" s="72"/>
      <c r="AP4644" s="53">
        <f>P_1_minQ-(AP4642^2*R_up)+dpup_minQ</f>
        <v>-50693.32770082268</v>
      </c>
      <c r="AQ4644" s="44"/>
      <c r="AR4644" s="72"/>
      <c r="AS4644" s="53">
        <f>P_1_minQ-(AS4642^2*R_up)+dpup_minQ</f>
        <v>-65677.657681904617</v>
      </c>
      <c r="AT4644" s="44"/>
      <c r="AU4644" s="72"/>
    </row>
    <row r="4645" spans="15:47" ht="13" x14ac:dyDescent="0.3">
      <c r="O4645" s="6" t="s">
        <v>233</v>
      </c>
      <c r="P4645" s="6"/>
      <c r="Q4645" s="60"/>
      <c r="R4645" s="85">
        <f>P_2_minQ+(R4642^2*R_dn)-dpdn_minQ</f>
        <v>94.273802525181225</v>
      </c>
      <c r="S4645" s="66"/>
      <c r="T4645" s="74"/>
      <c r="U4645" s="53">
        <f>P_2_minQ+(U4642^2*R_dn)-dpdn_minQ</f>
        <v>47.206671678356912</v>
      </c>
      <c r="V4645" s="45"/>
      <c r="W4645" s="74"/>
      <c r="X4645" s="53">
        <f>P_2_minQ+(X4642^2*R_dn)-dpdn_minQ</f>
        <v>154.58586597092872</v>
      </c>
      <c r="Y4645" s="45"/>
      <c r="Z4645" s="74"/>
      <c r="AA4645" s="53">
        <f>P_2_minQ+(AA4642^2*R_dn)-dpdn_minQ</f>
        <v>498.33672317229559</v>
      </c>
      <c r="AB4645" s="45"/>
      <c r="AC4645" s="74"/>
      <c r="AD4645" s="53">
        <f>P_2_minQ+(AD4642^2*R_dn)-dpdn_minQ</f>
        <v>1305.8728557398704</v>
      </c>
      <c r="AE4645" s="45"/>
      <c r="AF4645" s="74"/>
      <c r="AG4645" s="53">
        <f>P_2_minQ+(AG4642^2*R_dn)-dpdn_minQ</f>
        <v>2864.747962117654</v>
      </c>
      <c r="AH4645" s="45"/>
      <c r="AI4645" s="74"/>
      <c r="AJ4645" s="53">
        <f>P_2_minQ+(AJ4642^2*R_dn)-dpdn_minQ</f>
        <v>5082.5768673011526</v>
      </c>
      <c r="AK4645" s="45"/>
      <c r="AL4645" s="74"/>
      <c r="AM4645" s="53">
        <f>P_2_minQ+(AM4642^2*R_dn)-dpdn_minQ</f>
        <v>7555.2105695933351</v>
      </c>
      <c r="AN4645" s="45"/>
      <c r="AO4645" s="74"/>
      <c r="AP4645" s="53">
        <f>P_2_minQ+(AP4642^2*R_dn)-dpdn_minQ</f>
        <v>10174.705540164536</v>
      </c>
      <c r="AQ4645" s="45"/>
      <c r="AR4645" s="74"/>
      <c r="AS4645" s="53">
        <f>P_2_minQ+(AS4642^2*R_dn)-dpdn_minQ</f>
        <v>13171.571536380921</v>
      </c>
      <c r="AT4645" s="45"/>
      <c r="AU4645" s="74"/>
    </row>
    <row r="4646" spans="15:47" x14ac:dyDescent="0.25">
      <c r="O4646" s="6" t="s">
        <v>243</v>
      </c>
      <c r="Q4646" s="60"/>
      <c r="R4646" s="53">
        <f>R4644-R4645</f>
        <v>-385.44281515108736</v>
      </c>
      <c r="S4646" s="56"/>
      <c r="T4646" s="72"/>
      <c r="U4646" s="64">
        <f>U4644-U4645</f>
        <v>-103.04003007014146</v>
      </c>
      <c r="V4646" s="44"/>
      <c r="W4646" s="72"/>
      <c r="X4646" s="64">
        <f>X4644-X4645</f>
        <v>-747.31519582557246</v>
      </c>
      <c r="Y4646" s="44"/>
      <c r="Z4646" s="72"/>
      <c r="AA4646" s="64">
        <f>AA4644-AA4645</f>
        <v>-2809.820339033774</v>
      </c>
      <c r="AB4646" s="44"/>
      <c r="AC4646" s="72"/>
      <c r="AD4646" s="64">
        <f>AD4644-AD4645</f>
        <v>-7655.0371344392224</v>
      </c>
      <c r="AE4646" s="44"/>
      <c r="AF4646" s="72"/>
      <c r="AG4646" s="64">
        <f>AG4644-AG4645</f>
        <v>-17008.287772705924</v>
      </c>
      <c r="AH4646" s="44"/>
      <c r="AI4646" s="72"/>
      <c r="AJ4646" s="64">
        <f>AJ4644-AJ4645</f>
        <v>-30315.261203806916</v>
      </c>
      <c r="AK4646" s="44"/>
      <c r="AL4646" s="72"/>
      <c r="AM4646" s="64">
        <f>AM4644-AM4645</f>
        <v>-45151.063417560013</v>
      </c>
      <c r="AN4646" s="44"/>
      <c r="AO4646" s="72"/>
      <c r="AP4646" s="64">
        <f>AP4644-AP4645</f>
        <v>-60868.033240987214</v>
      </c>
      <c r="AQ4646" s="44"/>
      <c r="AR4646" s="72"/>
      <c r="AS4646" s="64">
        <f>AS4644-AS4645</f>
        <v>-78849.229218285531</v>
      </c>
      <c r="AT4646" s="44"/>
      <c r="AU4646" s="72"/>
    </row>
    <row r="4647" spans="15:47" ht="13" x14ac:dyDescent="0.3">
      <c r="O4647" s="6" t="s">
        <v>75</v>
      </c>
      <c r="P4647" s="6">
        <v>3</v>
      </c>
      <c r="Q4647" s="65"/>
      <c r="R4647" s="85">
        <f>(F_LP_h/F_P_h)^2*(R4644-('Valve Sizing'!$V$4*'Valve Sizing'!$G$7))</f>
        <v>-241.46761674636903</v>
      </c>
      <c r="S4647" s="58"/>
      <c r="T4647" s="73"/>
      <c r="U4647" s="53">
        <f>(U$29/U$27)^2*(U4644-('Valve Sizing'!$V$4*'Valve Sizing'!$G$7))</f>
        <v>-46.584641775941499</v>
      </c>
      <c r="V4647" s="41"/>
      <c r="W4647" s="73"/>
      <c r="X4647" s="53">
        <f>(X$29/X$27)^2*(X4644-('Valve Sizing'!$V$4*'Valve Sizing'!$G$7))</f>
        <v>-479.9651244975218</v>
      </c>
      <c r="Y4647" s="41"/>
      <c r="Z4647" s="73"/>
      <c r="AA4647" s="53">
        <f>(AA$29/AA$27)^2*(AA4644-('Valve Sizing'!$V$4*'Valve Sizing'!$G$7))</f>
        <v>-1786.6481908853298</v>
      </c>
      <c r="AB4647" s="41"/>
      <c r="AC4647" s="73"/>
      <c r="AD4647" s="53">
        <f>(AD$29/AD$27)^2*(AD4644-('Valve Sizing'!$V$4*'Valve Sizing'!$G$7))</f>
        <v>-4579.2546879369829</v>
      </c>
      <c r="AE4647" s="41"/>
      <c r="AF4647" s="73"/>
      <c r="AG4647" s="53">
        <f>(AG$29/AG$27)^2*(AG4644-('Valve Sizing'!$V$4*'Valve Sizing'!$G$7))</f>
        <v>-9109.3446798066161</v>
      </c>
      <c r="AH4647" s="41"/>
      <c r="AI4647" s="73"/>
      <c r="AJ4647" s="53">
        <f>(AJ$29/AJ$27)^2*(AJ4644-('Valve Sizing'!$V$4*'Valve Sizing'!$G$7))</f>
        <v>-14593.939218440672</v>
      </c>
      <c r="AK4647" s="41"/>
      <c r="AL4647" s="73"/>
      <c r="AM4647" s="53">
        <f>(AM$29/AM$27)^2*(AM4644-('Valve Sizing'!$V$4*'Valve Sizing'!$G$7))</f>
        <v>-17988.779072441721</v>
      </c>
      <c r="AN4647" s="41"/>
      <c r="AO4647" s="73"/>
      <c r="AP4647" s="53">
        <f>(AP$29/AP$27)^2*(AP4644-('Valve Sizing'!$V$4*'Valve Sizing'!$G$7))</f>
        <v>-20005.120737377081</v>
      </c>
      <c r="AQ4647" s="41"/>
      <c r="AR4647" s="73"/>
      <c r="AS4647" s="53">
        <f>(AS$29/AS$27)^2*(AS4644-('Valve Sizing'!$V$4*'Valve Sizing'!$G$7))</f>
        <v>-24704.211838991476</v>
      </c>
      <c r="AT4647" s="41"/>
      <c r="AU4647" s="73"/>
    </row>
    <row r="4648" spans="15:47" ht="13" x14ac:dyDescent="0.25">
      <c r="O4648" s="1" t="s">
        <v>69</v>
      </c>
      <c r="P4648" s="17">
        <v>7</v>
      </c>
      <c r="Q4648" s="65"/>
      <c r="R4648" s="53" t="e">
        <f>(R4642/(N_1*F_P_h))*SQRT('Valve Sizing'!$G$6/R4646)</f>
        <v>#NUM!</v>
      </c>
      <c r="S4648" s="58"/>
      <c r="T4648" s="73"/>
      <c r="U4648" s="64" t="e">
        <f>(U4642/(N_1*U$27))*SQRT('Valve Sizing'!$G$6/U4646)</f>
        <v>#NUM!</v>
      </c>
      <c r="V4648" s="41"/>
      <c r="W4648" s="73"/>
      <c r="X4648" s="64" t="e">
        <f>(X4642/(N_1*X$27))*SQRT('Valve Sizing'!$G$6/X4646)</f>
        <v>#NUM!</v>
      </c>
      <c r="Y4648" s="41"/>
      <c r="Z4648" s="73"/>
      <c r="AA4648" s="64" t="e">
        <f>(AA4642/(N_1*AA$27))*SQRT('Valve Sizing'!$G$6/AA4646)</f>
        <v>#NUM!</v>
      </c>
      <c r="AB4648" s="41"/>
      <c r="AC4648" s="73"/>
      <c r="AD4648" s="64" t="e">
        <f>(AD4642/(N_1*AD$27))*SQRT('Valve Sizing'!$G$6/AD4646)</f>
        <v>#NUM!</v>
      </c>
      <c r="AE4648" s="41"/>
      <c r="AF4648" s="73"/>
      <c r="AG4648" s="64" t="e">
        <f>(AG4642/(N_1*AG$27))*SQRT('Valve Sizing'!$G$6/AG4646)</f>
        <v>#NUM!</v>
      </c>
      <c r="AH4648" s="41"/>
      <c r="AI4648" s="73"/>
      <c r="AJ4648" s="64" t="e">
        <f>(AJ4642/(N_1*AJ$27))*SQRT('Valve Sizing'!$G$6/AJ4646)</f>
        <v>#NUM!</v>
      </c>
      <c r="AK4648" s="41"/>
      <c r="AL4648" s="73"/>
      <c r="AM4648" s="64" t="e">
        <f>(AM4642/(N_1*AM$27))*SQRT('Valve Sizing'!$G$6/AM4646)</f>
        <v>#NUM!</v>
      </c>
      <c r="AN4648" s="41"/>
      <c r="AO4648" s="73"/>
      <c r="AP4648" s="64" t="e">
        <f>(AP4642/(N_1*AP$27))*SQRT('Valve Sizing'!$G$6/AP4646)</f>
        <v>#NUM!</v>
      </c>
      <c r="AQ4648" s="41"/>
      <c r="AR4648" s="73"/>
      <c r="AS4648" s="64" t="e">
        <f>(AS4642/(N_1*AS$27))*SQRT('Valve Sizing'!$G$6/AS4646)</f>
        <v>#NUM!</v>
      </c>
      <c r="AT4648" s="41"/>
      <c r="AU4648" s="73"/>
    </row>
    <row r="4649" spans="15:47" ht="13" x14ac:dyDescent="0.3">
      <c r="O4649" s="1" t="s">
        <v>72</v>
      </c>
      <c r="P4649" s="17">
        <v>7</v>
      </c>
      <c r="Q4649" s="65"/>
      <c r="R4649" s="53" t="e">
        <f>(R4642/(N_1*F_P_h))*SQRT('Valve Sizing'!$G$6/R4647)</f>
        <v>#NUM!</v>
      </c>
      <c r="S4649" s="56"/>
      <c r="T4649" s="72"/>
      <c r="U4649" s="85" t="e">
        <f>(U4642/(N_1*U$27))*SQRT('Valve Sizing'!$G$6/U4647)</f>
        <v>#NUM!</v>
      </c>
      <c r="V4649" s="44"/>
      <c r="W4649" s="72"/>
      <c r="X4649" s="85" t="e">
        <f>(X4642/(N_1*X$27))*SQRT('Valve Sizing'!$G$6/X4647)</f>
        <v>#NUM!</v>
      </c>
      <c r="Y4649" s="44"/>
      <c r="Z4649" s="72"/>
      <c r="AA4649" s="85" t="e">
        <f>(AA4642/(N_1*AA$27))*SQRT('Valve Sizing'!$G$6/AA4647)</f>
        <v>#NUM!</v>
      </c>
      <c r="AB4649" s="44"/>
      <c r="AC4649" s="72"/>
      <c r="AD4649" s="85" t="e">
        <f>(AD4642/(N_1*AD$27))*SQRT('Valve Sizing'!$G$6/AD4647)</f>
        <v>#NUM!</v>
      </c>
      <c r="AE4649" s="44"/>
      <c r="AF4649" s="72"/>
      <c r="AG4649" s="85" t="e">
        <f>(AG4642/(N_1*AG$27))*SQRT('Valve Sizing'!$G$6/AG4647)</f>
        <v>#NUM!</v>
      </c>
      <c r="AH4649" s="44"/>
      <c r="AI4649" s="72"/>
      <c r="AJ4649" s="85" t="e">
        <f>(AJ4642/(N_1*AJ$27))*SQRT('Valve Sizing'!$G$6/AJ4647)</f>
        <v>#NUM!</v>
      </c>
      <c r="AK4649" s="44"/>
      <c r="AL4649" s="72"/>
      <c r="AM4649" s="85" t="e">
        <f>(AM4642/(N_1*AM$27))*SQRT('Valve Sizing'!$G$6/AM4647)</f>
        <v>#NUM!</v>
      </c>
      <c r="AN4649" s="44"/>
      <c r="AO4649" s="72"/>
      <c r="AP4649" s="85" t="e">
        <f>(AP4642/(N_1*AP$27))*SQRT('Valve Sizing'!$G$6/AP4647)</f>
        <v>#NUM!</v>
      </c>
      <c r="AQ4649" s="44"/>
      <c r="AR4649" s="72"/>
      <c r="AS4649" s="85" t="e">
        <f>(AS4642/(N_1*AS$27))*SQRT('Valve Sizing'!$G$6/AS4647)</f>
        <v>#NUM!</v>
      </c>
      <c r="AT4649" s="44"/>
      <c r="AU4649" s="72"/>
    </row>
    <row r="4650" spans="15:47" x14ac:dyDescent="0.25">
      <c r="O4650" s="1" t="s">
        <v>246</v>
      </c>
      <c r="P4650" s="18"/>
      <c r="Q4650" s="65"/>
      <c r="R4650" s="53" t="e">
        <f>IF(R4646&lt;R4647,R4648,R4649)</f>
        <v>#NUM!</v>
      </c>
      <c r="S4650" s="49"/>
      <c r="T4650" s="72"/>
      <c r="U4650" s="64" t="e">
        <f>IF(U4646&lt;U4647,U4648,U4649)</f>
        <v>#NUM!</v>
      </c>
      <c r="V4650" s="44"/>
      <c r="W4650" s="72"/>
      <c r="X4650" s="64" t="e">
        <f>IF(X4646&lt;X4647,X4648,X4649)</f>
        <v>#NUM!</v>
      </c>
      <c r="Y4650" s="44"/>
      <c r="Z4650" s="72"/>
      <c r="AA4650" s="64" t="e">
        <f>IF(AA4646&lt;AA4647,AA4648,AA4649)</f>
        <v>#NUM!</v>
      </c>
      <c r="AB4650" s="44"/>
      <c r="AC4650" s="72"/>
      <c r="AD4650" s="64" t="e">
        <f>IF(AD4646&lt;AD4647,AD4648,AD4649)</f>
        <v>#NUM!</v>
      </c>
      <c r="AE4650" s="44"/>
      <c r="AF4650" s="72"/>
      <c r="AG4650" s="64" t="e">
        <f>IF(AG4646&lt;AG4647,AG4648,AG4649)</f>
        <v>#NUM!</v>
      </c>
      <c r="AH4650" s="44"/>
      <c r="AI4650" s="72"/>
      <c r="AJ4650" s="64" t="e">
        <f>IF(AJ4646&lt;AJ4647,AJ4648,AJ4649)</f>
        <v>#NUM!</v>
      </c>
      <c r="AK4650" s="44"/>
      <c r="AL4650" s="72"/>
      <c r="AM4650" s="64" t="e">
        <f>IF(AM4646&lt;AM4647,AM4648,AM4649)</f>
        <v>#NUM!</v>
      </c>
      <c r="AN4650" s="44"/>
      <c r="AO4650" s="72"/>
      <c r="AP4650" s="64" t="e">
        <f>IF(AP4646&lt;AP4647,AP4648,AP4649)</f>
        <v>#NUM!</v>
      </c>
      <c r="AQ4650" s="44"/>
      <c r="AR4650" s="72"/>
      <c r="AS4650" s="64" t="e">
        <f>IF(AS4646&lt;AS4647,AS4648,AS4649)</f>
        <v>#NUM!</v>
      </c>
      <c r="AT4650" s="44"/>
      <c r="AU4650" s="72"/>
    </row>
    <row r="4651" spans="15:47" ht="13" x14ac:dyDescent="0.3">
      <c r="O4651" s="7" t="s">
        <v>264</v>
      </c>
      <c r="Q4651" s="61"/>
      <c r="R4651" s="53"/>
      <c r="S4651" s="69">
        <f>IFERROR(ABS(C_h-R4650),Q_max*10)</f>
        <v>5500</v>
      </c>
      <c r="T4651" s="76">
        <f>R4642</f>
        <v>3210.4207611858419</v>
      </c>
      <c r="U4651" s="61"/>
      <c r="V4651" s="69">
        <f>IFERROR(ABS(U$23-U4650),Q_max*10)</f>
        <v>5500</v>
      </c>
      <c r="W4651" s="75">
        <f>U4642</f>
        <v>1827.1597472527519</v>
      </c>
      <c r="X4651" s="61"/>
      <c r="Y4651" s="69">
        <f>IFERROR(ABS(X$23-X4650),Q_max*10)</f>
        <v>5500</v>
      </c>
      <c r="Z4651" s="75">
        <f>X4642</f>
        <v>4385.8867355411721</v>
      </c>
      <c r="AA4651" s="61"/>
      <c r="AB4651" s="69">
        <f>IFERROR(ABS(AA$23-AA4650),Q_max*10)</f>
        <v>5500</v>
      </c>
      <c r="AC4651" s="75">
        <f>AA4642</f>
        <v>8374.2651537707097</v>
      </c>
      <c r="AD4651" s="61"/>
      <c r="AE4651" s="69">
        <f>IFERROR(ABS(AD$23-AD4650),Q_max*10)</f>
        <v>5500</v>
      </c>
      <c r="AF4651" s="75">
        <f>AD4642</f>
        <v>13772.582956449665</v>
      </c>
      <c r="AG4651" s="61"/>
      <c r="AH4651" s="69">
        <f>IFERROR(ABS(AG$23-AG4650),Q_max*10)</f>
        <v>5500</v>
      </c>
      <c r="AI4651" s="75">
        <f>AG4642</f>
        <v>20505.499281693159</v>
      </c>
      <c r="AJ4651" s="61"/>
      <c r="AK4651" s="69">
        <f>IFERROR(ABS(AJ$23-AJ4650),Q_max*10)</f>
        <v>5500</v>
      </c>
      <c r="AL4651" s="75">
        <f>AJ4642</f>
        <v>27364.668282366143</v>
      </c>
      <c r="AM4651" s="61"/>
      <c r="AN4651" s="69">
        <f>IFERROR(ABS(AM$23-AM4650),Q_max*10)</f>
        <v>5500</v>
      </c>
      <c r="AO4651" s="75">
        <f>AM4642</f>
        <v>33390.095684623207</v>
      </c>
      <c r="AP4651" s="61"/>
      <c r="AQ4651" s="69">
        <f>IFERROR(ABS(AP$23-AP4650),Q_max*10)</f>
        <v>5500</v>
      </c>
      <c r="AR4651" s="75">
        <f>AP4642</f>
        <v>38764.864506681297</v>
      </c>
      <c r="AS4651" s="61"/>
      <c r="AT4651" s="69">
        <f>IFERROR(ABS(AS$23-AS4650),Q_max*10)</f>
        <v>5500</v>
      </c>
      <c r="AU4651" s="75">
        <f>AS4642</f>
        <v>44118.031811960915</v>
      </c>
    </row>
    <row r="4652" spans="15:47" ht="14.5" x14ac:dyDescent="0.35">
      <c r="O4652" s="8"/>
      <c r="P4652" s="6"/>
      <c r="Q4652" s="60"/>
      <c r="R4652" s="67"/>
      <c r="S4652" s="56"/>
      <c r="T4652" s="72"/>
      <c r="V4652" s="11"/>
      <c r="W4652" s="38"/>
      <c r="Y4652" s="11"/>
      <c r="Z4652" s="38"/>
      <c r="AB4652" s="11"/>
      <c r="AC4652" s="38"/>
      <c r="AE4652" s="11"/>
      <c r="AF4652" s="38"/>
      <c r="AH4652" s="11"/>
      <c r="AI4652" s="38"/>
      <c r="AK4652" s="11"/>
      <c r="AL4652" s="38"/>
      <c r="AN4652" s="11"/>
      <c r="AO4652" s="38"/>
      <c r="AQ4652" s="11"/>
      <c r="AR4652" s="38"/>
      <c r="AT4652" s="11"/>
      <c r="AU4652" s="38"/>
    </row>
    <row r="4653" spans="15:47" ht="14" x14ac:dyDescent="0.3">
      <c r="O4653" s="8" t="s">
        <v>235</v>
      </c>
      <c r="P4653" s="6"/>
      <c r="Q4653" s="60"/>
      <c r="R4653" s="53">
        <f>R4642*1.02</f>
        <v>3274.629176409559</v>
      </c>
      <c r="S4653" s="58" t="s">
        <v>238</v>
      </c>
      <c r="T4653" s="73" t="s">
        <v>241</v>
      </c>
      <c r="U4653" s="84">
        <f>U4642*1.01</f>
        <v>1845.4313447252794</v>
      </c>
      <c r="V4653" s="58" t="s">
        <v>238</v>
      </c>
      <c r="W4653" s="73" t="s">
        <v>241</v>
      </c>
      <c r="X4653" s="84">
        <f>X4642*1.01</f>
        <v>4429.7456028965835</v>
      </c>
      <c r="Y4653" s="58" t="s">
        <v>238</v>
      </c>
      <c r="Z4653" s="73" t="s">
        <v>241</v>
      </c>
      <c r="AA4653" s="84">
        <f>AA4642*1.01</f>
        <v>8458.0078053084162</v>
      </c>
      <c r="AB4653" s="58" t="s">
        <v>238</v>
      </c>
      <c r="AC4653" s="73" t="s">
        <v>241</v>
      </c>
      <c r="AD4653" s="84">
        <f>AD4642*1.01</f>
        <v>13910.308786014162</v>
      </c>
      <c r="AE4653" s="58" t="s">
        <v>238</v>
      </c>
      <c r="AF4653" s="73" t="s">
        <v>241</v>
      </c>
      <c r="AG4653" s="84">
        <f>AG4642*1.01</f>
        <v>20710.55427451009</v>
      </c>
      <c r="AH4653" s="58" t="s">
        <v>238</v>
      </c>
      <c r="AI4653" s="73" t="s">
        <v>241</v>
      </c>
      <c r="AJ4653" s="84">
        <f>AJ4642*1.01</f>
        <v>27638.314965189806</v>
      </c>
      <c r="AK4653" s="58" t="s">
        <v>238</v>
      </c>
      <c r="AL4653" s="73" t="s">
        <v>241</v>
      </c>
      <c r="AM4653" s="84">
        <f>AM4642*1.01</f>
        <v>33723.996641469443</v>
      </c>
      <c r="AN4653" s="58" t="s">
        <v>238</v>
      </c>
      <c r="AO4653" s="73" t="s">
        <v>241</v>
      </c>
      <c r="AP4653" s="84">
        <f>AP4642*1.01</f>
        <v>39152.513151748113</v>
      </c>
      <c r="AQ4653" s="58" t="s">
        <v>238</v>
      </c>
      <c r="AR4653" s="73" t="s">
        <v>241</v>
      </c>
      <c r="AS4653" s="84">
        <f>AS4642*1.01</f>
        <v>44559.212130080523</v>
      </c>
      <c r="AT4653" s="58" t="s">
        <v>238</v>
      </c>
      <c r="AU4653" s="73" t="s">
        <v>241</v>
      </c>
    </row>
    <row r="4654" spans="15:47" ht="13" x14ac:dyDescent="0.25">
      <c r="O4654" s="6"/>
      <c r="P4654" s="6"/>
      <c r="Q4654" s="60"/>
      <c r="R4654" s="70"/>
      <c r="S4654" s="63" t="s">
        <v>250</v>
      </c>
      <c r="T4654" s="71" t="s">
        <v>242</v>
      </c>
      <c r="U4654" s="61"/>
      <c r="V4654" s="63" t="s">
        <v>250</v>
      </c>
      <c r="W4654" s="71" t="s">
        <v>242</v>
      </c>
      <c r="X4654" s="61"/>
      <c r="Y4654" s="63" t="s">
        <v>250</v>
      </c>
      <c r="Z4654" s="71" t="s">
        <v>242</v>
      </c>
      <c r="AA4654" s="61"/>
      <c r="AB4654" s="63" t="s">
        <v>250</v>
      </c>
      <c r="AC4654" s="71" t="s">
        <v>242</v>
      </c>
      <c r="AD4654" s="61"/>
      <c r="AE4654" s="63" t="s">
        <v>250</v>
      </c>
      <c r="AF4654" s="71" t="s">
        <v>242</v>
      </c>
      <c r="AG4654" s="61"/>
      <c r="AH4654" s="63" t="s">
        <v>250</v>
      </c>
      <c r="AI4654" s="71" t="s">
        <v>242</v>
      </c>
      <c r="AJ4654" s="61"/>
      <c r="AK4654" s="63" t="s">
        <v>250</v>
      </c>
      <c r="AL4654" s="71" t="s">
        <v>242</v>
      </c>
      <c r="AM4654" s="61"/>
      <c r="AN4654" s="63" t="s">
        <v>250</v>
      </c>
      <c r="AO4654" s="71" t="s">
        <v>242</v>
      </c>
      <c r="AP4654" s="61"/>
      <c r="AQ4654" s="63" t="s">
        <v>250</v>
      </c>
      <c r="AR4654" s="71" t="s">
        <v>242</v>
      </c>
      <c r="AS4654" s="61"/>
      <c r="AT4654" s="63" t="s">
        <v>250</v>
      </c>
      <c r="AU4654" s="71" t="s">
        <v>242</v>
      </c>
    </row>
    <row r="4655" spans="15:47" ht="13" x14ac:dyDescent="0.3">
      <c r="O4655" s="6" t="s">
        <v>231</v>
      </c>
      <c r="P4655" s="6"/>
      <c r="Q4655" s="60"/>
      <c r="R4655" s="85">
        <f>P_1_minQ-(R4653^2*R_up)+dpup_minQ</f>
        <v>-305.23165292106546</v>
      </c>
      <c r="S4655" s="56"/>
      <c r="T4655" s="72"/>
      <c r="U4655" s="53">
        <f>P_1_minQ-(U4653^2*R_up)+dpup_minQ</f>
        <v>-58.099623373676231</v>
      </c>
      <c r="V4655" s="44"/>
      <c r="W4655" s="72"/>
      <c r="X4655" s="53">
        <f>P_1_minQ-(X4653^2*R_up)+dpup_minQ</f>
        <v>-605.78720386293878</v>
      </c>
      <c r="Y4655" s="44"/>
      <c r="Z4655" s="72"/>
      <c r="AA4655" s="53">
        <f>P_1_minQ-(AA4653^2*R_up)+dpup_minQ</f>
        <v>-2359.0884510185106</v>
      </c>
      <c r="AB4655" s="44"/>
      <c r="AC4655" s="72"/>
      <c r="AD4655" s="53">
        <f>P_1_minQ-(AD4653^2*R_up)+dpup_minQ</f>
        <v>-6477.9264951794266</v>
      </c>
      <c r="AE4655" s="44"/>
      <c r="AF4655" s="72"/>
      <c r="AG4655" s="53">
        <f>P_1_minQ-(AG4653^2*R_up)+dpup_minQ</f>
        <v>-14428.968975259311</v>
      </c>
      <c r="AH4655" s="44"/>
      <c r="AI4655" s="72"/>
      <c r="AJ4655" s="53">
        <f>P_1_minQ-(AJ4653^2*R_up)+dpup_minQ</f>
        <v>-25741.005306147748</v>
      </c>
      <c r="AK4655" s="44"/>
      <c r="AL4655" s="72"/>
      <c r="AM4655" s="53">
        <f>P_1_minQ-(AM4653^2*R_up)+dpup_minQ</f>
        <v>-38352.673504689032</v>
      </c>
      <c r="AN4655" s="44"/>
      <c r="AO4655" s="72"/>
      <c r="AP4655" s="53">
        <f>P_1_minQ-(AP4653^2*R_up)+dpup_minQ</f>
        <v>-51713.407602087442</v>
      </c>
      <c r="AQ4655" s="44"/>
      <c r="AR4655" s="72"/>
      <c r="AS4655" s="53">
        <f>P_1_minQ-(AS4653^2*R_up)+dpup_minQ</f>
        <v>-66998.92261578911</v>
      </c>
      <c r="AT4655" s="44"/>
      <c r="AU4655" s="72"/>
    </row>
    <row r="4656" spans="15:47" ht="13" x14ac:dyDescent="0.3">
      <c r="O4656" s="6" t="s">
        <v>233</v>
      </c>
      <c r="P4656" s="6"/>
      <c r="Q4656" s="60"/>
      <c r="R4656" s="85">
        <f>P_2_minQ+(R4653^2*R_dn)-dpdn_minQ</f>
        <v>97.086330584213087</v>
      </c>
      <c r="S4656" s="66"/>
      <c r="T4656" s="74"/>
      <c r="U4656" s="53">
        <f>P_2_minQ+(U4653^2*R_dn)-dpdn_minQ</f>
        <v>47.659924674735251</v>
      </c>
      <c r="V4656" s="45"/>
      <c r="W4656" s="74"/>
      <c r="X4656" s="53">
        <f>P_2_minQ+(X4653^2*R_dn)-dpdn_minQ</f>
        <v>157.19744077258778</v>
      </c>
      <c r="Y4656" s="45"/>
      <c r="Z4656" s="74"/>
      <c r="AA4656" s="53">
        <f>P_2_minQ+(AA4653^2*R_dn)-dpdn_minQ</f>
        <v>507.85769020370202</v>
      </c>
      <c r="AB4656" s="45"/>
      <c r="AC4656" s="74"/>
      <c r="AD4656" s="53">
        <f>P_2_minQ+(AD4653^2*R_dn)-dpdn_minQ</f>
        <v>1331.6252990358851</v>
      </c>
      <c r="AE4656" s="45"/>
      <c r="AF4656" s="74"/>
      <c r="AG4656" s="53">
        <f>P_2_minQ+(AG4653^2*R_dn)-dpdn_minQ</f>
        <v>2921.8337950518621</v>
      </c>
      <c r="AH4656" s="45"/>
      <c r="AI4656" s="74"/>
      <c r="AJ4656" s="53">
        <f>P_2_minQ+(AJ4653^2*R_dn)-dpdn_minQ</f>
        <v>5184.2410612295489</v>
      </c>
      <c r="AK4656" s="45"/>
      <c r="AL4656" s="74"/>
      <c r="AM4656" s="53">
        <f>P_2_minQ+(AM4653^2*R_dn)-dpdn_minQ</f>
        <v>7706.5747009378056</v>
      </c>
      <c r="AN4656" s="45"/>
      <c r="AO4656" s="74"/>
      <c r="AP4656" s="53">
        <f>P_2_minQ+(AP4653^2*R_dn)-dpdn_minQ</f>
        <v>10378.721520417488</v>
      </c>
      <c r="AQ4656" s="45"/>
      <c r="AR4656" s="74"/>
      <c r="AS4656" s="53">
        <f>P_2_minQ+(AS4653^2*R_dn)-dpdn_minQ</f>
        <v>13435.824523157818</v>
      </c>
      <c r="AT4656" s="45"/>
      <c r="AU4656" s="74"/>
    </row>
    <row r="4657" spans="15:47" x14ac:dyDescent="0.25">
      <c r="O4657" s="6" t="s">
        <v>243</v>
      </c>
      <c r="Q4657" s="60"/>
      <c r="R4657" s="53">
        <f>R4655-R4656</f>
        <v>-402.31798350527856</v>
      </c>
      <c r="S4657" s="56"/>
      <c r="T4657" s="72"/>
      <c r="U4657" s="64">
        <f>U4655-U4656</f>
        <v>-105.75954804841149</v>
      </c>
      <c r="V4657" s="44"/>
      <c r="W4657" s="72"/>
      <c r="X4657" s="64">
        <f>X4655-X4656</f>
        <v>-762.98464463552659</v>
      </c>
      <c r="Y4657" s="44"/>
      <c r="Z4657" s="72"/>
      <c r="AA4657" s="64">
        <f>AA4655-AA4656</f>
        <v>-2866.9461412222126</v>
      </c>
      <c r="AB4657" s="44"/>
      <c r="AC4657" s="72"/>
      <c r="AD4657" s="64">
        <f>AD4655-AD4656</f>
        <v>-7809.5517942153119</v>
      </c>
      <c r="AE4657" s="44"/>
      <c r="AF4657" s="72"/>
      <c r="AG4657" s="64">
        <f>AG4655-AG4656</f>
        <v>-17350.802770311173</v>
      </c>
      <c r="AH4657" s="44"/>
      <c r="AI4657" s="72"/>
      <c r="AJ4657" s="64">
        <f>AJ4655-AJ4656</f>
        <v>-30925.246367377298</v>
      </c>
      <c r="AK4657" s="44"/>
      <c r="AL4657" s="72"/>
      <c r="AM4657" s="64">
        <f>AM4655-AM4656</f>
        <v>-46059.248205626835</v>
      </c>
      <c r="AN4657" s="44"/>
      <c r="AO4657" s="72"/>
      <c r="AP4657" s="64">
        <f>AP4655-AP4656</f>
        <v>-62092.129122504928</v>
      </c>
      <c r="AQ4657" s="44"/>
      <c r="AR4657" s="72"/>
      <c r="AS4657" s="64">
        <f>AS4655-AS4656</f>
        <v>-80434.747138946928</v>
      </c>
      <c r="AT4657" s="44"/>
      <c r="AU4657" s="72"/>
    </row>
    <row r="4658" spans="15:47" ht="13" x14ac:dyDescent="0.3">
      <c r="O4658" s="6" t="s">
        <v>75</v>
      </c>
      <c r="P4658" s="6">
        <v>3</v>
      </c>
      <c r="Q4658" s="65"/>
      <c r="R4658" s="85">
        <f>(F_LP_h/F_P_h)^2*(R4655-('Valve Sizing'!$V$4*'Valve Sizing'!$G$7))</f>
        <v>-253.11222105788781</v>
      </c>
      <c r="S4658" s="58"/>
      <c r="T4658" s="73"/>
      <c r="U4658" s="53">
        <f>(U$29/U$27)^2*(U4655-('Valve Sizing'!$V$4*'Valve Sizing'!$G$7))</f>
        <v>-48.46071665713982</v>
      </c>
      <c r="V4658" s="41"/>
      <c r="W4658" s="73"/>
      <c r="X4658" s="53">
        <f>(X$29/X$27)^2*(X4655-('Valve Sizing'!$V$4*'Valve Sizing'!$G$7))</f>
        <v>-490.53094980120017</v>
      </c>
      <c r="Y4658" s="41"/>
      <c r="Z4658" s="73"/>
      <c r="AA4658" s="53">
        <f>(AA$29/AA$27)^2*(AA4655-('Valve Sizing'!$V$4*'Valve Sizing'!$G$7))</f>
        <v>-1823.4370752176681</v>
      </c>
      <c r="AB4658" s="41"/>
      <c r="AC4658" s="73"/>
      <c r="AD4658" s="53">
        <f>(AD$29/AD$27)^2*(AD4655-('Valve Sizing'!$V$4*'Valve Sizing'!$G$7))</f>
        <v>-4672.1163769824425</v>
      </c>
      <c r="AE4658" s="41"/>
      <c r="AF4658" s="73"/>
      <c r="AG4658" s="53">
        <f>(AG$29/AG$27)^2*(AG4655-('Valve Sizing'!$V$4*'Valve Sizing'!$G$7))</f>
        <v>-9293.1736068042446</v>
      </c>
      <c r="AH4658" s="41"/>
      <c r="AI4658" s="73"/>
      <c r="AJ4658" s="53">
        <f>(AJ$29/AJ$27)^2*(AJ4655-('Valve Sizing'!$V$4*'Valve Sizing'!$G$7))</f>
        <v>-14887.933938180036</v>
      </c>
      <c r="AK4658" s="41"/>
      <c r="AL4658" s="73"/>
      <c r="AM4658" s="53">
        <f>(AM$29/AM$27)^2*(AM4655-('Valve Sizing'!$V$4*'Valve Sizing'!$G$7))</f>
        <v>-18350.896678701723</v>
      </c>
      <c r="AN4658" s="41"/>
      <c r="AO4658" s="73"/>
      <c r="AP4658" s="53">
        <f>(AP$29/AP$27)^2*(AP4655-('Valve Sizing'!$V$4*'Valve Sizing'!$G$7))</f>
        <v>-20407.671632465263</v>
      </c>
      <c r="AQ4658" s="41"/>
      <c r="AR4658" s="73"/>
      <c r="AS4658" s="53">
        <f>(AS$29/AS$27)^2*(AS4655-('Valve Sizing'!$V$4*'Valve Sizing'!$G$7))</f>
        <v>-25201.193480444319</v>
      </c>
      <c r="AT4658" s="41"/>
      <c r="AU4658" s="73"/>
    </row>
    <row r="4659" spans="15:47" ht="13" x14ac:dyDescent="0.25">
      <c r="O4659" s="1" t="s">
        <v>69</v>
      </c>
      <c r="P4659" s="17">
        <v>7</v>
      </c>
      <c r="Q4659" s="65"/>
      <c r="R4659" s="53" t="e">
        <f>(R4653/(N_1*F_P_h))*SQRT('Valve Sizing'!$G$6/R4657)</f>
        <v>#NUM!</v>
      </c>
      <c r="S4659" s="58"/>
      <c r="T4659" s="73"/>
      <c r="U4659" s="64" t="e">
        <f>(U4653/(N_1*U$27))*SQRT('Valve Sizing'!$G$6/U4657)</f>
        <v>#NUM!</v>
      </c>
      <c r="V4659" s="41"/>
      <c r="W4659" s="73"/>
      <c r="X4659" s="64" t="e">
        <f>(X4653/(N_1*X$27))*SQRT('Valve Sizing'!$G$6/X4657)</f>
        <v>#NUM!</v>
      </c>
      <c r="Y4659" s="41"/>
      <c r="Z4659" s="73"/>
      <c r="AA4659" s="64" t="e">
        <f>(AA4653/(N_1*AA$27))*SQRT('Valve Sizing'!$G$6/AA4657)</f>
        <v>#NUM!</v>
      </c>
      <c r="AB4659" s="41"/>
      <c r="AC4659" s="73"/>
      <c r="AD4659" s="64" t="e">
        <f>(AD4653/(N_1*AD$27))*SQRT('Valve Sizing'!$G$6/AD4657)</f>
        <v>#NUM!</v>
      </c>
      <c r="AE4659" s="41"/>
      <c r="AF4659" s="73"/>
      <c r="AG4659" s="64" t="e">
        <f>(AG4653/(N_1*AG$27))*SQRT('Valve Sizing'!$G$6/AG4657)</f>
        <v>#NUM!</v>
      </c>
      <c r="AH4659" s="41"/>
      <c r="AI4659" s="73"/>
      <c r="AJ4659" s="64" t="e">
        <f>(AJ4653/(N_1*AJ$27))*SQRT('Valve Sizing'!$G$6/AJ4657)</f>
        <v>#NUM!</v>
      </c>
      <c r="AK4659" s="41"/>
      <c r="AL4659" s="73"/>
      <c r="AM4659" s="64" t="e">
        <f>(AM4653/(N_1*AM$27))*SQRT('Valve Sizing'!$G$6/AM4657)</f>
        <v>#NUM!</v>
      </c>
      <c r="AN4659" s="41"/>
      <c r="AO4659" s="73"/>
      <c r="AP4659" s="64" t="e">
        <f>(AP4653/(N_1*AP$27))*SQRT('Valve Sizing'!$G$6/AP4657)</f>
        <v>#NUM!</v>
      </c>
      <c r="AQ4659" s="41"/>
      <c r="AR4659" s="73"/>
      <c r="AS4659" s="64" t="e">
        <f>(AS4653/(N_1*AS$27))*SQRT('Valve Sizing'!$G$6/AS4657)</f>
        <v>#NUM!</v>
      </c>
      <c r="AT4659" s="41"/>
      <c r="AU4659" s="73"/>
    </row>
    <row r="4660" spans="15:47" ht="13" x14ac:dyDescent="0.3">
      <c r="O4660" s="1" t="s">
        <v>72</v>
      </c>
      <c r="P4660" s="17">
        <v>7</v>
      </c>
      <c r="Q4660" s="65"/>
      <c r="R4660" s="53" t="e">
        <f>(R4653/(N_1*F_P_h))*SQRT('Valve Sizing'!$G$6/R4658)</f>
        <v>#NUM!</v>
      </c>
      <c r="S4660" s="56"/>
      <c r="T4660" s="72"/>
      <c r="U4660" s="85" t="e">
        <f>(U4653/(N_1*U$27))*SQRT('Valve Sizing'!$G$6/U4658)</f>
        <v>#NUM!</v>
      </c>
      <c r="V4660" s="44"/>
      <c r="W4660" s="72"/>
      <c r="X4660" s="85" t="e">
        <f>(X4653/(N_1*X$27))*SQRT('Valve Sizing'!$G$6/X4658)</f>
        <v>#NUM!</v>
      </c>
      <c r="Y4660" s="44"/>
      <c r="Z4660" s="72"/>
      <c r="AA4660" s="85" t="e">
        <f>(AA4653/(N_1*AA$27))*SQRT('Valve Sizing'!$G$6/AA4658)</f>
        <v>#NUM!</v>
      </c>
      <c r="AB4660" s="44"/>
      <c r="AC4660" s="72"/>
      <c r="AD4660" s="85" t="e">
        <f>(AD4653/(N_1*AD$27))*SQRT('Valve Sizing'!$G$6/AD4658)</f>
        <v>#NUM!</v>
      </c>
      <c r="AE4660" s="44"/>
      <c r="AF4660" s="72"/>
      <c r="AG4660" s="85" t="e">
        <f>(AG4653/(N_1*AG$27))*SQRT('Valve Sizing'!$G$6/AG4658)</f>
        <v>#NUM!</v>
      </c>
      <c r="AH4660" s="44"/>
      <c r="AI4660" s="72"/>
      <c r="AJ4660" s="85" t="e">
        <f>(AJ4653/(N_1*AJ$27))*SQRT('Valve Sizing'!$G$6/AJ4658)</f>
        <v>#NUM!</v>
      </c>
      <c r="AK4660" s="44"/>
      <c r="AL4660" s="72"/>
      <c r="AM4660" s="85" t="e">
        <f>(AM4653/(N_1*AM$27))*SQRT('Valve Sizing'!$G$6/AM4658)</f>
        <v>#NUM!</v>
      </c>
      <c r="AN4660" s="44"/>
      <c r="AO4660" s="72"/>
      <c r="AP4660" s="85" t="e">
        <f>(AP4653/(N_1*AP$27))*SQRT('Valve Sizing'!$G$6/AP4658)</f>
        <v>#NUM!</v>
      </c>
      <c r="AQ4660" s="44"/>
      <c r="AR4660" s="72"/>
      <c r="AS4660" s="85" t="e">
        <f>(AS4653/(N_1*AS$27))*SQRT('Valve Sizing'!$G$6/AS4658)</f>
        <v>#NUM!</v>
      </c>
      <c r="AT4660" s="44"/>
      <c r="AU4660" s="72"/>
    </row>
    <row r="4661" spans="15:47" x14ac:dyDescent="0.25">
      <c r="O4661" s="1" t="s">
        <v>246</v>
      </c>
      <c r="P4661" s="18"/>
      <c r="Q4661" s="65"/>
      <c r="R4661" s="53" t="e">
        <f>IF(R4657&lt;R4658,R4659,R4660)</f>
        <v>#NUM!</v>
      </c>
      <c r="S4661" s="49"/>
      <c r="T4661" s="72"/>
      <c r="U4661" s="64" t="e">
        <f>IF(U4657&lt;U4658,U4659,U4660)</f>
        <v>#NUM!</v>
      </c>
      <c r="V4661" s="44"/>
      <c r="W4661" s="72"/>
      <c r="X4661" s="64" t="e">
        <f>IF(X4657&lt;X4658,X4659,X4660)</f>
        <v>#NUM!</v>
      </c>
      <c r="Y4661" s="44"/>
      <c r="Z4661" s="72"/>
      <c r="AA4661" s="64" t="e">
        <f>IF(AA4657&lt;AA4658,AA4659,AA4660)</f>
        <v>#NUM!</v>
      </c>
      <c r="AB4661" s="44"/>
      <c r="AC4661" s="72"/>
      <c r="AD4661" s="64" t="e">
        <f>IF(AD4657&lt;AD4658,AD4659,AD4660)</f>
        <v>#NUM!</v>
      </c>
      <c r="AE4661" s="44"/>
      <c r="AF4661" s="72"/>
      <c r="AG4661" s="64" t="e">
        <f>IF(AG4657&lt;AG4658,AG4659,AG4660)</f>
        <v>#NUM!</v>
      </c>
      <c r="AH4661" s="44"/>
      <c r="AI4661" s="72"/>
      <c r="AJ4661" s="64" t="e">
        <f>IF(AJ4657&lt;AJ4658,AJ4659,AJ4660)</f>
        <v>#NUM!</v>
      </c>
      <c r="AK4661" s="44"/>
      <c r="AL4661" s="72"/>
      <c r="AM4661" s="64" t="e">
        <f>IF(AM4657&lt;AM4658,AM4659,AM4660)</f>
        <v>#NUM!</v>
      </c>
      <c r="AN4661" s="44"/>
      <c r="AO4661" s="72"/>
      <c r="AP4661" s="64" t="e">
        <f>IF(AP4657&lt;AP4658,AP4659,AP4660)</f>
        <v>#NUM!</v>
      </c>
      <c r="AQ4661" s="44"/>
      <c r="AR4661" s="72"/>
      <c r="AS4661" s="64" t="e">
        <f>IF(AS4657&lt;AS4658,AS4659,AS4660)</f>
        <v>#NUM!</v>
      </c>
      <c r="AT4661" s="44"/>
      <c r="AU4661" s="72"/>
    </row>
    <row r="4662" spans="15:47" ht="13" x14ac:dyDescent="0.3">
      <c r="O4662" s="7" t="s">
        <v>264</v>
      </c>
      <c r="Q4662" s="61"/>
      <c r="R4662" s="53"/>
      <c r="S4662" s="69">
        <f>IFERROR(ABS(C_h-R4661),Q_max*10)</f>
        <v>5500</v>
      </c>
      <c r="T4662" s="76">
        <f>R4653</f>
        <v>3274.629176409559</v>
      </c>
      <c r="U4662" s="61"/>
      <c r="V4662" s="69">
        <f>IFERROR(ABS(U$23-U4661),Q_max*10)</f>
        <v>5500</v>
      </c>
      <c r="W4662" s="75">
        <f>U4653</f>
        <v>1845.4313447252794</v>
      </c>
      <c r="X4662" s="61"/>
      <c r="Y4662" s="69">
        <f>IFERROR(ABS(X$23-X4661),Q_max*10)</f>
        <v>5500</v>
      </c>
      <c r="Z4662" s="75">
        <f>X4653</f>
        <v>4429.7456028965835</v>
      </c>
      <c r="AA4662" s="61"/>
      <c r="AB4662" s="69">
        <f>IFERROR(ABS(AA$23-AA4661),Q_max*10)</f>
        <v>5500</v>
      </c>
      <c r="AC4662" s="75">
        <f>AA4653</f>
        <v>8458.0078053084162</v>
      </c>
      <c r="AD4662" s="61"/>
      <c r="AE4662" s="69">
        <f>IFERROR(ABS(AD$23-AD4661),Q_max*10)</f>
        <v>5500</v>
      </c>
      <c r="AF4662" s="75">
        <f>AD4653</f>
        <v>13910.308786014162</v>
      </c>
      <c r="AG4662" s="61"/>
      <c r="AH4662" s="69">
        <f>IFERROR(ABS(AG$23-AG4661),Q_max*10)</f>
        <v>5500</v>
      </c>
      <c r="AI4662" s="75">
        <f>AG4653</f>
        <v>20710.55427451009</v>
      </c>
      <c r="AJ4662" s="61"/>
      <c r="AK4662" s="69">
        <f>IFERROR(ABS(AJ$23-AJ4661),Q_max*10)</f>
        <v>5500</v>
      </c>
      <c r="AL4662" s="75">
        <f>AJ4653</f>
        <v>27638.314965189806</v>
      </c>
      <c r="AM4662" s="61"/>
      <c r="AN4662" s="69">
        <f>IFERROR(ABS(AM$23-AM4661),Q_max*10)</f>
        <v>5500</v>
      </c>
      <c r="AO4662" s="75">
        <f>AM4653</f>
        <v>33723.996641469443</v>
      </c>
      <c r="AP4662" s="61"/>
      <c r="AQ4662" s="69">
        <f>IFERROR(ABS(AP$23-AP4661),Q_max*10)</f>
        <v>5500</v>
      </c>
      <c r="AR4662" s="75">
        <f>AP4653</f>
        <v>39152.513151748113</v>
      </c>
      <c r="AS4662" s="61"/>
      <c r="AT4662" s="69">
        <f>IFERROR(ABS(AS$23-AS4661),Q_max*10)</f>
        <v>5500</v>
      </c>
      <c r="AU4662" s="75">
        <f>AS4653</f>
        <v>44559.212130080523</v>
      </c>
    </row>
    <row r="4663" spans="15:47" ht="14.5" x14ac:dyDescent="0.35">
      <c r="Q4663" s="61"/>
      <c r="R4663" s="67"/>
      <c r="S4663" s="56"/>
      <c r="T4663" s="72"/>
      <c r="V4663" s="11"/>
      <c r="W4663" s="38"/>
      <c r="Y4663" s="11"/>
      <c r="Z4663" s="38"/>
      <c r="AB4663" s="11"/>
      <c r="AC4663" s="38"/>
      <c r="AE4663" s="11"/>
      <c r="AF4663" s="38"/>
      <c r="AH4663" s="11"/>
      <c r="AI4663" s="38"/>
      <c r="AK4663" s="11"/>
      <c r="AL4663" s="38"/>
      <c r="AN4663" s="11"/>
      <c r="AO4663" s="38"/>
      <c r="AQ4663" s="11"/>
      <c r="AR4663" s="38"/>
      <c r="AT4663" s="11"/>
      <c r="AU4663" s="38"/>
    </row>
    <row r="4664" spans="15:47" ht="13" x14ac:dyDescent="0.25">
      <c r="Q4664" s="44"/>
      <c r="R4664" s="40"/>
      <c r="S4664" s="41"/>
      <c r="T4664" s="41"/>
      <c r="U4664" s="45"/>
      <c r="V4664" s="41"/>
      <c r="W4664" s="41"/>
      <c r="X4664" s="45"/>
      <c r="Y4664" s="41"/>
      <c r="Z4664" s="41"/>
    </row>
    <row r="4665" spans="15:47" ht="13" x14ac:dyDescent="0.25">
      <c r="Q4665" s="44"/>
      <c r="R4665" s="42"/>
      <c r="S4665" s="41"/>
      <c r="T4665" s="41"/>
      <c r="U4665" s="44"/>
      <c r="V4665" s="41"/>
      <c r="W4665" s="41"/>
      <c r="X4665" s="44"/>
      <c r="Y4665" s="41"/>
      <c r="Z4665" s="41"/>
    </row>
    <row r="4666" spans="15:47" ht="13" x14ac:dyDescent="0.3">
      <c r="Q4666" s="44"/>
      <c r="R4666" s="86"/>
      <c r="S4666" s="9"/>
      <c r="T4666" s="44"/>
      <c r="U4666" s="40"/>
      <c r="V4666" s="44"/>
      <c r="W4666" s="44"/>
      <c r="X4666" s="40"/>
      <c r="Y4666" s="44"/>
      <c r="Z4666" s="44"/>
    </row>
    <row r="4667" spans="15:47" ht="13" x14ac:dyDescent="0.3">
      <c r="Q4667" s="44"/>
      <c r="R4667" s="86"/>
      <c r="S4667" s="40"/>
      <c r="T4667" s="45"/>
      <c r="U4667" s="40"/>
      <c r="V4667" s="45"/>
      <c r="W4667" s="45"/>
      <c r="X4667" s="40"/>
      <c r="Y4667" s="45"/>
      <c r="Z4667" s="45"/>
    </row>
    <row r="4668" spans="15:47" x14ac:dyDescent="0.25">
      <c r="Q4668" s="44"/>
      <c r="R4668" s="40"/>
      <c r="S4668" s="9"/>
      <c r="T4668" s="44"/>
      <c r="U4668" s="45"/>
      <c r="V4668" s="44"/>
      <c r="W4668" s="44"/>
      <c r="X4668" s="45"/>
      <c r="Y4668" s="44"/>
      <c r="Z4668" s="44"/>
    </row>
    <row r="4669" spans="15:47" ht="13" x14ac:dyDescent="0.3">
      <c r="Q4669" s="44"/>
      <c r="R4669" s="86"/>
      <c r="S4669" s="41"/>
      <c r="T4669" s="41"/>
      <c r="U4669" s="40"/>
      <c r="V4669" s="41"/>
      <c r="W4669" s="41"/>
      <c r="X4669" s="40"/>
      <c r="Y4669" s="41"/>
      <c r="Z4669" s="41"/>
    </row>
    <row r="4670" spans="15:47" ht="13" x14ac:dyDescent="0.25">
      <c r="Q4670" s="44"/>
      <c r="R4670" s="40"/>
      <c r="S4670" s="41"/>
      <c r="T4670" s="41"/>
      <c r="U4670" s="45"/>
      <c r="V4670" s="41"/>
      <c r="W4670" s="41"/>
      <c r="X4670" s="45"/>
      <c r="Y4670" s="41"/>
      <c r="Z4670" s="41"/>
    </row>
    <row r="4671" spans="15:47" ht="14.5" x14ac:dyDescent="0.35">
      <c r="Q4671" s="44"/>
      <c r="R4671" s="40"/>
      <c r="S4671" s="9"/>
      <c r="T4671" s="44"/>
      <c r="U4671" s="86"/>
      <c r="V4671" s="44"/>
      <c r="W4671" s="44"/>
      <c r="X4671" s="43"/>
      <c r="Y4671" s="44"/>
      <c r="Z4671" s="44"/>
    </row>
    <row r="4672" spans="15:47" x14ac:dyDescent="0.25">
      <c r="Q4672" s="44"/>
      <c r="R4672" s="40"/>
      <c r="S4672" s="44"/>
      <c r="T4672" s="44"/>
      <c r="U4672" s="45"/>
      <c r="V4672" s="44"/>
      <c r="W4672" s="44"/>
      <c r="X4672" s="45"/>
      <c r="Y4672" s="44"/>
      <c r="Z4672" s="44"/>
    </row>
    <row r="4673" spans="17:26" x14ac:dyDescent="0.25">
      <c r="Q4673" s="44"/>
      <c r="R4673" s="40"/>
      <c r="S4673" s="42"/>
      <c r="T4673" s="40"/>
      <c r="U4673" s="44"/>
      <c r="V4673" s="42"/>
      <c r="W4673" s="78"/>
      <c r="X4673" s="44"/>
      <c r="Y4673" s="42"/>
      <c r="Z4673" s="78"/>
    </row>
    <row r="4674" spans="17:26" ht="14.5" x14ac:dyDescent="0.35">
      <c r="Q4674" s="44"/>
      <c r="R4674" s="43"/>
      <c r="S4674" s="41"/>
      <c r="T4674" s="41"/>
      <c r="U4674" s="11"/>
      <c r="V4674" s="11"/>
      <c r="W4674" s="11"/>
      <c r="X4674" s="11"/>
      <c r="Y4674" s="11"/>
      <c r="Z4674" s="11"/>
    </row>
    <row r="4675" spans="17:26" ht="13" x14ac:dyDescent="0.25">
      <c r="Q4675" s="44"/>
      <c r="R4675" s="40"/>
      <c r="S4675" s="41"/>
      <c r="T4675" s="41"/>
      <c r="U4675" s="45"/>
      <c r="V4675" s="41"/>
      <c r="W4675" s="41"/>
      <c r="X4675" s="45"/>
      <c r="Y4675" s="41"/>
      <c r="Z4675" s="41"/>
    </row>
    <row r="4676" spans="17:26" ht="13" x14ac:dyDescent="0.25">
      <c r="Q4676" s="44"/>
      <c r="R4676" s="42"/>
      <c r="S4676" s="41"/>
      <c r="T4676" s="41"/>
      <c r="U4676" s="44"/>
      <c r="V4676" s="41"/>
      <c r="W4676" s="41"/>
      <c r="X4676" s="44"/>
      <c r="Y4676" s="41"/>
      <c r="Z4676" s="41"/>
    </row>
    <row r="4677" spans="17:26" ht="13" x14ac:dyDescent="0.3">
      <c r="Q4677" s="44"/>
      <c r="R4677" s="86"/>
      <c r="S4677" s="9"/>
      <c r="T4677" s="44"/>
      <c r="U4677" s="40"/>
      <c r="V4677" s="44"/>
      <c r="W4677" s="44"/>
      <c r="X4677" s="40"/>
      <c r="Y4677" s="44"/>
      <c r="Z4677" s="44"/>
    </row>
    <row r="4678" spans="17:26" ht="13" x14ac:dyDescent="0.3">
      <c r="Q4678" s="44"/>
      <c r="R4678" s="86"/>
      <c r="S4678" s="40"/>
      <c r="T4678" s="45"/>
      <c r="U4678" s="40"/>
      <c r="V4678" s="45"/>
      <c r="W4678" s="45"/>
      <c r="X4678" s="40"/>
      <c r="Y4678" s="45"/>
      <c r="Z4678" s="45"/>
    </row>
    <row r="4679" spans="17:26" x14ac:dyDescent="0.25">
      <c r="Q4679" s="44"/>
      <c r="R4679" s="40"/>
      <c r="S4679" s="9"/>
      <c r="T4679" s="44"/>
      <c r="U4679" s="45"/>
      <c r="V4679" s="44"/>
      <c r="W4679" s="44"/>
      <c r="X4679" s="45"/>
      <c r="Y4679" s="44"/>
      <c r="Z4679" s="44"/>
    </row>
    <row r="4680" spans="17:26" ht="13" x14ac:dyDescent="0.3">
      <c r="Q4680" s="44"/>
      <c r="R4680" s="86"/>
      <c r="S4680" s="41"/>
      <c r="T4680" s="41"/>
      <c r="U4680" s="40"/>
      <c r="V4680" s="41"/>
      <c r="W4680" s="41"/>
      <c r="X4680" s="40"/>
      <c r="Y4680" s="41"/>
      <c r="Z4680" s="41"/>
    </row>
    <row r="4681" spans="17:26" ht="13" x14ac:dyDescent="0.25">
      <c r="Q4681" s="44"/>
      <c r="R4681" s="40"/>
      <c r="S4681" s="41"/>
      <c r="T4681" s="41"/>
      <c r="U4681" s="45"/>
      <c r="V4681" s="41"/>
      <c r="W4681" s="41"/>
      <c r="X4681" s="45"/>
      <c r="Y4681" s="41"/>
      <c r="Z4681" s="41"/>
    </row>
    <row r="4682" spans="17:26" ht="14.5" x14ac:dyDescent="0.35">
      <c r="Q4682" s="44"/>
      <c r="R4682" s="40"/>
      <c r="S4682" s="9"/>
      <c r="T4682" s="44"/>
      <c r="U4682" s="86"/>
      <c r="V4682" s="44"/>
      <c r="W4682" s="44"/>
      <c r="X4682" s="43"/>
      <c r="Y4682" s="44"/>
      <c r="Z4682" s="44"/>
    </row>
    <row r="4683" spans="17:26" x14ac:dyDescent="0.25">
      <c r="Q4683" s="44"/>
      <c r="R4683" s="40"/>
      <c r="S4683" s="44"/>
      <c r="T4683" s="44"/>
      <c r="U4683" s="45"/>
      <c r="V4683" s="44"/>
      <c r="W4683" s="44"/>
      <c r="X4683" s="45"/>
      <c r="Y4683" s="44"/>
      <c r="Z4683" s="44"/>
    </row>
    <row r="4684" spans="17:26" x14ac:dyDescent="0.25">
      <c r="Q4684" s="44"/>
      <c r="R4684" s="40"/>
      <c r="S4684" s="42"/>
      <c r="T4684" s="40"/>
      <c r="U4684" s="44"/>
      <c r="V4684" s="42"/>
      <c r="W4684" s="78"/>
      <c r="X4684" s="44"/>
      <c r="Y4684" s="42"/>
      <c r="Z4684" s="78"/>
    </row>
    <row r="4685" spans="17:26" ht="14.5" x14ac:dyDescent="0.35">
      <c r="Q4685" s="44"/>
      <c r="R4685" s="43"/>
      <c r="S4685" s="9"/>
      <c r="T4685" s="44"/>
      <c r="U4685" s="11"/>
      <c r="V4685" s="11"/>
      <c r="W4685" s="11"/>
      <c r="X4685" s="11"/>
      <c r="Y4685" s="11"/>
      <c r="Z4685" s="11"/>
    </row>
    <row r="4686" spans="17:26" ht="13" x14ac:dyDescent="0.25">
      <c r="Q4686" s="44"/>
      <c r="R4686" s="40"/>
      <c r="S4686" s="41"/>
      <c r="T4686" s="41"/>
      <c r="U4686" s="45"/>
      <c r="V4686" s="41"/>
      <c r="W4686" s="41"/>
      <c r="X4686" s="45"/>
      <c r="Y4686" s="41"/>
      <c r="Z4686" s="41"/>
    </row>
    <row r="4687" spans="17:26" ht="13" x14ac:dyDescent="0.25">
      <c r="Q4687" s="44"/>
      <c r="R4687" s="42"/>
      <c r="S4687" s="41"/>
      <c r="T4687" s="41"/>
      <c r="U4687" s="44"/>
      <c r="V4687" s="41"/>
      <c r="W4687" s="41"/>
      <c r="X4687" s="44"/>
      <c r="Y4687" s="41"/>
      <c r="Z4687" s="41"/>
    </row>
    <row r="4688" spans="17:26" ht="13" x14ac:dyDescent="0.3">
      <c r="Q4688" s="44"/>
      <c r="R4688" s="86"/>
      <c r="S4688" s="9"/>
      <c r="T4688" s="44"/>
      <c r="U4688" s="40"/>
      <c r="V4688" s="44"/>
      <c r="W4688" s="44"/>
      <c r="X4688" s="40"/>
      <c r="Y4688" s="44"/>
      <c r="Z4688" s="44"/>
    </row>
    <row r="4689" spans="17:26" ht="13" x14ac:dyDescent="0.3">
      <c r="Q4689" s="44"/>
      <c r="R4689" s="86"/>
      <c r="S4689" s="40"/>
      <c r="T4689" s="45"/>
      <c r="U4689" s="40"/>
      <c r="V4689" s="45"/>
      <c r="W4689" s="45"/>
      <c r="X4689" s="40"/>
      <c r="Y4689" s="45"/>
      <c r="Z4689" s="45"/>
    </row>
    <row r="4690" spans="17:26" x14ac:dyDescent="0.25">
      <c r="Q4690" s="44"/>
      <c r="R4690" s="40"/>
      <c r="S4690" s="9"/>
      <c r="T4690" s="44"/>
      <c r="U4690" s="45"/>
      <c r="V4690" s="44"/>
      <c r="W4690" s="44"/>
      <c r="X4690" s="45"/>
      <c r="Y4690" s="44"/>
      <c r="Z4690" s="44"/>
    </row>
    <row r="4691" spans="17:26" ht="13" x14ac:dyDescent="0.3">
      <c r="Q4691" s="44"/>
      <c r="R4691" s="86"/>
      <c r="S4691" s="41"/>
      <c r="T4691" s="41"/>
      <c r="U4691" s="40"/>
      <c r="V4691" s="41"/>
      <c r="W4691" s="41"/>
      <c r="X4691" s="40"/>
      <c r="Y4691" s="41"/>
      <c r="Z4691" s="41"/>
    </row>
    <row r="4692" spans="17:26" ht="13" x14ac:dyDescent="0.25">
      <c r="Q4692" s="44"/>
      <c r="R4692" s="40"/>
      <c r="S4692" s="41"/>
      <c r="T4692" s="41"/>
      <c r="U4692" s="45"/>
      <c r="V4692" s="41"/>
      <c r="W4692" s="41"/>
      <c r="X4692" s="45"/>
      <c r="Y4692" s="41"/>
      <c r="Z4692" s="41"/>
    </row>
    <row r="4693" spans="17:26" ht="14.5" x14ac:dyDescent="0.35">
      <c r="Q4693" s="44"/>
      <c r="R4693" s="40"/>
      <c r="S4693" s="9"/>
      <c r="T4693" s="44"/>
      <c r="U4693" s="86"/>
      <c r="V4693" s="44"/>
      <c r="W4693" s="44"/>
      <c r="X4693" s="43"/>
      <c r="Y4693" s="44"/>
      <c r="Z4693" s="44"/>
    </row>
    <row r="4694" spans="17:26" x14ac:dyDescent="0.25">
      <c r="Q4694" s="44"/>
      <c r="R4694" s="40"/>
      <c r="S4694" s="44"/>
      <c r="T4694" s="44"/>
      <c r="U4694" s="45"/>
      <c r="V4694" s="44"/>
      <c r="W4694" s="44"/>
      <c r="X4694" s="45"/>
      <c r="Y4694" s="44"/>
      <c r="Z4694" s="44"/>
    </row>
    <row r="4695" spans="17:26" x14ac:dyDescent="0.25">
      <c r="Q4695" s="44"/>
      <c r="R4695" s="40"/>
      <c r="S4695" s="42"/>
      <c r="T4695" s="40"/>
      <c r="U4695" s="44"/>
      <c r="V4695" s="42"/>
      <c r="W4695" s="78"/>
      <c r="X4695" s="44"/>
      <c r="Y4695" s="42"/>
      <c r="Z4695" s="78"/>
    </row>
    <row r="4696" spans="17:26" ht="14.5" x14ac:dyDescent="0.35">
      <c r="Q4696" s="44"/>
      <c r="R4696" s="43"/>
      <c r="S4696" s="40"/>
      <c r="T4696" s="45"/>
      <c r="U4696" s="11"/>
      <c r="V4696" s="11"/>
      <c r="W4696" s="11"/>
      <c r="X4696" s="11"/>
      <c r="Y4696" s="11"/>
      <c r="Z4696" s="11"/>
    </row>
    <row r="4697" spans="17:26" ht="13" x14ac:dyDescent="0.25">
      <c r="Q4697" s="44"/>
      <c r="R4697" s="40"/>
      <c r="S4697" s="41"/>
      <c r="T4697" s="41"/>
      <c r="U4697" s="45"/>
      <c r="V4697" s="41"/>
      <c r="W4697" s="41"/>
      <c r="X4697" s="45"/>
      <c r="Y4697" s="41"/>
      <c r="Z4697" s="41"/>
    </row>
    <row r="4698" spans="17:26" ht="13" x14ac:dyDescent="0.25">
      <c r="Q4698" s="44"/>
      <c r="R4698" s="42"/>
      <c r="S4698" s="41"/>
      <c r="T4698" s="41"/>
      <c r="U4698" s="44"/>
      <c r="V4698" s="41"/>
      <c r="W4698" s="41"/>
      <c r="X4698" s="44"/>
      <c r="Y4698" s="41"/>
      <c r="Z4698" s="41"/>
    </row>
    <row r="4699" spans="17:26" ht="13" x14ac:dyDescent="0.3">
      <c r="Q4699" s="44"/>
      <c r="R4699" s="86"/>
      <c r="S4699" s="9"/>
      <c r="T4699" s="44"/>
      <c r="U4699" s="40"/>
      <c r="V4699" s="44"/>
      <c r="W4699" s="44"/>
      <c r="X4699" s="40"/>
      <c r="Y4699" s="44"/>
      <c r="Z4699" s="44"/>
    </row>
    <row r="4700" spans="17:26" ht="13" x14ac:dyDescent="0.3">
      <c r="Q4700" s="44"/>
      <c r="R4700" s="86"/>
      <c r="S4700" s="40"/>
      <c r="T4700" s="45"/>
      <c r="U4700" s="40"/>
      <c r="V4700" s="45"/>
      <c r="W4700" s="45"/>
      <c r="X4700" s="40"/>
      <c r="Y4700" s="45"/>
      <c r="Z4700" s="45"/>
    </row>
    <row r="4701" spans="17:26" x14ac:dyDescent="0.25">
      <c r="Q4701" s="44"/>
      <c r="R4701" s="40"/>
      <c r="S4701" s="9"/>
      <c r="T4701" s="44"/>
      <c r="U4701" s="45"/>
      <c r="V4701" s="44"/>
      <c r="W4701" s="44"/>
      <c r="X4701" s="45"/>
      <c r="Y4701" s="44"/>
      <c r="Z4701" s="44"/>
    </row>
    <row r="4702" spans="17:26" ht="13" x14ac:dyDescent="0.3">
      <c r="Q4702" s="44"/>
      <c r="R4702" s="86"/>
      <c r="S4702" s="41"/>
      <c r="T4702" s="41"/>
      <c r="U4702" s="40"/>
      <c r="V4702" s="41"/>
      <c r="W4702" s="41"/>
      <c r="X4702" s="40"/>
      <c r="Y4702" s="41"/>
      <c r="Z4702" s="41"/>
    </row>
    <row r="4703" spans="17:26" ht="13" x14ac:dyDescent="0.25">
      <c r="Q4703" s="44"/>
      <c r="R4703" s="40"/>
      <c r="S4703" s="41"/>
      <c r="T4703" s="41"/>
      <c r="U4703" s="45"/>
      <c r="V4703" s="41"/>
      <c r="W4703" s="41"/>
      <c r="X4703" s="45"/>
      <c r="Y4703" s="41"/>
      <c r="Z4703" s="41"/>
    </row>
    <row r="4704" spans="17:26" ht="14.5" x14ac:dyDescent="0.35">
      <c r="Q4704" s="44"/>
      <c r="R4704" s="40"/>
      <c r="S4704" s="9"/>
      <c r="T4704" s="44"/>
      <c r="U4704" s="86"/>
      <c r="V4704" s="44"/>
      <c r="W4704" s="44"/>
      <c r="X4704" s="43"/>
      <c r="Y4704" s="44"/>
      <c r="Z4704" s="44"/>
    </row>
    <row r="4705" spans="17:26" x14ac:dyDescent="0.25">
      <c r="Q4705" s="44"/>
      <c r="R4705" s="40"/>
      <c r="S4705" s="44"/>
      <c r="T4705" s="44"/>
      <c r="U4705" s="45"/>
      <c r="V4705" s="44"/>
      <c r="W4705" s="44"/>
      <c r="X4705" s="45"/>
      <c r="Y4705" s="44"/>
      <c r="Z4705" s="44"/>
    </row>
    <row r="4706" spans="17:26" x14ac:dyDescent="0.25">
      <c r="Q4706" s="44"/>
      <c r="R4706" s="40"/>
      <c r="S4706" s="42"/>
      <c r="T4706" s="40"/>
      <c r="U4706" s="44"/>
      <c r="V4706" s="42"/>
      <c r="W4706" s="78"/>
      <c r="X4706" s="44"/>
      <c r="Y4706" s="42"/>
      <c r="Z4706" s="78"/>
    </row>
    <row r="4707" spans="17:26" ht="14.5" x14ac:dyDescent="0.35">
      <c r="Q4707" s="44"/>
      <c r="R4707" s="43"/>
      <c r="S4707" s="9"/>
      <c r="T4707" s="44"/>
      <c r="U4707" s="11"/>
      <c r="V4707" s="11"/>
      <c r="W4707" s="11"/>
      <c r="X4707" s="11"/>
      <c r="Y4707" s="11"/>
      <c r="Z4707" s="11"/>
    </row>
    <row r="4708" spans="17:26" ht="13" x14ac:dyDescent="0.25">
      <c r="Q4708" s="44"/>
      <c r="R4708" s="40"/>
      <c r="S4708" s="41"/>
      <c r="T4708" s="41"/>
      <c r="U4708" s="45"/>
      <c r="V4708" s="41"/>
      <c r="W4708" s="41"/>
      <c r="X4708" s="45"/>
      <c r="Y4708" s="41"/>
      <c r="Z4708" s="41"/>
    </row>
    <row r="4709" spans="17:26" ht="13" x14ac:dyDescent="0.25">
      <c r="Q4709" s="44"/>
      <c r="R4709" s="42"/>
      <c r="S4709" s="41"/>
      <c r="T4709" s="41"/>
      <c r="U4709" s="44"/>
      <c r="V4709" s="41"/>
      <c r="W4709" s="41"/>
      <c r="X4709" s="44"/>
      <c r="Y4709" s="41"/>
      <c r="Z4709" s="41"/>
    </row>
    <row r="4710" spans="17:26" ht="13" x14ac:dyDescent="0.3">
      <c r="Q4710" s="44"/>
      <c r="R4710" s="86"/>
      <c r="S4710" s="9"/>
      <c r="T4710" s="44"/>
      <c r="U4710" s="40"/>
      <c r="V4710" s="44"/>
      <c r="W4710" s="44"/>
      <c r="X4710" s="40"/>
      <c r="Y4710" s="44"/>
      <c r="Z4710" s="44"/>
    </row>
    <row r="4711" spans="17:26" ht="13" x14ac:dyDescent="0.3">
      <c r="Q4711" s="44"/>
      <c r="R4711" s="86"/>
      <c r="S4711" s="40"/>
      <c r="T4711" s="45"/>
      <c r="U4711" s="40"/>
      <c r="V4711" s="45"/>
      <c r="W4711" s="45"/>
      <c r="X4711" s="40"/>
      <c r="Y4711" s="45"/>
      <c r="Z4711" s="45"/>
    </row>
    <row r="4712" spans="17:26" x14ac:dyDescent="0.25">
      <c r="Q4712" s="44"/>
      <c r="R4712" s="40"/>
      <c r="S4712" s="9"/>
      <c r="T4712" s="44"/>
      <c r="U4712" s="45"/>
      <c r="V4712" s="44"/>
      <c r="W4712" s="44"/>
      <c r="X4712" s="45"/>
      <c r="Y4712" s="44"/>
      <c r="Z4712" s="44"/>
    </row>
    <row r="4713" spans="17:26" ht="13" x14ac:dyDescent="0.3">
      <c r="Q4713" s="44"/>
      <c r="R4713" s="86"/>
      <c r="S4713" s="41"/>
      <c r="T4713" s="41"/>
      <c r="U4713" s="40"/>
      <c r="V4713" s="41"/>
      <c r="W4713" s="41"/>
      <c r="X4713" s="40"/>
      <c r="Y4713" s="41"/>
      <c r="Z4713" s="41"/>
    </row>
    <row r="4714" spans="17:26" ht="13" x14ac:dyDescent="0.25">
      <c r="Q4714" s="44"/>
      <c r="R4714" s="40"/>
      <c r="S4714" s="41"/>
      <c r="T4714" s="41"/>
      <c r="U4714" s="45"/>
      <c r="V4714" s="41"/>
      <c r="W4714" s="41"/>
      <c r="X4714" s="45"/>
      <c r="Y4714" s="41"/>
      <c r="Z4714" s="41"/>
    </row>
    <row r="4715" spans="17:26" ht="14.5" x14ac:dyDescent="0.35">
      <c r="Q4715" s="44"/>
      <c r="R4715" s="40"/>
      <c r="S4715" s="9"/>
      <c r="T4715" s="44"/>
      <c r="U4715" s="86"/>
      <c r="V4715" s="44"/>
      <c r="W4715" s="44"/>
      <c r="X4715" s="43"/>
      <c r="Y4715" s="44"/>
      <c r="Z4715" s="44"/>
    </row>
    <row r="4716" spans="17:26" x14ac:dyDescent="0.25">
      <c r="Q4716" s="44"/>
      <c r="R4716" s="40"/>
      <c r="S4716" s="44"/>
      <c r="T4716" s="44"/>
      <c r="U4716" s="45"/>
      <c r="V4716" s="44"/>
      <c r="W4716" s="44"/>
      <c r="X4716" s="45"/>
      <c r="Y4716" s="44"/>
      <c r="Z4716" s="44"/>
    </row>
    <row r="4717" spans="17:26" x14ac:dyDescent="0.25">
      <c r="Q4717" s="44"/>
      <c r="R4717" s="40"/>
      <c r="S4717" s="42"/>
      <c r="T4717" s="40"/>
      <c r="U4717" s="44"/>
      <c r="V4717" s="42"/>
      <c r="W4717" s="78"/>
      <c r="X4717" s="44"/>
      <c r="Y4717" s="42"/>
      <c r="Z4717" s="78"/>
    </row>
    <row r="4718" spans="17:26" ht="14.5" x14ac:dyDescent="0.35">
      <c r="Q4718" s="44"/>
      <c r="R4718" s="43"/>
      <c r="S4718" s="41"/>
      <c r="T4718" s="41"/>
      <c r="U4718" s="11"/>
      <c r="V4718" s="11"/>
      <c r="W4718" s="11"/>
      <c r="X4718" s="11"/>
      <c r="Y4718" s="11"/>
      <c r="Z4718" s="11"/>
    </row>
    <row r="4719" spans="17:26" ht="13" x14ac:dyDescent="0.25">
      <c r="Q4719" s="44"/>
      <c r="R4719" s="40"/>
      <c r="S4719" s="41"/>
      <c r="T4719" s="41"/>
      <c r="U4719" s="45"/>
      <c r="V4719" s="41"/>
      <c r="W4719" s="41"/>
      <c r="X4719" s="45"/>
      <c r="Y4719" s="41"/>
      <c r="Z4719" s="41"/>
    </row>
    <row r="4720" spans="17:26" ht="13" x14ac:dyDescent="0.25">
      <c r="Q4720" s="44"/>
      <c r="R4720" s="42"/>
      <c r="S4720" s="41"/>
      <c r="T4720" s="41"/>
      <c r="U4720" s="44"/>
      <c r="V4720" s="41"/>
      <c r="W4720" s="41"/>
      <c r="X4720" s="44"/>
      <c r="Y4720" s="41"/>
      <c r="Z4720" s="41"/>
    </row>
    <row r="4721" spans="17:26" ht="13" x14ac:dyDescent="0.3">
      <c r="Q4721" s="44"/>
      <c r="R4721" s="86"/>
      <c r="S4721" s="9"/>
      <c r="T4721" s="44"/>
      <c r="U4721" s="40"/>
      <c r="V4721" s="44"/>
      <c r="W4721" s="44"/>
      <c r="X4721" s="40"/>
      <c r="Y4721" s="44"/>
      <c r="Z4721" s="44"/>
    </row>
    <row r="4722" spans="17:26" ht="13" x14ac:dyDescent="0.3">
      <c r="Q4722" s="44"/>
      <c r="R4722" s="86"/>
      <c r="S4722" s="40"/>
      <c r="T4722" s="45"/>
      <c r="U4722" s="40"/>
      <c r="V4722" s="45"/>
      <c r="W4722" s="45"/>
      <c r="X4722" s="40"/>
      <c r="Y4722" s="45"/>
      <c r="Z4722" s="45"/>
    </row>
    <row r="4723" spans="17:26" x14ac:dyDescent="0.25">
      <c r="Q4723" s="44"/>
      <c r="R4723" s="40"/>
      <c r="S4723" s="9"/>
      <c r="T4723" s="44"/>
      <c r="U4723" s="45"/>
      <c r="V4723" s="44"/>
      <c r="W4723" s="44"/>
      <c r="X4723" s="45"/>
      <c r="Y4723" s="44"/>
      <c r="Z4723" s="44"/>
    </row>
    <row r="4724" spans="17:26" ht="13" x14ac:dyDescent="0.3">
      <c r="Q4724" s="44"/>
      <c r="R4724" s="86"/>
      <c r="S4724" s="41"/>
      <c r="T4724" s="41"/>
      <c r="U4724" s="40"/>
      <c r="V4724" s="41"/>
      <c r="W4724" s="41"/>
      <c r="X4724" s="40"/>
      <c r="Y4724" s="41"/>
      <c r="Z4724" s="41"/>
    </row>
    <row r="4725" spans="17:26" ht="13" x14ac:dyDescent="0.25">
      <c r="Q4725" s="44"/>
      <c r="R4725" s="40"/>
      <c r="S4725" s="41"/>
      <c r="T4725" s="41"/>
      <c r="U4725" s="45"/>
      <c r="V4725" s="41"/>
      <c r="W4725" s="41"/>
      <c r="X4725" s="45"/>
      <c r="Y4725" s="41"/>
      <c r="Z4725" s="41"/>
    </row>
    <row r="4726" spans="17:26" ht="14.5" x14ac:dyDescent="0.35">
      <c r="Q4726" s="44"/>
      <c r="R4726" s="40"/>
      <c r="S4726" s="9"/>
      <c r="T4726" s="44"/>
      <c r="U4726" s="86"/>
      <c r="V4726" s="44"/>
      <c r="W4726" s="44"/>
      <c r="X4726" s="43"/>
      <c r="Y4726" s="44"/>
      <c r="Z4726" s="44"/>
    </row>
    <row r="4727" spans="17:26" x14ac:dyDescent="0.25">
      <c r="Q4727" s="44"/>
      <c r="R4727" s="40"/>
      <c r="S4727" s="44"/>
      <c r="T4727" s="44"/>
      <c r="U4727" s="45"/>
      <c r="V4727" s="44"/>
      <c r="W4727" s="44"/>
      <c r="X4727" s="45"/>
      <c r="Y4727" s="44"/>
      <c r="Z4727" s="44"/>
    </row>
    <row r="4728" spans="17:26" x14ac:dyDescent="0.25">
      <c r="Q4728" s="44"/>
      <c r="R4728" s="40"/>
      <c r="S4728" s="42"/>
      <c r="T4728" s="40"/>
      <c r="U4728" s="44"/>
      <c r="V4728" s="42"/>
      <c r="W4728" s="78"/>
      <c r="X4728" s="44"/>
      <c r="Y4728" s="42"/>
      <c r="Z4728" s="78"/>
    </row>
    <row r="4729" spans="17:26" ht="14.5" x14ac:dyDescent="0.35">
      <c r="Q4729" s="44"/>
      <c r="R4729" s="43"/>
      <c r="S4729" s="9"/>
      <c r="T4729" s="44"/>
      <c r="U4729" s="11"/>
      <c r="V4729" s="11"/>
      <c r="W4729" s="11"/>
      <c r="X4729" s="11"/>
      <c r="Y4729" s="11"/>
      <c r="Z4729" s="11"/>
    </row>
    <row r="4730" spans="17:26" ht="13" x14ac:dyDescent="0.25">
      <c r="Q4730" s="44"/>
      <c r="R4730" s="40"/>
      <c r="S4730" s="41"/>
      <c r="T4730" s="41"/>
      <c r="U4730" s="45"/>
      <c r="V4730" s="41"/>
      <c r="W4730" s="41"/>
      <c r="X4730" s="45"/>
      <c r="Y4730" s="41"/>
      <c r="Z4730" s="41"/>
    </row>
    <row r="4731" spans="17:26" ht="13" x14ac:dyDescent="0.25">
      <c r="Q4731" s="44"/>
      <c r="R4731" s="42"/>
      <c r="S4731" s="41"/>
      <c r="T4731" s="41"/>
      <c r="U4731" s="44"/>
      <c r="V4731" s="41"/>
      <c r="W4731" s="41"/>
      <c r="X4731" s="44"/>
      <c r="Y4731" s="41"/>
      <c r="Z4731" s="41"/>
    </row>
    <row r="4732" spans="17:26" ht="13" x14ac:dyDescent="0.3">
      <c r="Q4732" s="44"/>
      <c r="R4732" s="86"/>
      <c r="S4732" s="9"/>
      <c r="T4732" s="44"/>
      <c r="U4732" s="40"/>
      <c r="V4732" s="44"/>
      <c r="W4732" s="44"/>
      <c r="X4732" s="40"/>
      <c r="Y4732" s="44"/>
      <c r="Z4732" s="44"/>
    </row>
    <row r="4733" spans="17:26" ht="13" x14ac:dyDescent="0.3">
      <c r="Q4733" s="44"/>
      <c r="R4733" s="86"/>
      <c r="S4733" s="40"/>
      <c r="T4733" s="45"/>
      <c r="U4733" s="40"/>
      <c r="V4733" s="45"/>
      <c r="W4733" s="45"/>
      <c r="X4733" s="40"/>
      <c r="Y4733" s="45"/>
      <c r="Z4733" s="45"/>
    </row>
    <row r="4734" spans="17:26" x14ac:dyDescent="0.25">
      <c r="Q4734" s="44"/>
      <c r="R4734" s="40"/>
      <c r="S4734" s="9"/>
      <c r="T4734" s="44"/>
      <c r="U4734" s="45"/>
      <c r="V4734" s="44"/>
      <c r="W4734" s="44"/>
      <c r="X4734" s="45"/>
      <c r="Y4734" s="44"/>
      <c r="Z4734" s="44"/>
    </row>
    <row r="4735" spans="17:26" ht="13" x14ac:dyDescent="0.3">
      <c r="Q4735" s="44"/>
      <c r="R4735" s="86"/>
      <c r="S4735" s="41"/>
      <c r="T4735" s="41"/>
      <c r="U4735" s="40"/>
      <c r="V4735" s="41"/>
      <c r="W4735" s="41"/>
      <c r="X4735" s="40"/>
      <c r="Y4735" s="41"/>
      <c r="Z4735" s="41"/>
    </row>
    <row r="4736" spans="17:26" ht="13" x14ac:dyDescent="0.25">
      <c r="Q4736" s="44"/>
      <c r="R4736" s="40"/>
      <c r="S4736" s="41"/>
      <c r="T4736" s="41"/>
      <c r="U4736" s="45"/>
      <c r="V4736" s="41"/>
      <c r="W4736" s="41"/>
      <c r="X4736" s="45"/>
      <c r="Y4736" s="41"/>
      <c r="Z4736" s="41"/>
    </row>
    <row r="4737" spans="17:26" ht="14.5" x14ac:dyDescent="0.35">
      <c r="Q4737" s="44"/>
      <c r="R4737" s="40"/>
      <c r="S4737" s="9"/>
      <c r="T4737" s="44"/>
      <c r="U4737" s="86"/>
      <c r="V4737" s="44"/>
      <c r="W4737" s="44"/>
      <c r="X4737" s="43"/>
      <c r="Y4737" s="44"/>
      <c r="Z4737" s="44"/>
    </row>
    <row r="4738" spans="17:26" x14ac:dyDescent="0.25">
      <c r="Q4738" s="44"/>
      <c r="R4738" s="40"/>
      <c r="S4738" s="44"/>
      <c r="T4738" s="44"/>
      <c r="U4738" s="45"/>
      <c r="V4738" s="44"/>
      <c r="W4738" s="44"/>
      <c r="X4738" s="45"/>
      <c r="Y4738" s="44"/>
      <c r="Z4738" s="44"/>
    </row>
    <row r="4739" spans="17:26" x14ac:dyDescent="0.25">
      <c r="Q4739" s="44"/>
      <c r="R4739" s="40"/>
      <c r="S4739" s="42"/>
      <c r="T4739" s="40"/>
      <c r="U4739" s="44"/>
      <c r="V4739" s="42"/>
      <c r="W4739" s="78"/>
      <c r="X4739" s="44"/>
      <c r="Y4739" s="42"/>
      <c r="Z4739" s="78"/>
    </row>
    <row r="4740" spans="17:26" ht="14.5" x14ac:dyDescent="0.35">
      <c r="Q4740" s="44"/>
      <c r="R4740" s="43"/>
      <c r="S4740" s="9"/>
      <c r="T4740" s="44"/>
      <c r="U4740" s="11"/>
      <c r="V4740" s="11"/>
      <c r="W4740" s="11"/>
      <c r="X4740" s="11"/>
      <c r="Y4740" s="11"/>
      <c r="Z4740" s="11"/>
    </row>
    <row r="4741" spans="17:26" ht="13" x14ac:dyDescent="0.25">
      <c r="Q4741" s="44"/>
      <c r="R4741" s="40"/>
      <c r="S4741" s="41"/>
      <c r="T4741" s="41"/>
      <c r="U4741" s="45"/>
      <c r="V4741" s="41"/>
      <c r="W4741" s="41"/>
      <c r="X4741" s="45"/>
      <c r="Y4741" s="41"/>
      <c r="Z4741" s="41"/>
    </row>
    <row r="4742" spans="17:26" ht="13" x14ac:dyDescent="0.25">
      <c r="Q4742" s="44"/>
      <c r="R4742" s="42"/>
      <c r="S4742" s="41"/>
      <c r="T4742" s="41"/>
      <c r="U4742" s="44"/>
      <c r="V4742" s="41"/>
      <c r="W4742" s="41"/>
      <c r="X4742" s="44"/>
      <c r="Y4742" s="41"/>
      <c r="Z4742" s="41"/>
    </row>
    <row r="4743" spans="17:26" ht="13" x14ac:dyDescent="0.3">
      <c r="Q4743" s="44"/>
      <c r="R4743" s="86"/>
      <c r="S4743" s="9"/>
      <c r="T4743" s="44"/>
      <c r="U4743" s="40"/>
      <c r="V4743" s="44"/>
      <c r="W4743" s="44"/>
      <c r="X4743" s="40"/>
      <c r="Y4743" s="44"/>
      <c r="Z4743" s="44"/>
    </row>
    <row r="4744" spans="17:26" ht="13" x14ac:dyDescent="0.3">
      <c r="Q4744" s="44"/>
      <c r="R4744" s="86"/>
      <c r="S4744" s="40"/>
      <c r="T4744" s="45"/>
      <c r="U4744" s="40"/>
      <c r="V4744" s="45"/>
      <c r="W4744" s="45"/>
      <c r="X4744" s="40"/>
      <c r="Y4744" s="45"/>
      <c r="Z4744" s="45"/>
    </row>
    <row r="4745" spans="17:26" x14ac:dyDescent="0.25">
      <c r="Q4745" s="44"/>
      <c r="R4745" s="40"/>
      <c r="S4745" s="9"/>
      <c r="T4745" s="44"/>
      <c r="U4745" s="45"/>
      <c r="V4745" s="44"/>
      <c r="W4745" s="44"/>
      <c r="X4745" s="45"/>
      <c r="Y4745" s="44"/>
      <c r="Z4745" s="44"/>
    </row>
    <row r="4746" spans="17:26" ht="13" x14ac:dyDescent="0.3">
      <c r="Q4746" s="44"/>
      <c r="R4746" s="86"/>
      <c r="S4746" s="41"/>
      <c r="T4746" s="41"/>
      <c r="U4746" s="40"/>
      <c r="V4746" s="41"/>
      <c r="W4746" s="41"/>
      <c r="X4746" s="40"/>
      <c r="Y4746" s="41"/>
      <c r="Z4746" s="41"/>
    </row>
    <row r="4747" spans="17:26" ht="13" x14ac:dyDescent="0.25">
      <c r="Q4747" s="44"/>
      <c r="R4747" s="40"/>
      <c r="S4747" s="41"/>
      <c r="T4747" s="41"/>
      <c r="U4747" s="45"/>
      <c r="V4747" s="41"/>
      <c r="W4747" s="41"/>
      <c r="X4747" s="45"/>
      <c r="Y4747" s="41"/>
      <c r="Z4747" s="41"/>
    </row>
    <row r="4748" spans="17:26" ht="14.5" x14ac:dyDescent="0.35">
      <c r="Q4748" s="44"/>
      <c r="R4748" s="40"/>
      <c r="S4748" s="9"/>
      <c r="T4748" s="44"/>
      <c r="U4748" s="86"/>
      <c r="V4748" s="44"/>
      <c r="W4748" s="44"/>
      <c r="X4748" s="43"/>
      <c r="Y4748" s="44"/>
      <c r="Z4748" s="44"/>
    </row>
    <row r="4749" spans="17:26" x14ac:dyDescent="0.25">
      <c r="Q4749" s="44"/>
      <c r="R4749" s="40"/>
      <c r="S4749" s="44"/>
      <c r="T4749" s="44"/>
      <c r="U4749" s="45"/>
      <c r="V4749" s="44"/>
      <c r="W4749" s="44"/>
      <c r="X4749" s="45"/>
      <c r="Y4749" s="44"/>
      <c r="Z4749" s="44"/>
    </row>
    <row r="4750" spans="17:26" x14ac:dyDescent="0.25">
      <c r="Q4750" s="44"/>
      <c r="R4750" s="40"/>
      <c r="S4750" s="42"/>
      <c r="T4750" s="40"/>
      <c r="U4750" s="44"/>
      <c r="V4750" s="42"/>
      <c r="W4750" s="78"/>
      <c r="X4750" s="44"/>
      <c r="Y4750" s="42"/>
      <c r="Z4750" s="78"/>
    </row>
    <row r="4751" spans="17:26" ht="14.5" x14ac:dyDescent="0.35">
      <c r="Q4751" s="44"/>
      <c r="R4751" s="43"/>
      <c r="S4751" s="9"/>
      <c r="T4751" s="44"/>
      <c r="U4751" s="11"/>
      <c r="V4751" s="11"/>
      <c r="W4751" s="11"/>
      <c r="X4751" s="11"/>
      <c r="Y4751" s="11"/>
      <c r="Z4751" s="11"/>
    </row>
    <row r="4752" spans="17:26" ht="13" x14ac:dyDescent="0.25">
      <c r="Q4752" s="44"/>
      <c r="R4752" s="40"/>
      <c r="S4752" s="41"/>
      <c r="T4752" s="41"/>
      <c r="U4752" s="45"/>
      <c r="V4752" s="41"/>
      <c r="W4752" s="41"/>
      <c r="X4752" s="45"/>
      <c r="Y4752" s="41"/>
      <c r="Z4752" s="41"/>
    </row>
    <row r="4753" spans="17:26" ht="13" x14ac:dyDescent="0.25">
      <c r="Q4753" s="44"/>
      <c r="R4753" s="42"/>
      <c r="S4753" s="41"/>
      <c r="T4753" s="41"/>
      <c r="U4753" s="44"/>
      <c r="V4753" s="41"/>
      <c r="W4753" s="41"/>
      <c r="X4753" s="44"/>
      <c r="Y4753" s="41"/>
      <c r="Z4753" s="41"/>
    </row>
    <row r="4754" spans="17:26" ht="13" x14ac:dyDescent="0.3">
      <c r="Q4754" s="44"/>
      <c r="R4754" s="86"/>
      <c r="S4754" s="9"/>
      <c r="T4754" s="44"/>
      <c r="U4754" s="40"/>
      <c r="V4754" s="44"/>
      <c r="W4754" s="44"/>
      <c r="X4754" s="40"/>
      <c r="Y4754" s="44"/>
      <c r="Z4754" s="44"/>
    </row>
    <row r="4755" spans="17:26" ht="13" x14ac:dyDescent="0.3">
      <c r="Q4755" s="44"/>
      <c r="R4755" s="86"/>
      <c r="S4755" s="40"/>
      <c r="T4755" s="45"/>
      <c r="U4755" s="40"/>
      <c r="V4755" s="45"/>
      <c r="W4755" s="45"/>
      <c r="X4755" s="40"/>
      <c r="Y4755" s="45"/>
      <c r="Z4755" s="45"/>
    </row>
    <row r="4756" spans="17:26" x14ac:dyDescent="0.25">
      <c r="Q4756" s="44"/>
      <c r="R4756" s="40"/>
      <c r="S4756" s="9"/>
      <c r="T4756" s="44"/>
      <c r="U4756" s="45"/>
      <c r="V4756" s="44"/>
      <c r="W4756" s="44"/>
      <c r="X4756" s="45"/>
      <c r="Y4756" s="44"/>
      <c r="Z4756" s="44"/>
    </row>
    <row r="4757" spans="17:26" ht="13" x14ac:dyDescent="0.3">
      <c r="Q4757" s="44"/>
      <c r="R4757" s="86"/>
      <c r="S4757" s="41"/>
      <c r="T4757" s="41"/>
      <c r="U4757" s="40"/>
      <c r="V4757" s="41"/>
      <c r="W4757" s="41"/>
      <c r="X4757" s="40"/>
      <c r="Y4757" s="41"/>
      <c r="Z4757" s="41"/>
    </row>
    <row r="4758" spans="17:26" ht="13" x14ac:dyDescent="0.25">
      <c r="Q4758" s="44"/>
      <c r="R4758" s="40"/>
      <c r="S4758" s="41"/>
      <c r="T4758" s="41"/>
      <c r="U4758" s="45"/>
      <c r="V4758" s="41"/>
      <c r="W4758" s="41"/>
      <c r="X4758" s="45"/>
      <c r="Y4758" s="41"/>
      <c r="Z4758" s="41"/>
    </row>
    <row r="4759" spans="17:26" ht="14.5" x14ac:dyDescent="0.35">
      <c r="Q4759" s="44"/>
      <c r="R4759" s="40"/>
      <c r="S4759" s="9"/>
      <c r="T4759" s="44"/>
      <c r="U4759" s="86"/>
      <c r="V4759" s="44"/>
      <c r="W4759" s="44"/>
      <c r="X4759" s="43"/>
      <c r="Y4759" s="44"/>
      <c r="Z4759" s="44"/>
    </row>
    <row r="4760" spans="17:26" x14ac:dyDescent="0.25">
      <c r="Q4760" s="44"/>
      <c r="R4760" s="40"/>
      <c r="S4760" s="44"/>
      <c r="T4760" s="44"/>
      <c r="U4760" s="45"/>
      <c r="V4760" s="44"/>
      <c r="W4760" s="44"/>
      <c r="X4760" s="45"/>
      <c r="Y4760" s="44"/>
      <c r="Z4760" s="44"/>
    </row>
    <row r="4761" spans="17:26" x14ac:dyDescent="0.25">
      <c r="Q4761" s="44"/>
      <c r="R4761" s="40"/>
      <c r="S4761" s="42"/>
      <c r="T4761" s="40"/>
      <c r="U4761" s="44"/>
      <c r="V4761" s="42"/>
      <c r="W4761" s="78"/>
      <c r="X4761" s="44"/>
      <c r="Y4761" s="42"/>
      <c r="Z4761" s="78"/>
    </row>
    <row r="4762" spans="17:26" ht="14.5" x14ac:dyDescent="0.35">
      <c r="Q4762" s="44"/>
      <c r="R4762" s="43"/>
      <c r="S4762" s="41"/>
      <c r="T4762" s="41"/>
      <c r="U4762" s="11"/>
      <c r="V4762" s="11"/>
      <c r="W4762" s="11"/>
      <c r="X4762" s="11"/>
      <c r="Y4762" s="11"/>
      <c r="Z4762" s="11"/>
    </row>
    <row r="4763" spans="17:26" ht="13" x14ac:dyDescent="0.25">
      <c r="Q4763" s="44"/>
      <c r="R4763" s="40"/>
      <c r="S4763" s="41"/>
      <c r="T4763" s="41"/>
      <c r="U4763" s="45"/>
      <c r="V4763" s="41"/>
      <c r="W4763" s="41"/>
      <c r="X4763" s="45"/>
      <c r="Y4763" s="41"/>
      <c r="Z4763" s="41"/>
    </row>
    <row r="4764" spans="17:26" ht="13" x14ac:dyDescent="0.25">
      <c r="Q4764" s="44"/>
      <c r="R4764" s="42"/>
      <c r="S4764" s="41"/>
      <c r="T4764" s="41"/>
      <c r="U4764" s="44"/>
      <c r="V4764" s="41"/>
      <c r="W4764" s="41"/>
      <c r="X4764" s="44"/>
      <c r="Y4764" s="41"/>
      <c r="Z4764" s="41"/>
    </row>
    <row r="4765" spans="17:26" ht="13" x14ac:dyDescent="0.3">
      <c r="Q4765" s="44"/>
      <c r="R4765" s="86"/>
      <c r="S4765" s="9"/>
      <c r="T4765" s="44"/>
      <c r="U4765" s="40"/>
      <c r="V4765" s="44"/>
      <c r="W4765" s="44"/>
      <c r="X4765" s="40"/>
      <c r="Y4765" s="44"/>
      <c r="Z4765" s="44"/>
    </row>
    <row r="4766" spans="17:26" ht="13" x14ac:dyDescent="0.3">
      <c r="Q4766" s="44"/>
      <c r="R4766" s="86"/>
      <c r="S4766" s="40"/>
      <c r="T4766" s="45"/>
      <c r="U4766" s="40"/>
      <c r="V4766" s="45"/>
      <c r="W4766" s="45"/>
      <c r="X4766" s="40"/>
      <c r="Y4766" s="45"/>
      <c r="Z4766" s="45"/>
    </row>
    <row r="4767" spans="17:26" x14ac:dyDescent="0.25">
      <c r="Q4767" s="44"/>
      <c r="R4767" s="40"/>
      <c r="S4767" s="9"/>
      <c r="T4767" s="44"/>
      <c r="U4767" s="45"/>
      <c r="V4767" s="44"/>
      <c r="W4767" s="44"/>
      <c r="X4767" s="45"/>
      <c r="Y4767" s="44"/>
      <c r="Z4767" s="44"/>
    </row>
    <row r="4768" spans="17:26" ht="13" x14ac:dyDescent="0.3">
      <c r="Q4768" s="44"/>
      <c r="R4768" s="86"/>
      <c r="S4768" s="41"/>
      <c r="T4768" s="41"/>
      <c r="U4768" s="40"/>
      <c r="V4768" s="41"/>
      <c r="W4768" s="41"/>
      <c r="X4768" s="40"/>
      <c r="Y4768" s="41"/>
      <c r="Z4768" s="41"/>
    </row>
    <row r="4769" spans="17:26" ht="13" x14ac:dyDescent="0.25">
      <c r="Q4769" s="44"/>
      <c r="R4769" s="40"/>
      <c r="S4769" s="41"/>
      <c r="T4769" s="41"/>
      <c r="U4769" s="45"/>
      <c r="V4769" s="41"/>
      <c r="W4769" s="41"/>
      <c r="X4769" s="45"/>
      <c r="Y4769" s="41"/>
      <c r="Z4769" s="41"/>
    </row>
    <row r="4770" spans="17:26" ht="14.5" x14ac:dyDescent="0.35">
      <c r="Q4770" s="44"/>
      <c r="R4770" s="40"/>
      <c r="S4770" s="9"/>
      <c r="T4770" s="44"/>
      <c r="U4770" s="86"/>
      <c r="V4770" s="44"/>
      <c r="W4770" s="44"/>
      <c r="X4770" s="43"/>
      <c r="Y4770" s="44"/>
      <c r="Z4770" s="44"/>
    </row>
    <row r="4771" spans="17:26" x14ac:dyDescent="0.25">
      <c r="Q4771" s="44"/>
      <c r="R4771" s="40"/>
      <c r="S4771" s="44"/>
      <c r="T4771" s="44"/>
      <c r="U4771" s="45"/>
      <c r="V4771" s="44"/>
      <c r="W4771" s="44"/>
      <c r="X4771" s="45"/>
      <c r="Y4771" s="44"/>
      <c r="Z4771" s="44"/>
    </row>
    <row r="4772" spans="17:26" x14ac:dyDescent="0.25">
      <c r="Q4772" s="44"/>
      <c r="R4772" s="40"/>
      <c r="S4772" s="42"/>
      <c r="T4772" s="40"/>
      <c r="U4772" s="44"/>
      <c r="V4772" s="42"/>
      <c r="W4772" s="78"/>
      <c r="X4772" s="44"/>
      <c r="Y4772" s="42"/>
      <c r="Z4772" s="78"/>
    </row>
    <row r="4773" spans="17:26" ht="14.5" x14ac:dyDescent="0.35">
      <c r="Q4773" s="44"/>
      <c r="R4773" s="43"/>
      <c r="S4773" s="9"/>
      <c r="T4773" s="44"/>
      <c r="U4773" s="11"/>
      <c r="V4773" s="11"/>
      <c r="W4773" s="11"/>
      <c r="X4773" s="11"/>
      <c r="Y4773" s="11"/>
      <c r="Z4773" s="11"/>
    </row>
    <row r="4774" spans="17:26" ht="13" x14ac:dyDescent="0.25">
      <c r="Q4774" s="44"/>
      <c r="R4774" s="40"/>
      <c r="S4774" s="41"/>
      <c r="T4774" s="41"/>
      <c r="U4774" s="45"/>
      <c r="V4774" s="41"/>
      <c r="W4774" s="41"/>
      <c r="X4774" s="45"/>
      <c r="Y4774" s="41"/>
      <c r="Z4774" s="41"/>
    </row>
    <row r="4775" spans="17:26" ht="13" x14ac:dyDescent="0.25">
      <c r="Q4775" s="44"/>
      <c r="R4775" s="42"/>
      <c r="S4775" s="41"/>
      <c r="T4775" s="41"/>
      <c r="U4775" s="44"/>
      <c r="V4775" s="41"/>
      <c r="W4775" s="41"/>
      <c r="X4775" s="44"/>
      <c r="Y4775" s="41"/>
      <c r="Z4775" s="41"/>
    </row>
    <row r="4776" spans="17:26" ht="13" x14ac:dyDescent="0.3">
      <c r="Q4776" s="44"/>
      <c r="R4776" s="86"/>
      <c r="S4776" s="9"/>
      <c r="T4776" s="44"/>
      <c r="U4776" s="40"/>
      <c r="V4776" s="44"/>
      <c r="W4776" s="44"/>
      <c r="X4776" s="40"/>
      <c r="Y4776" s="44"/>
      <c r="Z4776" s="44"/>
    </row>
    <row r="4777" spans="17:26" ht="13" x14ac:dyDescent="0.3">
      <c r="Q4777" s="44"/>
      <c r="R4777" s="86"/>
      <c r="S4777" s="40"/>
      <c r="T4777" s="45"/>
      <c r="U4777" s="40"/>
      <c r="V4777" s="45"/>
      <c r="W4777" s="45"/>
      <c r="X4777" s="40"/>
      <c r="Y4777" s="45"/>
      <c r="Z4777" s="45"/>
    </row>
    <row r="4778" spans="17:26" x14ac:dyDescent="0.25">
      <c r="Q4778" s="44"/>
      <c r="R4778" s="40"/>
      <c r="S4778" s="9"/>
      <c r="T4778" s="44"/>
      <c r="U4778" s="45"/>
      <c r="V4778" s="44"/>
      <c r="W4778" s="44"/>
      <c r="X4778" s="45"/>
      <c r="Y4778" s="44"/>
      <c r="Z4778" s="44"/>
    </row>
    <row r="4779" spans="17:26" ht="13" x14ac:dyDescent="0.3">
      <c r="Q4779" s="44"/>
      <c r="R4779" s="86"/>
      <c r="S4779" s="41"/>
      <c r="T4779" s="41"/>
      <c r="U4779" s="40"/>
      <c r="V4779" s="41"/>
      <c r="W4779" s="41"/>
      <c r="X4779" s="40"/>
      <c r="Y4779" s="41"/>
      <c r="Z4779" s="41"/>
    </row>
    <row r="4780" spans="17:26" ht="13" x14ac:dyDescent="0.25">
      <c r="Q4780" s="44"/>
      <c r="R4780" s="40"/>
      <c r="S4780" s="41"/>
      <c r="T4780" s="41"/>
      <c r="U4780" s="45"/>
      <c r="V4780" s="41"/>
      <c r="W4780" s="41"/>
      <c r="X4780" s="45"/>
      <c r="Y4780" s="41"/>
      <c r="Z4780" s="41"/>
    </row>
    <row r="4781" spans="17:26" ht="14.5" x14ac:dyDescent="0.35">
      <c r="Q4781" s="44"/>
      <c r="R4781" s="40"/>
      <c r="S4781" s="9"/>
      <c r="T4781" s="44"/>
      <c r="U4781" s="86"/>
      <c r="V4781" s="44"/>
      <c r="W4781" s="44"/>
      <c r="X4781" s="43"/>
      <c r="Y4781" s="44"/>
      <c r="Z4781" s="44"/>
    </row>
    <row r="4782" spans="17:26" x14ac:dyDescent="0.25">
      <c r="Q4782" s="44"/>
      <c r="R4782" s="40"/>
      <c r="S4782" s="44"/>
      <c r="T4782" s="44"/>
      <c r="U4782" s="45"/>
      <c r="V4782" s="44"/>
      <c r="W4782" s="44"/>
      <c r="X4782" s="45"/>
      <c r="Y4782" s="44"/>
      <c r="Z4782" s="44"/>
    </row>
    <row r="4783" spans="17:26" x14ac:dyDescent="0.25">
      <c r="Q4783" s="44"/>
      <c r="R4783" s="40"/>
      <c r="S4783" s="42"/>
      <c r="T4783" s="40"/>
      <c r="U4783" s="44"/>
      <c r="V4783" s="42"/>
      <c r="W4783" s="78"/>
      <c r="X4783" s="44"/>
      <c r="Y4783" s="42"/>
      <c r="Z4783" s="78"/>
    </row>
    <row r="4784" spans="17:26" ht="14.5" x14ac:dyDescent="0.35">
      <c r="Q4784" s="44"/>
      <c r="R4784" s="43"/>
      <c r="S4784" s="40"/>
      <c r="T4784" s="45"/>
      <c r="U4784" s="11"/>
      <c r="V4784" s="11"/>
      <c r="W4784" s="11"/>
      <c r="X4784" s="11"/>
      <c r="Y4784" s="11"/>
      <c r="Z4784" s="11"/>
    </row>
    <row r="4785" spans="17:26" ht="13" x14ac:dyDescent="0.25">
      <c r="Q4785" s="44"/>
      <c r="R4785" s="40"/>
      <c r="S4785" s="41"/>
      <c r="T4785" s="41"/>
      <c r="U4785" s="45"/>
      <c r="V4785" s="41"/>
      <c r="W4785" s="41"/>
      <c r="X4785" s="45"/>
      <c r="Y4785" s="41"/>
      <c r="Z4785" s="41"/>
    </row>
    <row r="4786" spans="17:26" ht="13" x14ac:dyDescent="0.25">
      <c r="Q4786" s="44"/>
      <c r="R4786" s="42"/>
      <c r="S4786" s="41"/>
      <c r="T4786" s="41"/>
      <c r="U4786" s="44"/>
      <c r="V4786" s="41"/>
      <c r="W4786" s="41"/>
      <c r="X4786" s="44"/>
      <c r="Y4786" s="41"/>
      <c r="Z4786" s="41"/>
    </row>
    <row r="4787" spans="17:26" ht="13" x14ac:dyDescent="0.3">
      <c r="Q4787" s="44"/>
      <c r="R4787" s="86"/>
      <c r="S4787" s="9"/>
      <c r="T4787" s="44"/>
      <c r="U4787" s="40"/>
      <c r="V4787" s="44"/>
      <c r="W4787" s="44"/>
      <c r="X4787" s="40"/>
      <c r="Y4787" s="44"/>
      <c r="Z4787" s="44"/>
    </row>
    <row r="4788" spans="17:26" ht="13" x14ac:dyDescent="0.3">
      <c r="Q4788" s="44"/>
      <c r="R4788" s="86"/>
      <c r="S4788" s="40"/>
      <c r="T4788" s="45"/>
      <c r="U4788" s="40"/>
      <c r="V4788" s="45"/>
      <c r="W4788" s="45"/>
      <c r="X4788" s="40"/>
      <c r="Y4788" s="45"/>
      <c r="Z4788" s="45"/>
    </row>
    <row r="4789" spans="17:26" x14ac:dyDescent="0.25">
      <c r="Q4789" s="44"/>
      <c r="R4789" s="40"/>
      <c r="S4789" s="9"/>
      <c r="T4789" s="44"/>
      <c r="U4789" s="45"/>
      <c r="V4789" s="44"/>
      <c r="W4789" s="44"/>
      <c r="X4789" s="45"/>
      <c r="Y4789" s="44"/>
      <c r="Z4789" s="44"/>
    </row>
    <row r="4790" spans="17:26" ht="13" x14ac:dyDescent="0.3">
      <c r="Q4790" s="44"/>
      <c r="R4790" s="86"/>
      <c r="S4790" s="41"/>
      <c r="T4790" s="41"/>
      <c r="U4790" s="40"/>
      <c r="V4790" s="41"/>
      <c r="W4790" s="41"/>
      <c r="X4790" s="40"/>
      <c r="Y4790" s="41"/>
      <c r="Z4790" s="41"/>
    </row>
    <row r="4791" spans="17:26" ht="13" x14ac:dyDescent="0.25">
      <c r="Q4791" s="44"/>
      <c r="R4791" s="40"/>
      <c r="S4791" s="41"/>
      <c r="T4791" s="41"/>
      <c r="U4791" s="45"/>
      <c r="V4791" s="41"/>
      <c r="W4791" s="41"/>
      <c r="X4791" s="45"/>
      <c r="Y4791" s="41"/>
      <c r="Z4791" s="41"/>
    </row>
    <row r="4792" spans="17:26" ht="14.5" x14ac:dyDescent="0.35">
      <c r="Q4792" s="44"/>
      <c r="R4792" s="40"/>
      <c r="S4792" s="9"/>
      <c r="T4792" s="44"/>
      <c r="U4792" s="86"/>
      <c r="V4792" s="44"/>
      <c r="W4792" s="44"/>
      <c r="X4792" s="43"/>
      <c r="Y4792" s="44"/>
      <c r="Z4792" s="44"/>
    </row>
    <row r="4793" spans="17:26" x14ac:dyDescent="0.25">
      <c r="Q4793" s="44"/>
      <c r="R4793" s="40"/>
      <c r="S4793" s="44"/>
      <c r="T4793" s="44"/>
      <c r="U4793" s="45"/>
      <c r="V4793" s="44"/>
      <c r="W4793" s="44"/>
      <c r="X4793" s="45"/>
      <c r="Y4793" s="44"/>
      <c r="Z4793" s="44"/>
    </row>
    <row r="4794" spans="17:26" x14ac:dyDescent="0.25">
      <c r="Q4794" s="44"/>
      <c r="R4794" s="40"/>
      <c r="S4794" s="42"/>
      <c r="T4794" s="40"/>
      <c r="U4794" s="44"/>
      <c r="V4794" s="42"/>
      <c r="W4794" s="78"/>
      <c r="X4794" s="44"/>
      <c r="Y4794" s="42"/>
      <c r="Z4794" s="78"/>
    </row>
    <row r="4795" spans="17:26" ht="14.5" x14ac:dyDescent="0.35">
      <c r="Q4795" s="44"/>
      <c r="R4795" s="43"/>
      <c r="S4795" s="9"/>
      <c r="T4795" s="44"/>
      <c r="U4795" s="11"/>
      <c r="V4795" s="11"/>
      <c r="W4795" s="11"/>
      <c r="X4795" s="11"/>
      <c r="Y4795" s="11"/>
      <c r="Z4795" s="11"/>
    </row>
    <row r="4796" spans="17:26" ht="13" x14ac:dyDescent="0.25">
      <c r="Q4796" s="44"/>
      <c r="R4796" s="40"/>
      <c r="S4796" s="41"/>
      <c r="T4796" s="41"/>
      <c r="U4796" s="45"/>
      <c r="V4796" s="41"/>
      <c r="W4796" s="41"/>
      <c r="X4796" s="45"/>
      <c r="Y4796" s="41"/>
      <c r="Z4796" s="41"/>
    </row>
    <row r="4797" spans="17:26" ht="13" x14ac:dyDescent="0.25">
      <c r="Q4797" s="44"/>
      <c r="R4797" s="42"/>
      <c r="S4797" s="41"/>
      <c r="T4797" s="41"/>
      <c r="U4797" s="44"/>
      <c r="V4797" s="41"/>
      <c r="W4797" s="41"/>
      <c r="X4797" s="44"/>
      <c r="Y4797" s="41"/>
      <c r="Z4797" s="41"/>
    </row>
    <row r="4798" spans="17:26" ht="13" x14ac:dyDescent="0.3">
      <c r="Q4798" s="44"/>
      <c r="R4798" s="86"/>
      <c r="S4798" s="9"/>
      <c r="T4798" s="44"/>
      <c r="U4798" s="40"/>
      <c r="V4798" s="44"/>
      <c r="W4798" s="44"/>
      <c r="X4798" s="40"/>
      <c r="Y4798" s="44"/>
      <c r="Z4798" s="44"/>
    </row>
    <row r="4799" spans="17:26" ht="13" x14ac:dyDescent="0.3">
      <c r="Q4799" s="44"/>
      <c r="R4799" s="86"/>
      <c r="S4799" s="40"/>
      <c r="T4799" s="45"/>
      <c r="U4799" s="40"/>
      <c r="V4799" s="45"/>
      <c r="W4799" s="45"/>
      <c r="X4799" s="40"/>
      <c r="Y4799" s="45"/>
      <c r="Z4799" s="45"/>
    </row>
    <row r="4800" spans="17:26" x14ac:dyDescent="0.25">
      <c r="Q4800" s="44"/>
      <c r="R4800" s="40"/>
      <c r="S4800" s="9"/>
      <c r="T4800" s="44"/>
      <c r="U4800" s="45"/>
      <c r="V4800" s="44"/>
      <c r="W4800" s="44"/>
      <c r="X4800" s="45"/>
      <c r="Y4800" s="44"/>
      <c r="Z4800" s="44"/>
    </row>
    <row r="4801" spans="17:26" ht="13" x14ac:dyDescent="0.3">
      <c r="Q4801" s="44"/>
      <c r="R4801" s="86"/>
      <c r="S4801" s="41"/>
      <c r="T4801" s="41"/>
      <c r="U4801" s="40"/>
      <c r="V4801" s="41"/>
      <c r="W4801" s="41"/>
      <c r="X4801" s="40"/>
      <c r="Y4801" s="41"/>
      <c r="Z4801" s="41"/>
    </row>
    <row r="4802" spans="17:26" ht="13" x14ac:dyDescent="0.25">
      <c r="Q4802" s="44"/>
      <c r="R4802" s="40"/>
      <c r="S4802" s="41"/>
      <c r="T4802" s="41"/>
      <c r="U4802" s="45"/>
      <c r="V4802" s="41"/>
      <c r="W4802" s="41"/>
      <c r="X4802" s="45"/>
      <c r="Y4802" s="41"/>
      <c r="Z4802" s="41"/>
    </row>
    <row r="4803" spans="17:26" ht="14.5" x14ac:dyDescent="0.35">
      <c r="Q4803" s="44"/>
      <c r="R4803" s="40"/>
      <c r="S4803" s="9"/>
      <c r="T4803" s="44"/>
      <c r="U4803" s="86"/>
      <c r="V4803" s="44"/>
      <c r="W4803" s="44"/>
      <c r="X4803" s="43"/>
      <c r="Y4803" s="44"/>
      <c r="Z4803" s="44"/>
    </row>
    <row r="4804" spans="17:26" x14ac:dyDescent="0.25">
      <c r="Q4804" s="44"/>
      <c r="R4804" s="40"/>
      <c r="S4804" s="44"/>
      <c r="T4804" s="44"/>
      <c r="U4804" s="45"/>
      <c r="V4804" s="44"/>
      <c r="W4804" s="44"/>
      <c r="X4804" s="45"/>
      <c r="Y4804" s="44"/>
      <c r="Z4804" s="44"/>
    </row>
    <row r="4805" spans="17:26" x14ac:dyDescent="0.25">
      <c r="Q4805" s="44"/>
      <c r="R4805" s="40"/>
      <c r="S4805" s="42"/>
      <c r="T4805" s="40"/>
      <c r="U4805" s="44"/>
      <c r="V4805" s="42"/>
      <c r="W4805" s="78"/>
      <c r="X4805" s="44"/>
      <c r="Y4805" s="42"/>
      <c r="Z4805" s="78"/>
    </row>
    <row r="4806" spans="17:26" ht="14.5" x14ac:dyDescent="0.35">
      <c r="Q4806" s="44"/>
      <c r="R4806" s="43"/>
      <c r="S4806" s="41"/>
      <c r="T4806" s="41"/>
      <c r="U4806" s="11"/>
      <c r="V4806" s="11"/>
      <c r="W4806" s="11"/>
      <c r="X4806" s="11"/>
      <c r="Y4806" s="11"/>
      <c r="Z4806" s="11"/>
    </row>
    <row r="4807" spans="17:26" ht="13" x14ac:dyDescent="0.25">
      <c r="Q4807" s="44"/>
      <c r="R4807" s="40"/>
      <c r="S4807" s="41"/>
      <c r="T4807" s="41"/>
      <c r="U4807" s="45"/>
      <c r="V4807" s="41"/>
      <c r="W4807" s="41"/>
      <c r="X4807" s="45"/>
      <c r="Y4807" s="41"/>
      <c r="Z4807" s="41"/>
    </row>
    <row r="4808" spans="17:26" ht="13" x14ac:dyDescent="0.25">
      <c r="Q4808" s="44"/>
      <c r="R4808" s="42"/>
      <c r="S4808" s="41"/>
      <c r="T4808" s="41"/>
      <c r="U4808" s="44"/>
      <c r="V4808" s="41"/>
      <c r="W4808" s="41"/>
      <c r="X4808" s="44"/>
      <c r="Y4808" s="41"/>
      <c r="Z4808" s="41"/>
    </row>
    <row r="4809" spans="17:26" ht="13" x14ac:dyDescent="0.3">
      <c r="Q4809" s="44"/>
      <c r="R4809" s="86"/>
      <c r="S4809" s="9"/>
      <c r="T4809" s="44"/>
      <c r="U4809" s="40"/>
      <c r="V4809" s="44"/>
      <c r="W4809" s="44"/>
      <c r="X4809" s="40"/>
      <c r="Y4809" s="44"/>
      <c r="Z4809" s="44"/>
    </row>
    <row r="4810" spans="17:26" ht="13" x14ac:dyDescent="0.3">
      <c r="Q4810" s="44"/>
      <c r="R4810" s="86"/>
      <c r="S4810" s="40"/>
      <c r="T4810" s="45"/>
      <c r="U4810" s="40"/>
      <c r="V4810" s="45"/>
      <c r="W4810" s="45"/>
      <c r="X4810" s="40"/>
      <c r="Y4810" s="45"/>
      <c r="Z4810" s="45"/>
    </row>
    <row r="4811" spans="17:26" x14ac:dyDescent="0.25">
      <c r="Q4811" s="44"/>
      <c r="R4811" s="40"/>
      <c r="S4811" s="9"/>
      <c r="T4811" s="44"/>
      <c r="U4811" s="45"/>
      <c r="V4811" s="44"/>
      <c r="W4811" s="44"/>
      <c r="X4811" s="45"/>
      <c r="Y4811" s="44"/>
      <c r="Z4811" s="44"/>
    </row>
    <row r="4812" spans="17:26" ht="13" x14ac:dyDescent="0.3">
      <c r="Q4812" s="44"/>
      <c r="R4812" s="86"/>
      <c r="S4812" s="41"/>
      <c r="T4812" s="41"/>
      <c r="U4812" s="40"/>
      <c r="V4812" s="41"/>
      <c r="W4812" s="41"/>
      <c r="X4812" s="40"/>
      <c r="Y4812" s="41"/>
      <c r="Z4812" s="41"/>
    </row>
    <row r="4813" spans="17:26" ht="13" x14ac:dyDescent="0.25">
      <c r="Q4813" s="44"/>
      <c r="R4813" s="40"/>
      <c r="S4813" s="41"/>
      <c r="T4813" s="41"/>
      <c r="U4813" s="45"/>
      <c r="V4813" s="41"/>
      <c r="W4813" s="41"/>
      <c r="X4813" s="45"/>
      <c r="Y4813" s="41"/>
      <c r="Z4813" s="41"/>
    </row>
    <row r="4814" spans="17:26" ht="14.5" x14ac:dyDescent="0.35">
      <c r="Q4814" s="44"/>
      <c r="R4814" s="40"/>
      <c r="S4814" s="9"/>
      <c r="T4814" s="44"/>
      <c r="U4814" s="86"/>
      <c r="V4814" s="44"/>
      <c r="W4814" s="44"/>
      <c r="X4814" s="43"/>
      <c r="Y4814" s="44"/>
      <c r="Z4814" s="44"/>
    </row>
    <row r="4815" spans="17:26" x14ac:dyDescent="0.25">
      <c r="Q4815" s="44"/>
      <c r="R4815" s="40"/>
      <c r="S4815" s="44"/>
      <c r="T4815" s="44"/>
      <c r="U4815" s="45"/>
      <c r="V4815" s="44"/>
      <c r="W4815" s="44"/>
      <c r="X4815" s="45"/>
      <c r="Y4815" s="44"/>
      <c r="Z4815" s="44"/>
    </row>
    <row r="4816" spans="17:26" x14ac:dyDescent="0.25">
      <c r="Q4816" s="44"/>
      <c r="R4816" s="40"/>
      <c r="S4816" s="42"/>
      <c r="T4816" s="40"/>
      <c r="U4816" s="44"/>
      <c r="V4816" s="42"/>
      <c r="W4816" s="78"/>
      <c r="X4816" s="44"/>
      <c r="Y4816" s="42"/>
      <c r="Z4816" s="78"/>
    </row>
    <row r="4817" spans="17:26" ht="14.5" x14ac:dyDescent="0.35">
      <c r="Q4817" s="44"/>
      <c r="R4817" s="43"/>
      <c r="S4817" s="9"/>
      <c r="T4817" s="44"/>
      <c r="U4817" s="11"/>
      <c r="V4817" s="11"/>
      <c r="W4817" s="11"/>
      <c r="X4817" s="11"/>
      <c r="Y4817" s="11"/>
      <c r="Z4817" s="11"/>
    </row>
    <row r="4818" spans="17:26" ht="13" x14ac:dyDescent="0.25">
      <c r="Q4818" s="44"/>
      <c r="R4818" s="40"/>
      <c r="S4818" s="41"/>
      <c r="T4818" s="41"/>
      <c r="U4818" s="45"/>
      <c r="V4818" s="41"/>
      <c r="W4818" s="41"/>
      <c r="X4818" s="45"/>
      <c r="Y4818" s="41"/>
      <c r="Z4818" s="41"/>
    </row>
    <row r="4819" spans="17:26" ht="13" x14ac:dyDescent="0.25">
      <c r="Q4819" s="44"/>
      <c r="R4819" s="42"/>
      <c r="S4819" s="41"/>
      <c r="T4819" s="41"/>
      <c r="U4819" s="44"/>
      <c r="V4819" s="41"/>
      <c r="W4819" s="41"/>
      <c r="X4819" s="44"/>
      <c r="Y4819" s="41"/>
      <c r="Z4819" s="41"/>
    </row>
    <row r="4820" spans="17:26" ht="13" x14ac:dyDescent="0.3">
      <c r="Q4820" s="44"/>
      <c r="R4820" s="86"/>
      <c r="S4820" s="9"/>
      <c r="T4820" s="44"/>
      <c r="U4820" s="40"/>
      <c r="V4820" s="44"/>
      <c r="W4820" s="44"/>
      <c r="X4820" s="40"/>
      <c r="Y4820" s="44"/>
      <c r="Z4820" s="44"/>
    </row>
    <row r="4821" spans="17:26" ht="13" x14ac:dyDescent="0.3">
      <c r="Q4821" s="44"/>
      <c r="R4821" s="86"/>
      <c r="S4821" s="40"/>
      <c r="T4821" s="45"/>
      <c r="U4821" s="40"/>
      <c r="V4821" s="45"/>
      <c r="W4821" s="45"/>
      <c r="X4821" s="40"/>
      <c r="Y4821" s="45"/>
      <c r="Z4821" s="45"/>
    </row>
    <row r="4822" spans="17:26" x14ac:dyDescent="0.25">
      <c r="Q4822" s="44"/>
      <c r="R4822" s="40"/>
      <c r="S4822" s="9"/>
      <c r="T4822" s="44"/>
      <c r="U4822" s="45"/>
      <c r="V4822" s="44"/>
      <c r="W4822" s="44"/>
      <c r="X4822" s="45"/>
      <c r="Y4822" s="44"/>
      <c r="Z4822" s="44"/>
    </row>
    <row r="4823" spans="17:26" ht="13" x14ac:dyDescent="0.3">
      <c r="Q4823" s="44"/>
      <c r="R4823" s="86"/>
      <c r="S4823" s="41"/>
      <c r="T4823" s="41"/>
      <c r="U4823" s="40"/>
      <c r="V4823" s="41"/>
      <c r="W4823" s="41"/>
      <c r="X4823" s="40"/>
      <c r="Y4823" s="41"/>
      <c r="Z4823" s="41"/>
    </row>
    <row r="4824" spans="17:26" ht="13" x14ac:dyDescent="0.25">
      <c r="Q4824" s="44"/>
      <c r="R4824" s="40"/>
      <c r="S4824" s="41"/>
      <c r="T4824" s="41"/>
      <c r="U4824" s="45"/>
      <c r="V4824" s="41"/>
      <c r="W4824" s="41"/>
      <c r="X4824" s="45"/>
      <c r="Y4824" s="41"/>
      <c r="Z4824" s="41"/>
    </row>
    <row r="4825" spans="17:26" ht="14.5" x14ac:dyDescent="0.35">
      <c r="Q4825" s="44"/>
      <c r="R4825" s="40"/>
      <c r="S4825" s="9"/>
      <c r="T4825" s="44"/>
      <c r="U4825" s="86"/>
      <c r="V4825" s="44"/>
      <c r="W4825" s="44"/>
      <c r="X4825" s="43"/>
      <c r="Y4825" s="44"/>
      <c r="Z4825" s="44"/>
    </row>
    <row r="4826" spans="17:26" x14ac:dyDescent="0.25">
      <c r="Q4826" s="44"/>
      <c r="R4826" s="40"/>
      <c r="S4826" s="44"/>
      <c r="T4826" s="44"/>
      <c r="U4826" s="45"/>
      <c r="V4826" s="44"/>
      <c r="W4826" s="44"/>
      <c r="X4826" s="45"/>
      <c r="Y4826" s="44"/>
      <c r="Z4826" s="44"/>
    </row>
    <row r="4827" spans="17:26" x14ac:dyDescent="0.25">
      <c r="Q4827" s="44"/>
      <c r="R4827" s="40"/>
      <c r="S4827" s="42"/>
      <c r="T4827" s="40"/>
      <c r="U4827" s="44"/>
      <c r="V4827" s="42"/>
      <c r="W4827" s="78"/>
      <c r="X4827" s="44"/>
      <c r="Y4827" s="42"/>
      <c r="Z4827" s="78"/>
    </row>
    <row r="4828" spans="17:26" ht="14.5" x14ac:dyDescent="0.35">
      <c r="Q4828" s="44"/>
      <c r="R4828" s="43"/>
      <c r="S4828" s="44"/>
      <c r="T4828" s="44"/>
      <c r="U4828" s="11"/>
      <c r="V4828" s="11"/>
      <c r="W4828" s="11"/>
      <c r="X4828" s="11"/>
      <c r="Y4828" s="11"/>
      <c r="Z4828" s="11"/>
    </row>
    <row r="4829" spans="17:26" ht="13" x14ac:dyDescent="0.25">
      <c r="Q4829" s="44"/>
      <c r="R4829" s="40"/>
      <c r="S4829" s="44"/>
      <c r="T4829" s="44"/>
      <c r="U4829" s="45"/>
      <c r="V4829" s="41"/>
      <c r="W4829" s="41"/>
      <c r="X4829" s="45"/>
      <c r="Y4829" s="41"/>
      <c r="Z4829" s="41"/>
    </row>
    <row r="4830" spans="17:26" ht="13" x14ac:dyDescent="0.25">
      <c r="Q4830" s="44"/>
      <c r="R4830" s="42"/>
      <c r="S4830" s="44"/>
      <c r="T4830" s="44"/>
      <c r="U4830" s="44"/>
      <c r="V4830" s="41"/>
      <c r="W4830" s="41"/>
      <c r="X4830" s="44"/>
      <c r="Y4830" s="41"/>
      <c r="Z4830" s="41"/>
    </row>
    <row r="4831" spans="17:26" ht="13" x14ac:dyDescent="0.3">
      <c r="Q4831" s="44"/>
      <c r="R4831" s="86"/>
      <c r="S4831" s="44"/>
      <c r="T4831" s="44"/>
      <c r="U4831" s="40"/>
      <c r="V4831" s="44"/>
      <c r="W4831" s="44"/>
      <c r="X4831" s="40"/>
      <c r="Y4831" s="44"/>
      <c r="Z4831" s="44"/>
    </row>
    <row r="4832" spans="17:26" ht="13" x14ac:dyDescent="0.3">
      <c r="Q4832" s="44"/>
      <c r="R4832" s="86"/>
      <c r="S4832" s="44"/>
      <c r="T4832" s="44"/>
      <c r="U4832" s="40"/>
      <c r="V4832" s="45"/>
      <c r="W4832" s="45"/>
      <c r="X4832" s="40"/>
      <c r="Y4832" s="45"/>
      <c r="Z4832" s="45"/>
    </row>
    <row r="4833" spans="17:26" x14ac:dyDescent="0.25">
      <c r="Q4833" s="44"/>
      <c r="R4833" s="40"/>
      <c r="S4833" s="44"/>
      <c r="T4833" s="44"/>
      <c r="U4833" s="45"/>
      <c r="V4833" s="44"/>
      <c r="W4833" s="44"/>
      <c r="X4833" s="45"/>
      <c r="Y4833" s="44"/>
      <c r="Z4833" s="44"/>
    </row>
    <row r="4834" spans="17:26" ht="13" x14ac:dyDescent="0.3">
      <c r="Q4834" s="44"/>
      <c r="R4834" s="86"/>
      <c r="S4834" s="44"/>
      <c r="T4834" s="44"/>
      <c r="U4834" s="40"/>
      <c r="V4834" s="41"/>
      <c r="W4834" s="41"/>
      <c r="X4834" s="40"/>
      <c r="Y4834" s="41"/>
      <c r="Z4834" s="41"/>
    </row>
    <row r="4835" spans="17:26" ht="13" x14ac:dyDescent="0.25">
      <c r="Q4835" s="44"/>
      <c r="R4835" s="40"/>
      <c r="S4835" s="44"/>
      <c r="T4835" s="44"/>
      <c r="U4835" s="45"/>
      <c r="V4835" s="41"/>
      <c r="W4835" s="41"/>
      <c r="X4835" s="45"/>
      <c r="Y4835" s="41"/>
      <c r="Z4835" s="41"/>
    </row>
    <row r="4836" spans="17:26" ht="14.5" x14ac:dyDescent="0.35">
      <c r="Q4836" s="44"/>
      <c r="R4836" s="40"/>
      <c r="S4836" s="44"/>
      <c r="T4836" s="44"/>
      <c r="U4836" s="86"/>
      <c r="V4836" s="44"/>
      <c r="W4836" s="44"/>
      <c r="X4836" s="43"/>
      <c r="Y4836" s="44"/>
      <c r="Z4836" s="44"/>
    </row>
    <row r="4837" spans="17:26" x14ac:dyDescent="0.25">
      <c r="Q4837" s="44"/>
      <c r="R4837" s="40"/>
      <c r="S4837" s="44"/>
      <c r="T4837" s="44"/>
      <c r="U4837" s="45"/>
      <c r="V4837" s="44"/>
      <c r="W4837" s="44"/>
      <c r="X4837" s="45"/>
      <c r="Y4837" s="44"/>
      <c r="Z4837" s="44"/>
    </row>
    <row r="4838" spans="17:26" x14ac:dyDescent="0.25">
      <c r="Q4838" s="44"/>
      <c r="R4838" s="40"/>
      <c r="S4838" s="44"/>
      <c r="T4838" s="44"/>
      <c r="U4838" s="44"/>
      <c r="V4838" s="42"/>
      <c r="W4838" s="78"/>
      <c r="X4838" s="44"/>
      <c r="Y4838" s="42"/>
      <c r="Z4838" s="78"/>
    </row>
    <row r="4839" spans="17:26" ht="14.5" x14ac:dyDescent="0.35">
      <c r="Q4839" s="44"/>
      <c r="R4839" s="43"/>
      <c r="S4839" s="44"/>
      <c r="T4839" s="44"/>
      <c r="U4839" s="11"/>
      <c r="V4839" s="11"/>
      <c r="W4839" s="11"/>
      <c r="X4839" s="11"/>
      <c r="Y4839" s="11"/>
      <c r="Z4839" s="11"/>
    </row>
    <row r="4840" spans="17:26" ht="13" x14ac:dyDescent="0.25">
      <c r="Q4840" s="44"/>
      <c r="R4840" s="40"/>
      <c r="S4840" s="44"/>
      <c r="T4840" s="44"/>
      <c r="U4840" s="45"/>
      <c r="V4840" s="41"/>
      <c r="W4840" s="41"/>
      <c r="X4840" s="45"/>
      <c r="Y4840" s="41"/>
      <c r="Z4840" s="41"/>
    </row>
    <row r="4841" spans="17:26" ht="13" x14ac:dyDescent="0.25">
      <c r="Q4841" s="44"/>
      <c r="R4841" s="42"/>
      <c r="S4841" s="44"/>
      <c r="T4841" s="44"/>
      <c r="U4841" s="44"/>
      <c r="V4841" s="41"/>
      <c r="W4841" s="41"/>
      <c r="X4841" s="44"/>
      <c r="Y4841" s="41"/>
      <c r="Z4841" s="41"/>
    </row>
    <row r="4842" spans="17:26" ht="13" x14ac:dyDescent="0.3">
      <c r="Q4842" s="44"/>
      <c r="R4842" s="86"/>
      <c r="S4842" s="44"/>
      <c r="T4842" s="44"/>
      <c r="U4842" s="40"/>
      <c r="V4842" s="44"/>
      <c r="W4842" s="44"/>
      <c r="X4842" s="40"/>
      <c r="Y4842" s="44"/>
      <c r="Z4842" s="44"/>
    </row>
    <row r="4843" spans="17:26" ht="13" x14ac:dyDescent="0.3">
      <c r="Q4843" s="44"/>
      <c r="R4843" s="86"/>
      <c r="S4843" s="44"/>
      <c r="T4843" s="44"/>
      <c r="U4843" s="40"/>
      <c r="V4843" s="45"/>
      <c r="W4843" s="45"/>
      <c r="X4843" s="40"/>
      <c r="Y4843" s="45"/>
      <c r="Z4843" s="45"/>
    </row>
    <row r="4844" spans="17:26" x14ac:dyDescent="0.25">
      <c r="Q4844" s="44"/>
      <c r="R4844" s="40"/>
      <c r="S4844" s="44"/>
      <c r="T4844" s="44"/>
      <c r="U4844" s="45"/>
      <c r="V4844" s="44"/>
      <c r="W4844" s="44"/>
      <c r="X4844" s="45"/>
      <c r="Y4844" s="44"/>
      <c r="Z4844" s="44"/>
    </row>
    <row r="4845" spans="17:26" ht="13" x14ac:dyDescent="0.3">
      <c r="Q4845" s="44"/>
      <c r="R4845" s="86"/>
      <c r="S4845" s="44"/>
      <c r="T4845" s="44"/>
      <c r="U4845" s="40"/>
      <c r="V4845" s="41"/>
      <c r="W4845" s="41"/>
      <c r="X4845" s="40"/>
      <c r="Y4845" s="41"/>
      <c r="Z4845" s="41"/>
    </row>
    <row r="4846" spans="17:26" ht="13" x14ac:dyDescent="0.25">
      <c r="Q4846" s="44"/>
      <c r="R4846" s="40"/>
      <c r="S4846" s="44"/>
      <c r="T4846" s="44"/>
      <c r="U4846" s="45"/>
      <c r="V4846" s="41"/>
      <c r="W4846" s="41"/>
      <c r="X4846" s="45"/>
      <c r="Y4846" s="41"/>
      <c r="Z4846" s="41"/>
    </row>
    <row r="4847" spans="17:26" ht="14.5" x14ac:dyDescent="0.35">
      <c r="Q4847" s="44"/>
      <c r="R4847" s="40"/>
      <c r="S4847" s="44"/>
      <c r="T4847" s="44"/>
      <c r="U4847" s="86"/>
      <c r="V4847" s="44"/>
      <c r="W4847" s="44"/>
      <c r="X4847" s="43"/>
      <c r="Y4847" s="44"/>
      <c r="Z4847" s="44"/>
    </row>
    <row r="4848" spans="17:26" x14ac:dyDescent="0.25">
      <c r="Q4848" s="44"/>
      <c r="R4848" s="40"/>
      <c r="S4848" s="44"/>
      <c r="T4848" s="44"/>
      <c r="U4848" s="45"/>
      <c r="V4848" s="44"/>
      <c r="W4848" s="44"/>
      <c r="X4848" s="45"/>
      <c r="Y4848" s="44"/>
      <c r="Z4848" s="44"/>
    </row>
    <row r="4849" spans="17:26" x14ac:dyDescent="0.25">
      <c r="Q4849" s="44"/>
      <c r="R4849" s="40"/>
      <c r="S4849" s="44"/>
      <c r="T4849" s="44"/>
      <c r="U4849" s="44"/>
      <c r="V4849" s="42"/>
      <c r="W4849" s="78"/>
      <c r="X4849" s="44"/>
      <c r="Y4849" s="42"/>
      <c r="Z4849" s="78"/>
    </row>
    <row r="4850" spans="17:26" ht="14.5" x14ac:dyDescent="0.35">
      <c r="Q4850" s="44"/>
      <c r="R4850" s="43"/>
      <c r="S4850" s="44"/>
      <c r="T4850" s="44"/>
      <c r="U4850" s="11"/>
      <c r="V4850" s="11"/>
      <c r="W4850" s="11"/>
      <c r="X4850" s="11"/>
      <c r="Y4850" s="11"/>
      <c r="Z4850" s="11"/>
    </row>
    <row r="4851" spans="17:26" ht="13" x14ac:dyDescent="0.25">
      <c r="Q4851" s="44"/>
      <c r="R4851" s="40"/>
      <c r="S4851" s="44"/>
      <c r="T4851" s="44"/>
      <c r="U4851" s="45"/>
      <c r="V4851" s="41"/>
      <c r="W4851" s="41"/>
      <c r="X4851" s="45"/>
      <c r="Y4851" s="41"/>
      <c r="Z4851" s="41"/>
    </row>
    <row r="4852" spans="17:26" ht="13" x14ac:dyDescent="0.25">
      <c r="Q4852" s="44"/>
      <c r="R4852" s="42"/>
      <c r="S4852" s="44"/>
      <c r="T4852" s="44"/>
      <c r="U4852" s="44"/>
      <c r="V4852" s="41"/>
      <c r="W4852" s="41"/>
      <c r="X4852" s="44"/>
      <c r="Y4852" s="41"/>
      <c r="Z4852" s="41"/>
    </row>
    <row r="4853" spans="17:26" ht="13" x14ac:dyDescent="0.3">
      <c r="Q4853" s="44"/>
      <c r="R4853" s="86"/>
      <c r="S4853" s="44"/>
      <c r="T4853" s="44"/>
      <c r="U4853" s="40"/>
      <c r="V4853" s="44"/>
      <c r="W4853" s="44"/>
      <c r="X4853" s="40"/>
      <c r="Y4853" s="44"/>
      <c r="Z4853" s="44"/>
    </row>
    <row r="4854" spans="17:26" ht="13" x14ac:dyDescent="0.3">
      <c r="Q4854" s="44"/>
      <c r="R4854" s="86"/>
      <c r="S4854" s="44"/>
      <c r="T4854" s="44"/>
      <c r="U4854" s="40"/>
      <c r="V4854" s="45"/>
      <c r="W4854" s="45"/>
      <c r="X4854" s="40"/>
      <c r="Y4854" s="45"/>
      <c r="Z4854" s="45"/>
    </row>
    <row r="4855" spans="17:26" x14ac:dyDescent="0.25">
      <c r="Q4855" s="44"/>
      <c r="R4855" s="40"/>
      <c r="S4855" s="44"/>
      <c r="T4855" s="44"/>
      <c r="U4855" s="45"/>
      <c r="V4855" s="44"/>
      <c r="W4855" s="44"/>
      <c r="X4855" s="45"/>
      <c r="Y4855" s="44"/>
      <c r="Z4855" s="44"/>
    </row>
    <row r="4856" spans="17:26" ht="13" x14ac:dyDescent="0.3">
      <c r="Q4856" s="44"/>
      <c r="R4856" s="86"/>
      <c r="S4856" s="44"/>
      <c r="T4856" s="44"/>
      <c r="U4856" s="40"/>
      <c r="V4856" s="41"/>
      <c r="W4856" s="41"/>
      <c r="X4856" s="40"/>
      <c r="Y4856" s="41"/>
      <c r="Z4856" s="41"/>
    </row>
    <row r="4857" spans="17:26" ht="13" x14ac:dyDescent="0.25">
      <c r="Q4857" s="44"/>
      <c r="R4857" s="40"/>
      <c r="S4857" s="44"/>
      <c r="T4857" s="44"/>
      <c r="U4857" s="45"/>
      <c r="V4857" s="41"/>
      <c r="W4857" s="41"/>
      <c r="X4857" s="45"/>
      <c r="Y4857" s="41"/>
      <c r="Z4857" s="41"/>
    </row>
    <row r="4858" spans="17:26" ht="14.5" x14ac:dyDescent="0.35">
      <c r="Q4858" s="44"/>
      <c r="R4858" s="40"/>
      <c r="S4858" s="44"/>
      <c r="T4858" s="44"/>
      <c r="U4858" s="86"/>
      <c r="V4858" s="44"/>
      <c r="W4858" s="44"/>
      <c r="X4858" s="43"/>
      <c r="Y4858" s="44"/>
      <c r="Z4858" s="44"/>
    </row>
    <row r="4859" spans="17:26" x14ac:dyDescent="0.25">
      <c r="Q4859" s="44"/>
      <c r="R4859" s="40"/>
      <c r="S4859" s="44"/>
      <c r="T4859" s="44"/>
      <c r="U4859" s="45"/>
      <c r="V4859" s="44"/>
      <c r="W4859" s="44"/>
      <c r="X4859" s="45"/>
      <c r="Y4859" s="44"/>
      <c r="Z4859" s="44"/>
    </row>
    <row r="4860" spans="17:26" x14ac:dyDescent="0.25">
      <c r="Q4860" s="44"/>
      <c r="R4860" s="40"/>
      <c r="S4860" s="44"/>
      <c r="T4860" s="44"/>
      <c r="U4860" s="44"/>
      <c r="V4860" s="42"/>
      <c r="W4860" s="78"/>
      <c r="X4860" s="44"/>
      <c r="Y4860" s="42"/>
      <c r="Z4860" s="78"/>
    </row>
    <row r="4861" spans="17:26" ht="14.5" x14ac:dyDescent="0.35">
      <c r="Q4861" s="44"/>
      <c r="R4861" s="43"/>
      <c r="S4861" s="44"/>
      <c r="T4861" s="44"/>
      <c r="U4861" s="11"/>
      <c r="V4861" s="11"/>
      <c r="W4861" s="11"/>
      <c r="X4861" s="11"/>
      <c r="Y4861" s="11"/>
      <c r="Z4861" s="11"/>
    </row>
    <row r="4862" spans="17:26" ht="13" x14ac:dyDescent="0.25">
      <c r="Q4862" s="44"/>
      <c r="R4862" s="40"/>
      <c r="S4862" s="44"/>
      <c r="T4862" s="44"/>
      <c r="U4862" s="45"/>
      <c r="V4862" s="41"/>
      <c r="W4862" s="41"/>
      <c r="X4862" s="45"/>
      <c r="Y4862" s="41"/>
      <c r="Z4862" s="41"/>
    </row>
    <row r="4863" spans="17:26" ht="13" x14ac:dyDescent="0.25">
      <c r="Q4863" s="44"/>
      <c r="R4863" s="42"/>
      <c r="S4863" s="44"/>
      <c r="T4863" s="44"/>
      <c r="U4863" s="44"/>
      <c r="V4863" s="41"/>
      <c r="W4863" s="41"/>
      <c r="X4863" s="44"/>
      <c r="Y4863" s="41"/>
      <c r="Z4863" s="41"/>
    </row>
    <row r="4864" spans="17:26" ht="13" x14ac:dyDescent="0.3">
      <c r="Q4864" s="44"/>
      <c r="R4864" s="86"/>
      <c r="S4864" s="44"/>
      <c r="T4864" s="44"/>
      <c r="U4864" s="40"/>
      <c r="V4864" s="44"/>
      <c r="W4864" s="44"/>
      <c r="X4864" s="40"/>
      <c r="Y4864" s="44"/>
      <c r="Z4864" s="44"/>
    </row>
    <row r="4865" spans="17:26" ht="13" x14ac:dyDescent="0.3">
      <c r="Q4865" s="44"/>
      <c r="R4865" s="86"/>
      <c r="S4865" s="44"/>
      <c r="T4865" s="44"/>
      <c r="U4865" s="40"/>
      <c r="V4865" s="45"/>
      <c r="W4865" s="45"/>
      <c r="X4865" s="40"/>
      <c r="Y4865" s="45"/>
      <c r="Z4865" s="45"/>
    </row>
    <row r="4866" spans="17:26" x14ac:dyDescent="0.25">
      <c r="Q4866" s="44"/>
      <c r="R4866" s="40"/>
      <c r="S4866" s="44"/>
      <c r="T4866" s="44"/>
      <c r="U4866" s="45"/>
      <c r="V4866" s="44"/>
      <c r="W4866" s="44"/>
      <c r="X4866" s="45"/>
      <c r="Y4866" s="44"/>
      <c r="Z4866" s="44"/>
    </row>
    <row r="4867" spans="17:26" ht="13" x14ac:dyDescent="0.3">
      <c r="Q4867" s="44"/>
      <c r="R4867" s="86"/>
      <c r="S4867" s="44"/>
      <c r="T4867" s="44"/>
      <c r="U4867" s="40"/>
      <c r="V4867" s="41"/>
      <c r="W4867" s="41"/>
      <c r="X4867" s="40"/>
      <c r="Y4867" s="41"/>
      <c r="Z4867" s="41"/>
    </row>
    <row r="4868" spans="17:26" ht="13" x14ac:dyDescent="0.25">
      <c r="Q4868" s="44"/>
      <c r="R4868" s="40"/>
      <c r="S4868" s="44"/>
      <c r="T4868" s="44"/>
      <c r="U4868" s="45"/>
      <c r="V4868" s="41"/>
      <c r="W4868" s="41"/>
      <c r="X4868" s="45"/>
      <c r="Y4868" s="41"/>
      <c r="Z4868" s="41"/>
    </row>
    <row r="4869" spans="17:26" ht="14.5" x14ac:dyDescent="0.35">
      <c r="Q4869" s="44"/>
      <c r="R4869" s="40"/>
      <c r="S4869" s="44"/>
      <c r="T4869" s="44"/>
      <c r="U4869" s="86"/>
      <c r="V4869" s="44"/>
      <c r="W4869" s="44"/>
      <c r="X4869" s="43"/>
      <c r="Y4869" s="44"/>
      <c r="Z4869" s="44"/>
    </row>
    <row r="4870" spans="17:26" x14ac:dyDescent="0.25">
      <c r="Q4870" s="44"/>
      <c r="R4870" s="40"/>
      <c r="S4870" s="44"/>
      <c r="T4870" s="44"/>
      <c r="U4870" s="45"/>
      <c r="V4870" s="44"/>
      <c r="W4870" s="44"/>
      <c r="X4870" s="45"/>
      <c r="Y4870" s="44"/>
      <c r="Z4870" s="44"/>
    </row>
    <row r="4871" spans="17:26" x14ac:dyDescent="0.25">
      <c r="Q4871" s="44"/>
      <c r="R4871" s="40"/>
      <c r="S4871" s="44"/>
      <c r="T4871" s="44"/>
      <c r="U4871" s="44"/>
      <c r="V4871" s="42"/>
      <c r="W4871" s="78"/>
      <c r="X4871" s="44"/>
      <c r="Y4871" s="42"/>
      <c r="Z4871" s="78"/>
    </row>
    <row r="4872" spans="17:26" ht="14.5" x14ac:dyDescent="0.35">
      <c r="Q4872" s="44"/>
      <c r="R4872" s="43"/>
      <c r="S4872" s="44"/>
      <c r="T4872" s="44"/>
      <c r="U4872" s="11"/>
      <c r="V4872" s="11"/>
      <c r="W4872" s="11"/>
      <c r="X4872" s="11"/>
      <c r="Y4872" s="11"/>
      <c r="Z4872" s="11"/>
    </row>
    <row r="4873" spans="17:26" ht="13" x14ac:dyDescent="0.25">
      <c r="Q4873" s="44"/>
      <c r="R4873" s="40"/>
      <c r="S4873" s="44"/>
      <c r="T4873" s="44"/>
      <c r="U4873" s="45"/>
      <c r="V4873" s="41"/>
      <c r="W4873" s="41"/>
      <c r="X4873" s="45"/>
      <c r="Y4873" s="41"/>
      <c r="Z4873" s="41"/>
    </row>
    <row r="4874" spans="17:26" ht="13" x14ac:dyDescent="0.25">
      <c r="Q4874" s="44"/>
      <c r="R4874" s="42"/>
      <c r="S4874" s="44"/>
      <c r="T4874" s="44"/>
      <c r="U4874" s="44"/>
      <c r="V4874" s="41"/>
      <c r="W4874" s="41"/>
      <c r="X4874" s="44"/>
      <c r="Y4874" s="41"/>
      <c r="Z4874" s="41"/>
    </row>
    <row r="4875" spans="17:26" ht="13" x14ac:dyDescent="0.3">
      <c r="Q4875" s="44"/>
      <c r="R4875" s="86"/>
      <c r="S4875" s="44"/>
      <c r="T4875" s="44"/>
      <c r="U4875" s="40"/>
      <c r="V4875" s="44"/>
      <c r="W4875" s="44"/>
      <c r="X4875" s="40"/>
      <c r="Y4875" s="44"/>
      <c r="Z4875" s="44"/>
    </row>
    <row r="4876" spans="17:26" ht="13" x14ac:dyDescent="0.3">
      <c r="Q4876" s="44"/>
      <c r="R4876" s="86"/>
      <c r="S4876" s="44"/>
      <c r="T4876" s="44"/>
      <c r="U4876" s="40"/>
      <c r="V4876" s="45"/>
      <c r="W4876" s="45"/>
      <c r="X4876" s="40"/>
      <c r="Y4876" s="45"/>
      <c r="Z4876" s="45"/>
    </row>
    <row r="4877" spans="17:26" x14ac:dyDescent="0.25">
      <c r="Q4877" s="44"/>
      <c r="R4877" s="40"/>
      <c r="S4877" s="44"/>
      <c r="T4877" s="44"/>
      <c r="U4877" s="45"/>
      <c r="V4877" s="44"/>
      <c r="W4877" s="44"/>
      <c r="X4877" s="45"/>
      <c r="Y4877" s="44"/>
      <c r="Z4877" s="44"/>
    </row>
    <row r="4878" spans="17:26" ht="13" x14ac:dyDescent="0.3">
      <c r="Q4878" s="44"/>
      <c r="R4878" s="86"/>
      <c r="S4878" s="44"/>
      <c r="T4878" s="44"/>
      <c r="U4878" s="40"/>
      <c r="V4878" s="41"/>
      <c r="W4878" s="41"/>
      <c r="X4878" s="40"/>
      <c r="Y4878" s="41"/>
      <c r="Z4878" s="41"/>
    </row>
    <row r="4879" spans="17:26" ht="13" x14ac:dyDescent="0.25">
      <c r="Q4879" s="44"/>
      <c r="R4879" s="40"/>
      <c r="S4879" s="44"/>
      <c r="T4879" s="44"/>
      <c r="U4879" s="45"/>
      <c r="V4879" s="41"/>
      <c r="W4879" s="41"/>
      <c r="X4879" s="45"/>
      <c r="Y4879" s="41"/>
      <c r="Z4879" s="41"/>
    </row>
    <row r="4880" spans="17:26" ht="14.5" x14ac:dyDescent="0.35">
      <c r="Q4880" s="44"/>
      <c r="R4880" s="40"/>
      <c r="S4880" s="44"/>
      <c r="T4880" s="44"/>
      <c r="U4880" s="86"/>
      <c r="V4880" s="44"/>
      <c r="W4880" s="44"/>
      <c r="X4880" s="43"/>
      <c r="Y4880" s="44"/>
      <c r="Z4880" s="44"/>
    </row>
    <row r="4881" spans="17:26" x14ac:dyDescent="0.25">
      <c r="Q4881" s="44"/>
      <c r="R4881" s="40"/>
      <c r="S4881" s="44"/>
      <c r="T4881" s="44"/>
      <c r="U4881" s="45"/>
      <c r="V4881" s="44"/>
      <c r="W4881" s="44"/>
      <c r="X4881" s="45"/>
      <c r="Y4881" s="44"/>
      <c r="Z4881" s="44"/>
    </row>
    <row r="4882" spans="17:26" x14ac:dyDescent="0.25">
      <c r="Q4882" s="44"/>
      <c r="R4882" s="40"/>
      <c r="S4882" s="44"/>
      <c r="T4882" s="44"/>
      <c r="U4882" s="44"/>
      <c r="V4882" s="42"/>
      <c r="W4882" s="78"/>
      <c r="X4882" s="44"/>
      <c r="Y4882" s="42"/>
      <c r="Z4882" s="78"/>
    </row>
    <row r="4883" spans="17:26" ht="14.5" x14ac:dyDescent="0.35">
      <c r="Q4883" s="44"/>
      <c r="R4883" s="43"/>
      <c r="S4883" s="44"/>
      <c r="T4883" s="44"/>
      <c r="U4883" s="11"/>
      <c r="V4883" s="11"/>
      <c r="W4883" s="11"/>
      <c r="X4883" s="11"/>
      <c r="Y4883" s="11"/>
      <c r="Z4883" s="11"/>
    </row>
    <row r="4884" spans="17:26" ht="13" x14ac:dyDescent="0.25">
      <c r="Q4884" s="44"/>
      <c r="R4884" s="40"/>
      <c r="S4884" s="44"/>
      <c r="T4884" s="44"/>
      <c r="U4884" s="45"/>
      <c r="V4884" s="41"/>
      <c r="W4884" s="41"/>
      <c r="X4884" s="45"/>
      <c r="Y4884" s="41"/>
      <c r="Z4884" s="41"/>
    </row>
    <row r="4885" spans="17:26" ht="13" x14ac:dyDescent="0.25">
      <c r="Q4885" s="44"/>
      <c r="R4885" s="42"/>
      <c r="S4885" s="44"/>
      <c r="T4885" s="44"/>
      <c r="U4885" s="44"/>
      <c r="V4885" s="41"/>
      <c r="W4885" s="41"/>
      <c r="X4885" s="44"/>
      <c r="Y4885" s="41"/>
      <c r="Z4885" s="41"/>
    </row>
    <row r="4886" spans="17:26" ht="13" x14ac:dyDescent="0.3">
      <c r="Q4886" s="44"/>
      <c r="R4886" s="86"/>
      <c r="S4886" s="44"/>
      <c r="T4886" s="44"/>
      <c r="U4886" s="40"/>
      <c r="V4886" s="44"/>
      <c r="W4886" s="44"/>
      <c r="X4886" s="40"/>
      <c r="Y4886" s="44"/>
      <c r="Z4886" s="44"/>
    </row>
    <row r="4887" spans="17:26" ht="13" x14ac:dyDescent="0.3">
      <c r="Q4887" s="44"/>
      <c r="R4887" s="86"/>
      <c r="S4887" s="44"/>
      <c r="T4887" s="44"/>
      <c r="U4887" s="40"/>
      <c r="V4887" s="45"/>
      <c r="W4887" s="45"/>
      <c r="X4887" s="40"/>
      <c r="Y4887" s="45"/>
      <c r="Z4887" s="45"/>
    </row>
    <row r="4888" spans="17:26" x14ac:dyDescent="0.25">
      <c r="Q4888" s="44"/>
      <c r="R4888" s="40"/>
      <c r="S4888" s="44"/>
      <c r="T4888" s="44"/>
      <c r="U4888" s="45"/>
      <c r="V4888" s="44"/>
      <c r="W4888" s="44"/>
      <c r="X4888" s="45"/>
      <c r="Y4888" s="44"/>
      <c r="Z4888" s="44"/>
    </row>
    <row r="4889" spans="17:26" ht="13" x14ac:dyDescent="0.3">
      <c r="Q4889" s="44"/>
      <c r="R4889" s="86"/>
      <c r="S4889" s="44"/>
      <c r="T4889" s="44"/>
      <c r="U4889" s="40"/>
      <c r="V4889" s="41"/>
      <c r="W4889" s="41"/>
      <c r="X4889" s="40"/>
      <c r="Y4889" s="41"/>
      <c r="Z4889" s="41"/>
    </row>
    <row r="4890" spans="17:26" ht="13" x14ac:dyDescent="0.25">
      <c r="Q4890" s="44"/>
      <c r="R4890" s="40"/>
      <c r="S4890" s="44"/>
      <c r="T4890" s="44"/>
      <c r="U4890" s="45"/>
      <c r="V4890" s="41"/>
      <c r="W4890" s="41"/>
      <c r="X4890" s="45"/>
      <c r="Y4890" s="41"/>
      <c r="Z4890" s="41"/>
    </row>
    <row r="4891" spans="17:26" ht="14.5" x14ac:dyDescent="0.35">
      <c r="Q4891" s="44"/>
      <c r="R4891" s="40"/>
      <c r="S4891" s="44"/>
      <c r="T4891" s="44"/>
      <c r="U4891" s="86"/>
      <c r="V4891" s="44"/>
      <c r="W4891" s="44"/>
      <c r="X4891" s="43"/>
      <c r="Y4891" s="44"/>
      <c r="Z4891" s="44"/>
    </row>
    <row r="4892" spans="17:26" x14ac:dyDescent="0.25">
      <c r="Q4892" s="44"/>
      <c r="R4892" s="40"/>
      <c r="S4892" s="44"/>
      <c r="T4892" s="44"/>
      <c r="U4892" s="45"/>
      <c r="V4892" s="44"/>
      <c r="W4892" s="44"/>
      <c r="X4892" s="45"/>
      <c r="Y4892" s="44"/>
      <c r="Z4892" s="44"/>
    </row>
    <row r="4893" spans="17:26" x14ac:dyDescent="0.25">
      <c r="Q4893" s="44"/>
      <c r="R4893" s="40"/>
      <c r="S4893" s="44"/>
      <c r="T4893" s="44"/>
      <c r="U4893" s="44"/>
      <c r="V4893" s="42"/>
      <c r="W4893" s="78"/>
      <c r="X4893" s="44"/>
      <c r="Y4893" s="42"/>
      <c r="Z4893" s="78"/>
    </row>
    <row r="4894" spans="17:26" ht="14.5" x14ac:dyDescent="0.35">
      <c r="Q4894" s="44"/>
      <c r="R4894" s="43"/>
      <c r="S4894" s="44"/>
      <c r="T4894" s="44"/>
      <c r="U4894" s="11"/>
      <c r="V4894" s="11"/>
      <c r="W4894" s="11"/>
      <c r="X4894" s="11"/>
      <c r="Y4894" s="11"/>
      <c r="Z4894" s="11"/>
    </row>
    <row r="4895" spans="17:26" ht="13" x14ac:dyDescent="0.25">
      <c r="Q4895" s="44"/>
      <c r="R4895" s="40"/>
      <c r="S4895" s="44"/>
      <c r="T4895" s="44"/>
      <c r="U4895" s="16"/>
      <c r="V4895" s="41"/>
      <c r="W4895" s="41"/>
      <c r="X4895" s="45"/>
      <c r="Y4895" s="41"/>
      <c r="Z4895" s="41"/>
    </row>
    <row r="4896" spans="17:26" ht="13" x14ac:dyDescent="0.25">
      <c r="Q4896" s="44"/>
      <c r="R4896" s="42"/>
      <c r="S4896" s="44"/>
      <c r="T4896" s="44"/>
      <c r="U4896" s="11"/>
      <c r="V4896" s="41"/>
      <c r="W4896" s="41"/>
      <c r="X4896" s="44"/>
      <c r="Y4896" s="41"/>
      <c r="Z4896" s="41"/>
    </row>
    <row r="4897" spans="17:26" ht="13" x14ac:dyDescent="0.3">
      <c r="Q4897" s="44"/>
      <c r="R4897" s="86"/>
      <c r="S4897" s="44"/>
      <c r="T4897" s="44"/>
      <c r="U4897" s="40"/>
      <c r="V4897" s="11"/>
      <c r="W4897" s="11"/>
      <c r="X4897" s="40"/>
      <c r="Y4897" s="44"/>
      <c r="Z4897" s="44"/>
    </row>
    <row r="4898" spans="17:26" ht="13" x14ac:dyDescent="0.3">
      <c r="Q4898" s="44"/>
      <c r="R4898" s="86"/>
      <c r="S4898" s="44"/>
      <c r="T4898" s="44"/>
      <c r="U4898" s="40"/>
      <c r="V4898" s="16"/>
      <c r="W4898" s="16"/>
      <c r="X4898" s="40"/>
      <c r="Y4898" s="45"/>
      <c r="Z4898" s="45"/>
    </row>
    <row r="4899" spans="17:26" x14ac:dyDescent="0.25">
      <c r="Q4899" s="44"/>
      <c r="R4899" s="40"/>
      <c r="S4899" s="44"/>
      <c r="T4899" s="44"/>
      <c r="U4899" s="45"/>
      <c r="V4899" s="11"/>
      <c r="W4899" s="11"/>
      <c r="X4899" s="45"/>
      <c r="Y4899" s="44"/>
      <c r="Z4899" s="44"/>
    </row>
    <row r="4900" spans="17:26" ht="13" x14ac:dyDescent="0.3">
      <c r="Q4900" s="44"/>
      <c r="R4900" s="86"/>
      <c r="S4900" s="44"/>
      <c r="T4900" s="44"/>
      <c r="U4900" s="40"/>
      <c r="V4900" s="14"/>
      <c r="W4900" s="14"/>
      <c r="X4900" s="40"/>
      <c r="Y4900" s="41"/>
      <c r="Z4900" s="41"/>
    </row>
    <row r="4901" spans="17:26" ht="13" x14ac:dyDescent="0.25">
      <c r="Q4901" s="44"/>
      <c r="R4901" s="40"/>
      <c r="S4901" s="44"/>
      <c r="T4901" s="44"/>
      <c r="U4901" s="45"/>
      <c r="V4901" s="14"/>
      <c r="W4901" s="14"/>
      <c r="X4901" s="45"/>
      <c r="Y4901" s="41"/>
      <c r="Z4901" s="41"/>
    </row>
    <row r="4902" spans="17:26" ht="14.5" x14ac:dyDescent="0.35">
      <c r="Q4902" s="44"/>
      <c r="R4902" s="40"/>
      <c r="S4902" s="44"/>
      <c r="T4902" s="44"/>
      <c r="U4902" s="43"/>
      <c r="V4902" s="11"/>
      <c r="W4902" s="11"/>
      <c r="X4902" s="43"/>
      <c r="Y4902" s="44"/>
      <c r="Z4902" s="44"/>
    </row>
    <row r="4903" spans="17:26" x14ac:dyDescent="0.25">
      <c r="Q4903" s="44"/>
      <c r="R4903" s="40"/>
      <c r="S4903" s="44"/>
      <c r="T4903" s="44"/>
      <c r="U4903" s="45"/>
      <c r="V4903" s="11"/>
      <c r="W4903" s="11"/>
      <c r="X4903" s="45"/>
      <c r="Y4903" s="44"/>
      <c r="Z4903" s="44"/>
    </row>
    <row r="4904" spans="17:26" x14ac:dyDescent="0.25">
      <c r="Q4904" s="44"/>
      <c r="R4904" s="40"/>
      <c r="S4904" s="44"/>
      <c r="T4904" s="44"/>
      <c r="U4904" s="11"/>
      <c r="V4904" s="42"/>
      <c r="W4904" s="78"/>
      <c r="X4904" s="44"/>
      <c r="Y4904" s="42"/>
      <c r="Z4904" s="78"/>
    </row>
    <row r="4905" spans="17:26" ht="14.5" x14ac:dyDescent="0.35">
      <c r="Q4905" s="44"/>
      <c r="R4905" s="43"/>
      <c r="S4905" s="44"/>
      <c r="T4905" s="44"/>
      <c r="U4905" s="11"/>
      <c r="V4905" s="11"/>
      <c r="W4905" s="11"/>
      <c r="X4905" s="11"/>
      <c r="Y4905" s="11"/>
      <c r="Z4905" s="11"/>
    </row>
    <row r="4906" spans="17:26" ht="13" x14ac:dyDescent="0.25">
      <c r="Q4906" s="44"/>
      <c r="R4906" s="40"/>
      <c r="S4906" s="44"/>
      <c r="T4906" s="44"/>
      <c r="U4906" s="16"/>
      <c r="V4906" s="41"/>
      <c r="W4906" s="41"/>
      <c r="X4906" s="45"/>
      <c r="Y4906" s="41"/>
      <c r="Z4906" s="41"/>
    </row>
    <row r="4907" spans="17:26" ht="13" x14ac:dyDescent="0.25">
      <c r="Q4907" s="44"/>
      <c r="R4907" s="42"/>
      <c r="S4907" s="44"/>
      <c r="T4907" s="44"/>
      <c r="U4907" s="11"/>
      <c r="V4907" s="41"/>
      <c r="W4907" s="41"/>
      <c r="X4907" s="44"/>
      <c r="Y4907" s="41"/>
      <c r="Z4907" s="41"/>
    </row>
    <row r="4908" spans="17:26" ht="13" x14ac:dyDescent="0.3">
      <c r="Q4908" s="44"/>
      <c r="R4908" s="86"/>
      <c r="S4908" s="44"/>
      <c r="T4908" s="44"/>
      <c r="U4908" s="40"/>
      <c r="V4908" s="11"/>
      <c r="W4908" s="11"/>
      <c r="X4908" s="40"/>
      <c r="Y4908" s="44"/>
      <c r="Z4908" s="44"/>
    </row>
    <row r="4909" spans="17:26" ht="13" x14ac:dyDescent="0.3">
      <c r="Q4909" s="44"/>
      <c r="R4909" s="86"/>
      <c r="S4909" s="44"/>
      <c r="T4909" s="44"/>
      <c r="U4909" s="40"/>
      <c r="V4909" s="16"/>
      <c r="W4909" s="16"/>
      <c r="X4909" s="40"/>
      <c r="Y4909" s="45"/>
      <c r="Z4909" s="45"/>
    </row>
    <row r="4910" spans="17:26" x14ac:dyDescent="0.25">
      <c r="Q4910" s="44"/>
      <c r="R4910" s="40"/>
      <c r="S4910" s="44"/>
      <c r="T4910" s="44"/>
      <c r="U4910" s="45"/>
      <c r="V4910" s="11"/>
      <c r="W4910" s="11"/>
      <c r="X4910" s="45"/>
      <c r="Y4910" s="44"/>
      <c r="Z4910" s="44"/>
    </row>
    <row r="4911" spans="17:26" ht="13" x14ac:dyDescent="0.3">
      <c r="Q4911" s="44"/>
      <c r="R4911" s="86"/>
      <c r="S4911" s="44"/>
      <c r="T4911" s="44"/>
      <c r="U4911" s="40"/>
      <c r="V4911" s="14"/>
      <c r="W4911" s="14"/>
      <c r="X4911" s="40"/>
      <c r="Y4911" s="41"/>
      <c r="Z4911" s="41"/>
    </row>
    <row r="4912" spans="17:26" ht="13" x14ac:dyDescent="0.25">
      <c r="Q4912" s="44"/>
      <c r="R4912" s="40"/>
      <c r="S4912" s="44"/>
      <c r="T4912" s="44"/>
      <c r="U4912" s="45"/>
      <c r="V4912" s="14"/>
      <c r="W4912" s="14"/>
      <c r="X4912" s="45"/>
      <c r="Y4912" s="41"/>
      <c r="Z4912" s="41"/>
    </row>
    <row r="4913" spans="17:26" ht="14.5" x14ac:dyDescent="0.35">
      <c r="Q4913" s="44"/>
      <c r="R4913" s="40"/>
      <c r="S4913" s="44"/>
      <c r="T4913" s="44"/>
      <c r="U4913" s="43"/>
      <c r="V4913" s="11"/>
      <c r="W4913" s="11"/>
      <c r="X4913" s="43"/>
      <c r="Y4913" s="44"/>
      <c r="Z4913" s="44"/>
    </row>
    <row r="4914" spans="17:26" x14ac:dyDescent="0.25">
      <c r="Q4914" s="44"/>
      <c r="R4914" s="40"/>
      <c r="S4914" s="44"/>
      <c r="T4914" s="44"/>
      <c r="U4914" s="45"/>
      <c r="V4914" s="11"/>
      <c r="W4914" s="11"/>
      <c r="X4914" s="45"/>
      <c r="Y4914" s="44"/>
      <c r="Z4914" s="44"/>
    </row>
    <row r="4915" spans="17:26" x14ac:dyDescent="0.25">
      <c r="Q4915" s="44"/>
      <c r="R4915" s="40"/>
      <c r="S4915" s="44"/>
      <c r="T4915" s="44"/>
      <c r="U4915" s="11"/>
      <c r="V4915" s="42"/>
      <c r="W4915" s="78"/>
      <c r="X4915" s="44"/>
      <c r="Y4915" s="42"/>
      <c r="Z4915" s="78"/>
    </row>
    <row r="4916" spans="17:26" ht="14.5" x14ac:dyDescent="0.35">
      <c r="Q4916" s="44"/>
      <c r="R4916" s="43"/>
      <c r="S4916" s="44"/>
      <c r="T4916" s="44"/>
      <c r="U4916" s="11"/>
      <c r="V4916" s="11"/>
      <c r="W4916" s="11"/>
      <c r="X4916" s="11"/>
      <c r="Y4916" s="11"/>
      <c r="Z4916" s="11"/>
    </row>
    <row r="4917" spans="17:26" ht="13" x14ac:dyDescent="0.25">
      <c r="Q4917" s="44"/>
      <c r="R4917" s="40"/>
      <c r="S4917" s="44"/>
      <c r="T4917" s="44"/>
      <c r="U4917" s="16"/>
      <c r="V4917" s="41"/>
      <c r="W4917" s="41"/>
      <c r="X4917" s="45"/>
      <c r="Y4917" s="41"/>
      <c r="Z4917" s="41"/>
    </row>
    <row r="4918" spans="17:26" ht="13" x14ac:dyDescent="0.25">
      <c r="Q4918" s="44"/>
      <c r="R4918" s="42"/>
      <c r="S4918" s="44"/>
      <c r="T4918" s="44"/>
      <c r="U4918" s="11"/>
      <c r="V4918" s="41"/>
      <c r="W4918" s="41"/>
      <c r="X4918" s="44"/>
      <c r="Y4918" s="41"/>
      <c r="Z4918" s="41"/>
    </row>
    <row r="4919" spans="17:26" ht="13" x14ac:dyDescent="0.3">
      <c r="Q4919" s="44"/>
      <c r="R4919" s="86"/>
      <c r="S4919" s="44"/>
      <c r="T4919" s="44"/>
      <c r="U4919" s="40"/>
      <c r="V4919" s="11"/>
      <c r="W4919" s="11"/>
      <c r="X4919" s="40"/>
      <c r="Y4919" s="44"/>
      <c r="Z4919" s="44"/>
    </row>
    <row r="4920" spans="17:26" ht="13" x14ac:dyDescent="0.3">
      <c r="Q4920" s="44"/>
      <c r="R4920" s="86"/>
      <c r="S4920" s="44"/>
      <c r="T4920" s="44"/>
      <c r="U4920" s="40"/>
      <c r="V4920" s="16"/>
      <c r="W4920" s="16"/>
      <c r="X4920" s="40"/>
      <c r="Y4920" s="45"/>
      <c r="Z4920" s="45"/>
    </row>
    <row r="4921" spans="17:26" x14ac:dyDescent="0.25">
      <c r="Q4921" s="44"/>
      <c r="R4921" s="40"/>
      <c r="S4921" s="44"/>
      <c r="T4921" s="44"/>
      <c r="U4921" s="45"/>
      <c r="V4921" s="11"/>
      <c r="W4921" s="11"/>
      <c r="X4921" s="45"/>
      <c r="Y4921" s="44"/>
      <c r="Z4921" s="44"/>
    </row>
    <row r="4922" spans="17:26" ht="13" x14ac:dyDescent="0.3">
      <c r="Q4922" s="44"/>
      <c r="R4922" s="86"/>
      <c r="S4922" s="44"/>
      <c r="T4922" s="44"/>
      <c r="U4922" s="40"/>
      <c r="V4922" s="14"/>
      <c r="W4922" s="14"/>
      <c r="X4922" s="40"/>
      <c r="Y4922" s="41"/>
      <c r="Z4922" s="41"/>
    </row>
    <row r="4923" spans="17:26" ht="13" x14ac:dyDescent="0.25">
      <c r="Q4923" s="44"/>
      <c r="R4923" s="40"/>
      <c r="S4923" s="44"/>
      <c r="T4923" s="44"/>
      <c r="U4923" s="45"/>
      <c r="V4923" s="14"/>
      <c r="W4923" s="14"/>
      <c r="X4923" s="45"/>
      <c r="Y4923" s="41"/>
      <c r="Z4923" s="41"/>
    </row>
    <row r="4924" spans="17:26" ht="14.5" x14ac:dyDescent="0.35">
      <c r="Q4924" s="44"/>
      <c r="R4924" s="40"/>
      <c r="S4924" s="44"/>
      <c r="T4924" s="44"/>
      <c r="U4924" s="43"/>
      <c r="V4924" s="11"/>
      <c r="W4924" s="11"/>
      <c r="X4924" s="43"/>
      <c r="Y4924" s="44"/>
      <c r="Z4924" s="44"/>
    </row>
    <row r="4925" spans="17:26" x14ac:dyDescent="0.25">
      <c r="Q4925" s="44"/>
      <c r="R4925" s="40"/>
      <c r="S4925" s="44"/>
      <c r="T4925" s="44"/>
      <c r="U4925" s="45"/>
      <c r="V4925" s="11"/>
      <c r="W4925" s="11"/>
      <c r="X4925" s="45"/>
      <c r="Y4925" s="44"/>
      <c r="Z4925" s="44"/>
    </row>
    <row r="4926" spans="17:26" x14ac:dyDescent="0.25">
      <c r="Q4926" s="44"/>
      <c r="R4926" s="40"/>
      <c r="S4926" s="44"/>
      <c r="T4926" s="44"/>
      <c r="U4926" s="11"/>
      <c r="V4926" s="42"/>
      <c r="W4926" s="78"/>
      <c r="X4926" s="44"/>
      <c r="Y4926" s="42"/>
      <c r="Z4926" s="78"/>
    </row>
    <row r="4927" spans="17:26" ht="14.5" x14ac:dyDescent="0.35">
      <c r="Q4927" s="44"/>
      <c r="R4927" s="43"/>
      <c r="S4927" s="44"/>
      <c r="T4927" s="44"/>
      <c r="U4927" s="11"/>
      <c r="V4927" s="11"/>
      <c r="W4927" s="11"/>
      <c r="X4927" s="11"/>
      <c r="Y4927" s="11"/>
      <c r="Z4927" s="11"/>
    </row>
    <row r="4928" spans="17:26" ht="13" x14ac:dyDescent="0.25">
      <c r="Q4928" s="44"/>
      <c r="R4928" s="40"/>
      <c r="S4928" s="44"/>
      <c r="T4928" s="44"/>
      <c r="U4928" s="16"/>
      <c r="V4928" s="41"/>
      <c r="W4928" s="41"/>
      <c r="X4928" s="45"/>
      <c r="Y4928" s="41"/>
      <c r="Z4928" s="41"/>
    </row>
    <row r="4929" spans="17:26" ht="13" x14ac:dyDescent="0.25">
      <c r="Q4929" s="44"/>
      <c r="R4929" s="42"/>
      <c r="S4929" s="44"/>
      <c r="T4929" s="44"/>
      <c r="U4929" s="11"/>
      <c r="V4929" s="41"/>
      <c r="W4929" s="41"/>
      <c r="X4929" s="44"/>
      <c r="Y4929" s="41"/>
      <c r="Z4929" s="41"/>
    </row>
    <row r="4930" spans="17:26" ht="13" x14ac:dyDescent="0.3">
      <c r="Q4930" s="44"/>
      <c r="R4930" s="86"/>
      <c r="S4930" s="44"/>
      <c r="T4930" s="44"/>
      <c r="U4930" s="40"/>
      <c r="V4930" s="11"/>
      <c r="W4930" s="11"/>
      <c r="X4930" s="40"/>
      <c r="Y4930" s="44"/>
      <c r="Z4930" s="44"/>
    </row>
    <row r="4931" spans="17:26" ht="13" x14ac:dyDescent="0.3">
      <c r="Q4931" s="44"/>
      <c r="R4931" s="86"/>
      <c r="S4931" s="44"/>
      <c r="T4931" s="44"/>
      <c r="U4931" s="40"/>
      <c r="V4931" s="16"/>
      <c r="W4931" s="16"/>
      <c r="X4931" s="40"/>
      <c r="Y4931" s="45"/>
      <c r="Z4931" s="45"/>
    </row>
    <row r="4932" spans="17:26" x14ac:dyDescent="0.25">
      <c r="Q4932" s="44"/>
      <c r="R4932" s="40"/>
      <c r="S4932" s="44"/>
      <c r="T4932" s="44"/>
      <c r="U4932" s="45"/>
      <c r="V4932" s="11"/>
      <c r="W4932" s="11"/>
      <c r="X4932" s="45"/>
      <c r="Y4932" s="44"/>
      <c r="Z4932" s="44"/>
    </row>
    <row r="4933" spans="17:26" ht="13" x14ac:dyDescent="0.3">
      <c r="Q4933" s="44"/>
      <c r="R4933" s="86"/>
      <c r="S4933" s="44"/>
      <c r="T4933" s="44"/>
      <c r="U4933" s="40"/>
      <c r="V4933" s="14"/>
      <c r="W4933" s="14"/>
      <c r="X4933" s="40"/>
      <c r="Y4933" s="41"/>
      <c r="Z4933" s="41"/>
    </row>
    <row r="4934" spans="17:26" ht="13" x14ac:dyDescent="0.25">
      <c r="Q4934" s="44"/>
      <c r="R4934" s="40"/>
      <c r="S4934" s="44"/>
      <c r="T4934" s="44"/>
      <c r="U4934" s="45"/>
      <c r="V4934" s="14"/>
      <c r="W4934" s="14"/>
      <c r="X4934" s="45"/>
      <c r="Y4934" s="41"/>
      <c r="Z4934" s="41"/>
    </row>
    <row r="4935" spans="17:26" ht="14.5" x14ac:dyDescent="0.35">
      <c r="Q4935" s="44"/>
      <c r="R4935" s="40"/>
      <c r="S4935" s="44"/>
      <c r="T4935" s="44"/>
      <c r="U4935" s="43"/>
      <c r="V4935" s="11"/>
      <c r="W4935" s="11"/>
      <c r="X4935" s="43"/>
      <c r="Y4935" s="44"/>
      <c r="Z4935" s="44"/>
    </row>
    <row r="4936" spans="17:26" x14ac:dyDescent="0.25">
      <c r="Q4936" s="44"/>
      <c r="R4936" s="40"/>
      <c r="S4936" s="44"/>
      <c r="T4936" s="44"/>
      <c r="U4936" s="45"/>
      <c r="V4936" s="11"/>
      <c r="W4936" s="11"/>
      <c r="X4936" s="45"/>
      <c r="Y4936" s="44"/>
      <c r="Z4936" s="44"/>
    </row>
    <row r="4937" spans="17:26" x14ac:dyDescent="0.25">
      <c r="Q4937" s="44"/>
      <c r="R4937" s="40"/>
      <c r="S4937" s="44"/>
      <c r="T4937" s="44"/>
      <c r="U4937" s="11"/>
      <c r="V4937" s="42"/>
      <c r="W4937" s="78"/>
      <c r="X4937" s="44"/>
      <c r="Y4937" s="42"/>
      <c r="Z4937" s="78"/>
    </row>
    <row r="4938" spans="17:26" ht="14.5" x14ac:dyDescent="0.35">
      <c r="Q4938" s="44"/>
      <c r="R4938" s="43"/>
      <c r="S4938" s="44"/>
      <c r="T4938" s="44"/>
      <c r="U4938" s="11"/>
      <c r="V4938" s="11"/>
      <c r="W4938" s="11"/>
      <c r="X4938" s="11"/>
      <c r="Y4938" s="11"/>
      <c r="Z4938" s="11"/>
    </row>
    <row r="4939" spans="17:26" ht="13" x14ac:dyDescent="0.25">
      <c r="Q4939" s="44"/>
      <c r="R4939" s="40"/>
      <c r="S4939" s="44"/>
      <c r="T4939" s="44"/>
      <c r="U4939" s="16"/>
      <c r="V4939" s="41"/>
      <c r="W4939" s="41"/>
      <c r="X4939" s="45"/>
      <c r="Y4939" s="41"/>
      <c r="Z4939" s="41"/>
    </row>
    <row r="4940" spans="17:26" ht="13" x14ac:dyDescent="0.25">
      <c r="Q4940" s="44"/>
      <c r="R4940" s="42"/>
      <c r="S4940" s="44"/>
      <c r="T4940" s="44"/>
      <c r="U4940" s="11"/>
      <c r="V4940" s="41"/>
      <c r="W4940" s="41"/>
      <c r="X4940" s="44"/>
      <c r="Y4940" s="41"/>
      <c r="Z4940" s="41"/>
    </row>
    <row r="4941" spans="17:26" ht="13" x14ac:dyDescent="0.3">
      <c r="Q4941" s="44"/>
      <c r="R4941" s="86"/>
      <c r="S4941" s="44"/>
      <c r="T4941" s="44"/>
      <c r="U4941" s="40"/>
      <c r="V4941" s="11"/>
      <c r="W4941" s="11"/>
      <c r="X4941" s="40"/>
      <c r="Y4941" s="44"/>
      <c r="Z4941" s="44"/>
    </row>
    <row r="4942" spans="17:26" ht="13" x14ac:dyDescent="0.3">
      <c r="Q4942" s="44"/>
      <c r="R4942" s="86"/>
      <c r="S4942" s="44"/>
      <c r="T4942" s="44"/>
      <c r="U4942" s="40"/>
      <c r="V4942" s="16"/>
      <c r="W4942" s="16"/>
      <c r="X4942" s="40"/>
      <c r="Y4942" s="45"/>
      <c r="Z4942" s="45"/>
    </row>
    <row r="4943" spans="17:26" x14ac:dyDescent="0.25">
      <c r="Q4943" s="44"/>
      <c r="R4943" s="40"/>
      <c r="S4943" s="44"/>
      <c r="T4943" s="44"/>
      <c r="U4943" s="45"/>
      <c r="V4943" s="11"/>
      <c r="W4943" s="11"/>
      <c r="X4943" s="45"/>
      <c r="Y4943" s="44"/>
      <c r="Z4943" s="44"/>
    </row>
    <row r="4944" spans="17:26" ht="13" x14ac:dyDescent="0.3">
      <c r="Q4944" s="44"/>
      <c r="R4944" s="86"/>
      <c r="S4944" s="44"/>
      <c r="T4944" s="44"/>
      <c r="U4944" s="40"/>
      <c r="V4944" s="14"/>
      <c r="W4944" s="14"/>
      <c r="X4944" s="40"/>
      <c r="Y4944" s="41"/>
      <c r="Z4944" s="41"/>
    </row>
    <row r="4945" spans="17:26" ht="13" x14ac:dyDescent="0.25">
      <c r="Q4945" s="44"/>
      <c r="R4945" s="40"/>
      <c r="S4945" s="44"/>
      <c r="T4945" s="44"/>
      <c r="U4945" s="45"/>
      <c r="V4945" s="14"/>
      <c r="W4945" s="14"/>
      <c r="X4945" s="45"/>
      <c r="Y4945" s="41"/>
      <c r="Z4945" s="41"/>
    </row>
    <row r="4946" spans="17:26" ht="14.5" x14ac:dyDescent="0.35">
      <c r="Q4946" s="44"/>
      <c r="R4946" s="40"/>
      <c r="S4946" s="44"/>
      <c r="T4946" s="44"/>
      <c r="U4946" s="43"/>
      <c r="V4946" s="11"/>
      <c r="W4946" s="11"/>
      <c r="X4946" s="43"/>
      <c r="Y4946" s="44"/>
      <c r="Z4946" s="44"/>
    </row>
    <row r="4947" spans="17:26" x14ac:dyDescent="0.25">
      <c r="Q4947" s="44"/>
      <c r="R4947" s="40"/>
      <c r="S4947" s="44"/>
      <c r="T4947" s="44"/>
      <c r="U4947" s="45"/>
      <c r="V4947" s="11"/>
      <c r="W4947" s="11"/>
      <c r="X4947" s="45"/>
      <c r="Y4947" s="44"/>
      <c r="Z4947" s="44"/>
    </row>
    <row r="4948" spans="17:26" x14ac:dyDescent="0.25">
      <c r="Q4948" s="44"/>
      <c r="R4948" s="40"/>
      <c r="S4948" s="44"/>
      <c r="T4948" s="44"/>
      <c r="U4948" s="11"/>
      <c r="V4948" s="42"/>
      <c r="W4948" s="78"/>
      <c r="X4948" s="44"/>
      <c r="Y4948" s="42"/>
      <c r="Z4948" s="78"/>
    </row>
    <row r="4949" spans="17:26" ht="14.5" x14ac:dyDescent="0.35">
      <c r="Q4949" s="44"/>
      <c r="R4949" s="43"/>
      <c r="S4949" s="44"/>
      <c r="T4949" s="44"/>
      <c r="U4949" s="11"/>
      <c r="V4949" s="11"/>
      <c r="W4949" s="11"/>
      <c r="X4949" s="11"/>
      <c r="Y4949" s="11"/>
      <c r="Z4949" s="11"/>
    </row>
    <row r="4950" spans="17:26" ht="13" x14ac:dyDescent="0.25">
      <c r="Q4950" s="44"/>
      <c r="R4950" s="40"/>
      <c r="S4950" s="44"/>
      <c r="T4950" s="44"/>
      <c r="U4950" s="16"/>
      <c r="V4950" s="41"/>
      <c r="W4950" s="41"/>
      <c r="X4950" s="45"/>
      <c r="Y4950" s="41"/>
      <c r="Z4950" s="41"/>
    </row>
    <row r="4951" spans="17:26" ht="13" x14ac:dyDescent="0.25">
      <c r="Q4951" s="44"/>
      <c r="R4951" s="42"/>
      <c r="S4951" s="44"/>
      <c r="T4951" s="44"/>
      <c r="U4951" s="11"/>
      <c r="V4951" s="41"/>
      <c r="W4951" s="41"/>
      <c r="X4951" s="44"/>
      <c r="Y4951" s="41"/>
      <c r="Z4951" s="41"/>
    </row>
    <row r="4952" spans="17:26" ht="13" x14ac:dyDescent="0.3">
      <c r="Q4952" s="44"/>
      <c r="R4952" s="86"/>
      <c r="S4952" s="44"/>
      <c r="T4952" s="44"/>
      <c r="U4952" s="40"/>
      <c r="V4952" s="11"/>
      <c r="W4952" s="11"/>
      <c r="X4952" s="40"/>
      <c r="Y4952" s="44"/>
      <c r="Z4952" s="44"/>
    </row>
    <row r="4953" spans="17:26" ht="13" x14ac:dyDescent="0.3">
      <c r="Q4953" s="44"/>
      <c r="R4953" s="86"/>
      <c r="S4953" s="44"/>
      <c r="T4953" s="44"/>
      <c r="U4953" s="40"/>
      <c r="V4953" s="16"/>
      <c r="W4953" s="16"/>
      <c r="X4953" s="40"/>
      <c r="Y4953" s="45"/>
      <c r="Z4953" s="45"/>
    </row>
    <row r="4954" spans="17:26" x14ac:dyDescent="0.25">
      <c r="Q4954" s="44"/>
      <c r="R4954" s="40"/>
      <c r="S4954" s="44"/>
      <c r="T4954" s="44"/>
      <c r="U4954" s="45"/>
      <c r="V4954" s="11"/>
      <c r="W4954" s="11"/>
      <c r="X4954" s="45"/>
      <c r="Y4954" s="44"/>
      <c r="Z4954" s="44"/>
    </row>
    <row r="4955" spans="17:26" ht="13" x14ac:dyDescent="0.3">
      <c r="Q4955" s="44"/>
      <c r="R4955" s="86"/>
      <c r="S4955" s="44"/>
      <c r="T4955" s="44"/>
      <c r="U4955" s="40"/>
      <c r="V4955" s="14"/>
      <c r="W4955" s="14"/>
      <c r="X4955" s="40"/>
      <c r="Y4955" s="41"/>
      <c r="Z4955" s="41"/>
    </row>
    <row r="4956" spans="17:26" ht="13" x14ac:dyDescent="0.25">
      <c r="Q4956" s="44"/>
      <c r="R4956" s="40"/>
      <c r="S4956" s="44"/>
      <c r="T4956" s="44"/>
      <c r="U4956" s="45"/>
      <c r="V4956" s="14"/>
      <c r="W4956" s="14"/>
      <c r="X4956" s="45"/>
      <c r="Y4956" s="41"/>
      <c r="Z4956" s="41"/>
    </row>
    <row r="4957" spans="17:26" ht="14.5" x14ac:dyDescent="0.35">
      <c r="Q4957" s="44"/>
      <c r="R4957" s="40"/>
      <c r="S4957" s="44"/>
      <c r="T4957" s="44"/>
      <c r="U4957" s="43"/>
      <c r="V4957" s="11"/>
      <c r="W4957" s="11"/>
      <c r="X4957" s="43"/>
      <c r="Y4957" s="44"/>
      <c r="Z4957" s="44"/>
    </row>
    <row r="4958" spans="17:26" x14ac:dyDescent="0.25">
      <c r="Q4958" s="44"/>
      <c r="R4958" s="40"/>
      <c r="S4958" s="44"/>
      <c r="T4958" s="44"/>
      <c r="U4958" s="45"/>
      <c r="V4958" s="11"/>
      <c r="W4958" s="11"/>
      <c r="X4958" s="45"/>
      <c r="Y4958" s="44"/>
      <c r="Z4958" s="44"/>
    </row>
    <row r="4959" spans="17:26" x14ac:dyDescent="0.25">
      <c r="Q4959" s="44"/>
      <c r="R4959" s="40"/>
      <c r="S4959" s="44"/>
      <c r="T4959" s="44"/>
      <c r="U4959" s="11"/>
      <c r="V4959" s="42"/>
      <c r="W4959" s="78"/>
      <c r="X4959" s="44"/>
      <c r="Y4959" s="42"/>
      <c r="Z4959" s="78"/>
    </row>
    <row r="4960" spans="17:26" ht="14.5" x14ac:dyDescent="0.35">
      <c r="Q4960" s="44"/>
      <c r="R4960" s="43"/>
      <c r="S4960" s="44"/>
      <c r="T4960" s="44"/>
      <c r="U4960" s="11"/>
      <c r="V4960" s="11"/>
      <c r="W4960" s="11"/>
      <c r="X4960" s="11"/>
      <c r="Y4960" s="11"/>
      <c r="Z4960" s="11"/>
    </row>
    <row r="4961" spans="17:26" ht="13" x14ac:dyDescent="0.25">
      <c r="Q4961" s="44"/>
      <c r="R4961" s="40"/>
      <c r="S4961" s="44"/>
      <c r="T4961" s="44"/>
      <c r="U4961" s="16"/>
      <c r="V4961" s="41"/>
      <c r="W4961" s="41"/>
      <c r="X4961" s="45"/>
      <c r="Y4961" s="41"/>
      <c r="Z4961" s="41"/>
    </row>
    <row r="4962" spans="17:26" ht="13" x14ac:dyDescent="0.25">
      <c r="Q4962" s="44"/>
      <c r="R4962" s="42"/>
      <c r="S4962" s="44"/>
      <c r="T4962" s="44"/>
      <c r="U4962" s="11"/>
      <c r="V4962" s="41"/>
      <c r="W4962" s="41"/>
      <c r="X4962" s="44"/>
      <c r="Y4962" s="41"/>
      <c r="Z4962" s="41"/>
    </row>
    <row r="4963" spans="17:26" ht="13" x14ac:dyDescent="0.3">
      <c r="Q4963" s="44"/>
      <c r="R4963" s="86"/>
      <c r="S4963" s="44"/>
      <c r="T4963" s="44"/>
      <c r="U4963" s="40"/>
      <c r="V4963" s="11"/>
      <c r="W4963" s="11"/>
      <c r="X4963" s="40"/>
      <c r="Y4963" s="44"/>
      <c r="Z4963" s="44"/>
    </row>
    <row r="4964" spans="17:26" ht="13" x14ac:dyDescent="0.3">
      <c r="Q4964" s="44"/>
      <c r="R4964" s="86"/>
      <c r="S4964" s="44"/>
      <c r="T4964" s="44"/>
      <c r="U4964" s="40"/>
      <c r="V4964" s="16"/>
      <c r="W4964" s="16"/>
      <c r="X4964" s="40"/>
      <c r="Y4964" s="45"/>
      <c r="Z4964" s="45"/>
    </row>
    <row r="4965" spans="17:26" x14ac:dyDescent="0.25">
      <c r="Q4965" s="44"/>
      <c r="R4965" s="40"/>
      <c r="S4965" s="44"/>
      <c r="T4965" s="44"/>
      <c r="U4965" s="45"/>
      <c r="V4965" s="11"/>
      <c r="W4965" s="11"/>
      <c r="X4965" s="45"/>
      <c r="Y4965" s="44"/>
      <c r="Z4965" s="44"/>
    </row>
    <row r="4966" spans="17:26" ht="13" x14ac:dyDescent="0.3">
      <c r="Q4966" s="44"/>
      <c r="R4966" s="86"/>
      <c r="S4966" s="44"/>
      <c r="T4966" s="44"/>
      <c r="U4966" s="40"/>
      <c r="V4966" s="14"/>
      <c r="W4966" s="14"/>
      <c r="X4966" s="40"/>
      <c r="Y4966" s="41"/>
      <c r="Z4966" s="41"/>
    </row>
    <row r="4967" spans="17:26" ht="13" x14ac:dyDescent="0.25">
      <c r="Q4967" s="44"/>
      <c r="R4967" s="40"/>
      <c r="S4967" s="44"/>
      <c r="T4967" s="44"/>
      <c r="U4967" s="45"/>
      <c r="V4967" s="14"/>
      <c r="W4967" s="14"/>
      <c r="X4967" s="45"/>
      <c r="Y4967" s="41"/>
      <c r="Z4967" s="41"/>
    </row>
    <row r="4968" spans="17:26" ht="14.5" x14ac:dyDescent="0.35">
      <c r="Q4968" s="44"/>
      <c r="R4968" s="40"/>
      <c r="S4968" s="44"/>
      <c r="T4968" s="44"/>
      <c r="U4968" s="43"/>
      <c r="V4968" s="11"/>
      <c r="W4968" s="11"/>
      <c r="X4968" s="43"/>
      <c r="Y4968" s="44"/>
      <c r="Z4968" s="44"/>
    </row>
    <row r="4969" spans="17:26" x14ac:dyDescent="0.25">
      <c r="Q4969" s="44"/>
      <c r="R4969" s="40"/>
      <c r="S4969" s="44"/>
      <c r="T4969" s="44"/>
      <c r="U4969" s="45"/>
      <c r="V4969" s="11"/>
      <c r="W4969" s="11"/>
      <c r="X4969" s="45"/>
      <c r="Y4969" s="44"/>
      <c r="Z4969" s="44"/>
    </row>
    <row r="4970" spans="17:26" x14ac:dyDescent="0.25">
      <c r="Q4970" s="44"/>
      <c r="R4970" s="40"/>
      <c r="S4970" s="44"/>
      <c r="T4970" s="44"/>
      <c r="U4970" s="11"/>
      <c r="V4970" s="42"/>
      <c r="W4970" s="78"/>
      <c r="X4970" s="44"/>
      <c r="Y4970" s="42"/>
      <c r="Z4970" s="78"/>
    </row>
    <row r="4971" spans="17:26" ht="14.5" x14ac:dyDescent="0.35">
      <c r="Q4971" s="44"/>
      <c r="R4971" s="43"/>
      <c r="S4971" s="44"/>
      <c r="T4971" s="44"/>
      <c r="U4971" s="11"/>
      <c r="V4971" s="11"/>
      <c r="W4971" s="11"/>
      <c r="X4971" s="11"/>
      <c r="Y4971" s="11"/>
      <c r="Z4971" s="11"/>
    </row>
    <row r="4972" spans="17:26" ht="13" x14ac:dyDescent="0.25">
      <c r="Q4972" s="44"/>
      <c r="R4972" s="40"/>
      <c r="S4972" s="44"/>
      <c r="T4972" s="44"/>
      <c r="U4972" s="16"/>
      <c r="V4972" s="41"/>
      <c r="W4972" s="41"/>
      <c r="X4972" s="45"/>
      <c r="Y4972" s="41"/>
      <c r="Z4972" s="41"/>
    </row>
    <row r="4973" spans="17:26" ht="13" x14ac:dyDescent="0.25">
      <c r="Q4973" s="44"/>
      <c r="R4973" s="42"/>
      <c r="S4973" s="44"/>
      <c r="T4973" s="44"/>
      <c r="U4973" s="11"/>
      <c r="V4973" s="41"/>
      <c r="W4973" s="41"/>
      <c r="X4973" s="44"/>
      <c r="Y4973" s="41"/>
      <c r="Z4973" s="41"/>
    </row>
    <row r="4974" spans="17:26" ht="13" x14ac:dyDescent="0.3">
      <c r="Q4974" s="44"/>
      <c r="R4974" s="86"/>
      <c r="S4974" s="44"/>
      <c r="T4974" s="44"/>
      <c r="U4974" s="40"/>
      <c r="V4974" s="11"/>
      <c r="W4974" s="11"/>
      <c r="X4974" s="40"/>
      <c r="Y4974" s="44"/>
      <c r="Z4974" s="44"/>
    </row>
    <row r="4975" spans="17:26" ht="13" x14ac:dyDescent="0.3">
      <c r="Q4975" s="44"/>
      <c r="R4975" s="86"/>
      <c r="S4975" s="44"/>
      <c r="T4975" s="44"/>
      <c r="U4975" s="40"/>
      <c r="V4975" s="16"/>
      <c r="W4975" s="16"/>
      <c r="X4975" s="40"/>
      <c r="Y4975" s="45"/>
      <c r="Z4975" s="45"/>
    </row>
    <row r="4976" spans="17:26" x14ac:dyDescent="0.25">
      <c r="Q4976" s="44"/>
      <c r="R4976" s="40"/>
      <c r="S4976" s="44"/>
      <c r="T4976" s="44"/>
      <c r="U4976" s="45"/>
      <c r="V4976" s="11"/>
      <c r="W4976" s="11"/>
      <c r="X4976" s="45"/>
      <c r="Y4976" s="44"/>
      <c r="Z4976" s="44"/>
    </row>
    <row r="4977" spans="17:26" ht="13" x14ac:dyDescent="0.3">
      <c r="Q4977" s="44"/>
      <c r="R4977" s="86"/>
      <c r="S4977" s="44"/>
      <c r="T4977" s="44"/>
      <c r="U4977" s="40"/>
      <c r="V4977" s="14"/>
      <c r="W4977" s="14"/>
      <c r="X4977" s="40"/>
      <c r="Y4977" s="41"/>
      <c r="Z4977" s="41"/>
    </row>
    <row r="4978" spans="17:26" ht="13" x14ac:dyDescent="0.25">
      <c r="Q4978" s="44"/>
      <c r="R4978" s="40"/>
      <c r="S4978" s="44"/>
      <c r="T4978" s="44"/>
      <c r="U4978" s="45"/>
      <c r="V4978" s="14"/>
      <c r="W4978" s="14"/>
      <c r="X4978" s="45"/>
      <c r="Y4978" s="41"/>
      <c r="Z4978" s="41"/>
    </row>
    <row r="4979" spans="17:26" ht="14.5" x14ac:dyDescent="0.35">
      <c r="Q4979" s="44"/>
      <c r="R4979" s="40"/>
      <c r="S4979" s="44"/>
      <c r="T4979" s="44"/>
      <c r="U4979" s="43"/>
      <c r="V4979" s="11"/>
      <c r="W4979" s="11"/>
      <c r="X4979" s="43"/>
      <c r="Y4979" s="44"/>
      <c r="Z4979" s="44"/>
    </row>
    <row r="4980" spans="17:26" x14ac:dyDescent="0.25">
      <c r="Q4980" s="44"/>
      <c r="R4980" s="40"/>
      <c r="S4980" s="44"/>
      <c r="T4980" s="44"/>
      <c r="U4980" s="45"/>
      <c r="V4980" s="11"/>
      <c r="W4980" s="11"/>
      <c r="X4980" s="45"/>
      <c r="Y4980" s="44"/>
      <c r="Z4980" s="44"/>
    </row>
    <row r="4981" spans="17:26" x14ac:dyDescent="0.25">
      <c r="Q4981" s="44"/>
      <c r="R4981" s="40"/>
      <c r="S4981" s="44"/>
      <c r="T4981" s="44"/>
      <c r="U4981" s="11"/>
      <c r="V4981" s="42"/>
      <c r="W4981" s="78"/>
      <c r="X4981" s="44"/>
      <c r="Y4981" s="42"/>
      <c r="Z4981" s="78"/>
    </row>
    <row r="4982" spans="17:26" ht="14.5" x14ac:dyDescent="0.35">
      <c r="Q4982" s="44"/>
      <c r="R4982" s="43"/>
      <c r="S4982" s="44"/>
      <c r="T4982" s="44"/>
      <c r="U4982" s="11"/>
      <c r="V4982" s="11"/>
      <c r="W4982" s="11"/>
      <c r="X4982" s="11"/>
      <c r="Y4982" s="11"/>
      <c r="Z4982" s="11"/>
    </row>
    <row r="4983" spans="17:26" ht="13" x14ac:dyDescent="0.25">
      <c r="Q4983" s="44"/>
      <c r="R4983" s="40"/>
      <c r="S4983" s="44"/>
      <c r="T4983" s="44"/>
      <c r="U4983" s="16"/>
      <c r="V4983" s="41"/>
      <c r="W4983" s="41"/>
      <c r="X4983" s="45"/>
      <c r="Y4983" s="41"/>
      <c r="Z4983" s="41"/>
    </row>
    <row r="4984" spans="17:26" ht="13" x14ac:dyDescent="0.25">
      <c r="Q4984" s="44"/>
      <c r="R4984" s="42"/>
      <c r="S4984" s="44"/>
      <c r="T4984" s="44"/>
      <c r="U4984" s="11"/>
      <c r="V4984" s="41"/>
      <c r="W4984" s="41"/>
      <c r="X4984" s="44"/>
      <c r="Y4984" s="41"/>
      <c r="Z4984" s="41"/>
    </row>
    <row r="4985" spans="17:26" ht="13" x14ac:dyDescent="0.3">
      <c r="Q4985" s="44"/>
      <c r="R4985" s="86"/>
      <c r="S4985" s="44"/>
      <c r="T4985" s="44"/>
      <c r="U4985" s="40"/>
      <c r="V4985" s="11"/>
      <c r="W4985" s="11"/>
      <c r="X4985" s="40"/>
      <c r="Y4985" s="44"/>
      <c r="Z4985" s="44"/>
    </row>
    <row r="4986" spans="17:26" ht="13" x14ac:dyDescent="0.3">
      <c r="Q4986" s="44"/>
      <c r="R4986" s="86"/>
      <c r="S4986" s="44"/>
      <c r="T4986" s="44"/>
      <c r="U4986" s="40"/>
      <c r="V4986" s="16"/>
      <c r="W4986" s="16"/>
      <c r="X4986" s="40"/>
      <c r="Y4986" s="45"/>
      <c r="Z4986" s="45"/>
    </row>
    <row r="4987" spans="17:26" x14ac:dyDescent="0.25">
      <c r="Q4987" s="44"/>
      <c r="R4987" s="40"/>
      <c r="S4987" s="44"/>
      <c r="T4987" s="44"/>
      <c r="U4987" s="45"/>
      <c r="V4987" s="11"/>
      <c r="W4987" s="11"/>
      <c r="X4987" s="45"/>
      <c r="Y4987" s="44"/>
      <c r="Z4987" s="44"/>
    </row>
    <row r="4988" spans="17:26" ht="13" x14ac:dyDescent="0.3">
      <c r="Q4988" s="44"/>
      <c r="R4988" s="86"/>
      <c r="S4988" s="44"/>
      <c r="T4988" s="44"/>
      <c r="U4988" s="40"/>
      <c r="V4988" s="14"/>
      <c r="W4988" s="14"/>
      <c r="X4988" s="40"/>
      <c r="Y4988" s="41"/>
      <c r="Z4988" s="41"/>
    </row>
    <row r="4989" spans="17:26" ht="13" x14ac:dyDescent="0.25">
      <c r="Q4989" s="44"/>
      <c r="R4989" s="40"/>
      <c r="S4989" s="44"/>
      <c r="T4989" s="44"/>
      <c r="U4989" s="45"/>
      <c r="V4989" s="14"/>
      <c r="W4989" s="14"/>
      <c r="X4989" s="45"/>
      <c r="Y4989" s="41"/>
      <c r="Z4989" s="41"/>
    </row>
    <row r="4990" spans="17:26" ht="14.5" x14ac:dyDescent="0.35">
      <c r="Q4990" s="44"/>
      <c r="R4990" s="40"/>
      <c r="S4990" s="44"/>
      <c r="T4990" s="44"/>
      <c r="U4990" s="43"/>
      <c r="V4990" s="11"/>
      <c r="W4990" s="11"/>
      <c r="X4990" s="43"/>
      <c r="Y4990" s="44"/>
      <c r="Z4990" s="44"/>
    </row>
    <row r="4991" spans="17:26" x14ac:dyDescent="0.25">
      <c r="Q4991" s="44"/>
      <c r="R4991" s="40"/>
      <c r="S4991" s="44"/>
      <c r="T4991" s="44"/>
      <c r="U4991" s="45"/>
      <c r="V4991" s="11"/>
      <c r="W4991" s="11"/>
      <c r="X4991" s="45"/>
      <c r="Y4991" s="44"/>
      <c r="Z4991" s="44"/>
    </row>
    <row r="4992" spans="17:26" x14ac:dyDescent="0.25">
      <c r="Q4992" s="44"/>
      <c r="R4992" s="40"/>
      <c r="S4992" s="44"/>
      <c r="T4992" s="44"/>
      <c r="U4992" s="11"/>
      <c r="V4992" s="42"/>
      <c r="W4992" s="78"/>
      <c r="X4992" s="44"/>
      <c r="Y4992" s="42"/>
      <c r="Z4992" s="78"/>
    </row>
    <row r="4993" spans="17:26" ht="14.5" x14ac:dyDescent="0.35">
      <c r="Q4993" s="44"/>
      <c r="R4993" s="43"/>
      <c r="S4993" s="44"/>
      <c r="T4993" s="44"/>
      <c r="U4993" s="11"/>
      <c r="V4993" s="11"/>
      <c r="W4993" s="11"/>
      <c r="X4993" s="11"/>
      <c r="Y4993" s="11"/>
      <c r="Z4993" s="11"/>
    </row>
    <row r="4994" spans="17:26" ht="13" x14ac:dyDescent="0.25">
      <c r="Q4994" s="44"/>
      <c r="R4994" s="40"/>
      <c r="S4994" s="44"/>
      <c r="T4994" s="44"/>
      <c r="U4994" s="16"/>
      <c r="V4994" s="41"/>
      <c r="W4994" s="41"/>
      <c r="X4994" s="45"/>
      <c r="Y4994" s="41"/>
      <c r="Z4994" s="41"/>
    </row>
    <row r="4995" spans="17:26" ht="13" x14ac:dyDescent="0.25">
      <c r="Q4995" s="44"/>
      <c r="R4995" s="42"/>
      <c r="S4995" s="44"/>
      <c r="T4995" s="44"/>
      <c r="U4995" s="11"/>
      <c r="V4995" s="41"/>
      <c r="W4995" s="41"/>
      <c r="X4995" s="44"/>
      <c r="Y4995" s="41"/>
      <c r="Z4995" s="41"/>
    </row>
    <row r="4996" spans="17:26" ht="13" x14ac:dyDescent="0.3">
      <c r="Q4996" s="44"/>
      <c r="R4996" s="86"/>
      <c r="S4996" s="44"/>
      <c r="T4996" s="44"/>
      <c r="U4996" s="40"/>
      <c r="V4996" s="11"/>
      <c r="W4996" s="11"/>
      <c r="X4996" s="40"/>
      <c r="Y4996" s="44"/>
      <c r="Z4996" s="44"/>
    </row>
    <row r="4997" spans="17:26" ht="13" x14ac:dyDescent="0.3">
      <c r="Q4997" s="44"/>
      <c r="R4997" s="86"/>
      <c r="S4997" s="44"/>
      <c r="T4997" s="44"/>
      <c r="U4997" s="40"/>
      <c r="V4997" s="16"/>
      <c r="W4997" s="16"/>
      <c r="X4997" s="40"/>
      <c r="Y4997" s="45"/>
      <c r="Z4997" s="45"/>
    </row>
    <row r="4998" spans="17:26" x14ac:dyDescent="0.25">
      <c r="Q4998" s="44"/>
      <c r="R4998" s="40"/>
      <c r="S4998" s="44"/>
      <c r="T4998" s="44"/>
      <c r="U4998" s="45"/>
      <c r="V4998" s="11"/>
      <c r="W4998" s="11"/>
      <c r="X4998" s="45"/>
      <c r="Y4998" s="44"/>
      <c r="Z4998" s="44"/>
    </row>
    <row r="4999" spans="17:26" ht="13" x14ac:dyDescent="0.3">
      <c r="Q4999" s="44"/>
      <c r="R4999" s="86"/>
      <c r="S4999" s="44"/>
      <c r="T4999" s="44"/>
      <c r="U4999" s="40"/>
      <c r="V4999" s="14"/>
      <c r="W4999" s="14"/>
      <c r="X4999" s="40"/>
      <c r="Y4999" s="41"/>
      <c r="Z4999" s="41"/>
    </row>
    <row r="5000" spans="17:26" ht="13" x14ac:dyDescent="0.25">
      <c r="Q5000" s="44"/>
      <c r="R5000" s="40"/>
      <c r="S5000" s="44"/>
      <c r="T5000" s="44"/>
      <c r="U5000" s="45"/>
      <c r="V5000" s="14"/>
      <c r="W5000" s="14"/>
      <c r="X5000" s="45"/>
      <c r="Y5000" s="41"/>
      <c r="Z5000" s="41"/>
    </row>
    <row r="5001" spans="17:26" ht="14.5" x14ac:dyDescent="0.35">
      <c r="Q5001" s="44"/>
      <c r="R5001" s="40"/>
      <c r="S5001" s="44"/>
      <c r="T5001" s="44"/>
      <c r="U5001" s="43"/>
      <c r="V5001" s="11"/>
      <c r="W5001" s="11"/>
      <c r="X5001" s="43"/>
      <c r="Y5001" s="44"/>
      <c r="Z5001" s="44"/>
    </row>
    <row r="5002" spans="17:26" x14ac:dyDescent="0.25">
      <c r="Q5002" s="44"/>
      <c r="R5002" s="40"/>
      <c r="S5002" s="44"/>
      <c r="T5002" s="44"/>
      <c r="U5002" s="45"/>
      <c r="V5002" s="11"/>
      <c r="W5002" s="11"/>
      <c r="X5002" s="45"/>
      <c r="Y5002" s="44"/>
      <c r="Z5002" s="44"/>
    </row>
    <row r="5003" spans="17:26" x14ac:dyDescent="0.25">
      <c r="Q5003" s="44"/>
      <c r="R5003" s="40"/>
      <c r="S5003" s="44"/>
      <c r="T5003" s="44"/>
      <c r="U5003" s="11"/>
      <c r="V5003" s="42"/>
      <c r="W5003" s="78"/>
      <c r="X5003" s="44"/>
      <c r="Y5003" s="42"/>
      <c r="Z5003" s="78"/>
    </row>
    <row r="5004" spans="17:26" ht="14.5" x14ac:dyDescent="0.35">
      <c r="Q5004" s="44"/>
      <c r="R5004" s="43"/>
      <c r="S5004" s="44"/>
      <c r="T5004" s="44"/>
      <c r="U5004" s="11"/>
      <c r="V5004" s="11"/>
      <c r="W5004" s="11"/>
      <c r="X5004" s="11"/>
      <c r="Y5004" s="11"/>
      <c r="Z5004" s="11"/>
    </row>
    <row r="5005" spans="17:26" ht="13" x14ac:dyDescent="0.25">
      <c r="Q5005" s="44"/>
      <c r="R5005" s="40"/>
      <c r="S5005" s="44"/>
      <c r="T5005" s="44"/>
      <c r="U5005" s="16"/>
      <c r="V5005" s="41"/>
      <c r="W5005" s="41"/>
      <c r="X5005" s="45"/>
      <c r="Y5005" s="41"/>
      <c r="Z5005" s="41"/>
    </row>
    <row r="5006" spans="17:26" ht="13" x14ac:dyDescent="0.25">
      <c r="Q5006" s="44"/>
      <c r="R5006" s="42"/>
      <c r="S5006" s="44"/>
      <c r="T5006" s="44"/>
      <c r="U5006" s="11"/>
      <c r="V5006" s="41"/>
      <c r="W5006" s="41"/>
      <c r="X5006" s="44"/>
      <c r="Y5006" s="41"/>
      <c r="Z5006" s="41"/>
    </row>
    <row r="5007" spans="17:26" ht="13" x14ac:dyDescent="0.3">
      <c r="Q5007" s="44"/>
      <c r="R5007" s="86"/>
      <c r="S5007" s="44"/>
      <c r="T5007" s="44"/>
      <c r="U5007" s="40"/>
      <c r="V5007" s="11"/>
      <c r="W5007" s="11"/>
      <c r="X5007" s="40"/>
      <c r="Y5007" s="44"/>
      <c r="Z5007" s="44"/>
    </row>
    <row r="5008" spans="17:26" ht="13" x14ac:dyDescent="0.3">
      <c r="Q5008" s="44"/>
      <c r="R5008" s="86"/>
      <c r="S5008" s="44"/>
      <c r="T5008" s="44"/>
      <c r="U5008" s="40"/>
      <c r="V5008" s="16"/>
      <c r="W5008" s="16"/>
      <c r="X5008" s="40"/>
      <c r="Y5008" s="45"/>
      <c r="Z5008" s="45"/>
    </row>
    <row r="5009" spans="17:26" x14ac:dyDescent="0.25">
      <c r="Q5009" s="44"/>
      <c r="R5009" s="40"/>
      <c r="S5009" s="44"/>
      <c r="T5009" s="44"/>
      <c r="U5009" s="45"/>
      <c r="V5009" s="11"/>
      <c r="W5009" s="11"/>
      <c r="X5009" s="45"/>
      <c r="Y5009" s="44"/>
      <c r="Z5009" s="44"/>
    </row>
    <row r="5010" spans="17:26" ht="13" x14ac:dyDescent="0.3">
      <c r="Q5010" s="44"/>
      <c r="R5010" s="86"/>
      <c r="S5010" s="44"/>
      <c r="T5010" s="44"/>
      <c r="U5010" s="40"/>
      <c r="V5010" s="14"/>
      <c r="W5010" s="14"/>
      <c r="X5010" s="40"/>
      <c r="Y5010" s="41"/>
      <c r="Z5010" s="41"/>
    </row>
    <row r="5011" spans="17:26" ht="13" x14ac:dyDescent="0.25">
      <c r="Q5011" s="44"/>
      <c r="R5011" s="40"/>
      <c r="S5011" s="44"/>
      <c r="T5011" s="44"/>
      <c r="U5011" s="45"/>
      <c r="V5011" s="14"/>
      <c r="W5011" s="14"/>
      <c r="X5011" s="45"/>
      <c r="Y5011" s="41"/>
      <c r="Z5011" s="41"/>
    </row>
    <row r="5012" spans="17:26" ht="14.5" x14ac:dyDescent="0.35">
      <c r="Q5012" s="44"/>
      <c r="R5012" s="40"/>
      <c r="S5012" s="44"/>
      <c r="T5012" s="44"/>
      <c r="U5012" s="43"/>
      <c r="V5012" s="11"/>
      <c r="W5012" s="11"/>
      <c r="X5012" s="43"/>
      <c r="Y5012" s="44"/>
      <c r="Z5012" s="44"/>
    </row>
    <row r="5013" spans="17:26" x14ac:dyDescent="0.25">
      <c r="Q5013" s="44"/>
      <c r="R5013" s="40"/>
      <c r="S5013" s="44"/>
      <c r="T5013" s="44"/>
      <c r="U5013" s="45"/>
      <c r="V5013" s="11"/>
      <c r="W5013" s="11"/>
      <c r="X5013" s="45"/>
      <c r="Y5013" s="44"/>
      <c r="Z5013" s="44"/>
    </row>
    <row r="5014" spans="17:26" x14ac:dyDescent="0.25">
      <c r="Q5014" s="44"/>
      <c r="R5014" s="40"/>
      <c r="S5014" s="44"/>
      <c r="T5014" s="44"/>
      <c r="U5014" s="11"/>
      <c r="V5014" s="42"/>
      <c r="W5014" s="78"/>
      <c r="X5014" s="44"/>
      <c r="Y5014" s="42"/>
      <c r="Z5014" s="78"/>
    </row>
    <row r="5015" spans="17:26" ht="14.5" x14ac:dyDescent="0.35">
      <c r="Q5015" s="44"/>
      <c r="R5015" s="43"/>
      <c r="S5015" s="44"/>
      <c r="T5015" s="44"/>
      <c r="U5015" s="11"/>
      <c r="V5015" s="11"/>
      <c r="W5015" s="11"/>
      <c r="X5015" s="11"/>
      <c r="Y5015" s="11"/>
      <c r="Z5015" s="11"/>
    </row>
    <row r="5016" spans="17:26" ht="13" x14ac:dyDescent="0.25">
      <c r="Q5016" s="44"/>
      <c r="R5016" s="40"/>
      <c r="S5016" s="44"/>
      <c r="T5016" s="44"/>
      <c r="U5016" s="16"/>
      <c r="V5016" s="41"/>
      <c r="W5016" s="41"/>
      <c r="X5016" s="45"/>
      <c r="Y5016" s="41"/>
      <c r="Z5016" s="41"/>
    </row>
    <row r="5017" spans="17:26" ht="13" x14ac:dyDescent="0.25">
      <c r="Q5017" s="44"/>
      <c r="R5017" s="42"/>
      <c r="S5017" s="44"/>
      <c r="T5017" s="44"/>
      <c r="U5017" s="11"/>
      <c r="V5017" s="41"/>
      <c r="W5017" s="41"/>
      <c r="X5017" s="44"/>
      <c r="Y5017" s="41"/>
      <c r="Z5017" s="41"/>
    </row>
    <row r="5018" spans="17:26" ht="13" x14ac:dyDescent="0.3">
      <c r="Q5018" s="44"/>
      <c r="R5018" s="86"/>
      <c r="S5018" s="44"/>
      <c r="T5018" s="44"/>
      <c r="U5018" s="40"/>
      <c r="V5018" s="11"/>
      <c r="W5018" s="11"/>
      <c r="X5018" s="40"/>
      <c r="Y5018" s="44"/>
      <c r="Z5018" s="44"/>
    </row>
    <row r="5019" spans="17:26" ht="13" x14ac:dyDescent="0.3">
      <c r="Q5019" s="44"/>
      <c r="R5019" s="86"/>
      <c r="S5019" s="44"/>
      <c r="T5019" s="44"/>
      <c r="U5019" s="40"/>
      <c r="V5019" s="16"/>
      <c r="W5019" s="16"/>
      <c r="X5019" s="40"/>
      <c r="Y5019" s="45"/>
      <c r="Z5019" s="45"/>
    </row>
    <row r="5020" spans="17:26" x14ac:dyDescent="0.25">
      <c r="Q5020" s="44"/>
      <c r="R5020" s="40"/>
      <c r="S5020" s="44"/>
      <c r="T5020" s="44"/>
      <c r="U5020" s="45"/>
      <c r="V5020" s="11"/>
      <c r="W5020" s="11"/>
      <c r="X5020" s="45"/>
      <c r="Y5020" s="44"/>
      <c r="Z5020" s="44"/>
    </row>
    <row r="5021" spans="17:26" ht="13" x14ac:dyDescent="0.3">
      <c r="Q5021" s="44"/>
      <c r="R5021" s="86"/>
      <c r="S5021" s="44"/>
      <c r="T5021" s="44"/>
      <c r="U5021" s="40"/>
      <c r="V5021" s="14"/>
      <c r="W5021" s="14"/>
      <c r="X5021" s="40"/>
      <c r="Y5021" s="41"/>
      <c r="Z5021" s="41"/>
    </row>
    <row r="5022" spans="17:26" ht="13" x14ac:dyDescent="0.25">
      <c r="Q5022" s="44"/>
      <c r="R5022" s="40"/>
      <c r="S5022" s="44"/>
      <c r="T5022" s="44"/>
      <c r="U5022" s="45"/>
      <c r="V5022" s="14"/>
      <c r="W5022" s="14"/>
      <c r="X5022" s="45"/>
      <c r="Y5022" s="41"/>
      <c r="Z5022" s="41"/>
    </row>
    <row r="5023" spans="17:26" ht="14.5" x14ac:dyDescent="0.35">
      <c r="Q5023" s="44"/>
      <c r="R5023" s="40"/>
      <c r="S5023" s="44"/>
      <c r="T5023" s="44"/>
      <c r="U5023" s="43"/>
      <c r="V5023" s="11"/>
      <c r="W5023" s="11"/>
      <c r="X5023" s="43"/>
      <c r="Y5023" s="44"/>
      <c r="Z5023" s="44"/>
    </row>
    <row r="5024" spans="17:26" x14ac:dyDescent="0.25">
      <c r="Q5024" s="44"/>
      <c r="R5024" s="40"/>
      <c r="S5024" s="44"/>
      <c r="T5024" s="44"/>
      <c r="U5024" s="45"/>
      <c r="V5024" s="11"/>
      <c r="W5024" s="11"/>
      <c r="X5024" s="45"/>
      <c r="Y5024" s="44"/>
      <c r="Z5024" s="44"/>
    </row>
    <row r="5025" spans="17:26" x14ac:dyDescent="0.25">
      <c r="Q5025" s="44"/>
      <c r="R5025" s="40"/>
      <c r="S5025" s="44"/>
      <c r="T5025" s="44"/>
      <c r="U5025" s="11"/>
      <c r="V5025" s="42"/>
      <c r="W5025" s="78"/>
      <c r="X5025" s="44"/>
      <c r="Y5025" s="42"/>
      <c r="Z5025" s="78"/>
    </row>
    <row r="5026" spans="17:26" ht="14.5" x14ac:dyDescent="0.35">
      <c r="Q5026" s="44"/>
      <c r="R5026" s="43"/>
      <c r="S5026" s="44"/>
      <c r="T5026" s="44"/>
      <c r="U5026" s="11"/>
      <c r="V5026" s="11"/>
      <c r="W5026" s="11"/>
      <c r="X5026" s="11"/>
      <c r="Y5026" s="11"/>
      <c r="Z5026" s="11"/>
    </row>
    <row r="5027" spans="17:26" ht="13" x14ac:dyDescent="0.25">
      <c r="Q5027" s="44"/>
      <c r="R5027" s="40"/>
      <c r="S5027" s="44"/>
      <c r="T5027" s="44"/>
      <c r="U5027" s="16"/>
      <c r="V5027" s="41"/>
      <c r="W5027" s="41"/>
      <c r="X5027" s="45"/>
      <c r="Y5027" s="41"/>
      <c r="Z5027" s="41"/>
    </row>
    <row r="5028" spans="17:26" ht="13" x14ac:dyDescent="0.25">
      <c r="Q5028" s="44"/>
      <c r="R5028" s="42"/>
      <c r="S5028" s="44"/>
      <c r="T5028" s="44"/>
      <c r="U5028" s="11"/>
      <c r="V5028" s="41"/>
      <c r="W5028" s="41"/>
      <c r="X5028" s="44"/>
      <c r="Y5028" s="41"/>
      <c r="Z5028" s="41"/>
    </row>
    <row r="5029" spans="17:26" ht="13" x14ac:dyDescent="0.3">
      <c r="Q5029" s="44"/>
      <c r="R5029" s="86"/>
      <c r="S5029" s="44"/>
      <c r="T5029" s="44"/>
      <c r="U5029" s="40"/>
      <c r="V5029" s="11"/>
      <c r="W5029" s="11"/>
      <c r="X5029" s="40"/>
      <c r="Y5029" s="44"/>
      <c r="Z5029" s="44"/>
    </row>
    <row r="5030" spans="17:26" ht="13" x14ac:dyDescent="0.3">
      <c r="Q5030" s="44"/>
      <c r="R5030" s="86"/>
      <c r="S5030" s="44"/>
      <c r="T5030" s="44"/>
      <c r="U5030" s="40"/>
      <c r="V5030" s="16"/>
      <c r="W5030" s="16"/>
      <c r="X5030" s="40"/>
      <c r="Y5030" s="45"/>
      <c r="Z5030" s="45"/>
    </row>
    <row r="5031" spans="17:26" x14ac:dyDescent="0.25">
      <c r="Q5031" s="44"/>
      <c r="R5031" s="40"/>
      <c r="S5031" s="44"/>
      <c r="T5031" s="44"/>
      <c r="U5031" s="45"/>
      <c r="V5031" s="11"/>
      <c r="W5031" s="11"/>
      <c r="X5031" s="45"/>
      <c r="Y5031" s="44"/>
      <c r="Z5031" s="44"/>
    </row>
    <row r="5032" spans="17:26" ht="13" x14ac:dyDescent="0.3">
      <c r="Q5032" s="44"/>
      <c r="R5032" s="86"/>
      <c r="S5032" s="44"/>
      <c r="T5032" s="44"/>
      <c r="U5032" s="40"/>
      <c r="V5032" s="14"/>
      <c r="W5032" s="14"/>
      <c r="X5032" s="40"/>
      <c r="Y5032" s="41"/>
      <c r="Z5032" s="41"/>
    </row>
    <row r="5033" spans="17:26" ht="13" x14ac:dyDescent="0.25">
      <c r="Q5033" s="44"/>
      <c r="R5033" s="40"/>
      <c r="S5033" s="44"/>
      <c r="T5033" s="44"/>
      <c r="U5033" s="45"/>
      <c r="V5033" s="14"/>
      <c r="W5033" s="14"/>
      <c r="X5033" s="45"/>
      <c r="Y5033" s="41"/>
      <c r="Z5033" s="41"/>
    </row>
    <row r="5034" spans="17:26" ht="14.5" x14ac:dyDescent="0.35">
      <c r="Q5034" s="44"/>
      <c r="R5034" s="40"/>
      <c r="S5034" s="44"/>
      <c r="T5034" s="44"/>
      <c r="U5034" s="43"/>
      <c r="V5034" s="11"/>
      <c r="W5034" s="11"/>
      <c r="X5034" s="43"/>
      <c r="Y5034" s="44"/>
      <c r="Z5034" s="44"/>
    </row>
    <row r="5035" spans="17:26" x14ac:dyDescent="0.25">
      <c r="Q5035" s="44"/>
      <c r="R5035" s="40"/>
      <c r="S5035" s="44"/>
      <c r="T5035" s="44"/>
      <c r="U5035" s="45"/>
      <c r="V5035" s="11"/>
      <c r="W5035" s="11"/>
      <c r="X5035" s="45"/>
      <c r="Y5035" s="44"/>
      <c r="Z5035" s="44"/>
    </row>
    <row r="5036" spans="17:26" x14ac:dyDescent="0.25">
      <c r="Q5036" s="44"/>
      <c r="R5036" s="40"/>
      <c r="S5036" s="44"/>
      <c r="T5036" s="44"/>
      <c r="U5036" s="11"/>
      <c r="V5036" s="42"/>
      <c r="W5036" s="78"/>
      <c r="X5036" s="44"/>
      <c r="Y5036" s="42"/>
      <c r="Z5036" s="78"/>
    </row>
    <row r="5037" spans="17:26" ht="14.5" x14ac:dyDescent="0.35">
      <c r="Q5037" s="44"/>
      <c r="R5037" s="43"/>
      <c r="S5037" s="44"/>
      <c r="T5037" s="44"/>
      <c r="U5037" s="11"/>
      <c r="V5037" s="11"/>
      <c r="W5037" s="11"/>
      <c r="X5037" s="11"/>
      <c r="Y5037" s="11"/>
      <c r="Z5037" s="11"/>
    </row>
    <row r="5038" spans="17:26" ht="13" x14ac:dyDescent="0.25">
      <c r="Q5038" s="44"/>
      <c r="R5038" s="40"/>
      <c r="S5038" s="44"/>
      <c r="T5038" s="44"/>
      <c r="U5038" s="16"/>
      <c r="V5038" s="41"/>
      <c r="W5038" s="41"/>
      <c r="X5038" s="45"/>
      <c r="Y5038" s="41"/>
      <c r="Z5038" s="41"/>
    </row>
    <row r="5039" spans="17:26" ht="13" x14ac:dyDescent="0.25">
      <c r="Q5039" s="44"/>
      <c r="R5039" s="42"/>
      <c r="S5039" s="44"/>
      <c r="T5039" s="44"/>
      <c r="U5039" s="11"/>
      <c r="V5039" s="41"/>
      <c r="W5039" s="41"/>
      <c r="X5039" s="44"/>
      <c r="Y5039" s="41"/>
      <c r="Z5039" s="41"/>
    </row>
    <row r="5040" spans="17:26" ht="13" x14ac:dyDescent="0.3">
      <c r="Q5040" s="44"/>
      <c r="R5040" s="86"/>
      <c r="S5040" s="44"/>
      <c r="T5040" s="44"/>
      <c r="U5040" s="40"/>
      <c r="V5040" s="11"/>
      <c r="W5040" s="11"/>
      <c r="X5040" s="40"/>
      <c r="Y5040" s="44"/>
      <c r="Z5040" s="44"/>
    </row>
    <row r="5041" spans="17:26" ht="13" x14ac:dyDescent="0.3">
      <c r="Q5041" s="44"/>
      <c r="R5041" s="86"/>
      <c r="S5041" s="44"/>
      <c r="T5041" s="44"/>
      <c r="U5041" s="40"/>
      <c r="V5041" s="16"/>
      <c r="W5041" s="16"/>
      <c r="X5041" s="40"/>
      <c r="Y5041" s="45"/>
      <c r="Z5041" s="45"/>
    </row>
    <row r="5042" spans="17:26" x14ac:dyDescent="0.25">
      <c r="Q5042" s="44"/>
      <c r="R5042" s="40"/>
      <c r="S5042" s="44"/>
      <c r="T5042" s="44"/>
      <c r="U5042" s="45"/>
      <c r="V5042" s="11"/>
      <c r="W5042" s="11"/>
      <c r="X5042" s="45"/>
      <c r="Y5042" s="44"/>
      <c r="Z5042" s="44"/>
    </row>
    <row r="5043" spans="17:26" ht="13" x14ac:dyDescent="0.3">
      <c r="Q5043" s="44"/>
      <c r="R5043" s="86"/>
      <c r="S5043" s="44"/>
      <c r="T5043" s="44"/>
      <c r="U5043" s="40"/>
      <c r="V5043" s="14"/>
      <c r="W5043" s="14"/>
      <c r="X5043" s="40"/>
      <c r="Y5043" s="41"/>
      <c r="Z5043" s="41"/>
    </row>
    <row r="5044" spans="17:26" ht="13" x14ac:dyDescent="0.25">
      <c r="Q5044" s="44"/>
      <c r="R5044" s="40"/>
      <c r="S5044" s="44"/>
      <c r="T5044" s="44"/>
      <c r="U5044" s="45"/>
      <c r="V5044" s="14"/>
      <c r="W5044" s="14"/>
      <c r="X5044" s="45"/>
      <c r="Y5044" s="41"/>
      <c r="Z5044" s="41"/>
    </row>
    <row r="5045" spans="17:26" ht="14.5" x14ac:dyDescent="0.35">
      <c r="Q5045" s="44"/>
      <c r="R5045" s="40"/>
      <c r="S5045" s="44"/>
      <c r="T5045" s="44"/>
      <c r="U5045" s="43"/>
      <c r="V5045" s="11"/>
      <c r="W5045" s="11"/>
      <c r="X5045" s="43"/>
      <c r="Y5045" s="44"/>
      <c r="Z5045" s="44"/>
    </row>
    <row r="5046" spans="17:26" x14ac:dyDescent="0.25">
      <c r="Q5046" s="44"/>
      <c r="R5046" s="40"/>
      <c r="S5046" s="44"/>
      <c r="T5046" s="44"/>
      <c r="U5046" s="45"/>
      <c r="V5046" s="11"/>
      <c r="W5046" s="11"/>
      <c r="X5046" s="45"/>
      <c r="Y5046" s="44"/>
      <c r="Z5046" s="44"/>
    </row>
    <row r="5047" spans="17:26" x14ac:dyDescent="0.25">
      <c r="Q5047" s="44"/>
      <c r="R5047" s="40"/>
      <c r="S5047" s="44"/>
      <c r="T5047" s="44"/>
      <c r="U5047" s="11"/>
      <c r="V5047" s="42"/>
      <c r="W5047" s="78"/>
      <c r="X5047" s="44"/>
      <c r="Y5047" s="42"/>
      <c r="Z5047" s="78"/>
    </row>
    <row r="5048" spans="17:26" ht="14.5" x14ac:dyDescent="0.35">
      <c r="Q5048" s="44"/>
      <c r="R5048" s="43"/>
      <c r="S5048" s="44"/>
      <c r="T5048" s="44"/>
      <c r="U5048" s="11"/>
      <c r="V5048" s="11"/>
      <c r="W5048" s="11"/>
      <c r="X5048" s="11"/>
      <c r="Y5048" s="11"/>
      <c r="Z5048" s="11"/>
    </row>
    <row r="5049" spans="17:26" ht="13" x14ac:dyDescent="0.25">
      <c r="Q5049" s="44"/>
      <c r="R5049" s="40"/>
      <c r="S5049" s="44"/>
      <c r="T5049" s="44"/>
      <c r="U5049" s="16"/>
      <c r="V5049" s="41"/>
      <c r="W5049" s="41"/>
      <c r="X5049" s="45"/>
      <c r="Y5049" s="41"/>
      <c r="Z5049" s="41"/>
    </row>
    <row r="5050" spans="17:26" ht="13" x14ac:dyDescent="0.25">
      <c r="Q5050" s="44"/>
      <c r="R5050" s="42"/>
      <c r="S5050" s="44"/>
      <c r="T5050" s="44"/>
      <c r="U5050" s="11"/>
      <c r="V5050" s="41"/>
      <c r="W5050" s="41"/>
      <c r="X5050" s="44"/>
      <c r="Y5050" s="41"/>
      <c r="Z5050" s="41"/>
    </row>
    <row r="5051" spans="17:26" ht="13" x14ac:dyDescent="0.3">
      <c r="Q5051" s="44"/>
      <c r="R5051" s="86"/>
      <c r="S5051" s="44"/>
      <c r="T5051" s="44"/>
      <c r="U5051" s="40"/>
      <c r="V5051" s="11"/>
      <c r="W5051" s="11"/>
      <c r="X5051" s="40"/>
      <c r="Y5051" s="44"/>
      <c r="Z5051" s="44"/>
    </row>
    <row r="5052" spans="17:26" ht="13" x14ac:dyDescent="0.3">
      <c r="Q5052" s="44"/>
      <c r="R5052" s="86"/>
      <c r="S5052" s="44"/>
      <c r="T5052" s="44"/>
      <c r="U5052" s="40"/>
      <c r="V5052" s="16"/>
      <c r="W5052" s="16"/>
      <c r="X5052" s="40"/>
      <c r="Y5052" s="45"/>
      <c r="Z5052" s="45"/>
    </row>
    <row r="5053" spans="17:26" x14ac:dyDescent="0.25">
      <c r="Q5053" s="44"/>
      <c r="R5053" s="40"/>
      <c r="S5053" s="44"/>
      <c r="T5053" s="44"/>
      <c r="U5053" s="45"/>
      <c r="V5053" s="11"/>
      <c r="W5053" s="11"/>
      <c r="X5053" s="45"/>
      <c r="Y5053" s="44"/>
      <c r="Z5053" s="44"/>
    </row>
    <row r="5054" spans="17:26" ht="13" x14ac:dyDescent="0.3">
      <c r="Q5054" s="44"/>
      <c r="R5054" s="86"/>
      <c r="S5054" s="44"/>
      <c r="T5054" s="44"/>
      <c r="U5054" s="40"/>
      <c r="V5054" s="14"/>
      <c r="W5054" s="14"/>
      <c r="X5054" s="40"/>
      <c r="Y5054" s="41"/>
      <c r="Z5054" s="41"/>
    </row>
    <row r="5055" spans="17:26" ht="13" x14ac:dyDescent="0.25">
      <c r="Q5055" s="44"/>
      <c r="R5055" s="40"/>
      <c r="S5055" s="44"/>
      <c r="T5055" s="44"/>
      <c r="U5055" s="45"/>
      <c r="V5055" s="14"/>
      <c r="W5055" s="14"/>
      <c r="X5055" s="45"/>
      <c r="Y5055" s="41"/>
      <c r="Z5055" s="41"/>
    </row>
    <row r="5056" spans="17:26" ht="14.5" x14ac:dyDescent="0.35">
      <c r="Q5056" s="44"/>
      <c r="R5056" s="40"/>
      <c r="S5056" s="44"/>
      <c r="T5056" s="44"/>
      <c r="U5056" s="43"/>
      <c r="V5056" s="11"/>
      <c r="W5056" s="11"/>
      <c r="X5056" s="43"/>
      <c r="Y5056" s="44"/>
      <c r="Z5056" s="44"/>
    </row>
    <row r="5057" spans="17:26" x14ac:dyDescent="0.25">
      <c r="Q5057" s="44"/>
      <c r="R5057" s="40"/>
      <c r="S5057" s="44"/>
      <c r="T5057" s="44"/>
      <c r="U5057" s="45"/>
      <c r="V5057" s="11"/>
      <c r="W5057" s="11"/>
      <c r="X5057" s="45"/>
      <c r="Y5057" s="44"/>
      <c r="Z5057" s="44"/>
    </row>
    <row r="5058" spans="17:26" x14ac:dyDescent="0.25">
      <c r="Q5058" s="44"/>
      <c r="R5058" s="40"/>
      <c r="S5058" s="44"/>
      <c r="T5058" s="44"/>
      <c r="U5058" s="11"/>
      <c r="V5058" s="42"/>
      <c r="W5058" s="78"/>
      <c r="X5058" s="44"/>
      <c r="Y5058" s="42"/>
      <c r="Z5058" s="78"/>
    </row>
    <row r="5059" spans="17:26" ht="14.5" x14ac:dyDescent="0.35">
      <c r="Q5059" s="44"/>
      <c r="R5059" s="43"/>
      <c r="S5059" s="44"/>
      <c r="T5059" s="44"/>
      <c r="U5059" s="11"/>
      <c r="V5059" s="11"/>
      <c r="W5059" s="11"/>
      <c r="X5059" s="11"/>
      <c r="Y5059" s="11"/>
      <c r="Z5059" s="11"/>
    </row>
    <row r="5060" spans="17:26" ht="13" x14ac:dyDescent="0.25">
      <c r="Q5060" s="44"/>
      <c r="R5060" s="40"/>
      <c r="S5060" s="44"/>
      <c r="T5060" s="44"/>
      <c r="U5060" s="16"/>
      <c r="V5060" s="41"/>
      <c r="W5060" s="41"/>
      <c r="X5060" s="45"/>
      <c r="Y5060" s="41"/>
      <c r="Z5060" s="41"/>
    </row>
    <row r="5061" spans="17:26" ht="13" x14ac:dyDescent="0.25">
      <c r="Q5061" s="44"/>
      <c r="R5061" s="42"/>
      <c r="S5061" s="44"/>
      <c r="T5061" s="44"/>
      <c r="U5061" s="11"/>
      <c r="V5061" s="41"/>
      <c r="W5061" s="41"/>
      <c r="X5061" s="44"/>
      <c r="Y5061" s="41"/>
      <c r="Z5061" s="41"/>
    </row>
    <row r="5062" spans="17:26" ht="13" x14ac:dyDescent="0.3">
      <c r="Q5062" s="44"/>
      <c r="R5062" s="86"/>
      <c r="S5062" s="44"/>
      <c r="T5062" s="44"/>
      <c r="U5062" s="40"/>
      <c r="V5062" s="11"/>
      <c r="W5062" s="11"/>
      <c r="X5062" s="40"/>
      <c r="Y5062" s="44"/>
      <c r="Z5062" s="44"/>
    </row>
    <row r="5063" spans="17:26" ht="13" x14ac:dyDescent="0.3">
      <c r="Q5063" s="44"/>
      <c r="R5063" s="86"/>
      <c r="S5063" s="44"/>
      <c r="T5063" s="44"/>
      <c r="U5063" s="40"/>
      <c r="V5063" s="16"/>
      <c r="W5063" s="16"/>
      <c r="X5063" s="40"/>
      <c r="Y5063" s="45"/>
      <c r="Z5063" s="45"/>
    </row>
    <row r="5064" spans="17:26" x14ac:dyDescent="0.25">
      <c r="Q5064" s="44"/>
      <c r="R5064" s="40"/>
      <c r="S5064" s="44"/>
      <c r="T5064" s="44"/>
      <c r="U5064" s="45"/>
      <c r="V5064" s="11"/>
      <c r="W5064" s="11"/>
      <c r="X5064" s="45"/>
      <c r="Y5064" s="44"/>
      <c r="Z5064" s="44"/>
    </row>
    <row r="5065" spans="17:26" ht="13" x14ac:dyDescent="0.3">
      <c r="Q5065" s="44"/>
      <c r="R5065" s="86"/>
      <c r="S5065" s="44"/>
      <c r="T5065" s="44"/>
      <c r="U5065" s="40"/>
      <c r="V5065" s="14"/>
      <c r="W5065" s="14"/>
      <c r="X5065" s="40"/>
      <c r="Y5065" s="41"/>
      <c r="Z5065" s="41"/>
    </row>
    <row r="5066" spans="17:26" ht="13" x14ac:dyDescent="0.25">
      <c r="Q5066" s="44"/>
      <c r="R5066" s="40"/>
      <c r="S5066" s="44"/>
      <c r="T5066" s="44"/>
      <c r="U5066" s="45"/>
      <c r="V5066" s="14"/>
      <c r="W5066" s="14"/>
      <c r="X5066" s="45"/>
      <c r="Y5066" s="41"/>
      <c r="Z5066" s="41"/>
    </row>
    <row r="5067" spans="17:26" ht="14.5" x14ac:dyDescent="0.35">
      <c r="Q5067" s="44"/>
      <c r="R5067" s="40"/>
      <c r="S5067" s="44"/>
      <c r="T5067" s="44"/>
      <c r="U5067" s="43"/>
      <c r="V5067" s="11"/>
      <c r="W5067" s="11"/>
      <c r="X5067" s="43"/>
      <c r="Y5067" s="44"/>
      <c r="Z5067" s="44"/>
    </row>
    <row r="5068" spans="17:26" x14ac:dyDescent="0.25">
      <c r="Q5068" s="44"/>
      <c r="R5068" s="40"/>
      <c r="S5068" s="44"/>
      <c r="T5068" s="44"/>
      <c r="U5068" s="45"/>
      <c r="V5068" s="11"/>
      <c r="W5068" s="11"/>
      <c r="X5068" s="45"/>
      <c r="Y5068" s="44"/>
      <c r="Z5068" s="44"/>
    </row>
    <row r="5069" spans="17:26" x14ac:dyDescent="0.25">
      <c r="Q5069" s="44"/>
      <c r="R5069" s="40"/>
      <c r="S5069" s="44"/>
      <c r="T5069" s="44"/>
      <c r="U5069" s="11"/>
      <c r="V5069" s="42"/>
      <c r="W5069" s="78"/>
      <c r="X5069" s="44"/>
      <c r="Y5069" s="42"/>
      <c r="Z5069" s="78"/>
    </row>
    <row r="5070" spans="17:26" ht="14.5" x14ac:dyDescent="0.35">
      <c r="Q5070" s="44"/>
      <c r="R5070" s="43"/>
      <c r="S5070" s="44"/>
      <c r="T5070" s="44"/>
      <c r="U5070" s="11"/>
      <c r="V5070" s="11"/>
      <c r="W5070" s="11"/>
      <c r="X5070" s="11"/>
      <c r="Y5070" s="11"/>
      <c r="Z5070" s="11"/>
    </row>
    <row r="5071" spans="17:26" ht="13" x14ac:dyDescent="0.25">
      <c r="Q5071" s="44"/>
      <c r="R5071" s="40"/>
      <c r="S5071" s="44"/>
      <c r="T5071" s="44"/>
      <c r="U5071" s="16"/>
      <c r="V5071" s="41"/>
      <c r="W5071" s="41"/>
      <c r="X5071" s="45"/>
      <c r="Y5071" s="41"/>
      <c r="Z5071" s="41"/>
    </row>
    <row r="5072" spans="17:26" ht="13" x14ac:dyDescent="0.25">
      <c r="Q5072" s="44"/>
      <c r="R5072" s="42"/>
      <c r="S5072" s="44"/>
      <c r="T5072" s="44"/>
      <c r="U5072" s="11"/>
      <c r="V5072" s="41"/>
      <c r="W5072" s="41"/>
      <c r="X5072" s="44"/>
      <c r="Y5072" s="41"/>
      <c r="Z5072" s="41"/>
    </row>
    <row r="5073" spans="17:26" ht="13" x14ac:dyDescent="0.3">
      <c r="Q5073" s="44"/>
      <c r="R5073" s="86"/>
      <c r="S5073" s="44"/>
      <c r="T5073" s="44"/>
      <c r="U5073" s="40"/>
      <c r="V5073" s="11"/>
      <c r="W5073" s="11"/>
      <c r="X5073" s="40"/>
      <c r="Y5073" s="44"/>
      <c r="Z5073" s="44"/>
    </row>
    <row r="5074" spans="17:26" ht="13" x14ac:dyDescent="0.3">
      <c r="Q5074" s="44"/>
      <c r="R5074" s="86"/>
      <c r="S5074" s="44"/>
      <c r="T5074" s="44"/>
      <c r="U5074" s="40"/>
      <c r="V5074" s="16"/>
      <c r="W5074" s="16"/>
      <c r="X5074" s="40"/>
      <c r="Y5074" s="45"/>
      <c r="Z5074" s="45"/>
    </row>
    <row r="5075" spans="17:26" x14ac:dyDescent="0.25">
      <c r="Q5075" s="44"/>
      <c r="R5075" s="40"/>
      <c r="S5075" s="44"/>
      <c r="T5075" s="44"/>
      <c r="U5075" s="45"/>
      <c r="V5075" s="11"/>
      <c r="W5075" s="11"/>
      <c r="X5075" s="45"/>
      <c r="Y5075" s="44"/>
      <c r="Z5075" s="44"/>
    </row>
    <row r="5076" spans="17:26" ht="13" x14ac:dyDescent="0.3">
      <c r="Q5076" s="44"/>
      <c r="R5076" s="86"/>
      <c r="S5076" s="44"/>
      <c r="T5076" s="44"/>
      <c r="U5076" s="40"/>
      <c r="V5076" s="14"/>
      <c r="W5076" s="14"/>
      <c r="X5076" s="40"/>
      <c r="Y5076" s="41"/>
      <c r="Z5076" s="41"/>
    </row>
    <row r="5077" spans="17:26" ht="13" x14ac:dyDescent="0.25">
      <c r="Q5077" s="44"/>
      <c r="R5077" s="40"/>
      <c r="S5077" s="44"/>
      <c r="T5077" s="44"/>
      <c r="U5077" s="45"/>
      <c r="V5077" s="14"/>
      <c r="W5077" s="14"/>
      <c r="X5077" s="45"/>
      <c r="Y5077" s="41"/>
      <c r="Z5077" s="41"/>
    </row>
    <row r="5078" spans="17:26" ht="14.5" x14ac:dyDescent="0.35">
      <c r="Q5078" s="44"/>
      <c r="R5078" s="40"/>
      <c r="S5078" s="44"/>
      <c r="T5078" s="44"/>
      <c r="U5078" s="43"/>
      <c r="V5078" s="11"/>
      <c r="W5078" s="11"/>
      <c r="X5078" s="43"/>
      <c r="Y5078" s="44"/>
      <c r="Z5078" s="44"/>
    </row>
    <row r="5079" spans="17:26" x14ac:dyDescent="0.25">
      <c r="Q5079" s="44"/>
      <c r="R5079" s="40"/>
      <c r="S5079" s="44"/>
      <c r="T5079" s="44"/>
      <c r="U5079" s="45"/>
      <c r="V5079" s="11"/>
      <c r="W5079" s="11"/>
      <c r="X5079" s="45"/>
      <c r="Y5079" s="44"/>
      <c r="Z5079" s="44"/>
    </row>
    <row r="5080" spans="17:26" x14ac:dyDescent="0.25">
      <c r="Q5080" s="44"/>
      <c r="R5080" s="40"/>
      <c r="S5080" s="44"/>
      <c r="T5080" s="44"/>
      <c r="U5080" s="11"/>
      <c r="V5080" s="42"/>
      <c r="W5080" s="78"/>
      <c r="X5080" s="44"/>
      <c r="Y5080" s="42"/>
      <c r="Z5080" s="78"/>
    </row>
    <row r="5081" spans="17:26" ht="14.5" x14ac:dyDescent="0.35">
      <c r="Q5081" s="44"/>
      <c r="R5081" s="43"/>
      <c r="S5081" s="44"/>
      <c r="T5081" s="44"/>
      <c r="U5081" s="11"/>
      <c r="V5081" s="11"/>
      <c r="W5081" s="11"/>
      <c r="X5081" s="11"/>
      <c r="Y5081" s="11"/>
      <c r="Z5081" s="11"/>
    </row>
    <row r="5082" spans="17:26" ht="13" x14ac:dyDescent="0.25">
      <c r="Q5082" s="44"/>
      <c r="R5082" s="40"/>
      <c r="S5082" s="44"/>
      <c r="T5082" s="44"/>
      <c r="U5082" s="16"/>
      <c r="V5082" s="41"/>
      <c r="W5082" s="41"/>
      <c r="X5082" s="45"/>
      <c r="Y5082" s="41"/>
      <c r="Z5082" s="41"/>
    </row>
    <row r="5083" spans="17:26" ht="13" x14ac:dyDescent="0.25">
      <c r="Q5083" s="44"/>
      <c r="R5083" s="42"/>
      <c r="S5083" s="44"/>
      <c r="T5083" s="44"/>
      <c r="U5083" s="11"/>
      <c r="V5083" s="41"/>
      <c r="W5083" s="41"/>
      <c r="X5083" s="44"/>
      <c r="Y5083" s="41"/>
      <c r="Z5083" s="41"/>
    </row>
    <row r="5084" spans="17:26" ht="13" x14ac:dyDescent="0.3">
      <c r="Q5084" s="44"/>
      <c r="R5084" s="86"/>
      <c r="S5084" s="44"/>
      <c r="T5084" s="44"/>
      <c r="U5084" s="40"/>
      <c r="V5084" s="11"/>
      <c r="W5084" s="11"/>
      <c r="X5084" s="40"/>
      <c r="Y5084" s="44"/>
      <c r="Z5084" s="44"/>
    </row>
    <row r="5085" spans="17:26" ht="13" x14ac:dyDescent="0.3">
      <c r="Q5085" s="44"/>
      <c r="R5085" s="86"/>
      <c r="S5085" s="44"/>
      <c r="T5085" s="44"/>
      <c r="U5085" s="40"/>
      <c r="V5085" s="16"/>
      <c r="W5085" s="16"/>
      <c r="X5085" s="40"/>
      <c r="Y5085" s="45"/>
      <c r="Z5085" s="45"/>
    </row>
    <row r="5086" spans="17:26" x14ac:dyDescent="0.25">
      <c r="Q5086" s="44"/>
      <c r="R5086" s="40"/>
      <c r="S5086" s="44"/>
      <c r="T5086" s="44"/>
      <c r="U5086" s="45"/>
      <c r="V5086" s="11"/>
      <c r="W5086" s="11"/>
      <c r="X5086" s="45"/>
      <c r="Y5086" s="44"/>
      <c r="Z5086" s="44"/>
    </row>
    <row r="5087" spans="17:26" ht="13" x14ac:dyDescent="0.3">
      <c r="Q5087" s="44"/>
      <c r="R5087" s="86"/>
      <c r="S5087" s="44"/>
      <c r="T5087" s="44"/>
      <c r="U5087" s="40"/>
      <c r="V5087" s="14"/>
      <c r="W5087" s="14"/>
      <c r="X5087" s="40"/>
      <c r="Y5087" s="41"/>
      <c r="Z5087" s="41"/>
    </row>
    <row r="5088" spans="17:26" ht="13" x14ac:dyDescent="0.25">
      <c r="Q5088" s="44"/>
      <c r="R5088" s="40"/>
      <c r="S5088" s="44"/>
      <c r="T5088" s="44"/>
      <c r="U5088" s="45"/>
      <c r="V5088" s="14"/>
      <c r="W5088" s="14"/>
      <c r="X5088" s="45"/>
      <c r="Y5088" s="41"/>
      <c r="Z5088" s="41"/>
    </row>
    <row r="5089" spans="17:26" ht="14.5" x14ac:dyDescent="0.35">
      <c r="Q5089" s="44"/>
      <c r="R5089" s="40"/>
      <c r="S5089" s="44"/>
      <c r="T5089" s="44"/>
      <c r="U5089" s="43"/>
      <c r="V5089" s="11"/>
      <c r="W5089" s="11"/>
      <c r="X5089" s="43"/>
      <c r="Y5089" s="44"/>
      <c r="Z5089" s="44"/>
    </row>
    <row r="5090" spans="17:26" x14ac:dyDescent="0.25">
      <c r="Q5090" s="44"/>
      <c r="R5090" s="40"/>
      <c r="S5090" s="44"/>
      <c r="T5090" s="44"/>
      <c r="U5090" s="45"/>
      <c r="V5090" s="11"/>
      <c r="W5090" s="11"/>
      <c r="X5090" s="45"/>
      <c r="Y5090" s="44"/>
      <c r="Z5090" s="44"/>
    </row>
    <row r="5091" spans="17:26" x14ac:dyDescent="0.25">
      <c r="Q5091" s="44"/>
      <c r="R5091" s="40"/>
      <c r="S5091" s="44"/>
      <c r="T5091" s="44"/>
      <c r="U5091" s="11"/>
      <c r="V5091" s="42"/>
      <c r="W5091" s="78"/>
      <c r="X5091" s="44"/>
      <c r="Y5091" s="42"/>
      <c r="Z5091" s="78"/>
    </row>
    <row r="5092" spans="17:26" ht="14.5" x14ac:dyDescent="0.35">
      <c r="Q5092" s="44"/>
      <c r="R5092" s="43"/>
      <c r="S5092" s="44"/>
      <c r="T5092" s="44"/>
      <c r="U5092" s="11"/>
      <c r="V5092" s="11"/>
      <c r="W5092" s="11"/>
      <c r="X5092" s="11"/>
      <c r="Y5092" s="11"/>
      <c r="Z5092" s="11"/>
    </row>
    <row r="5093" spans="17:26" ht="13" x14ac:dyDescent="0.25">
      <c r="Q5093" s="44"/>
      <c r="R5093" s="40"/>
      <c r="S5093" s="44"/>
      <c r="T5093" s="44"/>
      <c r="U5093" s="16"/>
      <c r="V5093" s="41"/>
      <c r="W5093" s="41"/>
      <c r="X5093" s="45"/>
      <c r="Y5093" s="41"/>
      <c r="Z5093" s="41"/>
    </row>
    <row r="5094" spans="17:26" ht="13" x14ac:dyDescent="0.25">
      <c r="Q5094" s="44"/>
      <c r="R5094" s="42"/>
      <c r="S5094" s="44"/>
      <c r="T5094" s="44"/>
      <c r="U5094" s="11"/>
      <c r="V5094" s="41"/>
      <c r="W5094" s="41"/>
      <c r="X5094" s="44"/>
      <c r="Y5094" s="41"/>
      <c r="Z5094" s="41"/>
    </row>
    <row r="5095" spans="17:26" ht="13" x14ac:dyDescent="0.3">
      <c r="Q5095" s="44"/>
      <c r="R5095" s="86"/>
      <c r="S5095" s="44"/>
      <c r="T5095" s="44"/>
      <c r="U5095" s="40"/>
      <c r="V5095" s="11"/>
      <c r="W5095" s="11"/>
      <c r="X5095" s="40"/>
      <c r="Y5095" s="44"/>
      <c r="Z5095" s="44"/>
    </row>
    <row r="5096" spans="17:26" ht="13" x14ac:dyDescent="0.3">
      <c r="Q5096" s="44"/>
      <c r="R5096" s="86"/>
      <c r="S5096" s="44"/>
      <c r="T5096" s="44"/>
      <c r="U5096" s="40"/>
      <c r="V5096" s="16"/>
      <c r="W5096" s="16"/>
      <c r="X5096" s="40"/>
      <c r="Y5096" s="45"/>
      <c r="Z5096" s="45"/>
    </row>
    <row r="5097" spans="17:26" x14ac:dyDescent="0.25">
      <c r="Q5097" s="44"/>
      <c r="R5097" s="40"/>
      <c r="S5097" s="44"/>
      <c r="T5097" s="44"/>
      <c r="U5097" s="45"/>
      <c r="V5097" s="11"/>
      <c r="W5097" s="11"/>
      <c r="X5097" s="45"/>
      <c r="Y5097" s="44"/>
      <c r="Z5097" s="44"/>
    </row>
    <row r="5098" spans="17:26" ht="13" x14ac:dyDescent="0.3">
      <c r="Q5098" s="44"/>
      <c r="R5098" s="86"/>
      <c r="S5098" s="44"/>
      <c r="T5098" s="44"/>
      <c r="U5098" s="40"/>
      <c r="V5098" s="14"/>
      <c r="W5098" s="14"/>
      <c r="X5098" s="40"/>
      <c r="Y5098" s="41"/>
      <c r="Z5098" s="41"/>
    </row>
    <row r="5099" spans="17:26" ht="13" x14ac:dyDescent="0.25">
      <c r="Q5099" s="44"/>
      <c r="R5099" s="40"/>
      <c r="S5099" s="44"/>
      <c r="T5099" s="44"/>
      <c r="U5099" s="45"/>
      <c r="V5099" s="14"/>
      <c r="W5099" s="14"/>
      <c r="X5099" s="45"/>
      <c r="Y5099" s="41"/>
      <c r="Z5099" s="41"/>
    </row>
    <row r="5100" spans="17:26" ht="14.5" x14ac:dyDescent="0.35">
      <c r="Q5100" s="44"/>
      <c r="R5100" s="40"/>
      <c r="S5100" s="44"/>
      <c r="T5100" s="44"/>
      <c r="U5100" s="43"/>
      <c r="V5100" s="11"/>
      <c r="W5100" s="11"/>
      <c r="X5100" s="43"/>
      <c r="Y5100" s="44"/>
      <c r="Z5100" s="44"/>
    </row>
    <row r="5101" spans="17:26" x14ac:dyDescent="0.25">
      <c r="Q5101" s="44"/>
      <c r="R5101" s="40"/>
      <c r="S5101" s="44"/>
      <c r="T5101" s="44"/>
      <c r="U5101" s="45"/>
      <c r="V5101" s="11"/>
      <c r="W5101" s="11"/>
      <c r="X5101" s="45"/>
      <c r="Y5101" s="44"/>
      <c r="Z5101" s="44"/>
    </row>
    <row r="5102" spans="17:26" x14ac:dyDescent="0.25">
      <c r="Q5102" s="44"/>
      <c r="R5102" s="40"/>
      <c r="S5102" s="44"/>
      <c r="T5102" s="44"/>
      <c r="U5102" s="11"/>
      <c r="V5102" s="42"/>
      <c r="W5102" s="78"/>
      <c r="X5102" s="44"/>
      <c r="Y5102" s="42"/>
      <c r="Z5102" s="78"/>
    </row>
    <row r="5103" spans="17:26" ht="14.5" x14ac:dyDescent="0.35">
      <c r="Q5103" s="44"/>
      <c r="R5103" s="43"/>
      <c r="S5103" s="44"/>
      <c r="T5103" s="44"/>
      <c r="U5103" s="11"/>
      <c r="V5103" s="11"/>
      <c r="W5103" s="11"/>
      <c r="X5103" s="11"/>
      <c r="Y5103" s="11"/>
      <c r="Z5103" s="11"/>
    </row>
    <row r="5104" spans="17:26" ht="13" x14ac:dyDescent="0.25">
      <c r="Q5104" s="44"/>
      <c r="R5104" s="40"/>
      <c r="S5104" s="44"/>
      <c r="T5104" s="44"/>
      <c r="U5104" s="16"/>
      <c r="V5104" s="41"/>
      <c r="W5104" s="41"/>
      <c r="X5104" s="45"/>
      <c r="Y5104" s="41"/>
      <c r="Z5104" s="41"/>
    </row>
    <row r="5105" spans="17:26" ht="13" x14ac:dyDescent="0.25">
      <c r="Q5105" s="44"/>
      <c r="R5105" s="42"/>
      <c r="S5105" s="44"/>
      <c r="T5105" s="44"/>
      <c r="U5105" s="11"/>
      <c r="V5105" s="41"/>
      <c r="W5105" s="41"/>
      <c r="X5105" s="44"/>
      <c r="Y5105" s="41"/>
      <c r="Z5105" s="41"/>
    </row>
    <row r="5106" spans="17:26" ht="13" x14ac:dyDescent="0.3">
      <c r="Q5106" s="44"/>
      <c r="R5106" s="86"/>
      <c r="S5106" s="44"/>
      <c r="T5106" s="44"/>
      <c r="U5106" s="40"/>
      <c r="V5106" s="11"/>
      <c r="W5106" s="11"/>
      <c r="X5106" s="40"/>
      <c r="Y5106" s="44"/>
      <c r="Z5106" s="44"/>
    </row>
    <row r="5107" spans="17:26" ht="13" x14ac:dyDescent="0.3">
      <c r="Q5107" s="44"/>
      <c r="R5107" s="86"/>
      <c r="S5107" s="44"/>
      <c r="T5107" s="44"/>
      <c r="U5107" s="40"/>
      <c r="V5107" s="16"/>
      <c r="W5107" s="16"/>
      <c r="X5107" s="40"/>
      <c r="Y5107" s="45"/>
      <c r="Z5107" s="45"/>
    </row>
    <row r="5108" spans="17:26" x14ac:dyDescent="0.25">
      <c r="Q5108" s="44"/>
      <c r="R5108" s="40"/>
      <c r="S5108" s="44"/>
      <c r="T5108" s="44"/>
      <c r="U5108" s="45"/>
      <c r="V5108" s="11"/>
      <c r="W5108" s="11"/>
      <c r="X5108" s="45"/>
      <c r="Y5108" s="44"/>
      <c r="Z5108" s="44"/>
    </row>
    <row r="5109" spans="17:26" ht="13" x14ac:dyDescent="0.3">
      <c r="Q5109" s="44"/>
      <c r="R5109" s="86"/>
      <c r="S5109" s="44"/>
      <c r="T5109" s="44"/>
      <c r="U5109" s="40"/>
      <c r="V5109" s="14"/>
      <c r="W5109" s="14"/>
      <c r="X5109" s="40"/>
      <c r="Y5109" s="41"/>
      <c r="Z5109" s="41"/>
    </row>
    <row r="5110" spans="17:26" ht="13" x14ac:dyDescent="0.25">
      <c r="Q5110" s="44"/>
      <c r="R5110" s="40"/>
      <c r="S5110" s="44"/>
      <c r="T5110" s="44"/>
      <c r="U5110" s="45"/>
      <c r="V5110" s="14"/>
      <c r="W5110" s="14"/>
      <c r="X5110" s="45"/>
      <c r="Y5110" s="41"/>
      <c r="Z5110" s="41"/>
    </row>
    <row r="5111" spans="17:26" ht="14.5" x14ac:dyDescent="0.35">
      <c r="Q5111" s="44"/>
      <c r="R5111" s="40"/>
      <c r="S5111" s="44"/>
      <c r="T5111" s="44"/>
      <c r="U5111" s="43"/>
      <c r="V5111" s="11"/>
      <c r="W5111" s="11"/>
      <c r="X5111" s="43"/>
      <c r="Y5111" s="44"/>
      <c r="Z5111" s="44"/>
    </row>
    <row r="5112" spans="17:26" x14ac:dyDescent="0.25">
      <c r="Q5112" s="44"/>
      <c r="R5112" s="40"/>
      <c r="S5112" s="44"/>
      <c r="T5112" s="44"/>
      <c r="U5112" s="45"/>
      <c r="V5112" s="11"/>
      <c r="W5112" s="11"/>
      <c r="X5112" s="45"/>
      <c r="Y5112" s="44"/>
      <c r="Z5112" s="44"/>
    </row>
    <row r="5113" spans="17:26" x14ac:dyDescent="0.25">
      <c r="Q5113" s="44"/>
      <c r="R5113" s="40"/>
      <c r="S5113" s="44"/>
      <c r="T5113" s="44"/>
      <c r="U5113" s="11"/>
      <c r="V5113" s="42"/>
      <c r="W5113" s="78"/>
      <c r="X5113" s="44"/>
      <c r="Y5113" s="42"/>
      <c r="Z5113" s="78"/>
    </row>
    <row r="5114" spans="17:26" ht="14.5" x14ac:dyDescent="0.35">
      <c r="Q5114" s="44"/>
      <c r="R5114" s="43"/>
      <c r="S5114" s="44"/>
      <c r="T5114" s="44"/>
      <c r="U5114" s="11"/>
      <c r="V5114" s="11"/>
      <c r="W5114" s="11"/>
      <c r="X5114" s="11"/>
      <c r="Y5114" s="11"/>
      <c r="Z5114" s="11"/>
    </row>
    <row r="5115" spans="17:26" ht="13" x14ac:dyDescent="0.25">
      <c r="Q5115" s="44"/>
      <c r="R5115" s="40"/>
      <c r="S5115" s="44"/>
      <c r="T5115" s="44"/>
      <c r="U5115" s="16"/>
      <c r="V5115" s="41"/>
      <c r="W5115" s="41"/>
      <c r="X5115" s="45"/>
      <c r="Y5115" s="41"/>
      <c r="Z5115" s="41"/>
    </row>
    <row r="5116" spans="17:26" ht="13" x14ac:dyDescent="0.25">
      <c r="Q5116" s="44"/>
      <c r="R5116" s="42"/>
      <c r="S5116" s="44"/>
      <c r="T5116" s="44"/>
      <c r="U5116" s="11"/>
      <c r="V5116" s="41"/>
      <c r="W5116" s="41"/>
      <c r="X5116" s="44"/>
      <c r="Y5116" s="41"/>
      <c r="Z5116" s="41"/>
    </row>
    <row r="5117" spans="17:26" ht="13" x14ac:dyDescent="0.3">
      <c r="Q5117" s="44"/>
      <c r="R5117" s="86"/>
      <c r="S5117" s="44"/>
      <c r="T5117" s="44"/>
      <c r="U5117" s="40"/>
      <c r="V5117" s="11"/>
      <c r="W5117" s="11"/>
      <c r="X5117" s="40"/>
      <c r="Y5117" s="44"/>
      <c r="Z5117" s="44"/>
    </row>
    <row r="5118" spans="17:26" ht="13" x14ac:dyDescent="0.3">
      <c r="Q5118" s="44"/>
      <c r="R5118" s="86"/>
      <c r="S5118" s="44"/>
      <c r="T5118" s="44"/>
      <c r="U5118" s="40"/>
      <c r="V5118" s="16"/>
      <c r="W5118" s="16"/>
      <c r="X5118" s="40"/>
      <c r="Y5118" s="45"/>
      <c r="Z5118" s="45"/>
    </row>
    <row r="5119" spans="17:26" x14ac:dyDescent="0.25">
      <c r="Q5119" s="44"/>
      <c r="R5119" s="40"/>
      <c r="S5119" s="44"/>
      <c r="T5119" s="44"/>
      <c r="U5119" s="45"/>
      <c r="V5119" s="11"/>
      <c r="W5119" s="11"/>
      <c r="X5119" s="45"/>
      <c r="Y5119" s="44"/>
      <c r="Z5119" s="44"/>
    </row>
    <row r="5120" spans="17:26" ht="13" x14ac:dyDescent="0.3">
      <c r="Q5120" s="44"/>
      <c r="R5120" s="86"/>
      <c r="S5120" s="44"/>
      <c r="T5120" s="44"/>
      <c r="U5120" s="40"/>
      <c r="V5120" s="14"/>
      <c r="W5120" s="14"/>
      <c r="X5120" s="40"/>
      <c r="Y5120" s="41"/>
      <c r="Z5120" s="41"/>
    </row>
    <row r="5121" spans="17:26" ht="13" x14ac:dyDescent="0.25">
      <c r="Q5121" s="44"/>
      <c r="R5121" s="40"/>
      <c r="S5121" s="44"/>
      <c r="T5121" s="44"/>
      <c r="U5121" s="45"/>
      <c r="V5121" s="14"/>
      <c r="W5121" s="14"/>
      <c r="X5121" s="45"/>
      <c r="Y5121" s="41"/>
      <c r="Z5121" s="41"/>
    </row>
    <row r="5122" spans="17:26" ht="14.5" x14ac:dyDescent="0.35">
      <c r="Q5122" s="44"/>
      <c r="R5122" s="40"/>
      <c r="S5122" s="44"/>
      <c r="T5122" s="44"/>
      <c r="U5122" s="43"/>
      <c r="V5122" s="11"/>
      <c r="W5122" s="11"/>
      <c r="X5122" s="43"/>
      <c r="Y5122" s="44"/>
      <c r="Z5122" s="44"/>
    </row>
    <row r="5123" spans="17:26" x14ac:dyDescent="0.25">
      <c r="Q5123" s="44"/>
      <c r="R5123" s="40"/>
      <c r="S5123" s="44"/>
      <c r="T5123" s="44"/>
      <c r="U5123" s="45"/>
      <c r="V5123" s="11"/>
      <c r="W5123" s="11"/>
      <c r="X5123" s="45"/>
      <c r="Y5123" s="44"/>
      <c r="Z5123" s="44"/>
    </row>
    <row r="5124" spans="17:26" x14ac:dyDescent="0.25">
      <c r="Q5124" s="44"/>
      <c r="R5124" s="40"/>
      <c r="S5124" s="44"/>
      <c r="T5124" s="44"/>
      <c r="U5124" s="11"/>
      <c r="V5124" s="42"/>
      <c r="W5124" s="78"/>
      <c r="X5124" s="44"/>
      <c r="Y5124" s="42"/>
      <c r="Z5124" s="78"/>
    </row>
    <row r="5125" spans="17:26" ht="14.5" x14ac:dyDescent="0.35">
      <c r="Q5125" s="44"/>
      <c r="R5125" s="43"/>
      <c r="S5125" s="44"/>
      <c r="T5125" s="44"/>
      <c r="U5125" s="11"/>
      <c r="V5125" s="11"/>
      <c r="W5125" s="11"/>
      <c r="X5125" s="11"/>
      <c r="Y5125" s="11"/>
      <c r="Z5125" s="11"/>
    </row>
    <row r="5126" spans="17:26" ht="13" x14ac:dyDescent="0.25">
      <c r="Q5126" s="44"/>
      <c r="R5126" s="40"/>
      <c r="S5126" s="44"/>
      <c r="T5126" s="44"/>
      <c r="U5126" s="16"/>
      <c r="V5126" s="41"/>
      <c r="W5126" s="41"/>
      <c r="X5126" s="45"/>
      <c r="Y5126" s="41"/>
      <c r="Z5126" s="41"/>
    </row>
    <row r="5127" spans="17:26" ht="13" x14ac:dyDescent="0.25">
      <c r="Q5127" s="44"/>
      <c r="R5127" s="42"/>
      <c r="S5127" s="44"/>
      <c r="T5127" s="44"/>
      <c r="U5127" s="11"/>
      <c r="V5127" s="41"/>
      <c r="W5127" s="41"/>
      <c r="X5127" s="44"/>
      <c r="Y5127" s="41"/>
      <c r="Z5127" s="41"/>
    </row>
    <row r="5128" spans="17:26" ht="14.5" x14ac:dyDescent="0.35">
      <c r="Q5128" s="44"/>
      <c r="R5128" s="47"/>
      <c r="S5128" s="44"/>
      <c r="T5128" s="44"/>
      <c r="U5128" s="40"/>
      <c r="V5128" s="11"/>
      <c r="W5128" s="11"/>
      <c r="X5128" s="40"/>
      <c r="Y5128" s="44"/>
      <c r="Z5128" s="44"/>
    </row>
    <row r="5129" spans="17:26" ht="14.5" x14ac:dyDescent="0.35">
      <c r="Q5129" s="44"/>
      <c r="R5129" s="43"/>
      <c r="S5129" s="44"/>
      <c r="T5129" s="44"/>
      <c r="U5129" s="40"/>
      <c r="V5129" s="16"/>
      <c r="W5129" s="16"/>
      <c r="X5129" s="40"/>
      <c r="Y5129" s="45"/>
      <c r="Z5129" s="45"/>
    </row>
    <row r="5130" spans="17:26" x14ac:dyDescent="0.25">
      <c r="Q5130" s="44"/>
      <c r="R5130" s="40"/>
      <c r="S5130" s="44"/>
      <c r="T5130" s="44"/>
      <c r="U5130" s="45"/>
      <c r="V5130" s="11"/>
      <c r="W5130" s="11"/>
      <c r="X5130" s="45"/>
      <c r="Y5130" s="44"/>
      <c r="Z5130" s="44"/>
    </row>
    <row r="5131" spans="17:26" ht="14.5" x14ac:dyDescent="0.35">
      <c r="Q5131" s="44"/>
      <c r="R5131" s="43"/>
      <c r="S5131" s="44"/>
      <c r="T5131" s="44"/>
      <c r="U5131" s="40"/>
      <c r="V5131" s="14"/>
      <c r="W5131" s="14"/>
      <c r="X5131" s="40"/>
      <c r="Y5131" s="41"/>
      <c r="Z5131" s="41"/>
    </row>
    <row r="5132" spans="17:26" ht="13" x14ac:dyDescent="0.25">
      <c r="Q5132" s="44"/>
      <c r="R5132" s="40"/>
      <c r="S5132" s="44"/>
      <c r="T5132" s="44"/>
      <c r="U5132" s="45"/>
      <c r="V5132" s="14"/>
      <c r="W5132" s="14"/>
      <c r="X5132" s="45"/>
      <c r="Y5132" s="41"/>
      <c r="Z5132" s="41"/>
    </row>
    <row r="5133" spans="17:26" ht="14.5" x14ac:dyDescent="0.35">
      <c r="Q5133" s="44"/>
      <c r="R5133" s="40"/>
      <c r="S5133" s="44"/>
      <c r="T5133" s="44"/>
      <c r="U5133" s="43"/>
      <c r="V5133" s="11"/>
      <c r="W5133" s="11"/>
      <c r="X5133" s="43"/>
      <c r="Y5133" s="44"/>
      <c r="Z5133" s="44"/>
    </row>
    <row r="5134" spans="17:26" x14ac:dyDescent="0.25">
      <c r="Q5134" s="44"/>
      <c r="R5134" s="40"/>
      <c r="S5134" s="44"/>
      <c r="T5134" s="44"/>
      <c r="U5134" s="45"/>
      <c r="V5134" s="11"/>
      <c r="W5134" s="11"/>
      <c r="X5134" s="45"/>
      <c r="Y5134" s="44"/>
      <c r="Z5134" s="44"/>
    </row>
    <row r="5135" spans="17:26" x14ac:dyDescent="0.25">
      <c r="Q5135" s="44"/>
      <c r="R5135" s="40"/>
      <c r="S5135" s="44"/>
      <c r="T5135" s="44"/>
      <c r="U5135" s="11"/>
      <c r="V5135" s="42"/>
      <c r="W5135" s="78"/>
      <c r="X5135" s="44"/>
      <c r="Y5135" s="42"/>
      <c r="Z5135" s="78"/>
    </row>
    <row r="5136" spans="17:26" x14ac:dyDescent="0.25">
      <c r="Q5136" s="44"/>
      <c r="R5136" s="40"/>
      <c r="S5136" s="44"/>
      <c r="T5136" s="44"/>
      <c r="U5136" s="11"/>
      <c r="V5136" s="11"/>
      <c r="W5136" s="11"/>
      <c r="X5136" s="11"/>
      <c r="Y5136" s="11"/>
      <c r="Z5136" s="11"/>
    </row>
    <row r="5137" spans="17:26" ht="13" x14ac:dyDescent="0.25">
      <c r="Q5137" s="44"/>
      <c r="R5137" s="40"/>
      <c r="S5137" s="44"/>
      <c r="T5137" s="44"/>
      <c r="U5137" s="16"/>
      <c r="V5137" s="41"/>
      <c r="W5137" s="41"/>
      <c r="X5137" s="45"/>
      <c r="Y5137" s="41"/>
      <c r="Z5137" s="41"/>
    </row>
    <row r="5138" spans="17:26" ht="13" x14ac:dyDescent="0.25">
      <c r="Q5138" s="44"/>
      <c r="R5138" s="42"/>
      <c r="S5138" s="44"/>
      <c r="T5138" s="44"/>
      <c r="U5138" s="11"/>
      <c r="V5138" s="41"/>
      <c r="W5138" s="41"/>
      <c r="X5138" s="44"/>
      <c r="Y5138" s="41"/>
      <c r="Z5138" s="41"/>
    </row>
    <row r="5139" spans="17:26" ht="14.5" x14ac:dyDescent="0.35">
      <c r="Q5139" s="44"/>
      <c r="R5139" s="47"/>
      <c r="S5139" s="44"/>
      <c r="T5139" s="44"/>
      <c r="U5139" s="40"/>
      <c r="V5139" s="11"/>
      <c r="W5139" s="11"/>
      <c r="X5139" s="40"/>
      <c r="Y5139" s="44"/>
      <c r="Z5139" s="44"/>
    </row>
    <row r="5140" spans="17:26" ht="14.5" x14ac:dyDescent="0.35">
      <c r="Q5140" s="44"/>
      <c r="R5140" s="43"/>
      <c r="S5140" s="44"/>
      <c r="T5140" s="44"/>
      <c r="U5140" s="40"/>
      <c r="V5140" s="16"/>
      <c r="W5140" s="16"/>
      <c r="X5140" s="40"/>
      <c r="Y5140" s="45"/>
      <c r="Z5140" s="45"/>
    </row>
    <row r="5141" spans="17:26" x14ac:dyDescent="0.25">
      <c r="Q5141" s="44"/>
      <c r="R5141" s="40"/>
      <c r="S5141" s="44"/>
      <c r="T5141" s="44"/>
      <c r="U5141" s="45"/>
      <c r="V5141" s="11"/>
      <c r="W5141" s="11"/>
      <c r="X5141" s="45"/>
      <c r="Y5141" s="44"/>
      <c r="Z5141" s="44"/>
    </row>
    <row r="5142" spans="17:26" ht="14.5" x14ac:dyDescent="0.35">
      <c r="Q5142" s="11"/>
      <c r="R5142" s="79"/>
      <c r="S5142" s="11"/>
      <c r="T5142" s="11"/>
      <c r="U5142" s="40"/>
      <c r="V5142" s="14"/>
      <c r="W5142" s="14"/>
      <c r="X5142" s="40"/>
      <c r="Y5142" s="41"/>
      <c r="Z5142" s="41"/>
    </row>
    <row r="5143" spans="17:26" ht="13" x14ac:dyDescent="0.25">
      <c r="Q5143" s="11"/>
      <c r="R5143" s="15"/>
      <c r="S5143" s="11"/>
      <c r="T5143" s="11"/>
      <c r="U5143" s="45"/>
      <c r="V5143" s="14"/>
      <c r="W5143" s="14"/>
      <c r="X5143" s="45"/>
      <c r="Y5143" s="41"/>
      <c r="Z5143" s="41"/>
    </row>
    <row r="5144" spans="17:26" ht="14.5" x14ac:dyDescent="0.35">
      <c r="Q5144" s="11"/>
      <c r="R5144" s="15"/>
      <c r="S5144" s="11"/>
      <c r="T5144" s="11"/>
      <c r="U5144" s="43"/>
      <c r="V5144" s="11"/>
      <c r="W5144" s="11"/>
      <c r="X5144" s="43"/>
      <c r="Y5144" s="44"/>
      <c r="Z5144" s="44"/>
    </row>
    <row r="5145" spans="17:26" x14ac:dyDescent="0.25">
      <c r="Q5145" s="11"/>
      <c r="R5145" s="15"/>
      <c r="S5145" s="11"/>
      <c r="T5145" s="11"/>
      <c r="U5145" s="45"/>
      <c r="V5145" s="11"/>
      <c r="W5145" s="11"/>
      <c r="X5145" s="45"/>
      <c r="Y5145" s="44"/>
      <c r="Z5145" s="44"/>
    </row>
    <row r="5146" spans="17:26" x14ac:dyDescent="0.25">
      <c r="Q5146" s="11"/>
      <c r="R5146" s="15"/>
      <c r="S5146" s="11"/>
      <c r="T5146" s="11"/>
      <c r="U5146" s="11"/>
      <c r="V5146" s="42"/>
      <c r="W5146" s="78"/>
      <c r="X5146" s="44"/>
      <c r="Y5146" s="42"/>
      <c r="Z5146" s="78"/>
    </row>
    <row r="5147" spans="17:26" ht="14" x14ac:dyDescent="0.3">
      <c r="Q5147" s="11"/>
      <c r="R5147" s="46"/>
      <c r="S5147" s="11"/>
      <c r="T5147" s="11"/>
      <c r="U5147" s="11"/>
      <c r="V5147" s="11"/>
      <c r="W5147" s="11"/>
      <c r="X5147" s="11"/>
      <c r="Y5147" s="11"/>
      <c r="Z5147" s="11"/>
    </row>
    <row r="5148" spans="17:26" ht="13" x14ac:dyDescent="0.25">
      <c r="Q5148" s="11"/>
      <c r="R5148" s="15"/>
      <c r="S5148" s="11"/>
      <c r="T5148" s="11"/>
      <c r="U5148" s="16"/>
      <c r="V5148" s="41"/>
      <c r="W5148" s="41"/>
      <c r="X5148" s="45"/>
      <c r="Y5148" s="41"/>
      <c r="Z5148" s="41"/>
    </row>
    <row r="5149" spans="17:26" ht="13" x14ac:dyDescent="0.25">
      <c r="Q5149" s="11"/>
      <c r="R5149" s="80"/>
      <c r="S5149" s="11"/>
      <c r="T5149" s="11"/>
      <c r="U5149" s="11"/>
      <c r="V5149" s="41"/>
      <c r="W5149" s="41"/>
      <c r="X5149" s="44"/>
      <c r="Y5149" s="41"/>
      <c r="Z5149" s="41"/>
    </row>
    <row r="5150" spans="17:26" ht="14.5" x14ac:dyDescent="0.35">
      <c r="Q5150" s="11"/>
      <c r="R5150" s="81"/>
      <c r="S5150" s="11"/>
      <c r="T5150" s="11"/>
      <c r="U5150" s="40"/>
      <c r="V5150" s="11"/>
      <c r="W5150" s="11"/>
      <c r="X5150" s="40"/>
      <c r="Y5150" s="44"/>
      <c r="Z5150" s="44"/>
    </row>
    <row r="5151" spans="17:26" ht="14.5" x14ac:dyDescent="0.35">
      <c r="Q5151" s="11"/>
      <c r="R5151" s="79"/>
      <c r="S5151" s="11"/>
      <c r="T5151" s="11"/>
      <c r="U5151" s="40"/>
      <c r="V5151" s="16"/>
      <c r="W5151" s="16"/>
      <c r="X5151" s="40"/>
      <c r="Y5151" s="45"/>
      <c r="Z5151" s="45"/>
    </row>
    <row r="5152" spans="17:26" x14ac:dyDescent="0.25">
      <c r="Q5152" s="11"/>
      <c r="R5152" s="15"/>
      <c r="S5152" s="11"/>
      <c r="T5152" s="11"/>
      <c r="U5152" s="45"/>
      <c r="V5152" s="11"/>
      <c r="W5152" s="11"/>
      <c r="X5152" s="45"/>
      <c r="Y5152" s="44"/>
      <c r="Z5152" s="44"/>
    </row>
    <row r="5153" spans="17:26" ht="14.5" x14ac:dyDescent="0.35">
      <c r="Q5153" s="11"/>
      <c r="R5153" s="79"/>
      <c r="S5153" s="11"/>
      <c r="T5153" s="11"/>
      <c r="U5153" s="40"/>
      <c r="V5153" s="14"/>
      <c r="W5153" s="14"/>
      <c r="X5153" s="40"/>
      <c r="Y5153" s="41"/>
      <c r="Z5153" s="41"/>
    </row>
    <row r="5154" spans="17:26" ht="13" x14ac:dyDescent="0.25">
      <c r="Q5154" s="11"/>
      <c r="R5154" s="15"/>
      <c r="S5154" s="11"/>
      <c r="T5154" s="11"/>
      <c r="U5154" s="45"/>
      <c r="V5154" s="14"/>
      <c r="W5154" s="14"/>
      <c r="X5154" s="45"/>
      <c r="Y5154" s="41"/>
      <c r="Z5154" s="41"/>
    </row>
    <row r="5155" spans="17:26" ht="14.5" x14ac:dyDescent="0.35">
      <c r="Q5155" s="11"/>
      <c r="R5155" s="15"/>
      <c r="S5155" s="11"/>
      <c r="T5155" s="11"/>
      <c r="U5155" s="43"/>
      <c r="V5155" s="11"/>
      <c r="W5155" s="11"/>
      <c r="X5155" s="43"/>
      <c r="Y5155" s="44"/>
      <c r="Z5155" s="44"/>
    </row>
    <row r="5156" spans="17:26" x14ac:dyDescent="0.25">
      <c r="Q5156" s="11"/>
      <c r="R5156" s="15"/>
      <c r="S5156" s="11"/>
      <c r="T5156" s="11"/>
      <c r="U5156" s="45"/>
      <c r="V5156" s="11"/>
      <c r="W5156" s="11"/>
      <c r="X5156" s="45"/>
      <c r="Y5156" s="44"/>
      <c r="Z5156" s="44"/>
    </row>
    <row r="5157" spans="17:26" x14ac:dyDescent="0.25">
      <c r="Q5157" s="11"/>
      <c r="R5157" s="15"/>
      <c r="S5157" s="11"/>
      <c r="T5157" s="11"/>
      <c r="U5157" s="11"/>
      <c r="V5157" s="42"/>
      <c r="W5157" s="78"/>
      <c r="X5157" s="44"/>
      <c r="Y5157" s="42"/>
      <c r="Z5157" s="78"/>
    </row>
    <row r="5158" spans="17:26" ht="14.5" x14ac:dyDescent="0.35">
      <c r="Q5158" s="11"/>
      <c r="R5158" s="79"/>
      <c r="S5158" s="11"/>
      <c r="T5158" s="11"/>
      <c r="U5158" s="11"/>
      <c r="V5158" s="11"/>
      <c r="W5158" s="11"/>
      <c r="X5158" s="11"/>
      <c r="Y5158" s="11"/>
      <c r="Z5158" s="11"/>
    </row>
    <row r="5159" spans="17:26" ht="13" x14ac:dyDescent="0.25">
      <c r="Q5159" s="11"/>
      <c r="R5159" s="15"/>
      <c r="S5159" s="11"/>
      <c r="T5159" s="11"/>
      <c r="U5159" s="16"/>
      <c r="V5159" s="41"/>
      <c r="W5159" s="41"/>
      <c r="X5159" s="45"/>
      <c r="Y5159" s="41"/>
      <c r="Z5159" s="41"/>
    </row>
    <row r="5160" spans="17:26" ht="13" x14ac:dyDescent="0.25">
      <c r="Q5160" s="11"/>
      <c r="R5160" s="80"/>
      <c r="S5160" s="11"/>
      <c r="T5160" s="11"/>
      <c r="U5160" s="11"/>
      <c r="V5160" s="41"/>
      <c r="W5160" s="41"/>
      <c r="X5160" s="44"/>
      <c r="Y5160" s="41"/>
      <c r="Z5160" s="41"/>
    </row>
    <row r="5161" spans="17:26" ht="14.5" x14ac:dyDescent="0.35">
      <c r="Q5161" s="11"/>
      <c r="R5161" s="81"/>
      <c r="S5161" s="11"/>
      <c r="T5161" s="11"/>
      <c r="U5161" s="40"/>
      <c r="V5161" s="11"/>
      <c r="W5161" s="11"/>
      <c r="X5161" s="40"/>
      <c r="Y5161" s="44"/>
      <c r="Z5161" s="44"/>
    </row>
    <row r="5162" spans="17:26" ht="14.5" x14ac:dyDescent="0.35">
      <c r="Q5162" s="11"/>
      <c r="R5162" s="79"/>
      <c r="S5162" s="11"/>
      <c r="T5162" s="11"/>
      <c r="U5162" s="40"/>
      <c r="V5162" s="16"/>
      <c r="W5162" s="16"/>
      <c r="X5162" s="40"/>
      <c r="Y5162" s="45"/>
      <c r="Z5162" s="45"/>
    </row>
    <row r="5163" spans="17:26" x14ac:dyDescent="0.25">
      <c r="Q5163" s="11"/>
      <c r="R5163" s="15"/>
      <c r="S5163" s="11"/>
      <c r="T5163" s="11"/>
      <c r="U5163" s="45"/>
      <c r="V5163" s="11"/>
      <c r="W5163" s="11"/>
      <c r="X5163" s="45"/>
      <c r="Y5163" s="44"/>
      <c r="Z5163" s="44"/>
    </row>
    <row r="5164" spans="17:26" ht="14.5" x14ac:dyDescent="0.35">
      <c r="Q5164" s="11"/>
      <c r="R5164" s="79"/>
      <c r="S5164" s="11"/>
      <c r="T5164" s="11"/>
      <c r="U5164" s="40"/>
      <c r="V5164" s="14"/>
      <c r="W5164" s="14"/>
      <c r="X5164" s="40"/>
      <c r="Y5164" s="41"/>
      <c r="Z5164" s="41"/>
    </row>
    <row r="5165" spans="17:26" ht="13" x14ac:dyDescent="0.25">
      <c r="Q5165" s="11"/>
      <c r="R5165" s="15"/>
      <c r="S5165" s="11"/>
      <c r="T5165" s="11"/>
      <c r="U5165" s="45"/>
      <c r="V5165" s="14"/>
      <c r="W5165" s="14"/>
      <c r="X5165" s="45"/>
      <c r="Y5165" s="41"/>
      <c r="Z5165" s="41"/>
    </row>
    <row r="5166" spans="17:26" ht="14.5" x14ac:dyDescent="0.35">
      <c r="Q5166" s="11"/>
      <c r="R5166" s="15"/>
      <c r="S5166" s="11"/>
      <c r="T5166" s="11"/>
      <c r="U5166" s="43"/>
      <c r="V5166" s="11"/>
      <c r="W5166" s="11"/>
      <c r="X5166" s="43"/>
      <c r="Y5166" s="44"/>
      <c r="Z5166" s="44"/>
    </row>
    <row r="5167" spans="17:26" x14ac:dyDescent="0.25">
      <c r="Q5167" s="11"/>
      <c r="R5167" s="15"/>
      <c r="S5167" s="11"/>
      <c r="T5167" s="11"/>
      <c r="U5167" s="45"/>
      <c r="V5167" s="11"/>
      <c r="W5167" s="11"/>
      <c r="X5167" s="45"/>
      <c r="Y5167" s="44"/>
      <c r="Z5167" s="44"/>
    </row>
    <row r="5168" spans="17:26" x14ac:dyDescent="0.25">
      <c r="Q5168" s="11"/>
      <c r="R5168" s="15"/>
      <c r="S5168" s="11"/>
      <c r="T5168" s="11"/>
      <c r="U5168" s="11"/>
      <c r="V5168" s="42"/>
      <c r="W5168" s="78"/>
      <c r="X5168" s="44"/>
      <c r="Y5168" s="42"/>
      <c r="Z5168" s="78"/>
    </row>
    <row r="5169" spans="17:26" x14ac:dyDescent="0.25">
      <c r="Q5169" s="11"/>
      <c r="R5169" s="15"/>
      <c r="S5169" s="11"/>
      <c r="T5169" s="11"/>
      <c r="U5169" s="11"/>
      <c r="V5169" s="11"/>
      <c r="W5169" s="11"/>
      <c r="X5169" s="11"/>
      <c r="Y5169" s="11"/>
      <c r="Z5169" s="11"/>
    </row>
    <row r="5170" spans="17:26" ht="13" x14ac:dyDescent="0.25">
      <c r="Q5170" s="11"/>
      <c r="R5170" s="15"/>
      <c r="S5170" s="11"/>
      <c r="T5170" s="11"/>
      <c r="U5170" s="16"/>
      <c r="V5170" s="41"/>
      <c r="W5170" s="41"/>
      <c r="X5170" s="45"/>
      <c r="Y5170" s="41"/>
      <c r="Z5170" s="41"/>
    </row>
    <row r="5171" spans="17:26" ht="13" x14ac:dyDescent="0.25">
      <c r="Q5171" s="11"/>
      <c r="R5171" s="15"/>
      <c r="S5171" s="11"/>
      <c r="T5171" s="11"/>
      <c r="U5171" s="11"/>
      <c r="V5171" s="41"/>
      <c r="W5171" s="41"/>
      <c r="X5171" s="44"/>
      <c r="Y5171" s="41"/>
      <c r="Z5171" s="41"/>
    </row>
    <row r="5172" spans="17:26" ht="14.5" x14ac:dyDescent="0.35">
      <c r="Q5172" s="11"/>
      <c r="R5172" s="81"/>
      <c r="S5172" s="11"/>
      <c r="T5172" s="11"/>
      <c r="U5172" s="40"/>
      <c r="V5172" s="11"/>
      <c r="W5172" s="11"/>
      <c r="X5172" s="40"/>
      <c r="Y5172" s="44"/>
      <c r="Z5172" s="44"/>
    </row>
    <row r="5173" spans="17:26" ht="14.5" x14ac:dyDescent="0.35">
      <c r="Q5173" s="11"/>
      <c r="R5173" s="79"/>
      <c r="S5173" s="11"/>
      <c r="T5173" s="11"/>
      <c r="U5173" s="40"/>
      <c r="V5173" s="16"/>
      <c r="W5173" s="16"/>
      <c r="X5173" s="40"/>
      <c r="Y5173" s="45"/>
      <c r="Z5173" s="45"/>
    </row>
    <row r="5174" spans="17:26" x14ac:dyDescent="0.25">
      <c r="Q5174" s="11"/>
      <c r="R5174" s="15"/>
      <c r="S5174" s="11"/>
      <c r="T5174" s="11"/>
      <c r="U5174" s="45"/>
      <c r="V5174" s="11"/>
      <c r="W5174" s="11"/>
      <c r="X5174" s="45"/>
      <c r="Y5174" s="44"/>
      <c r="Z5174" s="44"/>
    </row>
    <row r="5175" spans="17:26" ht="14.5" x14ac:dyDescent="0.35">
      <c r="Q5175" s="11"/>
      <c r="R5175" s="79"/>
      <c r="S5175" s="11"/>
      <c r="T5175" s="11"/>
      <c r="U5175" s="40"/>
      <c r="V5175" s="14"/>
      <c r="W5175" s="14"/>
      <c r="X5175" s="40"/>
      <c r="Y5175" s="41"/>
      <c r="Z5175" s="41"/>
    </row>
    <row r="5176" spans="17:26" ht="13" x14ac:dyDescent="0.25">
      <c r="Q5176" s="11"/>
      <c r="R5176" s="15"/>
      <c r="S5176" s="11"/>
      <c r="T5176" s="11"/>
      <c r="U5176" s="45"/>
      <c r="V5176" s="14"/>
      <c r="W5176" s="14"/>
      <c r="X5176" s="45"/>
      <c r="Y5176" s="41"/>
      <c r="Z5176" s="41"/>
    </row>
    <row r="5177" spans="17:26" ht="14.5" x14ac:dyDescent="0.35">
      <c r="Q5177" s="11"/>
      <c r="R5177" s="15"/>
      <c r="S5177" s="11"/>
      <c r="T5177" s="11"/>
      <c r="U5177" s="43"/>
      <c r="V5177" s="11"/>
      <c r="W5177" s="11"/>
      <c r="X5177" s="43"/>
      <c r="Y5177" s="44"/>
      <c r="Z5177" s="44"/>
    </row>
    <row r="5178" spans="17:26" x14ac:dyDescent="0.25">
      <c r="Q5178" s="11"/>
      <c r="R5178" s="15"/>
      <c r="S5178" s="11"/>
      <c r="T5178" s="11"/>
      <c r="U5178" s="45"/>
      <c r="V5178" s="11"/>
      <c r="W5178" s="11"/>
      <c r="X5178" s="45"/>
      <c r="Y5178" s="44"/>
      <c r="Z5178" s="44"/>
    </row>
    <row r="5179" spans="17:26" x14ac:dyDescent="0.25">
      <c r="Q5179" s="11"/>
      <c r="R5179" s="15"/>
      <c r="S5179" s="11"/>
      <c r="T5179" s="11"/>
      <c r="U5179" s="11"/>
      <c r="V5179" s="42"/>
      <c r="W5179" s="78"/>
      <c r="X5179" s="44"/>
      <c r="Y5179" s="42"/>
      <c r="Z5179" s="78"/>
    </row>
    <row r="5180" spans="17:26" x14ac:dyDescent="0.25">
      <c r="Q5180" s="11"/>
      <c r="R5180" s="15"/>
      <c r="S5180" s="11"/>
      <c r="T5180" s="11"/>
      <c r="U5180" s="11"/>
      <c r="V5180" s="11"/>
      <c r="W5180" s="11"/>
      <c r="X5180" s="11"/>
      <c r="Y5180" s="11"/>
      <c r="Z5180" s="11"/>
    </row>
    <row r="5181" spans="17:26" ht="13" x14ac:dyDescent="0.25">
      <c r="Q5181" s="11"/>
      <c r="R5181" s="15"/>
      <c r="S5181" s="11"/>
      <c r="T5181" s="11"/>
      <c r="U5181" s="16"/>
      <c r="V5181" s="41"/>
      <c r="W5181" s="41"/>
      <c r="X5181" s="45"/>
      <c r="Y5181" s="41"/>
      <c r="Z5181" s="41"/>
    </row>
    <row r="5182" spans="17:26" ht="13" x14ac:dyDescent="0.25">
      <c r="Q5182" s="11"/>
      <c r="R5182" s="80"/>
      <c r="S5182" s="11"/>
      <c r="T5182" s="11"/>
      <c r="U5182" s="11"/>
      <c r="V5182" s="41"/>
      <c r="W5182" s="41"/>
      <c r="X5182" s="44"/>
      <c r="Y5182" s="41"/>
      <c r="Z5182" s="41"/>
    </row>
    <row r="5183" spans="17:26" ht="14.5" x14ac:dyDescent="0.35">
      <c r="Q5183" s="11"/>
      <c r="R5183" s="81"/>
      <c r="S5183" s="11"/>
      <c r="T5183" s="11"/>
      <c r="U5183" s="40"/>
      <c r="V5183" s="11"/>
      <c r="W5183" s="11"/>
      <c r="X5183" s="40"/>
      <c r="Y5183" s="44"/>
      <c r="Z5183" s="44"/>
    </row>
    <row r="5184" spans="17:26" ht="14.5" x14ac:dyDescent="0.35">
      <c r="Q5184" s="11"/>
      <c r="R5184" s="79"/>
      <c r="S5184" s="11"/>
      <c r="T5184" s="11"/>
      <c r="U5184" s="40"/>
      <c r="V5184" s="16"/>
      <c r="W5184" s="16"/>
      <c r="X5184" s="40"/>
      <c r="Y5184" s="45"/>
      <c r="Z5184" s="45"/>
    </row>
    <row r="5185" spans="17:26" x14ac:dyDescent="0.25">
      <c r="Q5185" s="11"/>
      <c r="R5185" s="15"/>
      <c r="S5185" s="11"/>
      <c r="T5185" s="11"/>
      <c r="U5185" s="45"/>
      <c r="V5185" s="11"/>
      <c r="W5185" s="11"/>
      <c r="X5185" s="45"/>
      <c r="Y5185" s="44"/>
      <c r="Z5185" s="44"/>
    </row>
    <row r="5186" spans="17:26" ht="14.5" x14ac:dyDescent="0.35">
      <c r="Q5186" s="11"/>
      <c r="R5186" s="79"/>
      <c r="S5186" s="11"/>
      <c r="T5186" s="11"/>
      <c r="U5186" s="40"/>
      <c r="V5186" s="14"/>
      <c r="W5186" s="14"/>
      <c r="X5186" s="40"/>
      <c r="Y5186" s="41"/>
      <c r="Z5186" s="41"/>
    </row>
    <row r="5187" spans="17:26" ht="13" x14ac:dyDescent="0.25">
      <c r="Q5187" s="11"/>
      <c r="R5187" s="15"/>
      <c r="S5187" s="11"/>
      <c r="T5187" s="11"/>
      <c r="U5187" s="45"/>
      <c r="V5187" s="14"/>
      <c r="W5187" s="14"/>
      <c r="X5187" s="45"/>
      <c r="Y5187" s="41"/>
      <c r="Z5187" s="41"/>
    </row>
    <row r="5188" spans="17:26" ht="14.5" x14ac:dyDescent="0.35">
      <c r="Q5188" s="11"/>
      <c r="R5188" s="15"/>
      <c r="S5188" s="11"/>
      <c r="T5188" s="11"/>
      <c r="U5188" s="43"/>
      <c r="V5188" s="11"/>
      <c r="W5188" s="11"/>
      <c r="X5188" s="43"/>
      <c r="Y5188" s="44"/>
      <c r="Z5188" s="44"/>
    </row>
    <row r="5189" spans="17:26" x14ac:dyDescent="0.25">
      <c r="Q5189" s="11"/>
      <c r="R5189" s="15"/>
      <c r="S5189" s="11"/>
      <c r="T5189" s="11"/>
      <c r="U5189" s="45"/>
      <c r="V5189" s="11"/>
      <c r="W5189" s="11"/>
      <c r="X5189" s="45"/>
      <c r="Y5189" s="44"/>
      <c r="Z5189" s="44"/>
    </row>
    <row r="5190" spans="17:26" x14ac:dyDescent="0.25">
      <c r="Q5190" s="11"/>
      <c r="R5190" s="15"/>
      <c r="S5190" s="11"/>
      <c r="T5190" s="11"/>
      <c r="U5190" s="11"/>
      <c r="V5190" s="42"/>
      <c r="W5190" s="78"/>
      <c r="X5190" s="44"/>
      <c r="Y5190" s="42"/>
      <c r="Z5190" s="78"/>
    </row>
    <row r="5191" spans="17:26" x14ac:dyDescent="0.25">
      <c r="Q5191" s="11"/>
      <c r="R5191" s="15"/>
      <c r="S5191" s="11"/>
      <c r="T5191" s="11"/>
      <c r="U5191" s="11"/>
      <c r="V5191" s="11"/>
      <c r="W5191" s="11"/>
      <c r="X5191" s="11"/>
      <c r="Y5191" s="11"/>
      <c r="Z5191" s="11"/>
    </row>
    <row r="5192" spans="17:26" ht="13" x14ac:dyDescent="0.25">
      <c r="Q5192" s="11"/>
      <c r="R5192" s="15"/>
      <c r="S5192" s="11"/>
      <c r="T5192" s="11"/>
      <c r="U5192" s="16"/>
      <c r="V5192" s="41"/>
      <c r="W5192" s="41"/>
      <c r="X5192" s="45"/>
      <c r="Y5192" s="41"/>
      <c r="Z5192" s="41"/>
    </row>
    <row r="5193" spans="17:26" ht="13" x14ac:dyDescent="0.25">
      <c r="Q5193" s="11"/>
      <c r="R5193" s="80"/>
      <c r="S5193" s="11"/>
      <c r="T5193" s="11"/>
      <c r="U5193" s="11"/>
      <c r="V5193" s="41"/>
      <c r="W5193" s="41"/>
      <c r="X5193" s="44"/>
      <c r="Y5193" s="41"/>
      <c r="Z5193" s="41"/>
    </row>
    <row r="5194" spans="17:26" ht="14.5" x14ac:dyDescent="0.35">
      <c r="Q5194" s="11"/>
      <c r="R5194" s="81"/>
      <c r="S5194" s="11"/>
      <c r="T5194" s="11"/>
      <c r="U5194" s="40"/>
      <c r="V5194" s="11"/>
      <c r="W5194" s="11"/>
      <c r="X5194" s="40"/>
      <c r="Y5194" s="44"/>
      <c r="Z5194" s="44"/>
    </row>
    <row r="5195" spans="17:26" ht="14.5" x14ac:dyDescent="0.35">
      <c r="Q5195" s="11"/>
      <c r="R5195" s="79"/>
      <c r="S5195" s="11"/>
      <c r="T5195" s="11"/>
      <c r="U5195" s="40"/>
      <c r="V5195" s="16"/>
      <c r="W5195" s="16"/>
      <c r="X5195" s="40"/>
      <c r="Y5195" s="45"/>
      <c r="Z5195" s="45"/>
    </row>
    <row r="5196" spans="17:26" x14ac:dyDescent="0.25">
      <c r="Q5196" s="11"/>
      <c r="R5196" s="15"/>
      <c r="S5196" s="11"/>
      <c r="T5196" s="11"/>
      <c r="U5196" s="45"/>
      <c r="V5196" s="11"/>
      <c r="W5196" s="11"/>
      <c r="X5196" s="45"/>
      <c r="Y5196" s="44"/>
      <c r="Z5196" s="44"/>
    </row>
    <row r="5197" spans="17:26" ht="14.5" x14ac:dyDescent="0.35">
      <c r="Q5197" s="11"/>
      <c r="R5197" s="79"/>
      <c r="S5197" s="11"/>
      <c r="T5197" s="11"/>
      <c r="U5197" s="40"/>
      <c r="V5197" s="14"/>
      <c r="W5197" s="14"/>
      <c r="X5197" s="40"/>
      <c r="Y5197" s="41"/>
      <c r="Z5197" s="41"/>
    </row>
    <row r="5198" spans="17:26" ht="13" x14ac:dyDescent="0.25">
      <c r="Q5198" s="11"/>
      <c r="R5198" s="15"/>
      <c r="S5198" s="11"/>
      <c r="T5198" s="11"/>
      <c r="U5198" s="45"/>
      <c r="V5198" s="14"/>
      <c r="W5198" s="14"/>
      <c r="X5198" s="45"/>
      <c r="Y5198" s="41"/>
      <c r="Z5198" s="41"/>
    </row>
    <row r="5199" spans="17:26" ht="14.5" x14ac:dyDescent="0.35">
      <c r="Q5199" s="11"/>
      <c r="R5199" s="15"/>
      <c r="S5199" s="11"/>
      <c r="T5199" s="11"/>
      <c r="U5199" s="43"/>
      <c r="V5199" s="11"/>
      <c r="W5199" s="11"/>
      <c r="X5199" s="43"/>
      <c r="Y5199" s="44"/>
      <c r="Z5199" s="44"/>
    </row>
    <row r="5200" spans="17:26" x14ac:dyDescent="0.25">
      <c r="Q5200" s="11"/>
      <c r="R5200" s="15"/>
      <c r="S5200" s="11"/>
      <c r="T5200" s="11"/>
      <c r="U5200" s="45"/>
      <c r="V5200" s="11"/>
      <c r="W5200" s="11"/>
      <c r="X5200" s="45"/>
      <c r="Y5200" s="44"/>
      <c r="Z5200" s="44"/>
    </row>
    <row r="5201" spans="17:26" x14ac:dyDescent="0.25">
      <c r="Q5201" s="11"/>
      <c r="R5201" s="15"/>
      <c r="S5201" s="11"/>
      <c r="T5201" s="11"/>
      <c r="U5201" s="11"/>
      <c r="V5201" s="42"/>
      <c r="W5201" s="78"/>
      <c r="X5201" s="44"/>
      <c r="Y5201" s="42"/>
      <c r="Z5201" s="78"/>
    </row>
    <row r="5202" spans="17:26" x14ac:dyDescent="0.25">
      <c r="Q5202" s="11"/>
      <c r="R5202" s="15"/>
      <c r="S5202" s="11"/>
      <c r="T5202" s="11"/>
      <c r="U5202" s="11"/>
      <c r="V5202" s="11"/>
      <c r="W5202" s="11"/>
      <c r="X5202" s="11"/>
      <c r="Y5202" s="11"/>
      <c r="Z5202" s="11"/>
    </row>
    <row r="5203" spans="17:26" ht="13" x14ac:dyDescent="0.25">
      <c r="Q5203" s="11"/>
      <c r="R5203" s="15"/>
      <c r="S5203" s="11"/>
      <c r="T5203" s="11"/>
      <c r="U5203" s="16"/>
      <c r="V5203" s="41"/>
      <c r="W5203" s="41"/>
      <c r="X5203" s="45"/>
      <c r="Y5203" s="41"/>
      <c r="Z5203" s="41"/>
    </row>
    <row r="5204" spans="17:26" ht="13" x14ac:dyDescent="0.25">
      <c r="Q5204" s="11"/>
      <c r="R5204" s="80"/>
      <c r="S5204" s="11"/>
      <c r="T5204" s="11"/>
      <c r="U5204" s="11"/>
      <c r="V5204" s="41"/>
      <c r="W5204" s="41"/>
      <c r="X5204" s="44"/>
      <c r="Y5204" s="41"/>
      <c r="Z5204" s="41"/>
    </row>
    <row r="5205" spans="17:26" ht="14.5" x14ac:dyDescent="0.35">
      <c r="Q5205" s="11"/>
      <c r="R5205" s="81"/>
      <c r="S5205" s="11"/>
      <c r="T5205" s="11"/>
      <c r="U5205" s="40"/>
      <c r="V5205" s="11"/>
      <c r="W5205" s="11"/>
      <c r="X5205" s="40"/>
      <c r="Y5205" s="44"/>
      <c r="Z5205" s="44"/>
    </row>
    <row r="5206" spans="17:26" ht="14.5" x14ac:dyDescent="0.35">
      <c r="Q5206" s="11"/>
      <c r="R5206" s="79"/>
      <c r="S5206" s="11"/>
      <c r="T5206" s="11"/>
      <c r="U5206" s="40"/>
      <c r="V5206" s="16"/>
      <c r="W5206" s="16"/>
      <c r="X5206" s="40"/>
      <c r="Y5206" s="45"/>
      <c r="Z5206" s="45"/>
    </row>
    <row r="5207" spans="17:26" x14ac:dyDescent="0.25">
      <c r="Q5207" s="11"/>
      <c r="R5207" s="15"/>
      <c r="S5207" s="11"/>
      <c r="T5207" s="11"/>
      <c r="U5207" s="45"/>
      <c r="V5207" s="11"/>
      <c r="W5207" s="11"/>
      <c r="X5207" s="45"/>
      <c r="Y5207" s="44"/>
      <c r="Z5207" s="44"/>
    </row>
    <row r="5208" spans="17:26" ht="14.5" x14ac:dyDescent="0.35">
      <c r="Q5208" s="11"/>
      <c r="R5208" s="79"/>
      <c r="S5208" s="11"/>
      <c r="T5208" s="11"/>
      <c r="U5208" s="40"/>
      <c r="V5208" s="14"/>
      <c r="W5208" s="14"/>
      <c r="X5208" s="40"/>
      <c r="Y5208" s="41"/>
      <c r="Z5208" s="41"/>
    </row>
    <row r="5209" spans="17:26" ht="13" x14ac:dyDescent="0.25">
      <c r="Q5209" s="11"/>
      <c r="R5209" s="15"/>
      <c r="S5209" s="11"/>
      <c r="T5209" s="11"/>
      <c r="U5209" s="45"/>
      <c r="V5209" s="14"/>
      <c r="W5209" s="14"/>
      <c r="X5209" s="45"/>
      <c r="Y5209" s="41"/>
      <c r="Z5209" s="41"/>
    </row>
    <row r="5210" spans="17:26" ht="14.5" x14ac:dyDescent="0.35">
      <c r="Q5210" s="11"/>
      <c r="R5210" s="15"/>
      <c r="S5210" s="11"/>
      <c r="T5210" s="11"/>
      <c r="U5210" s="43"/>
      <c r="V5210" s="11"/>
      <c r="W5210" s="11"/>
      <c r="X5210" s="43"/>
      <c r="Y5210" s="44"/>
      <c r="Z5210" s="44"/>
    </row>
    <row r="5211" spans="17:26" x14ac:dyDescent="0.25">
      <c r="Q5211" s="11"/>
      <c r="R5211" s="15"/>
      <c r="S5211" s="11"/>
      <c r="T5211" s="11"/>
      <c r="U5211" s="45"/>
      <c r="V5211" s="11"/>
      <c r="W5211" s="11"/>
      <c r="X5211" s="45"/>
      <c r="Y5211" s="44"/>
      <c r="Z5211" s="44"/>
    </row>
    <row r="5212" spans="17:26" x14ac:dyDescent="0.25">
      <c r="Q5212" s="11"/>
      <c r="R5212" s="15"/>
      <c r="S5212" s="11"/>
      <c r="T5212" s="11"/>
      <c r="U5212" s="11"/>
      <c r="V5212" s="42"/>
      <c r="W5212" s="78"/>
      <c r="X5212" s="44"/>
      <c r="Y5212" s="42"/>
      <c r="Z5212" s="78"/>
    </row>
    <row r="5213" spans="17:26" ht="14" x14ac:dyDescent="0.3">
      <c r="Q5213" s="11"/>
      <c r="R5213" s="46"/>
      <c r="S5213" s="11"/>
      <c r="T5213" s="11"/>
      <c r="U5213" s="11"/>
      <c r="V5213" s="11"/>
      <c r="W5213" s="11"/>
      <c r="X5213" s="11"/>
      <c r="Y5213" s="11"/>
      <c r="Z5213" s="11"/>
    </row>
    <row r="5214" spans="17:26" ht="13" x14ac:dyDescent="0.25">
      <c r="Q5214" s="11"/>
      <c r="R5214" s="15"/>
      <c r="S5214" s="11"/>
      <c r="T5214" s="11"/>
      <c r="U5214" s="16"/>
      <c r="V5214" s="41"/>
      <c r="W5214" s="41"/>
      <c r="X5214" s="45"/>
      <c r="Y5214" s="41"/>
      <c r="Z5214" s="41"/>
    </row>
    <row r="5215" spans="17:26" ht="13" x14ac:dyDescent="0.25">
      <c r="Q5215" s="11"/>
      <c r="R5215" s="80"/>
      <c r="S5215" s="11"/>
      <c r="T5215" s="11"/>
      <c r="U5215" s="11"/>
      <c r="V5215" s="41"/>
      <c r="W5215" s="41"/>
      <c r="X5215" s="44"/>
      <c r="Y5215" s="41"/>
      <c r="Z5215" s="41"/>
    </row>
    <row r="5216" spans="17:26" ht="14.5" x14ac:dyDescent="0.35">
      <c r="Q5216" s="11"/>
      <c r="R5216" s="81"/>
      <c r="S5216" s="11"/>
      <c r="T5216" s="11"/>
      <c r="U5216" s="40"/>
      <c r="V5216" s="11"/>
      <c r="W5216" s="11"/>
      <c r="X5216" s="40"/>
      <c r="Y5216" s="44"/>
      <c r="Z5216" s="44"/>
    </row>
    <row r="5217" spans="17:26" ht="14.5" x14ac:dyDescent="0.35">
      <c r="Q5217" s="11"/>
      <c r="R5217" s="79"/>
      <c r="S5217" s="11"/>
      <c r="T5217" s="11"/>
      <c r="U5217" s="40"/>
      <c r="V5217" s="16"/>
      <c r="W5217" s="16"/>
      <c r="X5217" s="40"/>
      <c r="Y5217" s="45"/>
      <c r="Z5217" s="45"/>
    </row>
    <row r="5218" spans="17:26" x14ac:dyDescent="0.25">
      <c r="Q5218" s="11"/>
      <c r="R5218" s="15"/>
      <c r="S5218" s="11"/>
      <c r="T5218" s="11"/>
      <c r="U5218" s="45"/>
      <c r="V5218" s="11"/>
      <c r="W5218" s="11"/>
      <c r="X5218" s="45"/>
      <c r="Y5218" s="44"/>
      <c r="Z5218" s="44"/>
    </row>
    <row r="5219" spans="17:26" ht="14.5" x14ac:dyDescent="0.35">
      <c r="Q5219" s="11"/>
      <c r="R5219" s="79"/>
      <c r="S5219" s="11"/>
      <c r="T5219" s="11"/>
      <c r="U5219" s="40"/>
      <c r="V5219" s="14"/>
      <c r="W5219" s="14"/>
      <c r="X5219" s="40"/>
      <c r="Y5219" s="41"/>
      <c r="Z5219" s="41"/>
    </row>
    <row r="5220" spans="17:26" ht="13" x14ac:dyDescent="0.25">
      <c r="Q5220" s="11"/>
      <c r="R5220" s="15"/>
      <c r="S5220" s="11"/>
      <c r="T5220" s="11"/>
      <c r="U5220" s="45"/>
      <c r="V5220" s="14"/>
      <c r="W5220" s="14"/>
      <c r="X5220" s="45"/>
      <c r="Y5220" s="41"/>
      <c r="Z5220" s="41"/>
    </row>
    <row r="5221" spans="17:26" ht="14.5" x14ac:dyDescent="0.35">
      <c r="Q5221" s="11"/>
      <c r="R5221" s="15"/>
      <c r="S5221" s="11"/>
      <c r="T5221" s="11"/>
      <c r="U5221" s="43"/>
      <c r="V5221" s="11"/>
      <c r="W5221" s="11"/>
      <c r="X5221" s="43"/>
      <c r="Y5221" s="44"/>
      <c r="Z5221" s="44"/>
    </row>
    <row r="5222" spans="17:26" x14ac:dyDescent="0.25">
      <c r="Q5222" s="11"/>
      <c r="R5222" s="15"/>
      <c r="S5222" s="11"/>
      <c r="T5222" s="11"/>
      <c r="U5222" s="45"/>
      <c r="V5222" s="11"/>
      <c r="W5222" s="11"/>
      <c r="X5222" s="45"/>
      <c r="Y5222" s="44"/>
      <c r="Z5222" s="44"/>
    </row>
    <row r="5223" spans="17:26" x14ac:dyDescent="0.25">
      <c r="Q5223" s="11"/>
      <c r="R5223" s="15"/>
      <c r="S5223" s="11"/>
      <c r="T5223" s="11"/>
      <c r="U5223" s="11"/>
      <c r="V5223" s="42"/>
      <c r="W5223" s="78"/>
      <c r="X5223" s="44"/>
      <c r="Y5223" s="42"/>
      <c r="Z5223" s="78"/>
    </row>
    <row r="5224" spans="17:26" ht="14.5" x14ac:dyDescent="0.35">
      <c r="Q5224" s="11"/>
      <c r="R5224" s="79"/>
      <c r="S5224" s="11"/>
      <c r="T5224" s="11"/>
      <c r="U5224" s="11"/>
      <c r="V5224" s="11"/>
      <c r="W5224" s="11"/>
      <c r="X5224" s="11"/>
      <c r="Y5224" s="11"/>
      <c r="Z5224" s="11"/>
    </row>
    <row r="5225" spans="17:26" ht="13" x14ac:dyDescent="0.25">
      <c r="Q5225" s="11"/>
      <c r="R5225" s="15"/>
      <c r="S5225" s="11"/>
      <c r="T5225" s="11"/>
      <c r="U5225" s="16"/>
      <c r="V5225" s="41"/>
      <c r="W5225" s="41"/>
      <c r="X5225" s="45"/>
      <c r="Y5225" s="41"/>
      <c r="Z5225" s="41"/>
    </row>
    <row r="5226" spans="17:26" ht="13" x14ac:dyDescent="0.25">
      <c r="Q5226" s="11"/>
      <c r="R5226" s="80"/>
      <c r="S5226" s="11"/>
      <c r="T5226" s="11"/>
      <c r="U5226" s="11"/>
      <c r="V5226" s="41"/>
      <c r="W5226" s="41"/>
      <c r="X5226" s="44"/>
      <c r="Y5226" s="41"/>
      <c r="Z5226" s="41"/>
    </row>
    <row r="5227" spans="17:26" ht="14.5" x14ac:dyDescent="0.35">
      <c r="Q5227" s="11"/>
      <c r="R5227" s="81"/>
      <c r="S5227" s="11"/>
      <c r="T5227" s="11"/>
      <c r="U5227" s="40"/>
      <c r="V5227" s="11"/>
      <c r="W5227" s="11"/>
      <c r="X5227" s="40"/>
      <c r="Y5227" s="44"/>
      <c r="Z5227" s="44"/>
    </row>
    <row r="5228" spans="17:26" ht="14.5" x14ac:dyDescent="0.35">
      <c r="Q5228" s="11"/>
      <c r="R5228" s="79"/>
      <c r="S5228" s="11"/>
      <c r="T5228" s="11"/>
      <c r="U5228" s="40"/>
      <c r="V5228" s="16"/>
      <c r="W5228" s="16"/>
      <c r="X5228" s="40"/>
      <c r="Y5228" s="45"/>
      <c r="Z5228" s="45"/>
    </row>
    <row r="5229" spans="17:26" x14ac:dyDescent="0.25">
      <c r="Q5229" s="11"/>
      <c r="R5229" s="15"/>
      <c r="S5229" s="11"/>
      <c r="T5229" s="11"/>
      <c r="U5229" s="45"/>
      <c r="V5229" s="11"/>
      <c r="W5229" s="11"/>
      <c r="X5229" s="45"/>
      <c r="Y5229" s="44"/>
      <c r="Z5229" s="44"/>
    </row>
    <row r="5230" spans="17:26" ht="14.5" x14ac:dyDescent="0.35">
      <c r="Q5230" s="11"/>
      <c r="R5230" s="79"/>
      <c r="S5230" s="11"/>
      <c r="T5230" s="11"/>
      <c r="U5230" s="40"/>
      <c r="V5230" s="14"/>
      <c r="W5230" s="14"/>
      <c r="X5230" s="40"/>
      <c r="Y5230" s="41"/>
      <c r="Z5230" s="41"/>
    </row>
    <row r="5231" spans="17:26" ht="13" x14ac:dyDescent="0.25">
      <c r="Q5231" s="11"/>
      <c r="R5231" s="15"/>
      <c r="S5231" s="11"/>
      <c r="T5231" s="11"/>
      <c r="U5231" s="45"/>
      <c r="V5231" s="14"/>
      <c r="W5231" s="14"/>
      <c r="X5231" s="45"/>
      <c r="Y5231" s="41"/>
      <c r="Z5231" s="41"/>
    </row>
    <row r="5232" spans="17:26" ht="14.5" x14ac:dyDescent="0.35">
      <c r="Q5232" s="11"/>
      <c r="R5232" s="15"/>
      <c r="S5232" s="11"/>
      <c r="T5232" s="11"/>
      <c r="U5232" s="43"/>
      <c r="V5232" s="11"/>
      <c r="W5232" s="11"/>
      <c r="X5232" s="43"/>
      <c r="Y5232" s="44"/>
      <c r="Z5232" s="44"/>
    </row>
    <row r="5233" spans="17:26" x14ac:dyDescent="0.25">
      <c r="Q5233" s="11"/>
      <c r="R5233" s="15"/>
      <c r="S5233" s="11"/>
      <c r="T5233" s="11"/>
      <c r="U5233" s="45"/>
      <c r="V5233" s="11"/>
      <c r="W5233" s="11"/>
      <c r="X5233" s="45"/>
      <c r="Y5233" s="44"/>
      <c r="Z5233" s="44"/>
    </row>
    <row r="5234" spans="17:26" x14ac:dyDescent="0.25">
      <c r="Q5234" s="11"/>
      <c r="R5234" s="15"/>
      <c r="S5234" s="11"/>
      <c r="T5234" s="11"/>
      <c r="U5234" s="11"/>
      <c r="V5234" s="42"/>
      <c r="W5234" s="78"/>
      <c r="X5234" s="44"/>
      <c r="Y5234" s="42"/>
      <c r="Z5234" s="78"/>
    </row>
    <row r="5235" spans="17:26" x14ac:dyDescent="0.25">
      <c r="Q5235" s="11"/>
      <c r="R5235" s="15"/>
      <c r="S5235" s="11"/>
      <c r="T5235" s="11"/>
      <c r="U5235" s="11"/>
      <c r="V5235" s="11"/>
      <c r="W5235" s="11"/>
      <c r="X5235" s="11"/>
      <c r="Y5235" s="11"/>
      <c r="Z5235" s="11"/>
    </row>
    <row r="5236" spans="17:26" ht="13" x14ac:dyDescent="0.25">
      <c r="Q5236" s="11"/>
      <c r="R5236" s="15"/>
      <c r="S5236" s="11"/>
      <c r="T5236" s="11"/>
      <c r="U5236" s="16"/>
      <c r="V5236" s="41"/>
      <c r="W5236" s="41"/>
      <c r="X5236" s="45"/>
      <c r="Y5236" s="41"/>
      <c r="Z5236" s="41"/>
    </row>
    <row r="5237" spans="17:26" ht="13" x14ac:dyDescent="0.25">
      <c r="Q5237" s="11"/>
      <c r="R5237" s="80"/>
      <c r="S5237" s="11"/>
      <c r="T5237" s="11"/>
      <c r="U5237" s="11"/>
      <c r="V5237" s="41"/>
      <c r="W5237" s="41"/>
      <c r="X5237" s="44"/>
      <c r="Y5237" s="41"/>
      <c r="Z5237" s="41"/>
    </row>
    <row r="5238" spans="17:26" ht="14.5" x14ac:dyDescent="0.35">
      <c r="Q5238" s="11"/>
      <c r="R5238" s="81"/>
      <c r="S5238" s="11"/>
      <c r="T5238" s="11"/>
      <c r="U5238" s="40"/>
      <c r="V5238" s="11"/>
      <c r="W5238" s="11"/>
      <c r="X5238" s="40"/>
      <c r="Y5238" s="44"/>
      <c r="Z5238" s="44"/>
    </row>
    <row r="5239" spans="17:26" ht="14.5" x14ac:dyDescent="0.35">
      <c r="Q5239" s="11"/>
      <c r="R5239" s="79"/>
      <c r="S5239" s="11"/>
      <c r="T5239" s="11"/>
      <c r="U5239" s="40"/>
      <c r="V5239" s="16"/>
      <c r="W5239" s="16"/>
      <c r="X5239" s="40"/>
      <c r="Y5239" s="45"/>
      <c r="Z5239" s="45"/>
    </row>
    <row r="5240" spans="17:26" x14ac:dyDescent="0.25">
      <c r="Q5240" s="11"/>
      <c r="R5240" s="15"/>
      <c r="S5240" s="11"/>
      <c r="T5240" s="11"/>
      <c r="U5240" s="45"/>
      <c r="V5240" s="11"/>
      <c r="W5240" s="11"/>
      <c r="X5240" s="45"/>
      <c r="Y5240" s="44"/>
      <c r="Z5240" s="44"/>
    </row>
    <row r="5241" spans="17:26" ht="14.5" x14ac:dyDescent="0.35">
      <c r="Q5241" s="11"/>
      <c r="R5241" s="79"/>
      <c r="S5241" s="11"/>
      <c r="T5241" s="11"/>
      <c r="U5241" s="40"/>
      <c r="V5241" s="14"/>
      <c r="W5241" s="14"/>
      <c r="X5241" s="40"/>
      <c r="Y5241" s="41"/>
      <c r="Z5241" s="41"/>
    </row>
    <row r="5242" spans="17:26" ht="13" x14ac:dyDescent="0.25">
      <c r="Q5242" s="11"/>
      <c r="R5242" s="15"/>
      <c r="S5242" s="11"/>
      <c r="T5242" s="11"/>
      <c r="U5242" s="45"/>
      <c r="V5242" s="14"/>
      <c r="W5242" s="14"/>
      <c r="X5242" s="45"/>
      <c r="Y5242" s="41"/>
      <c r="Z5242" s="41"/>
    </row>
    <row r="5243" spans="17:26" ht="14.5" x14ac:dyDescent="0.35">
      <c r="Q5243" s="11"/>
      <c r="R5243" s="15"/>
      <c r="S5243" s="11"/>
      <c r="T5243" s="11"/>
      <c r="U5243" s="43"/>
      <c r="V5243" s="11"/>
      <c r="W5243" s="11"/>
      <c r="X5243" s="43"/>
      <c r="Y5243" s="44"/>
      <c r="Z5243" s="44"/>
    </row>
    <row r="5244" spans="17:26" x14ac:dyDescent="0.25">
      <c r="Q5244" s="11"/>
      <c r="R5244" s="15"/>
      <c r="S5244" s="11"/>
      <c r="T5244" s="11"/>
      <c r="U5244" s="45"/>
      <c r="V5244" s="11"/>
      <c r="W5244" s="11"/>
      <c r="X5244" s="45"/>
      <c r="Y5244" s="44"/>
      <c r="Z5244" s="44"/>
    </row>
    <row r="5245" spans="17:26" x14ac:dyDescent="0.25">
      <c r="Q5245" s="11"/>
      <c r="R5245" s="15"/>
      <c r="S5245" s="11"/>
      <c r="T5245" s="11"/>
      <c r="U5245" s="11"/>
      <c r="V5245" s="42"/>
      <c r="W5245" s="78"/>
      <c r="X5245" s="44"/>
      <c r="Y5245" s="42"/>
      <c r="Z5245" s="78"/>
    </row>
    <row r="5246" spans="17:26" ht="14.5" x14ac:dyDescent="0.35">
      <c r="Q5246" s="11"/>
      <c r="R5246" s="79"/>
      <c r="S5246" s="11"/>
      <c r="T5246" s="11"/>
      <c r="U5246" s="11"/>
      <c r="V5246" s="11"/>
      <c r="W5246" s="11"/>
      <c r="X5246" s="11"/>
      <c r="Y5246" s="11"/>
      <c r="Z5246" s="11"/>
    </row>
    <row r="5247" spans="17:26" ht="13" x14ac:dyDescent="0.25">
      <c r="Q5247" s="11"/>
      <c r="R5247" s="15"/>
      <c r="S5247" s="11"/>
      <c r="T5247" s="11"/>
      <c r="U5247" s="16"/>
      <c r="V5247" s="41"/>
      <c r="W5247" s="41"/>
      <c r="X5247" s="45"/>
      <c r="Y5247" s="41"/>
      <c r="Z5247" s="41"/>
    </row>
    <row r="5248" spans="17:26" ht="13" x14ac:dyDescent="0.25">
      <c r="Q5248" s="11"/>
      <c r="R5248" s="80"/>
      <c r="S5248" s="11"/>
      <c r="T5248" s="11"/>
      <c r="U5248" s="11"/>
      <c r="V5248" s="41"/>
      <c r="W5248" s="41"/>
      <c r="X5248" s="44"/>
      <c r="Y5248" s="41"/>
      <c r="Z5248" s="41"/>
    </row>
    <row r="5249" spans="17:26" ht="14.5" x14ac:dyDescent="0.35">
      <c r="Q5249" s="11"/>
      <c r="R5249" s="81"/>
      <c r="S5249" s="11"/>
      <c r="T5249" s="11"/>
      <c r="U5249" s="40"/>
      <c r="V5249" s="11"/>
      <c r="W5249" s="11"/>
      <c r="X5249" s="40"/>
      <c r="Y5249" s="44"/>
      <c r="Z5249" s="44"/>
    </row>
    <row r="5250" spans="17:26" ht="14.5" x14ac:dyDescent="0.35">
      <c r="Q5250" s="11"/>
      <c r="R5250" s="79"/>
      <c r="S5250" s="11"/>
      <c r="T5250" s="11"/>
      <c r="U5250" s="40"/>
      <c r="V5250" s="16"/>
      <c r="W5250" s="16"/>
      <c r="X5250" s="40"/>
      <c r="Y5250" s="45"/>
      <c r="Z5250" s="45"/>
    </row>
    <row r="5251" spans="17:26" x14ac:dyDescent="0.25">
      <c r="Q5251" s="11"/>
      <c r="R5251" s="15"/>
      <c r="S5251" s="11"/>
      <c r="T5251" s="11"/>
      <c r="U5251" s="45"/>
      <c r="V5251" s="11"/>
      <c r="W5251" s="11"/>
      <c r="X5251" s="45"/>
      <c r="Y5251" s="44"/>
      <c r="Z5251" s="44"/>
    </row>
    <row r="5252" spans="17:26" ht="14.5" x14ac:dyDescent="0.35">
      <c r="Q5252" s="11"/>
      <c r="R5252" s="79"/>
      <c r="S5252" s="11"/>
      <c r="T5252" s="11"/>
      <c r="U5252" s="40"/>
      <c r="V5252" s="14"/>
      <c r="W5252" s="14"/>
      <c r="X5252" s="40"/>
      <c r="Y5252" s="41"/>
      <c r="Z5252" s="41"/>
    </row>
    <row r="5253" spans="17:26" ht="13" x14ac:dyDescent="0.25">
      <c r="Q5253" s="11"/>
      <c r="R5253" s="15"/>
      <c r="S5253" s="11"/>
      <c r="T5253" s="11"/>
      <c r="U5253" s="45"/>
      <c r="V5253" s="14"/>
      <c r="W5253" s="14"/>
      <c r="X5253" s="45"/>
      <c r="Y5253" s="41"/>
      <c r="Z5253" s="41"/>
    </row>
    <row r="5254" spans="17:26" ht="14.5" x14ac:dyDescent="0.35">
      <c r="Q5254" s="11"/>
      <c r="R5254" s="15"/>
      <c r="S5254" s="11"/>
      <c r="T5254" s="11"/>
      <c r="U5254" s="43"/>
      <c r="V5254" s="11"/>
      <c r="W5254" s="11"/>
      <c r="X5254" s="43"/>
      <c r="Y5254" s="44"/>
      <c r="Z5254" s="44"/>
    </row>
    <row r="5255" spans="17:26" x14ac:dyDescent="0.25">
      <c r="Q5255" s="11"/>
      <c r="R5255" s="15"/>
      <c r="S5255" s="11"/>
      <c r="T5255" s="11"/>
      <c r="U5255" s="45"/>
      <c r="V5255" s="11"/>
      <c r="W5255" s="11"/>
      <c r="X5255" s="45"/>
      <c r="Y5255" s="44"/>
      <c r="Z5255" s="44"/>
    </row>
    <row r="5256" spans="17:26" x14ac:dyDescent="0.25">
      <c r="Q5256" s="11"/>
      <c r="R5256" s="15"/>
      <c r="S5256" s="11"/>
      <c r="T5256" s="11"/>
      <c r="U5256" s="11"/>
      <c r="V5256" s="42"/>
      <c r="W5256" s="78"/>
      <c r="X5256" s="44"/>
      <c r="Y5256" s="42"/>
      <c r="Z5256" s="78"/>
    </row>
    <row r="5257" spans="17:26" x14ac:dyDescent="0.25">
      <c r="Q5257" s="11"/>
      <c r="R5257" s="15"/>
      <c r="S5257" s="11"/>
      <c r="T5257" s="11"/>
      <c r="U5257" s="11"/>
      <c r="V5257" s="11"/>
      <c r="W5257" s="11"/>
      <c r="X5257" s="11"/>
      <c r="Y5257" s="11"/>
      <c r="Z5257" s="11"/>
    </row>
    <row r="5258" spans="17:26" ht="13" x14ac:dyDescent="0.25">
      <c r="Q5258" s="11"/>
      <c r="R5258" s="15"/>
      <c r="S5258" s="11"/>
      <c r="T5258" s="11"/>
      <c r="U5258" s="16"/>
      <c r="V5258" s="41"/>
      <c r="W5258" s="41"/>
      <c r="X5258" s="45"/>
      <c r="Y5258" s="41"/>
      <c r="Z5258" s="41"/>
    </row>
    <row r="5259" spans="17:26" ht="13" x14ac:dyDescent="0.25">
      <c r="Q5259" s="11"/>
      <c r="R5259" s="80"/>
      <c r="S5259" s="11"/>
      <c r="T5259" s="11"/>
      <c r="U5259" s="11"/>
      <c r="V5259" s="41"/>
      <c r="W5259" s="41"/>
      <c r="X5259" s="44"/>
      <c r="Y5259" s="41"/>
      <c r="Z5259" s="41"/>
    </row>
    <row r="5260" spans="17:26" ht="14.5" x14ac:dyDescent="0.35">
      <c r="Q5260" s="11"/>
      <c r="R5260" s="81"/>
      <c r="S5260" s="11"/>
      <c r="T5260" s="11"/>
      <c r="U5260" s="40"/>
      <c r="V5260" s="11"/>
      <c r="W5260" s="11"/>
      <c r="X5260" s="40"/>
      <c r="Y5260" s="44"/>
      <c r="Z5260" s="44"/>
    </row>
    <row r="5261" spans="17:26" ht="14.5" x14ac:dyDescent="0.35">
      <c r="Q5261" s="11"/>
      <c r="R5261" s="79"/>
      <c r="S5261" s="11"/>
      <c r="T5261" s="11"/>
      <c r="U5261" s="40"/>
      <c r="V5261" s="16"/>
      <c r="W5261" s="16"/>
      <c r="X5261" s="40"/>
      <c r="Y5261" s="45"/>
      <c r="Z5261" s="45"/>
    </row>
    <row r="5262" spans="17:26" x14ac:dyDescent="0.25">
      <c r="Q5262" s="11"/>
      <c r="R5262" s="15"/>
      <c r="S5262" s="11"/>
      <c r="T5262" s="11"/>
      <c r="U5262" s="45"/>
      <c r="V5262" s="11"/>
      <c r="W5262" s="11"/>
      <c r="X5262" s="45"/>
      <c r="Y5262" s="44"/>
      <c r="Z5262" s="44"/>
    </row>
    <row r="5263" spans="17:26" ht="14.5" x14ac:dyDescent="0.35">
      <c r="Q5263" s="11"/>
      <c r="R5263" s="79"/>
      <c r="S5263" s="11"/>
      <c r="T5263" s="11"/>
      <c r="U5263" s="40"/>
      <c r="V5263" s="14"/>
      <c r="W5263" s="14"/>
      <c r="X5263" s="40"/>
      <c r="Y5263" s="41"/>
      <c r="Z5263" s="41"/>
    </row>
    <row r="5264" spans="17:26" ht="13" x14ac:dyDescent="0.25">
      <c r="Q5264" s="11"/>
      <c r="R5264" s="15"/>
      <c r="S5264" s="11"/>
      <c r="T5264" s="11"/>
      <c r="U5264" s="45"/>
      <c r="V5264" s="14"/>
      <c r="W5264" s="14"/>
      <c r="X5264" s="45"/>
      <c r="Y5264" s="41"/>
      <c r="Z5264" s="41"/>
    </row>
    <row r="5265" spans="17:26" ht="14.5" x14ac:dyDescent="0.35">
      <c r="Q5265" s="11"/>
      <c r="R5265" s="15"/>
      <c r="S5265" s="11"/>
      <c r="T5265" s="11"/>
      <c r="U5265" s="43"/>
      <c r="V5265" s="11"/>
      <c r="W5265" s="11"/>
      <c r="X5265" s="43"/>
      <c r="Y5265" s="44"/>
      <c r="Z5265" s="44"/>
    </row>
    <row r="5266" spans="17:26" x14ac:dyDescent="0.25">
      <c r="Q5266" s="11"/>
      <c r="R5266" s="15"/>
      <c r="S5266" s="11"/>
      <c r="T5266" s="11"/>
      <c r="U5266" s="45"/>
      <c r="V5266" s="11"/>
      <c r="W5266" s="11"/>
      <c r="X5266" s="45"/>
      <c r="Y5266" s="44"/>
      <c r="Z5266" s="44"/>
    </row>
    <row r="5267" spans="17:26" x14ac:dyDescent="0.25">
      <c r="Q5267" s="11"/>
      <c r="R5267" s="15"/>
      <c r="S5267" s="11"/>
      <c r="T5267" s="11"/>
      <c r="U5267" s="11"/>
      <c r="V5267" s="42"/>
      <c r="W5267" s="78"/>
      <c r="X5267" s="44"/>
      <c r="Y5267" s="42"/>
      <c r="Z5267" s="78"/>
    </row>
    <row r="5268" spans="17:26" x14ac:dyDescent="0.25">
      <c r="Q5268" s="11"/>
      <c r="R5268" s="15"/>
      <c r="S5268" s="11"/>
      <c r="T5268" s="11"/>
      <c r="U5268" s="11"/>
      <c r="V5268" s="11"/>
      <c r="W5268" s="11"/>
      <c r="X5268" s="11"/>
      <c r="Y5268" s="11"/>
      <c r="Z5268" s="11"/>
    </row>
    <row r="5269" spans="17:26" ht="13" x14ac:dyDescent="0.25">
      <c r="Q5269" s="11"/>
      <c r="R5269" s="15"/>
      <c r="S5269" s="11"/>
      <c r="T5269" s="11"/>
      <c r="U5269" s="16"/>
      <c r="V5269" s="41"/>
      <c r="W5269" s="41"/>
      <c r="X5269" s="45"/>
      <c r="Y5269" s="41"/>
      <c r="Z5269" s="41"/>
    </row>
    <row r="5270" spans="17:26" ht="13" x14ac:dyDescent="0.25">
      <c r="Q5270" s="11"/>
      <c r="R5270" s="80"/>
      <c r="S5270" s="11"/>
      <c r="T5270" s="11"/>
      <c r="U5270" s="11"/>
      <c r="V5270" s="41"/>
      <c r="W5270" s="41"/>
      <c r="X5270" s="44"/>
      <c r="Y5270" s="41"/>
      <c r="Z5270" s="41"/>
    </row>
    <row r="5271" spans="17:26" ht="14.5" x14ac:dyDescent="0.35">
      <c r="Q5271" s="11"/>
      <c r="R5271" s="81"/>
      <c r="S5271" s="11"/>
      <c r="T5271" s="11"/>
      <c r="U5271" s="40"/>
      <c r="V5271" s="11"/>
      <c r="W5271" s="11"/>
      <c r="X5271" s="40"/>
      <c r="Y5271" s="44"/>
      <c r="Z5271" s="44"/>
    </row>
    <row r="5272" spans="17:26" ht="14.5" x14ac:dyDescent="0.35">
      <c r="Q5272" s="11"/>
      <c r="R5272" s="79"/>
      <c r="S5272" s="11"/>
      <c r="T5272" s="11"/>
      <c r="U5272" s="40"/>
      <c r="V5272" s="16"/>
      <c r="W5272" s="16"/>
      <c r="X5272" s="40"/>
      <c r="Y5272" s="45"/>
      <c r="Z5272" s="45"/>
    </row>
    <row r="5273" spans="17:26" x14ac:dyDescent="0.25">
      <c r="Q5273" s="11"/>
      <c r="R5273" s="15"/>
      <c r="S5273" s="11"/>
      <c r="T5273" s="11"/>
      <c r="U5273" s="45"/>
      <c r="V5273" s="11"/>
      <c r="W5273" s="11"/>
      <c r="X5273" s="45"/>
      <c r="Y5273" s="44"/>
      <c r="Z5273" s="44"/>
    </row>
    <row r="5274" spans="17:26" ht="14.5" x14ac:dyDescent="0.35">
      <c r="Q5274" s="11"/>
      <c r="R5274" s="79"/>
      <c r="S5274" s="11"/>
      <c r="T5274" s="11"/>
      <c r="U5274" s="40"/>
      <c r="V5274" s="14"/>
      <c r="W5274" s="14"/>
      <c r="X5274" s="40"/>
      <c r="Y5274" s="41"/>
      <c r="Z5274" s="41"/>
    </row>
    <row r="5275" spans="17:26" ht="13" x14ac:dyDescent="0.25">
      <c r="Q5275" s="11"/>
      <c r="R5275" s="15"/>
      <c r="S5275" s="11"/>
      <c r="T5275" s="11"/>
      <c r="U5275" s="45"/>
      <c r="V5275" s="14"/>
      <c r="W5275" s="14"/>
      <c r="X5275" s="45"/>
      <c r="Y5275" s="41"/>
      <c r="Z5275" s="41"/>
    </row>
    <row r="5276" spans="17:26" ht="14.5" x14ac:dyDescent="0.35">
      <c r="Q5276" s="11"/>
      <c r="R5276" s="15"/>
      <c r="S5276" s="11"/>
      <c r="T5276" s="11"/>
      <c r="U5276" s="43"/>
      <c r="V5276" s="11"/>
      <c r="W5276" s="11"/>
      <c r="X5276" s="43"/>
      <c r="Y5276" s="44"/>
      <c r="Z5276" s="44"/>
    </row>
    <row r="5277" spans="17:26" x14ac:dyDescent="0.25">
      <c r="Q5277" s="11"/>
      <c r="R5277" s="15"/>
      <c r="S5277" s="11"/>
      <c r="T5277" s="11"/>
      <c r="U5277" s="45"/>
      <c r="V5277" s="11"/>
      <c r="W5277" s="11"/>
      <c r="X5277" s="45"/>
      <c r="Y5277" s="44"/>
      <c r="Z5277" s="44"/>
    </row>
    <row r="5278" spans="17:26" x14ac:dyDescent="0.25">
      <c r="Q5278" s="11"/>
      <c r="R5278" s="15"/>
      <c r="S5278" s="11"/>
      <c r="T5278" s="11"/>
      <c r="U5278" s="11"/>
      <c r="V5278" s="42"/>
      <c r="W5278" s="78"/>
      <c r="X5278" s="44"/>
      <c r="Y5278" s="42"/>
      <c r="Z5278" s="78"/>
    </row>
    <row r="5279" spans="17:26" ht="14" x14ac:dyDescent="0.3">
      <c r="Q5279" s="11"/>
      <c r="R5279" s="46"/>
      <c r="S5279" s="11"/>
      <c r="T5279" s="11"/>
      <c r="U5279" s="11"/>
      <c r="V5279" s="11"/>
      <c r="W5279" s="11"/>
      <c r="X5279" s="11"/>
      <c r="Y5279" s="11"/>
      <c r="Z5279" s="11"/>
    </row>
    <row r="5280" spans="17:26" ht="13" x14ac:dyDescent="0.25">
      <c r="Q5280" s="11"/>
      <c r="R5280" s="15"/>
      <c r="S5280" s="11"/>
      <c r="T5280" s="11"/>
      <c r="U5280" s="16"/>
      <c r="V5280" s="41"/>
      <c r="W5280" s="41"/>
      <c r="X5280" s="45"/>
      <c r="Y5280" s="41"/>
      <c r="Z5280" s="41"/>
    </row>
    <row r="5281" spans="17:26" ht="13" x14ac:dyDescent="0.25">
      <c r="Q5281" s="11"/>
      <c r="R5281" s="80"/>
      <c r="S5281" s="11"/>
      <c r="T5281" s="11"/>
      <c r="U5281" s="11"/>
      <c r="V5281" s="41"/>
      <c r="W5281" s="41"/>
      <c r="X5281" s="44"/>
      <c r="Y5281" s="41"/>
      <c r="Z5281" s="41"/>
    </row>
    <row r="5282" spans="17:26" ht="14.5" x14ac:dyDescent="0.35">
      <c r="Q5282" s="11"/>
      <c r="R5282" s="81"/>
      <c r="S5282" s="11"/>
      <c r="T5282" s="11"/>
      <c r="U5282" s="40"/>
      <c r="V5282" s="11"/>
      <c r="W5282" s="11"/>
      <c r="X5282" s="40"/>
      <c r="Y5282" s="44"/>
      <c r="Z5282" s="44"/>
    </row>
    <row r="5283" spans="17:26" ht="14.5" x14ac:dyDescent="0.35">
      <c r="Q5283" s="11"/>
      <c r="R5283" s="79"/>
      <c r="S5283" s="11"/>
      <c r="T5283" s="11"/>
      <c r="U5283" s="40"/>
      <c r="V5283" s="16"/>
      <c r="W5283" s="16"/>
      <c r="X5283" s="40"/>
      <c r="Y5283" s="45"/>
      <c r="Z5283" s="45"/>
    </row>
    <row r="5284" spans="17:26" x14ac:dyDescent="0.25">
      <c r="Q5284" s="11"/>
      <c r="R5284" s="15"/>
      <c r="S5284" s="11"/>
      <c r="T5284" s="11"/>
      <c r="U5284" s="45"/>
      <c r="V5284" s="11"/>
      <c r="W5284" s="11"/>
      <c r="X5284" s="45"/>
      <c r="Y5284" s="44"/>
      <c r="Z5284" s="44"/>
    </row>
    <row r="5285" spans="17:26" ht="14.5" x14ac:dyDescent="0.35">
      <c r="Q5285" s="11"/>
      <c r="R5285" s="79"/>
      <c r="S5285" s="11"/>
      <c r="T5285" s="11"/>
      <c r="U5285" s="40"/>
      <c r="V5285" s="14"/>
      <c r="W5285" s="14"/>
      <c r="X5285" s="40"/>
      <c r="Y5285" s="41"/>
      <c r="Z5285" s="41"/>
    </row>
    <row r="5286" spans="17:26" ht="13" x14ac:dyDescent="0.25">
      <c r="Q5286" s="11"/>
      <c r="R5286" s="15"/>
      <c r="S5286" s="11"/>
      <c r="T5286" s="11"/>
      <c r="U5286" s="45"/>
      <c r="V5286" s="14"/>
      <c r="W5286" s="14"/>
      <c r="X5286" s="45"/>
      <c r="Y5286" s="41"/>
      <c r="Z5286" s="41"/>
    </row>
    <row r="5287" spans="17:26" ht="14.5" x14ac:dyDescent="0.35">
      <c r="Q5287" s="11"/>
      <c r="R5287" s="15"/>
      <c r="S5287" s="11"/>
      <c r="T5287" s="11"/>
      <c r="U5287" s="43"/>
      <c r="V5287" s="11"/>
      <c r="W5287" s="11"/>
      <c r="X5287" s="43"/>
      <c r="Y5287" s="44"/>
      <c r="Z5287" s="44"/>
    </row>
    <row r="5288" spans="17:26" x14ac:dyDescent="0.25">
      <c r="Q5288" s="11"/>
      <c r="R5288" s="15"/>
      <c r="S5288" s="11"/>
      <c r="T5288" s="11"/>
      <c r="U5288" s="45"/>
      <c r="V5288" s="11"/>
      <c r="W5288" s="11"/>
      <c r="X5288" s="45"/>
      <c r="Y5288" s="44"/>
      <c r="Z5288" s="44"/>
    </row>
    <row r="5289" spans="17:26" x14ac:dyDescent="0.25">
      <c r="Q5289" s="11"/>
      <c r="R5289" s="15"/>
      <c r="S5289" s="11"/>
      <c r="T5289" s="11"/>
      <c r="U5289" s="11"/>
      <c r="V5289" s="42"/>
      <c r="W5289" s="78"/>
      <c r="X5289" s="44"/>
      <c r="Y5289" s="42"/>
      <c r="Z5289" s="78"/>
    </row>
    <row r="5290" spans="17:26" ht="14.5" x14ac:dyDescent="0.35">
      <c r="Q5290" s="11"/>
      <c r="R5290" s="79"/>
      <c r="S5290" s="11"/>
      <c r="T5290" s="11"/>
      <c r="U5290" s="11"/>
      <c r="V5290" s="11"/>
      <c r="W5290" s="11"/>
      <c r="X5290" s="11"/>
      <c r="Y5290" s="11"/>
      <c r="Z5290" s="11"/>
    </row>
    <row r="5291" spans="17:26" ht="13" x14ac:dyDescent="0.25">
      <c r="Q5291" s="11"/>
      <c r="R5291" s="15"/>
      <c r="S5291" s="11"/>
      <c r="T5291" s="11"/>
      <c r="U5291" s="16"/>
      <c r="V5291" s="41"/>
      <c r="W5291" s="41"/>
      <c r="X5291" s="45"/>
      <c r="Y5291" s="41"/>
      <c r="Z5291" s="41"/>
    </row>
    <row r="5292" spans="17:26" ht="13" x14ac:dyDescent="0.25">
      <c r="Q5292" s="11"/>
      <c r="R5292" s="80"/>
      <c r="S5292" s="11"/>
      <c r="T5292" s="11"/>
      <c r="U5292" s="11"/>
      <c r="V5292" s="41"/>
      <c r="W5292" s="41"/>
      <c r="X5292" s="44"/>
      <c r="Y5292" s="41"/>
      <c r="Z5292" s="41"/>
    </row>
    <row r="5293" spans="17:26" ht="14.5" x14ac:dyDescent="0.35">
      <c r="Q5293" s="11"/>
      <c r="R5293" s="81"/>
      <c r="S5293" s="11"/>
      <c r="T5293" s="11"/>
      <c r="U5293" s="40"/>
      <c r="V5293" s="11"/>
      <c r="W5293" s="11"/>
      <c r="X5293" s="40"/>
      <c r="Y5293" s="44"/>
      <c r="Z5293" s="44"/>
    </row>
    <row r="5294" spans="17:26" ht="14.5" x14ac:dyDescent="0.35">
      <c r="Q5294" s="11"/>
      <c r="R5294" s="79"/>
      <c r="S5294" s="11"/>
      <c r="T5294" s="11"/>
      <c r="U5294" s="40"/>
      <c r="V5294" s="16"/>
      <c r="W5294" s="16"/>
      <c r="X5294" s="40"/>
      <c r="Y5294" s="45"/>
      <c r="Z5294" s="45"/>
    </row>
    <row r="5295" spans="17:26" x14ac:dyDescent="0.25">
      <c r="Q5295" s="11"/>
      <c r="R5295" s="15"/>
      <c r="S5295" s="11"/>
      <c r="T5295" s="11"/>
      <c r="U5295" s="45"/>
      <c r="V5295" s="11"/>
      <c r="W5295" s="11"/>
      <c r="X5295" s="45"/>
      <c r="Y5295" s="44"/>
      <c r="Z5295" s="44"/>
    </row>
    <row r="5296" spans="17:26" ht="14.5" x14ac:dyDescent="0.35">
      <c r="Q5296" s="11"/>
      <c r="R5296" s="79"/>
      <c r="S5296" s="11"/>
      <c r="T5296" s="11"/>
      <c r="U5296" s="40"/>
      <c r="V5296" s="14"/>
      <c r="W5296" s="14"/>
      <c r="X5296" s="40"/>
      <c r="Y5296" s="41"/>
      <c r="Z5296" s="41"/>
    </row>
    <row r="5297" spans="17:26" ht="13" x14ac:dyDescent="0.25">
      <c r="Q5297" s="11"/>
      <c r="R5297" s="15"/>
      <c r="S5297" s="11"/>
      <c r="T5297" s="11"/>
      <c r="U5297" s="45"/>
      <c r="V5297" s="14"/>
      <c r="W5297" s="14"/>
      <c r="X5297" s="45"/>
      <c r="Y5297" s="41"/>
      <c r="Z5297" s="41"/>
    </row>
    <row r="5298" spans="17:26" ht="14.5" x14ac:dyDescent="0.35">
      <c r="Q5298" s="11"/>
      <c r="R5298" s="15"/>
      <c r="S5298" s="11"/>
      <c r="T5298" s="11"/>
      <c r="U5298" s="43"/>
      <c r="V5298" s="11"/>
      <c r="W5298" s="11"/>
      <c r="X5298" s="43"/>
      <c r="Y5298" s="44"/>
      <c r="Z5298" s="44"/>
    </row>
    <row r="5299" spans="17:26" x14ac:dyDescent="0.25">
      <c r="Q5299" s="11"/>
      <c r="R5299" s="15"/>
      <c r="S5299" s="11"/>
      <c r="T5299" s="11"/>
      <c r="U5299" s="45"/>
      <c r="V5299" s="11"/>
      <c r="W5299" s="11"/>
      <c r="X5299" s="45"/>
      <c r="Y5299" s="44"/>
      <c r="Z5299" s="44"/>
    </row>
    <row r="5300" spans="17:26" x14ac:dyDescent="0.25">
      <c r="Q5300" s="11"/>
      <c r="R5300" s="15"/>
      <c r="S5300" s="11"/>
      <c r="T5300" s="11"/>
      <c r="U5300" s="11"/>
      <c r="V5300" s="42"/>
      <c r="W5300" s="78"/>
      <c r="X5300" s="44"/>
      <c r="Y5300" s="42"/>
      <c r="Z5300" s="78"/>
    </row>
    <row r="5301" spans="17:26" x14ac:dyDescent="0.25">
      <c r="Q5301" s="11"/>
      <c r="R5301" s="15"/>
      <c r="S5301" s="11"/>
      <c r="T5301" s="11"/>
      <c r="U5301" s="11"/>
      <c r="V5301" s="11"/>
      <c r="W5301" s="11"/>
      <c r="X5301" s="11"/>
      <c r="Y5301" s="11"/>
      <c r="Z5301" s="11"/>
    </row>
    <row r="5302" spans="17:26" ht="13" x14ac:dyDescent="0.25">
      <c r="Q5302" s="11"/>
      <c r="R5302" s="15"/>
      <c r="S5302" s="11"/>
      <c r="T5302" s="11"/>
      <c r="U5302" s="16"/>
      <c r="V5302" s="41"/>
      <c r="W5302" s="41"/>
      <c r="X5302" s="45"/>
      <c r="Y5302" s="41"/>
      <c r="Z5302" s="41"/>
    </row>
    <row r="5303" spans="17:26" ht="13" x14ac:dyDescent="0.25">
      <c r="Q5303" s="11"/>
      <c r="R5303" s="80"/>
      <c r="S5303" s="11"/>
      <c r="T5303" s="11"/>
      <c r="U5303" s="11"/>
      <c r="V5303" s="41"/>
      <c r="W5303" s="41"/>
      <c r="X5303" s="44"/>
      <c r="Y5303" s="41"/>
      <c r="Z5303" s="41"/>
    </row>
    <row r="5304" spans="17:26" ht="14.5" x14ac:dyDescent="0.35">
      <c r="Q5304" s="11"/>
      <c r="R5304" s="81"/>
      <c r="S5304" s="11"/>
      <c r="T5304" s="11"/>
      <c r="U5304" s="40"/>
      <c r="V5304" s="11"/>
      <c r="W5304" s="11"/>
      <c r="X5304" s="40"/>
      <c r="Y5304" s="44"/>
      <c r="Z5304" s="44"/>
    </row>
    <row r="5305" spans="17:26" ht="14.5" x14ac:dyDescent="0.35">
      <c r="Q5305" s="11"/>
      <c r="R5305" s="79"/>
      <c r="S5305" s="11"/>
      <c r="T5305" s="11"/>
      <c r="U5305" s="40"/>
      <c r="V5305" s="16"/>
      <c r="W5305" s="16"/>
      <c r="X5305" s="40"/>
      <c r="Y5305" s="45"/>
      <c r="Z5305" s="45"/>
    </row>
    <row r="5306" spans="17:26" x14ac:dyDescent="0.25">
      <c r="Q5306" s="11"/>
      <c r="R5306" s="15"/>
      <c r="S5306" s="11"/>
      <c r="T5306" s="11"/>
      <c r="U5306" s="45"/>
      <c r="V5306" s="11"/>
      <c r="W5306" s="11"/>
      <c r="X5306" s="45"/>
      <c r="Y5306" s="44"/>
      <c r="Z5306" s="44"/>
    </row>
    <row r="5307" spans="17:26" ht="14.5" x14ac:dyDescent="0.35">
      <c r="Q5307" s="11"/>
      <c r="R5307" s="79"/>
      <c r="S5307" s="11"/>
      <c r="T5307" s="11"/>
      <c r="U5307" s="40"/>
      <c r="V5307" s="14"/>
      <c r="W5307" s="14"/>
      <c r="X5307" s="40"/>
      <c r="Y5307" s="41"/>
      <c r="Z5307" s="41"/>
    </row>
    <row r="5308" spans="17:26" ht="13" x14ac:dyDescent="0.25">
      <c r="Q5308" s="11"/>
      <c r="R5308" s="15"/>
      <c r="S5308" s="11"/>
      <c r="T5308" s="11"/>
      <c r="U5308" s="45"/>
      <c r="V5308" s="14"/>
      <c r="W5308" s="14"/>
      <c r="X5308" s="45"/>
      <c r="Y5308" s="41"/>
      <c r="Z5308" s="41"/>
    </row>
    <row r="5309" spans="17:26" ht="14.5" x14ac:dyDescent="0.35">
      <c r="Q5309" s="11"/>
      <c r="R5309" s="15"/>
      <c r="S5309" s="11"/>
      <c r="T5309" s="11"/>
      <c r="U5309" s="43"/>
      <c r="V5309" s="11"/>
      <c r="W5309" s="11"/>
      <c r="X5309" s="43"/>
      <c r="Y5309" s="44"/>
      <c r="Z5309" s="44"/>
    </row>
    <row r="5310" spans="17:26" x14ac:dyDescent="0.25">
      <c r="Q5310" s="11"/>
      <c r="R5310" s="15"/>
      <c r="S5310" s="11"/>
      <c r="T5310" s="11"/>
      <c r="U5310" s="45"/>
      <c r="V5310" s="11"/>
      <c r="W5310" s="11"/>
      <c r="X5310" s="45"/>
      <c r="Y5310" s="44"/>
      <c r="Z5310" s="44"/>
    </row>
    <row r="5311" spans="17:26" x14ac:dyDescent="0.25">
      <c r="Q5311" s="11"/>
      <c r="R5311" s="15"/>
      <c r="S5311" s="11"/>
      <c r="T5311" s="11"/>
      <c r="U5311" s="11"/>
      <c r="V5311" s="42"/>
      <c r="W5311" s="78"/>
      <c r="X5311" s="44"/>
      <c r="Y5311" s="42"/>
      <c r="Z5311" s="78"/>
    </row>
    <row r="5312" spans="17:26" x14ac:dyDescent="0.25">
      <c r="Q5312" s="11"/>
      <c r="R5312" s="15"/>
      <c r="S5312" s="11"/>
      <c r="T5312" s="11"/>
      <c r="U5312" s="11"/>
      <c r="V5312" s="11"/>
      <c r="W5312" s="11"/>
      <c r="X5312" s="11"/>
      <c r="Y5312" s="11"/>
      <c r="Z5312" s="11"/>
    </row>
    <row r="5313" spans="17:26" ht="13" x14ac:dyDescent="0.25">
      <c r="Q5313" s="11"/>
      <c r="R5313" s="15"/>
      <c r="S5313" s="11"/>
      <c r="T5313" s="11"/>
      <c r="U5313" s="16"/>
      <c r="V5313" s="41"/>
      <c r="W5313" s="41"/>
      <c r="X5313" s="45"/>
      <c r="Y5313" s="41"/>
      <c r="Z5313" s="41"/>
    </row>
    <row r="5314" spans="17:26" ht="13" x14ac:dyDescent="0.25">
      <c r="Q5314" s="11"/>
      <c r="R5314" s="80"/>
      <c r="S5314" s="11"/>
      <c r="T5314" s="11"/>
      <c r="U5314" s="11"/>
      <c r="V5314" s="41"/>
      <c r="W5314" s="41"/>
      <c r="X5314" s="44"/>
      <c r="Y5314" s="41"/>
      <c r="Z5314" s="41"/>
    </row>
    <row r="5315" spans="17:26" ht="14.5" x14ac:dyDescent="0.35">
      <c r="Q5315" s="11"/>
      <c r="R5315" s="81"/>
      <c r="S5315" s="11"/>
      <c r="T5315" s="11"/>
      <c r="U5315" s="40"/>
      <c r="V5315" s="11"/>
      <c r="W5315" s="11"/>
      <c r="X5315" s="40"/>
      <c r="Y5315" s="44"/>
      <c r="Z5315" s="44"/>
    </row>
    <row r="5316" spans="17:26" ht="14.5" x14ac:dyDescent="0.35">
      <c r="Q5316" s="11"/>
      <c r="R5316" s="79"/>
      <c r="S5316" s="11"/>
      <c r="T5316" s="11"/>
      <c r="U5316" s="40"/>
      <c r="V5316" s="16"/>
      <c r="W5316" s="16"/>
      <c r="X5316" s="40"/>
      <c r="Y5316" s="45"/>
      <c r="Z5316" s="45"/>
    </row>
    <row r="5317" spans="17:26" x14ac:dyDescent="0.25">
      <c r="Q5317" s="11"/>
      <c r="R5317" s="15"/>
      <c r="S5317" s="11"/>
      <c r="T5317" s="11"/>
      <c r="U5317" s="45"/>
      <c r="V5317" s="11"/>
      <c r="W5317" s="11"/>
      <c r="X5317" s="45"/>
      <c r="Y5317" s="44"/>
      <c r="Z5317" s="44"/>
    </row>
    <row r="5318" spans="17:26" ht="14.5" x14ac:dyDescent="0.35">
      <c r="Q5318" s="11"/>
      <c r="R5318" s="79"/>
      <c r="S5318" s="11"/>
      <c r="T5318" s="11"/>
      <c r="U5318" s="40"/>
      <c r="V5318" s="14"/>
      <c r="W5318" s="14"/>
      <c r="X5318" s="40"/>
      <c r="Y5318" s="41"/>
      <c r="Z5318" s="41"/>
    </row>
    <row r="5319" spans="17:26" ht="13" x14ac:dyDescent="0.25">
      <c r="Q5319" s="11"/>
      <c r="R5319" s="15"/>
      <c r="S5319" s="11"/>
      <c r="T5319" s="11"/>
      <c r="U5319" s="45"/>
      <c r="V5319" s="14"/>
      <c r="W5319" s="14"/>
      <c r="X5319" s="45"/>
      <c r="Y5319" s="41"/>
      <c r="Z5319" s="41"/>
    </row>
    <row r="5320" spans="17:26" ht="14.5" x14ac:dyDescent="0.35">
      <c r="Q5320" s="11"/>
      <c r="R5320" s="15"/>
      <c r="S5320" s="11"/>
      <c r="T5320" s="11"/>
      <c r="U5320" s="43"/>
      <c r="V5320" s="11"/>
      <c r="W5320" s="11"/>
      <c r="X5320" s="43"/>
      <c r="Y5320" s="44"/>
      <c r="Z5320" s="44"/>
    </row>
    <row r="5321" spans="17:26" x14ac:dyDescent="0.25">
      <c r="Q5321" s="11"/>
      <c r="R5321" s="15"/>
      <c r="S5321" s="11"/>
      <c r="T5321" s="11"/>
      <c r="U5321" s="45"/>
      <c r="V5321" s="11"/>
      <c r="W5321" s="11"/>
      <c r="X5321" s="45"/>
      <c r="Y5321" s="44"/>
      <c r="Z5321" s="44"/>
    </row>
    <row r="5322" spans="17:26" x14ac:dyDescent="0.25">
      <c r="Q5322" s="11"/>
      <c r="R5322" s="15"/>
      <c r="S5322" s="11"/>
      <c r="T5322" s="11"/>
      <c r="U5322" s="11"/>
      <c r="V5322" s="42"/>
      <c r="W5322" s="78"/>
      <c r="X5322" s="44"/>
      <c r="Y5322" s="42"/>
      <c r="Z5322" s="78"/>
    </row>
    <row r="5323" spans="17:26" ht="14" x14ac:dyDescent="0.3">
      <c r="Q5323" s="11"/>
      <c r="R5323" s="46"/>
      <c r="S5323" s="11"/>
      <c r="T5323" s="11"/>
      <c r="U5323" s="11"/>
      <c r="V5323" s="11"/>
      <c r="W5323" s="11"/>
      <c r="X5323" s="11"/>
      <c r="Y5323" s="11"/>
      <c r="Z5323" s="11"/>
    </row>
    <row r="5324" spans="17:26" ht="13" x14ac:dyDescent="0.25">
      <c r="Q5324" s="11"/>
      <c r="R5324" s="15"/>
      <c r="S5324" s="11"/>
      <c r="T5324" s="11"/>
      <c r="U5324" s="11"/>
      <c r="V5324" s="11"/>
      <c r="W5324" s="11"/>
      <c r="X5324" s="45"/>
      <c r="Y5324" s="41"/>
      <c r="Z5324" s="41"/>
    </row>
    <row r="5325" spans="17:26" ht="13" x14ac:dyDescent="0.25">
      <c r="Q5325" s="11"/>
      <c r="R5325" s="80"/>
      <c r="S5325" s="11"/>
      <c r="T5325" s="11"/>
      <c r="U5325" s="11"/>
      <c r="V5325" s="11"/>
      <c r="W5325" s="11"/>
      <c r="X5325" s="44"/>
      <c r="Y5325" s="41"/>
      <c r="Z5325" s="41"/>
    </row>
    <row r="5326" spans="17:26" ht="14.5" x14ac:dyDescent="0.35">
      <c r="Q5326" s="11"/>
      <c r="R5326" s="81"/>
      <c r="S5326" s="11"/>
      <c r="T5326" s="11"/>
      <c r="U5326" s="11"/>
      <c r="V5326" s="11"/>
      <c r="W5326" s="11"/>
      <c r="X5326" s="40"/>
      <c r="Y5326" s="44"/>
      <c r="Z5326" s="44"/>
    </row>
    <row r="5327" spans="17:26" ht="14.5" x14ac:dyDescent="0.35">
      <c r="Q5327" s="11"/>
      <c r="R5327" s="79"/>
      <c r="S5327" s="11"/>
      <c r="T5327" s="11"/>
      <c r="U5327" s="11"/>
      <c r="V5327" s="11"/>
      <c r="W5327" s="11"/>
      <c r="X5327" s="40"/>
      <c r="Y5327" s="45"/>
      <c r="Z5327" s="45"/>
    </row>
    <row r="5328" spans="17:26" x14ac:dyDescent="0.25">
      <c r="Q5328" s="11"/>
      <c r="R5328" s="15"/>
      <c r="S5328" s="11"/>
      <c r="T5328" s="11"/>
      <c r="U5328" s="11"/>
      <c r="V5328" s="11"/>
      <c r="W5328" s="11"/>
      <c r="X5328" s="45"/>
      <c r="Y5328" s="44"/>
      <c r="Z5328" s="44"/>
    </row>
    <row r="5329" spans="17:26" ht="14.5" x14ac:dyDescent="0.35">
      <c r="Q5329" s="11"/>
      <c r="R5329" s="79"/>
      <c r="S5329" s="11"/>
      <c r="T5329" s="11"/>
      <c r="U5329" s="11"/>
      <c r="V5329" s="11"/>
      <c r="W5329" s="11"/>
      <c r="X5329" s="40"/>
      <c r="Y5329" s="41"/>
      <c r="Z5329" s="41"/>
    </row>
    <row r="5330" spans="17:26" ht="13" x14ac:dyDescent="0.25">
      <c r="Q5330" s="11"/>
      <c r="R5330" s="15"/>
      <c r="S5330" s="11"/>
      <c r="T5330" s="11"/>
      <c r="U5330" s="11"/>
      <c r="V5330" s="11"/>
      <c r="W5330" s="11"/>
      <c r="X5330" s="45"/>
      <c r="Y5330" s="41"/>
      <c r="Z5330" s="41"/>
    </row>
    <row r="5331" spans="17:26" ht="14.5" x14ac:dyDescent="0.35">
      <c r="Q5331" s="11"/>
      <c r="R5331" s="15"/>
      <c r="S5331" s="11"/>
      <c r="T5331" s="11"/>
      <c r="U5331" s="11"/>
      <c r="V5331" s="11"/>
      <c r="W5331" s="11"/>
      <c r="X5331" s="43"/>
      <c r="Y5331" s="44"/>
      <c r="Z5331" s="44"/>
    </row>
    <row r="5332" spans="17:26" x14ac:dyDescent="0.25">
      <c r="Q5332" s="11"/>
      <c r="R5332" s="15"/>
      <c r="S5332" s="11"/>
      <c r="T5332" s="11"/>
      <c r="U5332" s="11"/>
      <c r="V5332" s="11"/>
      <c r="W5332" s="11"/>
      <c r="X5332" s="45"/>
      <c r="Y5332" s="44"/>
      <c r="Z5332" s="44"/>
    </row>
    <row r="5333" spans="17:26" x14ac:dyDescent="0.25">
      <c r="Q5333" s="11"/>
      <c r="R5333" s="15"/>
      <c r="S5333" s="11"/>
      <c r="T5333" s="11"/>
      <c r="U5333" s="11"/>
      <c r="V5333" s="11"/>
      <c r="W5333" s="11"/>
      <c r="X5333" s="44"/>
      <c r="Y5333" s="42"/>
      <c r="Z5333" s="78"/>
    </row>
    <row r="5334" spans="17:26" ht="14.5" x14ac:dyDescent="0.35">
      <c r="Q5334" s="11"/>
      <c r="R5334" s="79"/>
      <c r="S5334" s="11"/>
      <c r="T5334" s="11"/>
      <c r="U5334" s="11"/>
      <c r="V5334" s="11"/>
      <c r="W5334" s="11"/>
      <c r="X5334" s="11"/>
      <c r="Y5334" s="11"/>
      <c r="Z5334" s="11"/>
    </row>
    <row r="5335" spans="17:26" ht="13" x14ac:dyDescent="0.25">
      <c r="Q5335" s="11"/>
      <c r="R5335" s="15"/>
      <c r="S5335" s="11"/>
      <c r="T5335" s="11"/>
      <c r="U5335" s="11"/>
      <c r="V5335" s="11"/>
      <c r="W5335" s="11"/>
      <c r="X5335" s="45"/>
      <c r="Y5335" s="41"/>
      <c r="Z5335" s="41"/>
    </row>
    <row r="5336" spans="17:26" ht="13" x14ac:dyDescent="0.25">
      <c r="Q5336" s="11"/>
      <c r="R5336" s="80"/>
      <c r="S5336" s="11"/>
      <c r="T5336" s="11"/>
      <c r="U5336" s="11"/>
      <c r="V5336" s="11"/>
      <c r="W5336" s="11"/>
      <c r="X5336" s="44"/>
      <c r="Y5336" s="41"/>
      <c r="Z5336" s="41"/>
    </row>
    <row r="5337" spans="17:26" ht="14.5" x14ac:dyDescent="0.35">
      <c r="Q5337" s="11"/>
      <c r="R5337" s="81"/>
      <c r="S5337" s="11"/>
      <c r="T5337" s="11"/>
      <c r="U5337" s="11"/>
      <c r="V5337" s="11"/>
      <c r="W5337" s="11"/>
      <c r="X5337" s="40"/>
      <c r="Y5337" s="44"/>
      <c r="Z5337" s="44"/>
    </row>
    <row r="5338" spans="17:26" ht="14.5" x14ac:dyDescent="0.35">
      <c r="Q5338" s="11"/>
      <c r="R5338" s="79"/>
      <c r="S5338" s="11"/>
      <c r="T5338" s="11"/>
      <c r="U5338" s="11"/>
      <c r="V5338" s="11"/>
      <c r="W5338" s="11"/>
      <c r="X5338" s="40"/>
      <c r="Y5338" s="45"/>
      <c r="Z5338" s="45"/>
    </row>
    <row r="5339" spans="17:26" x14ac:dyDescent="0.25">
      <c r="Q5339" s="11"/>
      <c r="R5339" s="15"/>
      <c r="S5339" s="11"/>
      <c r="T5339" s="11"/>
      <c r="U5339" s="11"/>
      <c r="V5339" s="11"/>
      <c r="W5339" s="11"/>
      <c r="X5339" s="45"/>
      <c r="Y5339" s="44"/>
      <c r="Z5339" s="44"/>
    </row>
    <row r="5340" spans="17:26" ht="14.5" x14ac:dyDescent="0.35">
      <c r="Q5340" s="11"/>
      <c r="R5340" s="79"/>
      <c r="S5340" s="11"/>
      <c r="T5340" s="11"/>
      <c r="U5340" s="11"/>
      <c r="V5340" s="11"/>
      <c r="W5340" s="11"/>
      <c r="X5340" s="40"/>
      <c r="Y5340" s="41"/>
      <c r="Z5340" s="41"/>
    </row>
    <row r="5341" spans="17:26" ht="13" x14ac:dyDescent="0.25">
      <c r="Q5341" s="11"/>
      <c r="R5341" s="15"/>
      <c r="S5341" s="11"/>
      <c r="T5341" s="11"/>
      <c r="U5341" s="11"/>
      <c r="V5341" s="11"/>
      <c r="W5341" s="11"/>
      <c r="X5341" s="45"/>
      <c r="Y5341" s="41"/>
      <c r="Z5341" s="41"/>
    </row>
    <row r="5342" spans="17:26" ht="14.5" x14ac:dyDescent="0.35">
      <c r="Q5342" s="11"/>
      <c r="R5342" s="15"/>
      <c r="S5342" s="11"/>
      <c r="T5342" s="11"/>
      <c r="U5342" s="11"/>
      <c r="V5342" s="11"/>
      <c r="W5342" s="11"/>
      <c r="X5342" s="43"/>
      <c r="Y5342" s="44"/>
      <c r="Z5342" s="44"/>
    </row>
    <row r="5343" spans="17:26" x14ac:dyDescent="0.25">
      <c r="Q5343" s="11"/>
      <c r="R5343" s="15"/>
      <c r="S5343" s="11"/>
      <c r="T5343" s="11"/>
      <c r="U5343" s="11"/>
      <c r="V5343" s="11"/>
      <c r="W5343" s="11"/>
      <c r="X5343" s="45"/>
      <c r="Y5343" s="44"/>
      <c r="Z5343" s="44"/>
    </row>
    <row r="5344" spans="17:26" x14ac:dyDescent="0.25">
      <c r="Q5344" s="11"/>
      <c r="R5344" s="15"/>
      <c r="S5344" s="11"/>
      <c r="T5344" s="11"/>
      <c r="U5344" s="11"/>
      <c r="V5344" s="11"/>
      <c r="W5344" s="11"/>
      <c r="X5344" s="44"/>
      <c r="Y5344" s="42"/>
      <c r="Z5344" s="78"/>
    </row>
    <row r="5345" spans="17:26" x14ac:dyDescent="0.25">
      <c r="Q5345" s="11"/>
      <c r="R5345" s="15"/>
      <c r="S5345" s="11"/>
      <c r="T5345" s="11"/>
      <c r="U5345" s="11"/>
      <c r="V5345" s="11"/>
      <c r="W5345" s="11"/>
      <c r="X5345" s="11"/>
      <c r="Y5345" s="11"/>
      <c r="Z5345" s="11"/>
    </row>
    <row r="5346" spans="17:26" ht="13" x14ac:dyDescent="0.25">
      <c r="Q5346" s="11"/>
      <c r="R5346" s="15"/>
      <c r="S5346" s="11"/>
      <c r="T5346" s="11"/>
      <c r="U5346" s="11"/>
      <c r="V5346" s="11"/>
      <c r="W5346" s="11"/>
      <c r="X5346" s="45"/>
      <c r="Y5346" s="41"/>
      <c r="Z5346" s="41"/>
    </row>
    <row r="5347" spans="17:26" ht="13" x14ac:dyDescent="0.25">
      <c r="Q5347" s="11"/>
      <c r="R5347" s="15"/>
      <c r="S5347" s="11"/>
      <c r="T5347" s="11"/>
      <c r="U5347" s="11"/>
      <c r="V5347" s="11"/>
      <c r="W5347" s="11"/>
      <c r="X5347" s="44"/>
      <c r="Y5347" s="41"/>
      <c r="Z5347" s="41"/>
    </row>
    <row r="5348" spans="17:26" ht="14.5" x14ac:dyDescent="0.35">
      <c r="Q5348" s="11"/>
      <c r="R5348" s="81"/>
      <c r="S5348" s="11"/>
      <c r="T5348" s="11"/>
      <c r="U5348" s="11"/>
      <c r="V5348" s="11"/>
      <c r="W5348" s="11"/>
      <c r="X5348" s="40"/>
      <c r="Y5348" s="44"/>
      <c r="Z5348" s="44"/>
    </row>
    <row r="5349" spans="17:26" ht="14.5" x14ac:dyDescent="0.35">
      <c r="Q5349" s="11"/>
      <c r="R5349" s="79"/>
      <c r="S5349" s="11"/>
      <c r="T5349" s="11"/>
      <c r="U5349" s="11"/>
      <c r="V5349" s="11"/>
      <c r="W5349" s="11"/>
      <c r="X5349" s="40"/>
      <c r="Y5349" s="45"/>
      <c r="Z5349" s="45"/>
    </row>
    <row r="5350" spans="17:26" x14ac:dyDescent="0.25">
      <c r="Q5350" s="11"/>
      <c r="R5350" s="15"/>
      <c r="S5350" s="11"/>
      <c r="T5350" s="11"/>
      <c r="U5350" s="11"/>
      <c r="V5350" s="11"/>
      <c r="W5350" s="11"/>
      <c r="X5350" s="45"/>
      <c r="Y5350" s="44"/>
      <c r="Z5350" s="44"/>
    </row>
    <row r="5351" spans="17:26" ht="14.5" x14ac:dyDescent="0.35">
      <c r="Q5351" s="11"/>
      <c r="R5351" s="79"/>
      <c r="S5351" s="11"/>
      <c r="T5351" s="11"/>
      <c r="U5351" s="11"/>
      <c r="V5351" s="11"/>
      <c r="W5351" s="11"/>
      <c r="X5351" s="40"/>
      <c r="Y5351" s="41"/>
      <c r="Z5351" s="41"/>
    </row>
    <row r="5352" spans="17:26" ht="13" x14ac:dyDescent="0.25">
      <c r="Q5352" s="11"/>
      <c r="R5352" s="15"/>
      <c r="S5352" s="11"/>
      <c r="T5352" s="11"/>
      <c r="U5352" s="11"/>
      <c r="V5352" s="11"/>
      <c r="W5352" s="11"/>
      <c r="X5352" s="45"/>
      <c r="Y5352" s="41"/>
      <c r="Z5352" s="41"/>
    </row>
    <row r="5353" spans="17:26" ht="14.5" x14ac:dyDescent="0.35">
      <c r="Q5353" s="11"/>
      <c r="R5353" s="15"/>
      <c r="S5353" s="11"/>
      <c r="T5353" s="11"/>
      <c r="U5353" s="11"/>
      <c r="V5353" s="11"/>
      <c r="W5353" s="11"/>
      <c r="X5353" s="43"/>
      <c r="Y5353" s="44"/>
      <c r="Z5353" s="44"/>
    </row>
    <row r="5354" spans="17:26" x14ac:dyDescent="0.25">
      <c r="Q5354" s="11"/>
      <c r="R5354" s="15"/>
      <c r="S5354" s="11"/>
      <c r="T5354" s="11"/>
      <c r="U5354" s="11"/>
      <c r="V5354" s="11"/>
      <c r="W5354" s="11"/>
      <c r="X5354" s="45"/>
      <c r="Y5354" s="44"/>
      <c r="Z5354" s="44"/>
    </row>
    <row r="5355" spans="17:26" x14ac:dyDescent="0.25">
      <c r="Q5355" s="11"/>
      <c r="R5355" s="15"/>
      <c r="S5355" s="11"/>
      <c r="T5355" s="11"/>
      <c r="U5355" s="11"/>
      <c r="V5355" s="11"/>
      <c r="W5355" s="11"/>
      <c r="X5355" s="44"/>
      <c r="Y5355" s="42"/>
      <c r="Z5355" s="78"/>
    </row>
    <row r="5356" spans="17:26" x14ac:dyDescent="0.25">
      <c r="Q5356" s="11"/>
      <c r="R5356" s="15"/>
      <c r="S5356" s="11"/>
      <c r="T5356" s="11"/>
      <c r="U5356" s="11"/>
      <c r="V5356" s="11"/>
      <c r="W5356" s="11"/>
      <c r="X5356" s="11"/>
      <c r="Y5356" s="11"/>
      <c r="Z5356" s="11"/>
    </row>
    <row r="5357" spans="17:26" ht="13" x14ac:dyDescent="0.25">
      <c r="Q5357" s="11"/>
      <c r="R5357" s="15"/>
      <c r="S5357" s="11"/>
      <c r="T5357" s="11"/>
      <c r="U5357" s="11"/>
      <c r="V5357" s="11"/>
      <c r="W5357" s="11"/>
      <c r="X5357" s="45"/>
      <c r="Y5357" s="41"/>
      <c r="Z5357" s="41"/>
    </row>
    <row r="5358" spans="17:26" ht="13" x14ac:dyDescent="0.25">
      <c r="Q5358" s="11"/>
      <c r="R5358" s="80"/>
      <c r="S5358" s="11"/>
      <c r="T5358" s="11"/>
      <c r="U5358" s="11"/>
      <c r="V5358" s="11"/>
      <c r="W5358" s="11"/>
      <c r="X5358" s="44"/>
      <c r="Y5358" s="41"/>
      <c r="Z5358" s="41"/>
    </row>
    <row r="5359" spans="17:26" ht="14.5" x14ac:dyDescent="0.35">
      <c r="Q5359" s="11"/>
      <c r="R5359" s="81"/>
      <c r="S5359" s="11"/>
      <c r="T5359" s="11"/>
      <c r="U5359" s="11"/>
      <c r="V5359" s="11"/>
      <c r="W5359" s="11"/>
      <c r="X5359" s="40"/>
      <c r="Y5359" s="44"/>
      <c r="Z5359" s="44"/>
    </row>
    <row r="5360" spans="17:26" ht="14.5" x14ac:dyDescent="0.35">
      <c r="Q5360" s="11"/>
      <c r="R5360" s="79"/>
      <c r="S5360" s="11"/>
      <c r="T5360" s="11"/>
      <c r="U5360" s="11"/>
      <c r="V5360" s="11"/>
      <c r="W5360" s="11"/>
      <c r="X5360" s="40"/>
      <c r="Y5360" s="45"/>
      <c r="Z5360" s="45"/>
    </row>
    <row r="5361" spans="17:26" x14ac:dyDescent="0.25">
      <c r="Q5361" s="11"/>
      <c r="R5361" s="15"/>
      <c r="S5361" s="11"/>
      <c r="T5361" s="11"/>
      <c r="U5361" s="11"/>
      <c r="V5361" s="11"/>
      <c r="W5361" s="11"/>
      <c r="X5361" s="45"/>
      <c r="Y5361" s="44"/>
      <c r="Z5361" s="44"/>
    </row>
    <row r="5362" spans="17:26" ht="14.5" x14ac:dyDescent="0.35">
      <c r="Q5362" s="11"/>
      <c r="R5362" s="79"/>
      <c r="S5362" s="11"/>
      <c r="T5362" s="11"/>
      <c r="U5362" s="11"/>
      <c r="V5362" s="11"/>
      <c r="W5362" s="11"/>
      <c r="X5362" s="40"/>
      <c r="Y5362" s="41"/>
      <c r="Z5362" s="41"/>
    </row>
    <row r="5363" spans="17:26" ht="13" x14ac:dyDescent="0.25">
      <c r="Q5363" s="11"/>
      <c r="R5363" s="15"/>
      <c r="S5363" s="11"/>
      <c r="T5363" s="11"/>
      <c r="U5363" s="11"/>
      <c r="V5363" s="11"/>
      <c r="W5363" s="11"/>
      <c r="X5363" s="45"/>
      <c r="Y5363" s="41"/>
      <c r="Z5363" s="41"/>
    </row>
    <row r="5364" spans="17:26" ht="14.5" x14ac:dyDescent="0.35">
      <c r="Q5364" s="11"/>
      <c r="R5364" s="15"/>
      <c r="S5364" s="11"/>
      <c r="T5364" s="11"/>
      <c r="U5364" s="11"/>
      <c r="V5364" s="11"/>
      <c r="W5364" s="11"/>
      <c r="X5364" s="43"/>
      <c r="Y5364" s="44"/>
      <c r="Z5364" s="44"/>
    </row>
    <row r="5365" spans="17:26" x14ac:dyDescent="0.25">
      <c r="Q5365" s="11"/>
      <c r="R5365" s="15"/>
      <c r="S5365" s="11"/>
      <c r="T5365" s="11"/>
      <c r="U5365" s="11"/>
      <c r="V5365" s="11"/>
      <c r="W5365" s="11"/>
      <c r="X5365" s="45"/>
      <c r="Y5365" s="44"/>
      <c r="Z5365" s="44"/>
    </row>
    <row r="5366" spans="17:26" x14ac:dyDescent="0.25">
      <c r="Q5366" s="11"/>
      <c r="R5366" s="15"/>
      <c r="S5366" s="11"/>
      <c r="T5366" s="11"/>
      <c r="U5366" s="11"/>
      <c r="V5366" s="11"/>
      <c r="W5366" s="11"/>
      <c r="X5366" s="44"/>
      <c r="Y5366" s="42"/>
      <c r="Z5366" s="78"/>
    </row>
    <row r="5367" spans="17:26" x14ac:dyDescent="0.25">
      <c r="Q5367" s="11"/>
      <c r="R5367" s="15"/>
      <c r="S5367" s="11"/>
      <c r="T5367" s="11"/>
      <c r="U5367" s="11"/>
      <c r="V5367" s="11"/>
      <c r="W5367" s="11"/>
      <c r="X5367" s="11"/>
      <c r="Y5367" s="11"/>
      <c r="Z5367" s="11"/>
    </row>
    <row r="5368" spans="17:26" ht="13" x14ac:dyDescent="0.25">
      <c r="Q5368" s="11"/>
      <c r="R5368" s="15"/>
      <c r="S5368" s="11"/>
      <c r="T5368" s="11"/>
      <c r="U5368" s="11"/>
      <c r="V5368" s="11"/>
      <c r="W5368" s="11"/>
      <c r="X5368" s="45"/>
      <c r="Y5368" s="41"/>
      <c r="Z5368" s="41"/>
    </row>
    <row r="5369" spans="17:26" ht="13" x14ac:dyDescent="0.25">
      <c r="Q5369" s="11"/>
      <c r="R5369" s="80"/>
      <c r="S5369" s="11"/>
      <c r="T5369" s="11"/>
      <c r="U5369" s="11"/>
      <c r="V5369" s="11"/>
      <c r="W5369" s="11"/>
      <c r="X5369" s="44"/>
      <c r="Y5369" s="41"/>
      <c r="Z5369" s="41"/>
    </row>
    <row r="5370" spans="17:26" ht="14.5" x14ac:dyDescent="0.35">
      <c r="Q5370" s="11"/>
      <c r="R5370" s="81"/>
      <c r="S5370" s="11"/>
      <c r="T5370" s="11"/>
      <c r="U5370" s="11"/>
      <c r="V5370" s="11"/>
      <c r="W5370" s="11"/>
      <c r="X5370" s="40"/>
      <c r="Y5370" s="44"/>
      <c r="Z5370" s="44"/>
    </row>
    <row r="5371" spans="17:26" ht="14.5" x14ac:dyDescent="0.35">
      <c r="Q5371" s="11"/>
      <c r="R5371" s="79"/>
      <c r="S5371" s="11"/>
      <c r="T5371" s="11"/>
      <c r="U5371" s="11"/>
      <c r="V5371" s="11"/>
      <c r="W5371" s="11"/>
      <c r="X5371" s="40"/>
      <c r="Y5371" s="45"/>
      <c r="Z5371" s="45"/>
    </row>
    <row r="5372" spans="17:26" x14ac:dyDescent="0.25">
      <c r="Q5372" s="11"/>
      <c r="R5372" s="15"/>
      <c r="S5372" s="11"/>
      <c r="T5372" s="11"/>
      <c r="U5372" s="11"/>
      <c r="V5372" s="11"/>
      <c r="W5372" s="11"/>
      <c r="X5372" s="45"/>
      <c r="Y5372" s="44"/>
      <c r="Z5372" s="44"/>
    </row>
    <row r="5373" spans="17:26" ht="14.5" x14ac:dyDescent="0.35">
      <c r="Q5373" s="11"/>
      <c r="R5373" s="79"/>
      <c r="S5373" s="11"/>
      <c r="T5373" s="11"/>
      <c r="U5373" s="11"/>
      <c r="V5373" s="11"/>
      <c r="W5373" s="11"/>
      <c r="X5373" s="40"/>
      <c r="Y5373" s="41"/>
      <c r="Z5373" s="41"/>
    </row>
    <row r="5374" spans="17:26" ht="13" x14ac:dyDescent="0.25">
      <c r="Q5374" s="11"/>
      <c r="R5374" s="15"/>
      <c r="S5374" s="11"/>
      <c r="T5374" s="11"/>
      <c r="U5374" s="11"/>
      <c r="V5374" s="11"/>
      <c r="W5374" s="11"/>
      <c r="X5374" s="45"/>
      <c r="Y5374" s="41"/>
      <c r="Z5374" s="41"/>
    </row>
    <row r="5375" spans="17:26" ht="14.5" x14ac:dyDescent="0.35">
      <c r="Q5375" s="11"/>
      <c r="R5375" s="15"/>
      <c r="S5375" s="11"/>
      <c r="T5375" s="11"/>
      <c r="U5375" s="11"/>
      <c r="V5375" s="11"/>
      <c r="W5375" s="11"/>
      <c r="X5375" s="43"/>
      <c r="Y5375" s="44"/>
      <c r="Z5375" s="44"/>
    </row>
    <row r="5376" spans="17:26" x14ac:dyDescent="0.25">
      <c r="Q5376" s="11"/>
      <c r="R5376" s="15"/>
      <c r="S5376" s="11"/>
      <c r="T5376" s="11"/>
      <c r="U5376" s="11"/>
      <c r="V5376" s="11"/>
      <c r="W5376" s="11"/>
      <c r="X5376" s="45"/>
      <c r="Y5376" s="44"/>
      <c r="Z5376" s="44"/>
    </row>
    <row r="5377" spans="17:26" x14ac:dyDescent="0.25">
      <c r="Q5377" s="11"/>
      <c r="R5377" s="15"/>
      <c r="S5377" s="11"/>
      <c r="T5377" s="11"/>
      <c r="U5377" s="11"/>
      <c r="V5377" s="11"/>
      <c r="W5377" s="11"/>
      <c r="X5377" s="44"/>
      <c r="Y5377" s="42"/>
      <c r="Z5377" s="78"/>
    </row>
    <row r="5378" spans="17:26" x14ac:dyDescent="0.25">
      <c r="Q5378" s="11"/>
      <c r="R5378" s="15"/>
      <c r="S5378" s="11"/>
      <c r="T5378" s="11"/>
      <c r="U5378" s="11"/>
      <c r="V5378" s="11"/>
      <c r="W5378" s="11"/>
      <c r="X5378" s="11"/>
      <c r="Y5378" s="11"/>
      <c r="Z5378" s="11"/>
    </row>
    <row r="5379" spans="17:26" ht="13" x14ac:dyDescent="0.25">
      <c r="Q5379" s="11"/>
      <c r="R5379" s="15"/>
      <c r="S5379" s="11"/>
      <c r="T5379" s="11"/>
      <c r="U5379" s="11"/>
      <c r="V5379" s="11"/>
      <c r="W5379" s="11"/>
      <c r="X5379" s="45"/>
      <c r="Y5379" s="41"/>
      <c r="Z5379" s="41"/>
    </row>
    <row r="5380" spans="17:26" ht="13" x14ac:dyDescent="0.25">
      <c r="Q5380" s="11"/>
      <c r="R5380" s="80"/>
      <c r="S5380" s="11"/>
      <c r="T5380" s="11"/>
      <c r="U5380" s="11"/>
      <c r="V5380" s="11"/>
      <c r="W5380" s="11"/>
      <c r="X5380" s="44"/>
      <c r="Y5380" s="41"/>
      <c r="Z5380" s="41"/>
    </row>
    <row r="5381" spans="17:26" ht="14.5" x14ac:dyDescent="0.35">
      <c r="Q5381" s="11"/>
      <c r="R5381" s="81"/>
      <c r="S5381" s="11"/>
      <c r="T5381" s="11"/>
      <c r="U5381" s="11"/>
      <c r="V5381" s="11"/>
      <c r="W5381" s="11"/>
      <c r="X5381" s="40"/>
      <c r="Y5381" s="44"/>
      <c r="Z5381" s="44"/>
    </row>
    <row r="5382" spans="17:26" ht="14.5" x14ac:dyDescent="0.35">
      <c r="Q5382" s="11"/>
      <c r="R5382" s="79"/>
      <c r="S5382" s="11"/>
      <c r="T5382" s="11"/>
      <c r="U5382" s="11"/>
      <c r="V5382" s="11"/>
      <c r="W5382" s="11"/>
      <c r="X5382" s="40"/>
      <c r="Y5382" s="45"/>
      <c r="Z5382" s="45"/>
    </row>
    <row r="5383" spans="17:26" x14ac:dyDescent="0.25">
      <c r="Q5383" s="11"/>
      <c r="R5383" s="15"/>
      <c r="S5383" s="11"/>
      <c r="T5383" s="11"/>
      <c r="U5383" s="11"/>
      <c r="V5383" s="11"/>
      <c r="W5383" s="11"/>
      <c r="X5383" s="45"/>
      <c r="Y5383" s="44"/>
      <c r="Z5383" s="44"/>
    </row>
    <row r="5384" spans="17:26" ht="14.5" x14ac:dyDescent="0.35">
      <c r="Q5384" s="11"/>
      <c r="R5384" s="79"/>
      <c r="S5384" s="11"/>
      <c r="T5384" s="11"/>
      <c r="U5384" s="11"/>
      <c r="V5384" s="11"/>
      <c r="W5384" s="11"/>
      <c r="X5384" s="40"/>
      <c r="Y5384" s="41"/>
      <c r="Z5384" s="41"/>
    </row>
    <row r="5385" spans="17:26" ht="13" x14ac:dyDescent="0.25">
      <c r="Q5385" s="11"/>
      <c r="R5385" s="15"/>
      <c r="S5385" s="11"/>
      <c r="T5385" s="11"/>
      <c r="U5385" s="11"/>
      <c r="V5385" s="11"/>
      <c r="W5385" s="11"/>
      <c r="X5385" s="45"/>
      <c r="Y5385" s="41"/>
      <c r="Z5385" s="41"/>
    </row>
    <row r="5386" spans="17:26" ht="14.5" x14ac:dyDescent="0.35">
      <c r="Q5386" s="11"/>
      <c r="R5386" s="15"/>
      <c r="S5386" s="11"/>
      <c r="T5386" s="11"/>
      <c r="U5386" s="11"/>
      <c r="V5386" s="11"/>
      <c r="W5386" s="11"/>
      <c r="X5386" s="43"/>
      <c r="Y5386" s="44"/>
      <c r="Z5386" s="44"/>
    </row>
    <row r="5387" spans="17:26" x14ac:dyDescent="0.25">
      <c r="Q5387" s="11"/>
      <c r="R5387" s="15"/>
      <c r="S5387" s="11"/>
      <c r="T5387" s="11"/>
      <c r="U5387" s="11"/>
      <c r="V5387" s="11"/>
      <c r="W5387" s="11"/>
      <c r="X5387" s="45"/>
      <c r="Y5387" s="44"/>
      <c r="Z5387" s="44"/>
    </row>
    <row r="5388" spans="17:26" x14ac:dyDescent="0.25">
      <c r="Q5388" s="11"/>
      <c r="R5388" s="15"/>
      <c r="S5388" s="11"/>
      <c r="T5388" s="11"/>
      <c r="U5388" s="11"/>
      <c r="V5388" s="11"/>
      <c r="W5388" s="11"/>
      <c r="X5388" s="44"/>
      <c r="Y5388" s="42"/>
      <c r="Z5388" s="78"/>
    </row>
    <row r="5389" spans="17:26" ht="14" x14ac:dyDescent="0.3">
      <c r="Q5389" s="11"/>
      <c r="R5389" s="46"/>
      <c r="S5389" s="11"/>
      <c r="T5389" s="11"/>
      <c r="U5389" s="11"/>
      <c r="V5389" s="11"/>
      <c r="W5389" s="11"/>
      <c r="X5389" s="11"/>
      <c r="Y5389" s="11"/>
      <c r="Z5389" s="11"/>
    </row>
    <row r="5390" spans="17:26" ht="13" x14ac:dyDescent="0.25">
      <c r="Q5390" s="11"/>
      <c r="R5390" s="15"/>
      <c r="S5390" s="11"/>
      <c r="T5390" s="11"/>
      <c r="U5390" s="11"/>
      <c r="V5390" s="11"/>
      <c r="W5390" s="11"/>
      <c r="X5390" s="45"/>
      <c r="Y5390" s="41"/>
      <c r="Z5390" s="41"/>
    </row>
    <row r="5391" spans="17:26" ht="13" x14ac:dyDescent="0.25">
      <c r="Q5391" s="11"/>
      <c r="R5391" s="80"/>
      <c r="S5391" s="11"/>
      <c r="T5391" s="11"/>
      <c r="U5391" s="11"/>
      <c r="V5391" s="11"/>
      <c r="W5391" s="11"/>
      <c r="X5391" s="44"/>
      <c r="Y5391" s="41"/>
      <c r="Z5391" s="41"/>
    </row>
    <row r="5392" spans="17:26" ht="14.5" x14ac:dyDescent="0.35">
      <c r="Q5392" s="11"/>
      <c r="R5392" s="81"/>
      <c r="S5392" s="11"/>
      <c r="T5392" s="11"/>
      <c r="U5392" s="11"/>
      <c r="V5392" s="11"/>
      <c r="W5392" s="11"/>
      <c r="X5392" s="40"/>
      <c r="Y5392" s="44"/>
      <c r="Z5392" s="44"/>
    </row>
    <row r="5393" spans="17:26" ht="14.5" x14ac:dyDescent="0.35">
      <c r="Q5393" s="11"/>
      <c r="R5393" s="79"/>
      <c r="S5393" s="11"/>
      <c r="T5393" s="11"/>
      <c r="U5393" s="11"/>
      <c r="V5393" s="11"/>
      <c r="W5393" s="11"/>
      <c r="X5393" s="40"/>
      <c r="Y5393" s="45"/>
      <c r="Z5393" s="45"/>
    </row>
    <row r="5394" spans="17:26" x14ac:dyDescent="0.25">
      <c r="Q5394" s="11"/>
      <c r="R5394" s="15"/>
      <c r="S5394" s="11"/>
      <c r="T5394" s="11"/>
      <c r="U5394" s="11"/>
      <c r="V5394" s="11"/>
      <c r="W5394" s="11"/>
      <c r="X5394" s="45"/>
      <c r="Y5394" s="44"/>
      <c r="Z5394" s="44"/>
    </row>
    <row r="5395" spans="17:26" ht="14.5" x14ac:dyDescent="0.35">
      <c r="Q5395" s="11"/>
      <c r="R5395" s="79"/>
      <c r="S5395" s="11"/>
      <c r="T5395" s="11"/>
      <c r="U5395" s="11"/>
      <c r="V5395" s="11"/>
      <c r="W5395" s="11"/>
      <c r="X5395" s="40"/>
      <c r="Y5395" s="41"/>
      <c r="Z5395" s="41"/>
    </row>
    <row r="5396" spans="17:26" ht="13" x14ac:dyDescent="0.25">
      <c r="Q5396" s="11"/>
      <c r="R5396" s="15"/>
      <c r="S5396" s="11"/>
      <c r="T5396" s="11"/>
      <c r="U5396" s="11"/>
      <c r="V5396" s="11"/>
      <c r="W5396" s="11"/>
      <c r="X5396" s="45"/>
      <c r="Y5396" s="41"/>
      <c r="Z5396" s="41"/>
    </row>
    <row r="5397" spans="17:26" ht="14.5" x14ac:dyDescent="0.35">
      <c r="Q5397" s="11"/>
      <c r="R5397" s="15"/>
      <c r="S5397" s="11"/>
      <c r="T5397" s="11"/>
      <c r="U5397" s="11"/>
      <c r="V5397" s="11"/>
      <c r="W5397" s="11"/>
      <c r="X5397" s="43"/>
      <c r="Y5397" s="44"/>
      <c r="Z5397" s="44"/>
    </row>
    <row r="5398" spans="17:26" x14ac:dyDescent="0.25">
      <c r="Q5398" s="11"/>
      <c r="R5398" s="15"/>
      <c r="S5398" s="11"/>
      <c r="T5398" s="11"/>
      <c r="U5398" s="11"/>
      <c r="V5398" s="11"/>
      <c r="W5398" s="11"/>
      <c r="X5398" s="45"/>
      <c r="Y5398" s="44"/>
      <c r="Z5398" s="44"/>
    </row>
    <row r="5399" spans="17:26" x14ac:dyDescent="0.25">
      <c r="Q5399" s="11"/>
      <c r="R5399" s="15"/>
      <c r="S5399" s="11"/>
      <c r="T5399" s="11"/>
      <c r="U5399" s="11"/>
      <c r="V5399" s="11"/>
      <c r="W5399" s="11"/>
      <c r="X5399" s="44"/>
      <c r="Y5399" s="42"/>
      <c r="Z5399" s="78"/>
    </row>
    <row r="5400" spans="17:26" ht="14.5" x14ac:dyDescent="0.35">
      <c r="Q5400" s="11"/>
      <c r="R5400" s="79"/>
      <c r="S5400" s="11"/>
      <c r="T5400" s="11"/>
      <c r="U5400" s="11"/>
      <c r="V5400" s="11"/>
      <c r="W5400" s="11"/>
      <c r="X5400" s="11"/>
      <c r="Y5400" s="11"/>
      <c r="Z5400" s="11"/>
    </row>
    <row r="5401" spans="17:26" ht="13" x14ac:dyDescent="0.25">
      <c r="Q5401" s="11"/>
      <c r="R5401" s="15"/>
      <c r="S5401" s="11"/>
      <c r="T5401" s="11"/>
      <c r="U5401" s="11"/>
      <c r="V5401" s="11"/>
      <c r="W5401" s="11"/>
      <c r="X5401" s="45"/>
      <c r="Y5401" s="41"/>
      <c r="Z5401" s="41"/>
    </row>
    <row r="5402" spans="17:26" ht="13" x14ac:dyDescent="0.25">
      <c r="Q5402" s="11"/>
      <c r="R5402" s="80"/>
      <c r="S5402" s="11"/>
      <c r="T5402" s="11"/>
      <c r="U5402" s="11"/>
      <c r="V5402" s="11"/>
      <c r="W5402" s="11"/>
      <c r="X5402" s="44"/>
      <c r="Y5402" s="41"/>
      <c r="Z5402" s="41"/>
    </row>
    <row r="5403" spans="17:26" ht="14.5" x14ac:dyDescent="0.35">
      <c r="Q5403" s="11"/>
      <c r="R5403" s="81"/>
      <c r="S5403" s="11"/>
      <c r="T5403" s="11"/>
      <c r="U5403" s="11"/>
      <c r="V5403" s="11"/>
      <c r="W5403" s="11"/>
      <c r="X5403" s="40"/>
      <c r="Y5403" s="44"/>
      <c r="Z5403" s="44"/>
    </row>
    <row r="5404" spans="17:26" ht="14.5" x14ac:dyDescent="0.35">
      <c r="Q5404" s="11"/>
      <c r="R5404" s="79"/>
      <c r="S5404" s="11"/>
      <c r="T5404" s="11"/>
      <c r="U5404" s="11"/>
      <c r="V5404" s="11"/>
      <c r="W5404" s="11"/>
      <c r="X5404" s="40"/>
      <c r="Y5404" s="45"/>
      <c r="Z5404" s="45"/>
    </row>
    <row r="5405" spans="17:26" x14ac:dyDescent="0.25">
      <c r="Q5405" s="11"/>
      <c r="R5405" s="15"/>
      <c r="S5405" s="11"/>
      <c r="T5405" s="11"/>
      <c r="U5405" s="11"/>
      <c r="V5405" s="11"/>
      <c r="W5405" s="11"/>
      <c r="X5405" s="45"/>
      <c r="Y5405" s="44"/>
      <c r="Z5405" s="44"/>
    </row>
    <row r="5406" spans="17:26" ht="14.5" x14ac:dyDescent="0.35">
      <c r="Q5406" s="11"/>
      <c r="R5406" s="79"/>
      <c r="S5406" s="11"/>
      <c r="T5406" s="11"/>
      <c r="U5406" s="11"/>
      <c r="V5406" s="11"/>
      <c r="W5406" s="11"/>
      <c r="X5406" s="40"/>
      <c r="Y5406" s="41"/>
      <c r="Z5406" s="41"/>
    </row>
    <row r="5407" spans="17:26" ht="13" x14ac:dyDescent="0.25">
      <c r="Q5407" s="11"/>
      <c r="R5407" s="15"/>
      <c r="S5407" s="11"/>
      <c r="T5407" s="11"/>
      <c r="U5407" s="11"/>
      <c r="V5407" s="11"/>
      <c r="W5407" s="11"/>
      <c r="X5407" s="45"/>
      <c r="Y5407" s="41"/>
      <c r="Z5407" s="41"/>
    </row>
    <row r="5408" spans="17:26" ht="14.5" x14ac:dyDescent="0.35">
      <c r="Q5408" s="11"/>
      <c r="R5408" s="15"/>
      <c r="S5408" s="11"/>
      <c r="T5408" s="11"/>
      <c r="U5408" s="11"/>
      <c r="V5408" s="11"/>
      <c r="W5408" s="11"/>
      <c r="X5408" s="43"/>
      <c r="Y5408" s="44"/>
      <c r="Z5408" s="44"/>
    </row>
    <row r="5409" spans="17:26" x14ac:dyDescent="0.25">
      <c r="Q5409" s="11"/>
      <c r="R5409" s="15"/>
      <c r="S5409" s="11"/>
      <c r="T5409" s="11"/>
      <c r="U5409" s="11"/>
      <c r="V5409" s="11"/>
      <c r="W5409" s="11"/>
      <c r="X5409" s="45"/>
      <c r="Y5409" s="44"/>
      <c r="Z5409" s="44"/>
    </row>
    <row r="5410" spans="17:26" x14ac:dyDescent="0.25">
      <c r="Q5410" s="11"/>
      <c r="R5410" s="15"/>
      <c r="S5410" s="11"/>
      <c r="T5410" s="11"/>
      <c r="U5410" s="11"/>
      <c r="V5410" s="11"/>
      <c r="W5410" s="11"/>
      <c r="X5410" s="44"/>
      <c r="Y5410" s="42"/>
      <c r="Z5410" s="78"/>
    </row>
    <row r="5411" spans="17:26" x14ac:dyDescent="0.25">
      <c r="Q5411" s="11"/>
      <c r="R5411" s="15"/>
      <c r="S5411" s="11"/>
      <c r="T5411" s="11"/>
      <c r="U5411" s="11"/>
      <c r="V5411" s="11"/>
      <c r="W5411" s="11"/>
      <c r="X5411" s="11"/>
      <c r="Y5411" s="11"/>
      <c r="Z5411" s="11"/>
    </row>
    <row r="5412" spans="17:26" ht="13" x14ac:dyDescent="0.25">
      <c r="Q5412" s="11"/>
      <c r="R5412" s="15"/>
      <c r="S5412" s="11"/>
      <c r="T5412" s="11"/>
      <c r="U5412" s="11"/>
      <c r="V5412" s="11"/>
      <c r="W5412" s="11"/>
      <c r="X5412" s="45"/>
      <c r="Y5412" s="41"/>
      <c r="Z5412" s="41"/>
    </row>
    <row r="5413" spans="17:26" ht="13" x14ac:dyDescent="0.25">
      <c r="Q5413" s="11"/>
      <c r="R5413" s="80"/>
      <c r="S5413" s="11"/>
      <c r="T5413" s="11"/>
      <c r="U5413" s="11"/>
      <c r="V5413" s="11"/>
      <c r="W5413" s="11"/>
      <c r="X5413" s="44"/>
      <c r="Y5413" s="41"/>
      <c r="Z5413" s="41"/>
    </row>
    <row r="5414" spans="17:26" ht="14.5" x14ac:dyDescent="0.35">
      <c r="Q5414" s="11"/>
      <c r="R5414" s="81"/>
      <c r="S5414" s="11"/>
      <c r="T5414" s="11"/>
      <c r="U5414" s="11"/>
      <c r="V5414" s="11"/>
      <c r="W5414" s="11"/>
      <c r="X5414" s="40"/>
      <c r="Y5414" s="44"/>
      <c r="Z5414" s="44"/>
    </row>
    <row r="5415" spans="17:26" ht="14.5" x14ac:dyDescent="0.35">
      <c r="Q5415" s="11"/>
      <c r="R5415" s="79"/>
      <c r="S5415" s="11"/>
      <c r="T5415" s="11"/>
      <c r="U5415" s="11"/>
      <c r="V5415" s="11"/>
      <c r="W5415" s="11"/>
      <c r="X5415" s="40"/>
      <c r="Y5415" s="45"/>
      <c r="Z5415" s="45"/>
    </row>
    <row r="5416" spans="17:26" x14ac:dyDescent="0.25">
      <c r="Q5416" s="11"/>
      <c r="R5416" s="15"/>
      <c r="S5416" s="11"/>
      <c r="T5416" s="11"/>
      <c r="U5416" s="11"/>
      <c r="V5416" s="11"/>
      <c r="W5416" s="11"/>
      <c r="X5416" s="45"/>
      <c r="Y5416" s="44"/>
      <c r="Z5416" s="44"/>
    </row>
    <row r="5417" spans="17:26" ht="14.5" x14ac:dyDescent="0.35">
      <c r="Q5417" s="11"/>
      <c r="R5417" s="79"/>
      <c r="S5417" s="11"/>
      <c r="T5417" s="11"/>
      <c r="U5417" s="11"/>
      <c r="V5417" s="11"/>
      <c r="W5417" s="11"/>
      <c r="X5417" s="40"/>
      <c r="Y5417" s="41"/>
      <c r="Z5417" s="41"/>
    </row>
    <row r="5418" spans="17:26" ht="13" x14ac:dyDescent="0.25">
      <c r="Q5418" s="11"/>
      <c r="R5418" s="15"/>
      <c r="S5418" s="11"/>
      <c r="T5418" s="11"/>
      <c r="U5418" s="11"/>
      <c r="V5418" s="11"/>
      <c r="W5418" s="11"/>
      <c r="X5418" s="45"/>
      <c r="Y5418" s="41"/>
      <c r="Z5418" s="41"/>
    </row>
    <row r="5419" spans="17:26" ht="14.5" x14ac:dyDescent="0.35">
      <c r="Q5419" s="11"/>
      <c r="R5419" s="15"/>
      <c r="S5419" s="11"/>
      <c r="T5419" s="11"/>
      <c r="U5419" s="11"/>
      <c r="V5419" s="11"/>
      <c r="W5419" s="11"/>
      <c r="X5419" s="43"/>
      <c r="Y5419" s="44"/>
      <c r="Z5419" s="44"/>
    </row>
    <row r="5420" spans="17:26" x14ac:dyDescent="0.25">
      <c r="Q5420" s="11"/>
      <c r="R5420" s="15"/>
      <c r="S5420" s="11"/>
      <c r="T5420" s="11"/>
      <c r="U5420" s="11"/>
      <c r="V5420" s="11"/>
      <c r="W5420" s="11"/>
      <c r="X5420" s="45"/>
      <c r="Y5420" s="44"/>
      <c r="Z5420" s="44"/>
    </row>
    <row r="5421" spans="17:26" x14ac:dyDescent="0.25">
      <c r="Q5421" s="11"/>
      <c r="R5421" s="15"/>
      <c r="S5421" s="11"/>
      <c r="T5421" s="11"/>
      <c r="U5421" s="11"/>
      <c r="V5421" s="11"/>
      <c r="W5421" s="11"/>
      <c r="X5421" s="44"/>
      <c r="Y5421" s="42"/>
      <c r="Z5421" s="78"/>
    </row>
    <row r="5422" spans="17:26" ht="14.5" x14ac:dyDescent="0.35">
      <c r="Q5422" s="11"/>
      <c r="R5422" s="79"/>
      <c r="S5422" s="11"/>
      <c r="T5422" s="11"/>
      <c r="U5422" s="11"/>
      <c r="V5422" s="11"/>
      <c r="W5422" s="11"/>
      <c r="X5422" s="11"/>
      <c r="Y5422" s="11"/>
      <c r="Z5422" s="11"/>
    </row>
    <row r="5423" spans="17:26" ht="13" x14ac:dyDescent="0.25">
      <c r="Q5423" s="11"/>
      <c r="R5423" s="15"/>
      <c r="S5423" s="11"/>
      <c r="T5423" s="11"/>
      <c r="U5423" s="11"/>
      <c r="V5423" s="11"/>
      <c r="W5423" s="11"/>
      <c r="X5423" s="45"/>
      <c r="Y5423" s="41"/>
      <c r="Z5423" s="41"/>
    </row>
    <row r="5424" spans="17:26" ht="13" x14ac:dyDescent="0.25">
      <c r="Q5424" s="11"/>
      <c r="R5424" s="80"/>
      <c r="S5424" s="11"/>
      <c r="T5424" s="11"/>
      <c r="U5424" s="11"/>
      <c r="V5424" s="11"/>
      <c r="W5424" s="11"/>
      <c r="X5424" s="44"/>
      <c r="Y5424" s="41"/>
      <c r="Z5424" s="41"/>
    </row>
    <row r="5425" spans="17:26" ht="14.5" x14ac:dyDescent="0.35">
      <c r="Q5425" s="11"/>
      <c r="R5425" s="81"/>
      <c r="S5425" s="11"/>
      <c r="T5425" s="11"/>
      <c r="U5425" s="11"/>
      <c r="V5425" s="11"/>
      <c r="W5425" s="11"/>
      <c r="X5425" s="40"/>
      <c r="Y5425" s="44"/>
      <c r="Z5425" s="44"/>
    </row>
    <row r="5426" spans="17:26" ht="14.5" x14ac:dyDescent="0.35">
      <c r="Q5426" s="11"/>
      <c r="R5426" s="79"/>
      <c r="S5426" s="11"/>
      <c r="T5426" s="11"/>
      <c r="U5426" s="11"/>
      <c r="V5426" s="11"/>
      <c r="W5426" s="11"/>
      <c r="X5426" s="40"/>
      <c r="Y5426" s="45"/>
      <c r="Z5426" s="45"/>
    </row>
    <row r="5427" spans="17:26" x14ac:dyDescent="0.25">
      <c r="Q5427" s="11"/>
      <c r="R5427" s="15"/>
      <c r="S5427" s="11"/>
      <c r="T5427" s="11"/>
      <c r="U5427" s="11"/>
      <c r="V5427" s="11"/>
      <c r="W5427" s="11"/>
      <c r="X5427" s="45"/>
      <c r="Y5427" s="44"/>
      <c r="Z5427" s="44"/>
    </row>
    <row r="5428" spans="17:26" ht="14.5" x14ac:dyDescent="0.35">
      <c r="Q5428" s="11"/>
      <c r="R5428" s="79"/>
      <c r="S5428" s="11"/>
      <c r="T5428" s="11"/>
      <c r="U5428" s="11"/>
      <c r="V5428" s="11"/>
      <c r="W5428" s="11"/>
      <c r="X5428" s="40"/>
      <c r="Y5428" s="41"/>
      <c r="Z5428" s="41"/>
    </row>
    <row r="5429" spans="17:26" ht="13" x14ac:dyDescent="0.25">
      <c r="Q5429" s="11"/>
      <c r="R5429" s="15"/>
      <c r="S5429" s="11"/>
      <c r="T5429" s="11"/>
      <c r="U5429" s="11"/>
      <c r="V5429" s="11"/>
      <c r="W5429" s="11"/>
      <c r="X5429" s="45"/>
      <c r="Y5429" s="41"/>
      <c r="Z5429" s="41"/>
    </row>
    <row r="5430" spans="17:26" ht="14.5" x14ac:dyDescent="0.35">
      <c r="Q5430" s="11"/>
      <c r="R5430" s="15"/>
      <c r="S5430" s="11"/>
      <c r="T5430" s="11"/>
      <c r="U5430" s="11"/>
      <c r="V5430" s="11"/>
      <c r="W5430" s="11"/>
      <c r="X5430" s="43"/>
      <c r="Y5430" s="44"/>
      <c r="Z5430" s="44"/>
    </row>
    <row r="5431" spans="17:26" x14ac:dyDescent="0.25">
      <c r="Q5431" s="11"/>
      <c r="R5431" s="15"/>
      <c r="S5431" s="11"/>
      <c r="T5431" s="11"/>
      <c r="U5431" s="11"/>
      <c r="V5431" s="11"/>
      <c r="W5431" s="11"/>
      <c r="X5431" s="45"/>
      <c r="Y5431" s="44"/>
      <c r="Z5431" s="44"/>
    </row>
    <row r="5432" spans="17:26" x14ac:dyDescent="0.25">
      <c r="Q5432" s="11"/>
      <c r="R5432" s="15"/>
      <c r="S5432" s="11"/>
      <c r="T5432" s="11"/>
      <c r="U5432" s="11"/>
      <c r="V5432" s="11"/>
      <c r="W5432" s="11"/>
      <c r="X5432" s="44"/>
      <c r="Y5432" s="42"/>
      <c r="Z5432" s="78"/>
    </row>
    <row r="5433" spans="17:26" x14ac:dyDescent="0.25">
      <c r="Q5433" s="11"/>
      <c r="R5433" s="15"/>
      <c r="S5433" s="11"/>
      <c r="T5433" s="11"/>
      <c r="U5433" s="11"/>
      <c r="V5433" s="11"/>
      <c r="W5433" s="11"/>
      <c r="X5433" s="11"/>
      <c r="Y5433" s="11"/>
      <c r="Z5433" s="11"/>
    </row>
    <row r="5434" spans="17:26" ht="13" x14ac:dyDescent="0.25">
      <c r="Q5434" s="11"/>
      <c r="R5434" s="15"/>
      <c r="S5434" s="11"/>
      <c r="T5434" s="11"/>
      <c r="U5434" s="11"/>
      <c r="V5434" s="11"/>
      <c r="W5434" s="11"/>
      <c r="X5434" s="45"/>
      <c r="Y5434" s="41"/>
      <c r="Z5434" s="41"/>
    </row>
    <row r="5435" spans="17:26" ht="13" x14ac:dyDescent="0.25">
      <c r="Q5435" s="11"/>
      <c r="R5435" s="80"/>
      <c r="S5435" s="11"/>
      <c r="T5435" s="11"/>
      <c r="U5435" s="11"/>
      <c r="V5435" s="11"/>
      <c r="W5435" s="11"/>
      <c r="X5435" s="44"/>
      <c r="Y5435" s="41"/>
      <c r="Z5435" s="41"/>
    </row>
    <row r="5436" spans="17:26" ht="14.5" x14ac:dyDescent="0.35">
      <c r="Q5436" s="11"/>
      <c r="R5436" s="81"/>
      <c r="S5436" s="11"/>
      <c r="T5436" s="11"/>
      <c r="U5436" s="11"/>
      <c r="V5436" s="11"/>
      <c r="W5436" s="11"/>
      <c r="X5436" s="40"/>
      <c r="Y5436" s="44"/>
      <c r="Z5436" s="44"/>
    </row>
    <row r="5437" spans="17:26" ht="14.5" x14ac:dyDescent="0.35">
      <c r="Q5437" s="11"/>
      <c r="R5437" s="79"/>
      <c r="S5437" s="11"/>
      <c r="T5437" s="11"/>
      <c r="U5437" s="11"/>
      <c r="V5437" s="11"/>
      <c r="W5437" s="11"/>
      <c r="X5437" s="40"/>
      <c r="Y5437" s="45"/>
      <c r="Z5437" s="45"/>
    </row>
    <row r="5438" spans="17:26" x14ac:dyDescent="0.25">
      <c r="Q5438" s="11"/>
      <c r="R5438" s="15"/>
      <c r="S5438" s="11"/>
      <c r="T5438" s="11"/>
      <c r="U5438" s="11"/>
      <c r="V5438" s="11"/>
      <c r="W5438" s="11"/>
      <c r="X5438" s="45"/>
      <c r="Y5438" s="44"/>
      <c r="Z5438" s="44"/>
    </row>
    <row r="5439" spans="17:26" ht="14.5" x14ac:dyDescent="0.35">
      <c r="Q5439" s="11"/>
      <c r="R5439" s="79"/>
      <c r="S5439" s="11"/>
      <c r="T5439" s="11"/>
      <c r="U5439" s="11"/>
      <c r="V5439" s="11"/>
      <c r="W5439" s="11"/>
      <c r="X5439" s="40"/>
      <c r="Y5439" s="41"/>
      <c r="Z5439" s="41"/>
    </row>
    <row r="5440" spans="17:26" ht="13" x14ac:dyDescent="0.25">
      <c r="Q5440" s="11"/>
      <c r="R5440" s="15"/>
      <c r="S5440" s="11"/>
      <c r="T5440" s="11"/>
      <c r="U5440" s="11"/>
      <c r="V5440" s="11"/>
      <c r="W5440" s="11"/>
      <c r="X5440" s="45"/>
      <c r="Y5440" s="41"/>
      <c r="Z5440" s="41"/>
    </row>
    <row r="5441" spans="17:26" ht="14.5" x14ac:dyDescent="0.35">
      <c r="Q5441" s="11"/>
      <c r="R5441" s="15"/>
      <c r="S5441" s="11"/>
      <c r="T5441" s="11"/>
      <c r="U5441" s="11"/>
      <c r="V5441" s="11"/>
      <c r="W5441" s="11"/>
      <c r="X5441" s="43"/>
      <c r="Y5441" s="44"/>
      <c r="Z5441" s="44"/>
    </row>
    <row r="5442" spans="17:26" x14ac:dyDescent="0.25">
      <c r="Q5442" s="11"/>
      <c r="R5442" s="15"/>
      <c r="S5442" s="11"/>
      <c r="T5442" s="11"/>
      <c r="U5442" s="11"/>
      <c r="V5442" s="11"/>
      <c r="W5442" s="11"/>
      <c r="X5442" s="45"/>
      <c r="Y5442" s="44"/>
      <c r="Z5442" s="44"/>
    </row>
    <row r="5443" spans="17:26" x14ac:dyDescent="0.25">
      <c r="Q5443" s="11"/>
      <c r="R5443" s="15"/>
      <c r="S5443" s="11"/>
      <c r="T5443" s="11"/>
      <c r="U5443" s="11"/>
      <c r="V5443" s="11"/>
      <c r="W5443" s="11"/>
      <c r="X5443" s="44"/>
      <c r="Y5443" s="42"/>
      <c r="Z5443" s="78"/>
    </row>
    <row r="5444" spans="17:26" x14ac:dyDescent="0.25">
      <c r="Q5444" s="11"/>
      <c r="R5444" s="15"/>
      <c r="S5444" s="11"/>
      <c r="T5444" s="11"/>
      <c r="U5444" s="11"/>
      <c r="V5444" s="11"/>
      <c r="W5444" s="11"/>
      <c r="X5444" s="11"/>
      <c r="Y5444" s="11"/>
      <c r="Z5444" s="11"/>
    </row>
    <row r="5445" spans="17:26" ht="13" x14ac:dyDescent="0.25">
      <c r="Q5445" s="11"/>
      <c r="R5445" s="15"/>
      <c r="S5445" s="11"/>
      <c r="T5445" s="11"/>
      <c r="U5445" s="11"/>
      <c r="V5445" s="11"/>
      <c r="W5445" s="11"/>
      <c r="X5445" s="45"/>
      <c r="Y5445" s="41"/>
      <c r="Z5445" s="41"/>
    </row>
    <row r="5446" spans="17:26" ht="13" x14ac:dyDescent="0.25">
      <c r="Q5446" s="11"/>
      <c r="R5446" s="80"/>
      <c r="S5446" s="11"/>
      <c r="T5446" s="11"/>
      <c r="U5446" s="11"/>
      <c r="V5446" s="11"/>
      <c r="W5446" s="11"/>
      <c r="X5446" s="44"/>
      <c r="Y5446" s="41"/>
      <c r="Z5446" s="41"/>
    </row>
    <row r="5447" spans="17:26" ht="14.5" x14ac:dyDescent="0.35">
      <c r="Q5447" s="11"/>
      <c r="R5447" s="81"/>
      <c r="S5447" s="11"/>
      <c r="T5447" s="11"/>
      <c r="U5447" s="11"/>
      <c r="V5447" s="11"/>
      <c r="W5447" s="11"/>
      <c r="X5447" s="40"/>
      <c r="Y5447" s="44"/>
      <c r="Z5447" s="44"/>
    </row>
    <row r="5448" spans="17:26" ht="14.5" x14ac:dyDescent="0.35">
      <c r="Q5448" s="11"/>
      <c r="R5448" s="79"/>
      <c r="S5448" s="11"/>
      <c r="T5448" s="11"/>
      <c r="U5448" s="11"/>
      <c r="V5448" s="11"/>
      <c r="W5448" s="11"/>
      <c r="X5448" s="40"/>
      <c r="Y5448" s="45"/>
      <c r="Z5448" s="45"/>
    </row>
    <row r="5449" spans="17:26" x14ac:dyDescent="0.25">
      <c r="Q5449" s="11"/>
      <c r="R5449" s="15"/>
      <c r="S5449" s="11"/>
      <c r="T5449" s="11"/>
      <c r="U5449" s="11"/>
      <c r="V5449" s="11"/>
      <c r="W5449" s="11"/>
      <c r="X5449" s="45"/>
      <c r="Y5449" s="44"/>
      <c r="Z5449" s="44"/>
    </row>
    <row r="5450" spans="17:26" ht="14.5" x14ac:dyDescent="0.35">
      <c r="Q5450" s="11"/>
      <c r="R5450" s="79"/>
      <c r="S5450" s="11"/>
      <c r="T5450" s="11"/>
      <c r="U5450" s="11"/>
      <c r="V5450" s="11"/>
      <c r="W5450" s="11"/>
      <c r="X5450" s="40"/>
      <c r="Y5450" s="41"/>
      <c r="Z5450" s="41"/>
    </row>
    <row r="5451" spans="17:26" ht="13" x14ac:dyDescent="0.25">
      <c r="Q5451" s="11"/>
      <c r="R5451" s="15"/>
      <c r="S5451" s="11"/>
      <c r="T5451" s="11"/>
      <c r="U5451" s="11"/>
      <c r="V5451" s="11"/>
      <c r="W5451" s="11"/>
      <c r="X5451" s="45"/>
      <c r="Y5451" s="41"/>
      <c r="Z5451" s="41"/>
    </row>
    <row r="5452" spans="17:26" ht="14.5" x14ac:dyDescent="0.35">
      <c r="Q5452" s="11"/>
      <c r="R5452" s="15"/>
      <c r="S5452" s="11"/>
      <c r="T5452" s="11"/>
      <c r="U5452" s="11"/>
      <c r="V5452" s="11"/>
      <c r="W5452" s="11"/>
      <c r="X5452" s="43"/>
      <c r="Y5452" s="44"/>
      <c r="Z5452" s="44"/>
    </row>
    <row r="5453" spans="17:26" x14ac:dyDescent="0.25">
      <c r="Q5453" s="11"/>
      <c r="R5453" s="15"/>
      <c r="S5453" s="11"/>
      <c r="T5453" s="11"/>
      <c r="U5453" s="11"/>
      <c r="V5453" s="11"/>
      <c r="W5453" s="11"/>
      <c r="X5453" s="45"/>
      <c r="Y5453" s="44"/>
      <c r="Z5453" s="44"/>
    </row>
    <row r="5454" spans="17:26" x14ac:dyDescent="0.25">
      <c r="Q5454" s="11"/>
      <c r="R5454" s="15"/>
      <c r="S5454" s="11"/>
      <c r="T5454" s="11"/>
      <c r="U5454" s="11"/>
      <c r="V5454" s="11"/>
      <c r="W5454" s="11"/>
      <c r="X5454" s="44"/>
      <c r="Y5454" s="42"/>
      <c r="Z5454" s="78"/>
    </row>
    <row r="5455" spans="17:26" ht="14" x14ac:dyDescent="0.3">
      <c r="Q5455" s="11"/>
      <c r="R5455" s="46"/>
      <c r="S5455" s="11"/>
      <c r="T5455" s="11"/>
      <c r="U5455" s="11"/>
      <c r="V5455" s="11"/>
      <c r="W5455" s="11"/>
      <c r="X5455" s="11"/>
      <c r="Y5455" s="11"/>
      <c r="Z5455" s="11"/>
    </row>
    <row r="5456" spans="17:26" ht="13" x14ac:dyDescent="0.25">
      <c r="Q5456" s="11"/>
      <c r="R5456" s="15"/>
      <c r="S5456" s="11"/>
      <c r="T5456" s="11"/>
      <c r="U5456" s="11"/>
      <c r="V5456" s="11"/>
      <c r="W5456" s="11"/>
      <c r="X5456" s="45"/>
      <c r="Y5456" s="41"/>
      <c r="Z5456" s="41"/>
    </row>
    <row r="5457" spans="17:26" ht="13" x14ac:dyDescent="0.25">
      <c r="Q5457" s="11"/>
      <c r="R5457" s="80"/>
      <c r="S5457" s="11"/>
      <c r="T5457" s="11"/>
      <c r="U5457" s="11"/>
      <c r="V5457" s="11"/>
      <c r="W5457" s="11"/>
      <c r="X5457" s="44"/>
      <c r="Y5457" s="41"/>
      <c r="Z5457" s="41"/>
    </row>
    <row r="5458" spans="17:26" ht="14.5" x14ac:dyDescent="0.35">
      <c r="Q5458" s="11"/>
      <c r="R5458" s="81"/>
      <c r="S5458" s="11"/>
      <c r="T5458" s="11"/>
      <c r="U5458" s="11"/>
      <c r="V5458" s="11"/>
      <c r="W5458" s="11"/>
      <c r="X5458" s="40"/>
      <c r="Y5458" s="44"/>
      <c r="Z5458" s="44"/>
    </row>
    <row r="5459" spans="17:26" ht="14.5" x14ac:dyDescent="0.35">
      <c r="Q5459" s="11"/>
      <c r="R5459" s="79"/>
      <c r="S5459" s="11"/>
      <c r="T5459" s="11"/>
      <c r="U5459" s="11"/>
      <c r="V5459" s="11"/>
      <c r="W5459" s="11"/>
      <c r="X5459" s="40"/>
      <c r="Y5459" s="45"/>
      <c r="Z5459" s="45"/>
    </row>
    <row r="5460" spans="17:26" x14ac:dyDescent="0.25">
      <c r="Q5460" s="11"/>
      <c r="R5460" s="15"/>
      <c r="S5460" s="11"/>
      <c r="T5460" s="11"/>
      <c r="U5460" s="11"/>
      <c r="V5460" s="11"/>
      <c r="W5460" s="11"/>
      <c r="X5460" s="45"/>
      <c r="Y5460" s="44"/>
      <c r="Z5460" s="44"/>
    </row>
    <row r="5461" spans="17:26" ht="14.5" x14ac:dyDescent="0.35">
      <c r="Q5461" s="11"/>
      <c r="R5461" s="79"/>
      <c r="S5461" s="11"/>
      <c r="T5461" s="11"/>
      <c r="U5461" s="11"/>
      <c r="V5461" s="11"/>
      <c r="W5461" s="11"/>
      <c r="X5461" s="40"/>
      <c r="Y5461" s="41"/>
      <c r="Z5461" s="41"/>
    </row>
    <row r="5462" spans="17:26" ht="13" x14ac:dyDescent="0.25">
      <c r="Q5462" s="11"/>
      <c r="R5462" s="15"/>
      <c r="S5462" s="11"/>
      <c r="T5462" s="11"/>
      <c r="U5462" s="11"/>
      <c r="V5462" s="11"/>
      <c r="W5462" s="11"/>
      <c r="X5462" s="45"/>
      <c r="Y5462" s="41"/>
      <c r="Z5462" s="41"/>
    </row>
    <row r="5463" spans="17:26" ht="14.5" x14ac:dyDescent="0.35">
      <c r="Q5463" s="11"/>
      <c r="R5463" s="15"/>
      <c r="S5463" s="11"/>
      <c r="T5463" s="11"/>
      <c r="U5463" s="11"/>
      <c r="V5463" s="11"/>
      <c r="W5463" s="11"/>
      <c r="X5463" s="43"/>
      <c r="Y5463" s="44"/>
      <c r="Z5463" s="44"/>
    </row>
    <row r="5464" spans="17:26" x14ac:dyDescent="0.25">
      <c r="Q5464" s="11"/>
      <c r="R5464" s="15"/>
      <c r="S5464" s="11"/>
      <c r="T5464" s="11"/>
      <c r="U5464" s="11"/>
      <c r="V5464" s="11"/>
      <c r="W5464" s="11"/>
      <c r="X5464" s="45"/>
      <c r="Y5464" s="44"/>
      <c r="Z5464" s="44"/>
    </row>
    <row r="5465" spans="17:26" x14ac:dyDescent="0.25">
      <c r="Q5465" s="11"/>
      <c r="R5465" s="15"/>
      <c r="S5465" s="11"/>
      <c r="T5465" s="11"/>
      <c r="U5465" s="11"/>
      <c r="V5465" s="11"/>
      <c r="W5465" s="11"/>
      <c r="X5465" s="44"/>
      <c r="Y5465" s="42"/>
      <c r="Z5465" s="78"/>
    </row>
    <row r="5466" spans="17:26" ht="14.5" x14ac:dyDescent="0.35">
      <c r="Q5466" s="11"/>
      <c r="R5466" s="79"/>
      <c r="S5466" s="11"/>
      <c r="T5466" s="11"/>
      <c r="U5466" s="11"/>
      <c r="V5466" s="11"/>
      <c r="W5466" s="11"/>
      <c r="X5466" s="11"/>
      <c r="Y5466" s="11"/>
      <c r="Z5466" s="11"/>
    </row>
    <row r="5467" spans="17:26" ht="13" x14ac:dyDescent="0.25">
      <c r="Q5467" s="11"/>
      <c r="R5467" s="15"/>
      <c r="S5467" s="11"/>
      <c r="T5467" s="11"/>
      <c r="U5467" s="11"/>
      <c r="V5467" s="11"/>
      <c r="W5467" s="11"/>
      <c r="X5467" s="45"/>
      <c r="Y5467" s="41"/>
      <c r="Z5467" s="41"/>
    </row>
    <row r="5468" spans="17:26" ht="13" x14ac:dyDescent="0.25">
      <c r="Q5468" s="11"/>
      <c r="R5468" s="80"/>
      <c r="S5468" s="11"/>
      <c r="T5468" s="11"/>
      <c r="U5468" s="11"/>
      <c r="V5468" s="11"/>
      <c r="W5468" s="11"/>
      <c r="X5468" s="44"/>
      <c r="Y5468" s="41"/>
      <c r="Z5468" s="41"/>
    </row>
    <row r="5469" spans="17:26" ht="14.5" x14ac:dyDescent="0.35">
      <c r="Q5469" s="11"/>
      <c r="R5469" s="81"/>
      <c r="S5469" s="11"/>
      <c r="T5469" s="11"/>
      <c r="U5469" s="11"/>
      <c r="V5469" s="11"/>
      <c r="W5469" s="11"/>
      <c r="X5469" s="40"/>
      <c r="Y5469" s="44"/>
      <c r="Z5469" s="44"/>
    </row>
    <row r="5470" spans="17:26" ht="14.5" x14ac:dyDescent="0.35">
      <c r="Q5470" s="11"/>
      <c r="R5470" s="79"/>
      <c r="S5470" s="11"/>
      <c r="T5470" s="11"/>
      <c r="U5470" s="11"/>
      <c r="V5470" s="11"/>
      <c r="W5470" s="11"/>
      <c r="X5470" s="40"/>
      <c r="Y5470" s="45"/>
      <c r="Z5470" s="45"/>
    </row>
    <row r="5471" spans="17:26" x14ac:dyDescent="0.25">
      <c r="Q5471" s="11"/>
      <c r="R5471" s="15"/>
      <c r="S5471" s="11"/>
      <c r="T5471" s="11"/>
      <c r="U5471" s="11"/>
      <c r="V5471" s="11"/>
      <c r="W5471" s="11"/>
      <c r="X5471" s="45"/>
      <c r="Y5471" s="44"/>
      <c r="Z5471" s="44"/>
    </row>
    <row r="5472" spans="17:26" ht="14.5" x14ac:dyDescent="0.35">
      <c r="Q5472" s="11"/>
      <c r="R5472" s="79"/>
      <c r="S5472" s="11"/>
      <c r="T5472" s="11"/>
      <c r="U5472" s="11"/>
      <c r="V5472" s="11"/>
      <c r="W5472" s="11"/>
      <c r="X5472" s="40"/>
      <c r="Y5472" s="41"/>
      <c r="Z5472" s="41"/>
    </row>
    <row r="5473" spans="17:26" ht="13" x14ac:dyDescent="0.25">
      <c r="Q5473" s="11"/>
      <c r="R5473" s="15"/>
      <c r="S5473" s="11"/>
      <c r="T5473" s="11"/>
      <c r="U5473" s="11"/>
      <c r="V5473" s="11"/>
      <c r="W5473" s="11"/>
      <c r="X5473" s="45"/>
      <c r="Y5473" s="41"/>
      <c r="Z5473" s="41"/>
    </row>
    <row r="5474" spans="17:26" ht="14.5" x14ac:dyDescent="0.35">
      <c r="Q5474" s="11"/>
      <c r="R5474" s="15"/>
      <c r="S5474" s="11"/>
      <c r="T5474" s="11"/>
      <c r="U5474" s="11"/>
      <c r="V5474" s="11"/>
      <c r="W5474" s="11"/>
      <c r="X5474" s="43"/>
      <c r="Y5474" s="44"/>
      <c r="Z5474" s="44"/>
    </row>
    <row r="5475" spans="17:26" x14ac:dyDescent="0.25">
      <c r="Q5475" s="11"/>
      <c r="R5475" s="15"/>
      <c r="S5475" s="11"/>
      <c r="T5475" s="11"/>
      <c r="U5475" s="11"/>
      <c r="V5475" s="11"/>
      <c r="W5475" s="11"/>
      <c r="X5475" s="45"/>
      <c r="Y5475" s="44"/>
      <c r="Z5475" s="44"/>
    </row>
    <row r="5476" spans="17:26" x14ac:dyDescent="0.25">
      <c r="Q5476" s="11"/>
      <c r="R5476" s="15"/>
      <c r="S5476" s="11"/>
      <c r="T5476" s="11"/>
      <c r="U5476" s="11"/>
      <c r="V5476" s="11"/>
      <c r="W5476" s="11"/>
      <c r="X5476" s="44"/>
      <c r="Y5476" s="42"/>
      <c r="Z5476" s="78"/>
    </row>
    <row r="5477" spans="17:26" x14ac:dyDescent="0.25">
      <c r="Q5477" s="11"/>
      <c r="R5477" s="15"/>
      <c r="S5477" s="11"/>
      <c r="T5477" s="11"/>
      <c r="U5477" s="11"/>
      <c r="V5477" s="11"/>
      <c r="W5477" s="11"/>
      <c r="X5477" s="11"/>
      <c r="Y5477" s="11"/>
      <c r="Z5477" s="11"/>
    </row>
    <row r="5478" spans="17:26" ht="13" x14ac:dyDescent="0.25">
      <c r="Q5478" s="11"/>
      <c r="R5478" s="15"/>
      <c r="S5478" s="11"/>
      <c r="T5478" s="11"/>
      <c r="U5478" s="11"/>
      <c r="V5478" s="11"/>
      <c r="W5478" s="11"/>
      <c r="X5478" s="45"/>
      <c r="Y5478" s="41"/>
      <c r="Z5478" s="41"/>
    </row>
    <row r="5479" spans="17:26" ht="13" x14ac:dyDescent="0.25">
      <c r="Q5479" s="11"/>
      <c r="R5479" s="80"/>
      <c r="S5479" s="11"/>
      <c r="T5479" s="11"/>
      <c r="U5479" s="11"/>
      <c r="V5479" s="11"/>
      <c r="W5479" s="11"/>
      <c r="X5479" s="44"/>
      <c r="Y5479" s="41"/>
      <c r="Z5479" s="41"/>
    </row>
    <row r="5480" spans="17:26" ht="14.5" x14ac:dyDescent="0.35">
      <c r="Q5480" s="11"/>
      <c r="R5480" s="81"/>
      <c r="S5480" s="11"/>
      <c r="T5480" s="11"/>
      <c r="U5480" s="11"/>
      <c r="V5480" s="11"/>
      <c r="W5480" s="11"/>
      <c r="X5480" s="40"/>
      <c r="Y5480" s="44"/>
      <c r="Z5480" s="44"/>
    </row>
    <row r="5481" spans="17:26" ht="14.5" x14ac:dyDescent="0.35">
      <c r="Q5481" s="11"/>
      <c r="R5481" s="79"/>
      <c r="S5481" s="11"/>
      <c r="T5481" s="11"/>
      <c r="U5481" s="11"/>
      <c r="V5481" s="11"/>
      <c r="W5481" s="11"/>
      <c r="X5481" s="40"/>
      <c r="Y5481" s="45"/>
      <c r="Z5481" s="45"/>
    </row>
    <row r="5482" spans="17:26" x14ac:dyDescent="0.25">
      <c r="Q5482" s="11"/>
      <c r="R5482" s="15"/>
      <c r="S5482" s="11"/>
      <c r="T5482" s="11"/>
      <c r="U5482" s="11"/>
      <c r="V5482" s="11"/>
      <c r="W5482" s="11"/>
      <c r="X5482" s="45"/>
      <c r="Y5482" s="44"/>
      <c r="Z5482" s="44"/>
    </row>
    <row r="5483" spans="17:26" ht="14.5" x14ac:dyDescent="0.35">
      <c r="Q5483" s="11"/>
      <c r="R5483" s="79"/>
      <c r="S5483" s="11"/>
      <c r="T5483" s="11"/>
      <c r="U5483" s="11"/>
      <c r="V5483" s="11"/>
      <c r="W5483" s="11"/>
      <c r="X5483" s="40"/>
      <c r="Y5483" s="41"/>
      <c r="Z5483" s="41"/>
    </row>
    <row r="5484" spans="17:26" ht="13" x14ac:dyDescent="0.25">
      <c r="Q5484" s="11"/>
      <c r="R5484" s="15"/>
      <c r="S5484" s="11"/>
      <c r="T5484" s="11"/>
      <c r="U5484" s="11"/>
      <c r="V5484" s="11"/>
      <c r="W5484" s="11"/>
      <c r="X5484" s="45"/>
      <c r="Y5484" s="41"/>
      <c r="Z5484" s="41"/>
    </row>
    <row r="5485" spans="17:26" ht="14.5" x14ac:dyDescent="0.35">
      <c r="Q5485" s="11"/>
      <c r="R5485" s="15"/>
      <c r="S5485" s="11"/>
      <c r="T5485" s="11"/>
      <c r="U5485" s="11"/>
      <c r="V5485" s="11"/>
      <c r="W5485" s="11"/>
      <c r="X5485" s="43"/>
      <c r="Y5485" s="44"/>
      <c r="Z5485" s="44"/>
    </row>
    <row r="5486" spans="17:26" x14ac:dyDescent="0.25">
      <c r="Q5486" s="11"/>
      <c r="R5486" s="15"/>
      <c r="S5486" s="11"/>
      <c r="T5486" s="11"/>
      <c r="U5486" s="11"/>
      <c r="V5486" s="11"/>
      <c r="W5486" s="11"/>
      <c r="X5486" s="45"/>
      <c r="Y5486" s="44"/>
      <c r="Z5486" s="44"/>
    </row>
    <row r="5487" spans="17:26" x14ac:dyDescent="0.25">
      <c r="Q5487" s="11"/>
      <c r="R5487" s="15"/>
      <c r="S5487" s="11"/>
      <c r="T5487" s="11"/>
      <c r="U5487" s="11"/>
      <c r="V5487" s="11"/>
      <c r="W5487" s="11"/>
      <c r="X5487" s="44"/>
      <c r="Y5487" s="42"/>
      <c r="Z5487" s="78"/>
    </row>
    <row r="5488" spans="17:26" x14ac:dyDescent="0.25">
      <c r="Q5488" s="11"/>
      <c r="R5488" s="15"/>
      <c r="S5488" s="11"/>
      <c r="T5488" s="11"/>
      <c r="U5488" s="11"/>
      <c r="V5488" s="11"/>
      <c r="W5488" s="11"/>
      <c r="X5488" s="11"/>
      <c r="Y5488" s="11"/>
      <c r="Z5488" s="11"/>
    </row>
    <row r="5489" spans="17:26" ht="13" x14ac:dyDescent="0.25">
      <c r="Q5489" s="11"/>
      <c r="R5489" s="15"/>
      <c r="S5489" s="11"/>
      <c r="T5489" s="11"/>
      <c r="U5489" s="11"/>
      <c r="V5489" s="11"/>
      <c r="W5489" s="11"/>
      <c r="X5489" s="45"/>
      <c r="Y5489" s="41"/>
      <c r="Z5489" s="41"/>
    </row>
    <row r="5490" spans="17:26" ht="13" x14ac:dyDescent="0.25">
      <c r="Q5490" s="11"/>
      <c r="R5490" s="80"/>
      <c r="S5490" s="11"/>
      <c r="T5490" s="11"/>
      <c r="U5490" s="11"/>
      <c r="V5490" s="11"/>
      <c r="W5490" s="11"/>
      <c r="X5490" s="44"/>
      <c r="Y5490" s="41"/>
      <c r="Z5490" s="41"/>
    </row>
    <row r="5491" spans="17:26" ht="14.5" x14ac:dyDescent="0.35">
      <c r="Q5491" s="11"/>
      <c r="R5491" s="81"/>
      <c r="S5491" s="11"/>
      <c r="T5491" s="11"/>
      <c r="U5491" s="11"/>
      <c r="V5491" s="11"/>
      <c r="W5491" s="11"/>
      <c r="X5491" s="40"/>
      <c r="Y5491" s="44"/>
      <c r="Z5491" s="44"/>
    </row>
    <row r="5492" spans="17:26" ht="14.5" x14ac:dyDescent="0.35">
      <c r="Q5492" s="11"/>
      <c r="R5492" s="79"/>
      <c r="S5492" s="11"/>
      <c r="T5492" s="11"/>
      <c r="U5492" s="11"/>
      <c r="V5492" s="11"/>
      <c r="W5492" s="11"/>
      <c r="X5492" s="40"/>
      <c r="Y5492" s="45"/>
      <c r="Z5492" s="45"/>
    </row>
    <row r="5493" spans="17:26" x14ac:dyDescent="0.25">
      <c r="Q5493" s="11"/>
      <c r="R5493" s="15"/>
      <c r="S5493" s="11"/>
      <c r="T5493" s="11"/>
      <c r="U5493" s="11"/>
      <c r="V5493" s="11"/>
      <c r="W5493" s="11"/>
      <c r="X5493" s="45"/>
      <c r="Y5493" s="44"/>
      <c r="Z5493" s="44"/>
    </row>
    <row r="5494" spans="17:26" ht="14.5" x14ac:dyDescent="0.35">
      <c r="Q5494" s="11"/>
      <c r="R5494" s="79"/>
      <c r="S5494" s="11"/>
      <c r="T5494" s="11"/>
      <c r="U5494" s="11"/>
      <c r="V5494" s="11"/>
      <c r="W5494" s="11"/>
      <c r="X5494" s="40"/>
      <c r="Y5494" s="41"/>
      <c r="Z5494" s="41"/>
    </row>
    <row r="5495" spans="17:26" ht="13" x14ac:dyDescent="0.25">
      <c r="Q5495" s="11"/>
      <c r="R5495" s="15"/>
      <c r="S5495" s="11"/>
      <c r="T5495" s="11"/>
      <c r="U5495" s="11"/>
      <c r="V5495" s="11"/>
      <c r="W5495" s="11"/>
      <c r="X5495" s="45"/>
      <c r="Y5495" s="41"/>
      <c r="Z5495" s="41"/>
    </row>
    <row r="5496" spans="17:26" ht="14.5" x14ac:dyDescent="0.35">
      <c r="Q5496" s="11"/>
      <c r="R5496" s="15"/>
      <c r="S5496" s="11"/>
      <c r="T5496" s="11"/>
      <c r="U5496" s="11"/>
      <c r="V5496" s="11"/>
      <c r="W5496" s="11"/>
      <c r="X5496" s="43"/>
      <c r="Y5496" s="44"/>
      <c r="Z5496" s="44"/>
    </row>
    <row r="5497" spans="17:26" x14ac:dyDescent="0.25">
      <c r="Q5497" s="11"/>
      <c r="R5497" s="15"/>
      <c r="S5497" s="11"/>
      <c r="T5497" s="11"/>
      <c r="U5497" s="11"/>
      <c r="V5497" s="11"/>
      <c r="W5497" s="11"/>
      <c r="X5497" s="45"/>
      <c r="Y5497" s="44"/>
      <c r="Z5497" s="44"/>
    </row>
    <row r="5498" spans="17:26" x14ac:dyDescent="0.25">
      <c r="Q5498" s="11"/>
      <c r="R5498" s="15"/>
      <c r="S5498" s="11"/>
      <c r="T5498" s="11"/>
      <c r="U5498" s="11"/>
      <c r="V5498" s="11"/>
      <c r="W5498" s="11"/>
      <c r="X5498" s="44"/>
      <c r="Y5498" s="42"/>
      <c r="Z5498" s="78"/>
    </row>
    <row r="5499" spans="17:26" x14ac:dyDescent="0.25">
      <c r="Q5499" s="11"/>
      <c r="R5499" s="15"/>
      <c r="S5499" s="11"/>
      <c r="T5499" s="11"/>
      <c r="U5499" s="11"/>
      <c r="V5499" s="11"/>
      <c r="W5499" s="11"/>
      <c r="X5499" s="11"/>
      <c r="Y5499" s="11"/>
      <c r="Z5499" s="11"/>
    </row>
    <row r="5500" spans="17:26" ht="13" x14ac:dyDescent="0.25">
      <c r="Q5500" s="11"/>
      <c r="R5500" s="15"/>
      <c r="S5500" s="11"/>
      <c r="T5500" s="11"/>
      <c r="U5500" s="11"/>
      <c r="V5500" s="11"/>
      <c r="W5500" s="11"/>
      <c r="X5500" s="45"/>
      <c r="Y5500" s="41"/>
      <c r="Z5500" s="41"/>
    </row>
    <row r="5501" spans="17:26" ht="13" x14ac:dyDescent="0.25">
      <c r="Q5501" s="11"/>
      <c r="R5501" s="80"/>
      <c r="S5501" s="11"/>
      <c r="T5501" s="11"/>
      <c r="U5501" s="11"/>
      <c r="V5501" s="11"/>
      <c r="W5501" s="11"/>
      <c r="X5501" s="44"/>
      <c r="Y5501" s="41"/>
      <c r="Z5501" s="41"/>
    </row>
    <row r="5502" spans="17:26" ht="14.5" x14ac:dyDescent="0.35">
      <c r="Q5502" s="11"/>
      <c r="R5502" s="81"/>
      <c r="S5502" s="11"/>
      <c r="T5502" s="11"/>
      <c r="U5502" s="11"/>
      <c r="V5502" s="11"/>
      <c r="W5502" s="11"/>
      <c r="X5502" s="40"/>
      <c r="Y5502" s="44"/>
      <c r="Z5502" s="44"/>
    </row>
    <row r="5503" spans="17:26" ht="14.5" x14ac:dyDescent="0.35">
      <c r="Q5503" s="11"/>
      <c r="R5503" s="79"/>
      <c r="S5503" s="11"/>
      <c r="T5503" s="11"/>
      <c r="U5503" s="11"/>
      <c r="V5503" s="11"/>
      <c r="W5503" s="11"/>
      <c r="X5503" s="40"/>
      <c r="Y5503" s="45"/>
      <c r="Z5503" s="45"/>
    </row>
    <row r="5504" spans="17:26" x14ac:dyDescent="0.25">
      <c r="Q5504" s="11"/>
      <c r="R5504" s="15"/>
      <c r="S5504" s="11"/>
      <c r="T5504" s="11"/>
      <c r="U5504" s="11"/>
      <c r="V5504" s="11"/>
      <c r="W5504" s="11"/>
      <c r="X5504" s="45"/>
      <c r="Y5504" s="44"/>
      <c r="Z5504" s="44"/>
    </row>
    <row r="5505" spans="17:26" ht="14.5" x14ac:dyDescent="0.35">
      <c r="Q5505" s="11"/>
      <c r="R5505" s="79"/>
      <c r="S5505" s="11"/>
      <c r="T5505" s="11"/>
      <c r="U5505" s="11"/>
      <c r="V5505" s="11"/>
      <c r="W5505" s="11"/>
      <c r="X5505" s="40"/>
      <c r="Y5505" s="41"/>
      <c r="Z5505" s="41"/>
    </row>
    <row r="5506" spans="17:26" ht="13" x14ac:dyDescent="0.25">
      <c r="Q5506" s="11"/>
      <c r="R5506" s="15"/>
      <c r="S5506" s="11"/>
      <c r="T5506" s="11"/>
      <c r="U5506" s="11"/>
      <c r="V5506" s="11"/>
      <c r="W5506" s="11"/>
      <c r="X5506" s="45"/>
      <c r="Y5506" s="41"/>
      <c r="Z5506" s="41"/>
    </row>
    <row r="5507" spans="17:26" ht="14.5" x14ac:dyDescent="0.35">
      <c r="Q5507" s="11"/>
      <c r="R5507" s="15"/>
      <c r="S5507" s="11"/>
      <c r="T5507" s="11"/>
      <c r="U5507" s="11"/>
      <c r="V5507" s="11"/>
      <c r="W5507" s="11"/>
      <c r="X5507" s="43"/>
      <c r="Y5507" s="44"/>
      <c r="Z5507" s="44"/>
    </row>
    <row r="5508" spans="17:26" x14ac:dyDescent="0.25">
      <c r="Q5508" s="11"/>
      <c r="R5508" s="15"/>
      <c r="S5508" s="11"/>
      <c r="T5508" s="11"/>
      <c r="U5508" s="11"/>
      <c r="V5508" s="11"/>
      <c r="W5508" s="11"/>
      <c r="X5508" s="45"/>
      <c r="Y5508" s="44"/>
      <c r="Z5508" s="44"/>
    </row>
    <row r="5509" spans="17:26" x14ac:dyDescent="0.25">
      <c r="Q5509" s="11"/>
      <c r="R5509" s="15"/>
      <c r="S5509" s="11"/>
      <c r="T5509" s="11"/>
      <c r="U5509" s="11"/>
      <c r="V5509" s="11"/>
      <c r="W5509" s="11"/>
      <c r="X5509" s="44"/>
      <c r="Y5509" s="42"/>
      <c r="Z5509" s="78"/>
    </row>
    <row r="5510" spans="17:26" x14ac:dyDescent="0.25">
      <c r="Q5510" s="11"/>
      <c r="R5510" s="15"/>
      <c r="S5510" s="11"/>
      <c r="T5510" s="11"/>
      <c r="U5510" s="11"/>
      <c r="V5510" s="11"/>
      <c r="W5510" s="11"/>
      <c r="X5510" s="11"/>
      <c r="Y5510" s="11"/>
      <c r="Z5510" s="11"/>
    </row>
    <row r="5511" spans="17:26" ht="13" x14ac:dyDescent="0.25">
      <c r="Q5511" s="11"/>
      <c r="R5511" s="15"/>
      <c r="S5511" s="11"/>
      <c r="T5511" s="11"/>
      <c r="U5511" s="11"/>
      <c r="V5511" s="11"/>
      <c r="W5511" s="11"/>
      <c r="X5511" s="45"/>
      <c r="Y5511" s="41"/>
      <c r="Z5511" s="41"/>
    </row>
    <row r="5512" spans="17:26" ht="13" x14ac:dyDescent="0.25">
      <c r="Q5512" s="11"/>
      <c r="R5512" s="80"/>
      <c r="S5512" s="11"/>
      <c r="T5512" s="11"/>
      <c r="U5512" s="11"/>
      <c r="V5512" s="11"/>
      <c r="W5512" s="11"/>
      <c r="X5512" s="44"/>
      <c r="Y5512" s="41"/>
      <c r="Z5512" s="41"/>
    </row>
    <row r="5513" spans="17:26" ht="14.5" x14ac:dyDescent="0.35">
      <c r="Q5513" s="11"/>
      <c r="R5513" s="81"/>
      <c r="S5513" s="11"/>
      <c r="T5513" s="11"/>
      <c r="U5513" s="11"/>
      <c r="V5513" s="11"/>
      <c r="W5513" s="11"/>
      <c r="X5513" s="40"/>
      <c r="Y5513" s="44"/>
      <c r="Z5513" s="44"/>
    </row>
    <row r="5514" spans="17:26" ht="14.5" x14ac:dyDescent="0.35">
      <c r="Q5514" s="11"/>
      <c r="R5514" s="79"/>
      <c r="S5514" s="11"/>
      <c r="T5514" s="11"/>
      <c r="U5514" s="11"/>
      <c r="V5514" s="11"/>
      <c r="W5514" s="11"/>
      <c r="X5514" s="40"/>
      <c r="Y5514" s="45"/>
      <c r="Z5514" s="45"/>
    </row>
    <row r="5515" spans="17:26" x14ac:dyDescent="0.25">
      <c r="Q5515" s="11"/>
      <c r="R5515" s="15"/>
      <c r="S5515" s="11"/>
      <c r="T5515" s="11"/>
      <c r="U5515" s="11"/>
      <c r="V5515" s="11"/>
      <c r="W5515" s="11"/>
      <c r="X5515" s="45"/>
      <c r="Y5515" s="44"/>
      <c r="Z5515" s="44"/>
    </row>
    <row r="5516" spans="17:26" ht="14.5" x14ac:dyDescent="0.35">
      <c r="Q5516" s="11"/>
      <c r="R5516" s="79"/>
      <c r="S5516" s="11"/>
      <c r="T5516" s="11"/>
      <c r="U5516" s="11"/>
      <c r="V5516" s="11"/>
      <c r="W5516" s="11"/>
      <c r="X5516" s="40"/>
      <c r="Y5516" s="41"/>
      <c r="Z5516" s="41"/>
    </row>
    <row r="5517" spans="17:26" ht="13" x14ac:dyDescent="0.25">
      <c r="Q5517" s="11"/>
      <c r="R5517" s="15"/>
      <c r="S5517" s="11"/>
      <c r="T5517" s="11"/>
      <c r="U5517" s="11"/>
      <c r="V5517" s="11"/>
      <c r="W5517" s="11"/>
      <c r="X5517" s="45"/>
      <c r="Y5517" s="41"/>
      <c r="Z5517" s="41"/>
    </row>
    <row r="5518" spans="17:26" ht="14.5" x14ac:dyDescent="0.35">
      <c r="Q5518" s="11"/>
      <c r="R5518" s="15"/>
      <c r="S5518" s="11"/>
      <c r="T5518" s="11"/>
      <c r="U5518" s="11"/>
      <c r="V5518" s="11"/>
      <c r="W5518" s="11"/>
      <c r="X5518" s="43"/>
      <c r="Y5518" s="44"/>
      <c r="Z5518" s="44"/>
    </row>
    <row r="5519" spans="17:26" x14ac:dyDescent="0.25">
      <c r="Q5519" s="11"/>
      <c r="R5519" s="15"/>
      <c r="S5519" s="11"/>
      <c r="T5519" s="11"/>
      <c r="U5519" s="11"/>
      <c r="V5519" s="11"/>
      <c r="W5519" s="11"/>
      <c r="X5519" s="45"/>
      <c r="Y5519" s="44"/>
      <c r="Z5519" s="44"/>
    </row>
    <row r="5520" spans="17:26" x14ac:dyDescent="0.25">
      <c r="Q5520" s="11"/>
      <c r="R5520" s="15"/>
      <c r="S5520" s="11"/>
      <c r="T5520" s="11"/>
      <c r="U5520" s="11"/>
      <c r="V5520" s="11"/>
      <c r="W5520" s="11"/>
      <c r="X5520" s="44"/>
      <c r="Y5520" s="42"/>
      <c r="Z5520" s="78"/>
    </row>
    <row r="5521" spans="17:26" ht="14" x14ac:dyDescent="0.3">
      <c r="Q5521" s="11"/>
      <c r="R5521" s="46"/>
      <c r="S5521" s="11"/>
      <c r="T5521" s="11"/>
      <c r="U5521" s="11"/>
      <c r="V5521" s="11"/>
      <c r="W5521" s="11"/>
      <c r="X5521" s="11"/>
      <c r="Y5521" s="11"/>
      <c r="Z5521" s="11"/>
    </row>
    <row r="5522" spans="17:26" ht="13" x14ac:dyDescent="0.25">
      <c r="Q5522" s="11"/>
      <c r="R5522" s="15"/>
      <c r="S5522" s="11"/>
      <c r="T5522" s="11"/>
      <c r="U5522" s="11"/>
      <c r="V5522" s="11"/>
      <c r="W5522" s="11"/>
      <c r="X5522" s="45"/>
      <c r="Y5522" s="41"/>
      <c r="Z5522" s="41"/>
    </row>
    <row r="5523" spans="17:26" ht="13" x14ac:dyDescent="0.25">
      <c r="Q5523" s="11"/>
      <c r="R5523" s="80"/>
      <c r="S5523" s="11"/>
      <c r="T5523" s="11"/>
      <c r="U5523" s="11"/>
      <c r="V5523" s="11"/>
      <c r="W5523" s="11"/>
      <c r="X5523" s="44"/>
      <c r="Y5523" s="41"/>
      <c r="Z5523" s="41"/>
    </row>
    <row r="5524" spans="17:26" ht="14.5" x14ac:dyDescent="0.35">
      <c r="Q5524" s="11"/>
      <c r="R5524" s="81"/>
      <c r="S5524" s="11"/>
      <c r="T5524" s="11"/>
      <c r="U5524" s="11"/>
      <c r="V5524" s="11"/>
      <c r="W5524" s="11"/>
      <c r="X5524" s="40"/>
      <c r="Y5524" s="44"/>
      <c r="Z5524" s="44"/>
    </row>
    <row r="5525" spans="17:26" ht="14.5" x14ac:dyDescent="0.35">
      <c r="Q5525" s="11"/>
      <c r="R5525" s="79"/>
      <c r="S5525" s="11"/>
      <c r="T5525" s="11"/>
      <c r="U5525" s="11"/>
      <c r="V5525" s="11"/>
      <c r="W5525" s="11"/>
      <c r="X5525" s="40"/>
      <c r="Y5525" s="45"/>
      <c r="Z5525" s="45"/>
    </row>
    <row r="5526" spans="17:26" x14ac:dyDescent="0.25">
      <c r="Q5526" s="11"/>
      <c r="R5526" s="15"/>
      <c r="S5526" s="11"/>
      <c r="T5526" s="11"/>
      <c r="U5526" s="11"/>
      <c r="V5526" s="11"/>
      <c r="W5526" s="11"/>
      <c r="X5526" s="45"/>
      <c r="Y5526" s="44"/>
      <c r="Z5526" s="44"/>
    </row>
    <row r="5527" spans="17:26" ht="14.5" x14ac:dyDescent="0.35">
      <c r="Q5527" s="11"/>
      <c r="R5527" s="79"/>
      <c r="S5527" s="11"/>
      <c r="T5527" s="11"/>
      <c r="U5527" s="11"/>
      <c r="V5527" s="11"/>
      <c r="W5527" s="11"/>
      <c r="X5527" s="40"/>
      <c r="Y5527" s="41"/>
      <c r="Z5527" s="41"/>
    </row>
    <row r="5528" spans="17:26" ht="13" x14ac:dyDescent="0.25">
      <c r="Q5528" s="11"/>
      <c r="R5528" s="15"/>
      <c r="S5528" s="11"/>
      <c r="T5528" s="11"/>
      <c r="U5528" s="11"/>
      <c r="V5528" s="11"/>
      <c r="W5528" s="11"/>
      <c r="X5528" s="45"/>
      <c r="Y5528" s="41"/>
      <c r="Z5528" s="41"/>
    </row>
    <row r="5529" spans="17:26" ht="14.5" x14ac:dyDescent="0.35">
      <c r="Q5529" s="11"/>
      <c r="R5529" s="15"/>
      <c r="S5529" s="11"/>
      <c r="T5529" s="11"/>
      <c r="U5529" s="11"/>
      <c r="V5529" s="11"/>
      <c r="W5529" s="11"/>
      <c r="X5529" s="43"/>
      <c r="Y5529" s="44"/>
      <c r="Z5529" s="44"/>
    </row>
    <row r="5530" spans="17:26" x14ac:dyDescent="0.25">
      <c r="Q5530" s="11"/>
      <c r="R5530" s="15"/>
      <c r="S5530" s="11"/>
      <c r="T5530" s="11"/>
      <c r="U5530" s="11"/>
      <c r="V5530" s="11"/>
      <c r="W5530" s="11"/>
      <c r="X5530" s="45"/>
      <c r="Y5530" s="44"/>
      <c r="Z5530" s="44"/>
    </row>
    <row r="5531" spans="17:26" x14ac:dyDescent="0.25">
      <c r="Q5531" s="11"/>
      <c r="R5531" s="15"/>
      <c r="S5531" s="11"/>
      <c r="T5531" s="11"/>
      <c r="U5531" s="11"/>
      <c r="V5531" s="11"/>
      <c r="W5531" s="11"/>
      <c r="X5531" s="44"/>
      <c r="Y5531" s="42"/>
      <c r="Z5531" s="78"/>
    </row>
    <row r="5532" spans="17:26" ht="14.5" x14ac:dyDescent="0.35">
      <c r="Q5532" s="11"/>
      <c r="R5532" s="79"/>
      <c r="S5532" s="11"/>
      <c r="T5532" s="11"/>
      <c r="U5532" s="11"/>
      <c r="V5532" s="11"/>
      <c r="W5532" s="11"/>
      <c r="X5532" s="11"/>
      <c r="Y5532" s="11"/>
      <c r="Z5532" s="11"/>
    </row>
    <row r="5533" spans="17:26" ht="13" x14ac:dyDescent="0.25">
      <c r="Q5533" s="11"/>
      <c r="R5533" s="15"/>
      <c r="S5533" s="11"/>
      <c r="T5533" s="11"/>
      <c r="U5533" s="11"/>
      <c r="V5533" s="11"/>
      <c r="W5533" s="11"/>
      <c r="X5533" s="45"/>
      <c r="Y5533" s="41"/>
      <c r="Z5533" s="41"/>
    </row>
    <row r="5534" spans="17:26" ht="13" x14ac:dyDescent="0.25">
      <c r="Q5534" s="11"/>
      <c r="R5534" s="80"/>
      <c r="S5534" s="11"/>
      <c r="T5534" s="11"/>
      <c r="U5534" s="11"/>
      <c r="V5534" s="11"/>
      <c r="W5534" s="11"/>
      <c r="X5534" s="44"/>
      <c r="Y5534" s="41"/>
      <c r="Z5534" s="41"/>
    </row>
    <row r="5535" spans="17:26" ht="14.5" x14ac:dyDescent="0.35">
      <c r="Q5535" s="11"/>
      <c r="R5535" s="81"/>
      <c r="S5535" s="11"/>
      <c r="T5535" s="11"/>
      <c r="U5535" s="11"/>
      <c r="V5535" s="11"/>
      <c r="W5535" s="11"/>
      <c r="X5535" s="40"/>
      <c r="Y5535" s="44"/>
      <c r="Z5535" s="44"/>
    </row>
    <row r="5536" spans="17:26" ht="14.5" x14ac:dyDescent="0.35">
      <c r="Q5536" s="11"/>
      <c r="R5536" s="79"/>
      <c r="S5536" s="11"/>
      <c r="T5536" s="11"/>
      <c r="U5536" s="11"/>
      <c r="V5536" s="11"/>
      <c r="W5536" s="11"/>
      <c r="X5536" s="40"/>
      <c r="Y5536" s="45"/>
      <c r="Z5536" s="45"/>
    </row>
    <row r="5537" spans="17:26" x14ac:dyDescent="0.25">
      <c r="Q5537" s="11"/>
      <c r="R5537" s="15"/>
      <c r="S5537" s="11"/>
      <c r="T5537" s="11"/>
      <c r="U5537" s="11"/>
      <c r="V5537" s="11"/>
      <c r="W5537" s="11"/>
      <c r="X5537" s="45"/>
      <c r="Y5537" s="44"/>
      <c r="Z5537" s="44"/>
    </row>
    <row r="5538" spans="17:26" ht="14.5" x14ac:dyDescent="0.35">
      <c r="Q5538" s="11"/>
      <c r="R5538" s="79"/>
      <c r="S5538" s="11"/>
      <c r="T5538" s="11"/>
      <c r="U5538" s="11"/>
      <c r="V5538" s="11"/>
      <c r="W5538" s="11"/>
      <c r="X5538" s="40"/>
      <c r="Y5538" s="41"/>
      <c r="Z5538" s="41"/>
    </row>
    <row r="5539" spans="17:26" ht="13" x14ac:dyDescent="0.25">
      <c r="Q5539" s="11"/>
      <c r="R5539" s="15"/>
      <c r="S5539" s="11"/>
      <c r="T5539" s="11"/>
      <c r="U5539" s="11"/>
      <c r="V5539" s="11"/>
      <c r="W5539" s="11"/>
      <c r="X5539" s="45"/>
      <c r="Y5539" s="41"/>
      <c r="Z5539" s="41"/>
    </row>
    <row r="5540" spans="17:26" ht="14.5" x14ac:dyDescent="0.35">
      <c r="Q5540" s="11"/>
      <c r="R5540" s="15"/>
      <c r="S5540" s="11"/>
      <c r="T5540" s="11"/>
      <c r="U5540" s="11"/>
      <c r="V5540" s="11"/>
      <c r="W5540" s="11"/>
      <c r="X5540" s="43"/>
      <c r="Y5540" s="44"/>
      <c r="Z5540" s="44"/>
    </row>
    <row r="5541" spans="17:26" x14ac:dyDescent="0.25">
      <c r="Q5541" s="11"/>
      <c r="R5541" s="15"/>
      <c r="S5541" s="11"/>
      <c r="T5541" s="11"/>
      <c r="U5541" s="11"/>
      <c r="V5541" s="11"/>
      <c r="W5541" s="11"/>
      <c r="X5541" s="45"/>
      <c r="Y5541" s="44"/>
      <c r="Z5541" s="44"/>
    </row>
    <row r="5542" spans="17:26" x14ac:dyDescent="0.25">
      <c r="Q5542" s="11"/>
      <c r="R5542" s="15"/>
      <c r="S5542" s="11"/>
      <c r="T5542" s="11"/>
      <c r="U5542" s="11"/>
      <c r="V5542" s="11"/>
      <c r="W5542" s="11"/>
      <c r="X5542" s="44"/>
      <c r="Y5542" s="42"/>
      <c r="Z5542" s="78"/>
    </row>
    <row r="5543" spans="17:26" x14ac:dyDescent="0.25">
      <c r="Q5543" s="11"/>
      <c r="R5543" s="15"/>
      <c r="S5543" s="11"/>
      <c r="T5543" s="11"/>
      <c r="U5543" s="11"/>
      <c r="V5543" s="11"/>
      <c r="W5543" s="11"/>
      <c r="X5543" s="11"/>
      <c r="Y5543" s="11"/>
      <c r="Z5543" s="11"/>
    </row>
    <row r="5544" spans="17:26" ht="13" x14ac:dyDescent="0.25">
      <c r="Q5544" s="11"/>
      <c r="R5544" s="15"/>
      <c r="S5544" s="11"/>
      <c r="T5544" s="11"/>
      <c r="U5544" s="11"/>
      <c r="V5544" s="11"/>
      <c r="W5544" s="11"/>
      <c r="X5544" s="45"/>
      <c r="Y5544" s="41"/>
      <c r="Z5544" s="41"/>
    </row>
    <row r="5545" spans="17:26" ht="13" x14ac:dyDescent="0.25">
      <c r="Q5545" s="11"/>
      <c r="R5545" s="15"/>
      <c r="S5545" s="11"/>
      <c r="T5545" s="11"/>
      <c r="U5545" s="11"/>
      <c r="V5545" s="11"/>
      <c r="W5545" s="11"/>
      <c r="X5545" s="44"/>
      <c r="Y5545" s="41"/>
      <c r="Z5545" s="41"/>
    </row>
    <row r="5546" spans="17:26" ht="14.5" x14ac:dyDescent="0.35">
      <c r="Q5546" s="11"/>
      <c r="R5546" s="81"/>
      <c r="S5546" s="11"/>
      <c r="T5546" s="11"/>
      <c r="U5546" s="11"/>
      <c r="V5546" s="11"/>
      <c r="W5546" s="11"/>
      <c r="X5546" s="40"/>
      <c r="Y5546" s="44"/>
      <c r="Z5546" s="44"/>
    </row>
    <row r="5547" spans="17:26" ht="14.5" x14ac:dyDescent="0.35">
      <c r="Q5547" s="11"/>
      <c r="R5547" s="79"/>
      <c r="S5547" s="11"/>
      <c r="T5547" s="11"/>
      <c r="U5547" s="11"/>
      <c r="V5547" s="11"/>
      <c r="W5547" s="11"/>
      <c r="X5547" s="40"/>
      <c r="Y5547" s="45"/>
      <c r="Z5547" s="45"/>
    </row>
    <row r="5548" spans="17:26" x14ac:dyDescent="0.25">
      <c r="Q5548" s="11"/>
      <c r="R5548" s="15"/>
      <c r="S5548" s="11"/>
      <c r="T5548" s="11"/>
      <c r="U5548" s="11"/>
      <c r="V5548" s="11"/>
      <c r="W5548" s="11"/>
      <c r="X5548" s="45"/>
      <c r="Y5548" s="44"/>
      <c r="Z5548" s="44"/>
    </row>
    <row r="5549" spans="17:26" ht="14.5" x14ac:dyDescent="0.35">
      <c r="Q5549" s="11"/>
      <c r="R5549" s="79"/>
      <c r="S5549" s="11"/>
      <c r="T5549" s="11"/>
      <c r="U5549" s="11"/>
      <c r="V5549" s="11"/>
      <c r="W5549" s="11"/>
      <c r="X5549" s="40"/>
      <c r="Y5549" s="41"/>
      <c r="Z5549" s="41"/>
    </row>
    <row r="5550" spans="17:26" ht="13" x14ac:dyDescent="0.25">
      <c r="Q5550" s="11"/>
      <c r="R5550" s="15"/>
      <c r="S5550" s="11"/>
      <c r="T5550" s="11"/>
      <c r="U5550" s="11"/>
      <c r="V5550" s="11"/>
      <c r="W5550" s="11"/>
      <c r="X5550" s="45"/>
      <c r="Y5550" s="41"/>
      <c r="Z5550" s="41"/>
    </row>
    <row r="5551" spans="17:26" ht="14.5" x14ac:dyDescent="0.35">
      <c r="Q5551" s="11"/>
      <c r="R5551" s="15"/>
      <c r="S5551" s="11"/>
      <c r="T5551" s="11"/>
      <c r="U5551" s="11"/>
      <c r="V5551" s="11"/>
      <c r="W5551" s="11"/>
      <c r="X5551" s="43"/>
      <c r="Y5551" s="44"/>
      <c r="Z5551" s="44"/>
    </row>
    <row r="5552" spans="17:26" x14ac:dyDescent="0.25">
      <c r="Q5552" s="11"/>
      <c r="R5552" s="15"/>
      <c r="S5552" s="11"/>
      <c r="T5552" s="11"/>
      <c r="U5552" s="11"/>
      <c r="V5552" s="11"/>
      <c r="W5552" s="11"/>
      <c r="X5552" s="45"/>
      <c r="Y5552" s="44"/>
      <c r="Z5552" s="44"/>
    </row>
    <row r="5553" spans="17:26" x14ac:dyDescent="0.25">
      <c r="Q5553" s="11"/>
      <c r="R5553" s="15"/>
      <c r="S5553" s="11"/>
      <c r="T5553" s="11"/>
      <c r="U5553" s="11"/>
      <c r="V5553" s="11"/>
      <c r="W5553" s="11"/>
      <c r="X5553" s="44"/>
      <c r="Y5553" s="42"/>
      <c r="Z5553" s="78"/>
    </row>
    <row r="5554" spans="17:26" x14ac:dyDescent="0.25">
      <c r="Q5554" s="11"/>
      <c r="R5554" s="15"/>
      <c r="S5554" s="11"/>
      <c r="T5554" s="11"/>
      <c r="U5554" s="11"/>
      <c r="V5554" s="11"/>
      <c r="W5554" s="11"/>
      <c r="X5554" s="11"/>
      <c r="Y5554" s="11"/>
      <c r="Z5554" s="11"/>
    </row>
    <row r="5555" spans="17:26" x14ac:dyDescent="0.25">
      <c r="Q5555" s="11"/>
      <c r="R5555" s="15"/>
      <c r="S5555" s="11"/>
      <c r="T5555" s="11"/>
      <c r="U5555" s="11"/>
      <c r="V5555" s="11"/>
      <c r="W5555" s="11"/>
      <c r="X5555" s="11"/>
      <c r="Y5555" s="11"/>
      <c r="Z5555" s="11"/>
    </row>
    <row r="5556" spans="17:26" x14ac:dyDescent="0.25">
      <c r="Q5556" s="11"/>
      <c r="R5556" s="80"/>
      <c r="S5556" s="11"/>
      <c r="T5556" s="11"/>
      <c r="U5556" s="11"/>
      <c r="V5556" s="11"/>
      <c r="W5556" s="11"/>
      <c r="X5556" s="11"/>
      <c r="Y5556" s="11"/>
      <c r="Z5556" s="11"/>
    </row>
    <row r="5557" spans="17:26" ht="14.5" x14ac:dyDescent="0.35">
      <c r="Q5557" s="11"/>
      <c r="R5557" s="81"/>
      <c r="S5557" s="11"/>
      <c r="T5557" s="11"/>
      <c r="U5557" s="11"/>
      <c r="V5557" s="11"/>
      <c r="W5557" s="11"/>
      <c r="X5557" s="11"/>
      <c r="Y5557" s="11"/>
      <c r="Z5557" s="11"/>
    </row>
    <row r="5558" spans="17:26" ht="14.5" x14ac:dyDescent="0.35">
      <c r="Q5558" s="11"/>
      <c r="R5558" s="79"/>
      <c r="S5558" s="11"/>
      <c r="T5558" s="11"/>
      <c r="U5558" s="11"/>
      <c r="V5558" s="11"/>
      <c r="W5558" s="11"/>
      <c r="X5558" s="11"/>
      <c r="Y5558" s="11"/>
      <c r="Z5558" s="11"/>
    </row>
    <row r="5559" spans="17:26" x14ac:dyDescent="0.25">
      <c r="Q5559" s="11"/>
      <c r="R5559" s="15"/>
      <c r="S5559" s="11"/>
      <c r="T5559" s="11"/>
      <c r="U5559" s="11"/>
      <c r="V5559" s="11"/>
      <c r="W5559" s="11"/>
      <c r="X5559" s="11"/>
      <c r="Y5559" s="11"/>
      <c r="Z5559" s="11"/>
    </row>
    <row r="5560" spans="17:26" ht="14.5" x14ac:dyDescent="0.35">
      <c r="Q5560" s="11"/>
      <c r="R5560" s="79"/>
      <c r="S5560" s="11"/>
      <c r="T5560" s="11"/>
      <c r="U5560" s="11"/>
      <c r="V5560" s="11"/>
      <c r="W5560" s="11"/>
      <c r="X5560" s="11"/>
      <c r="Y5560" s="11"/>
      <c r="Z5560" s="11"/>
    </row>
    <row r="5561" spans="17:26" x14ac:dyDescent="0.25">
      <c r="Q5561" s="11"/>
      <c r="R5561" s="15"/>
      <c r="S5561" s="11"/>
      <c r="T5561" s="11"/>
      <c r="U5561" s="11"/>
      <c r="V5561" s="11"/>
      <c r="W5561" s="11"/>
      <c r="X5561" s="11"/>
      <c r="Y5561" s="11"/>
      <c r="Z5561" s="11"/>
    </row>
    <row r="5562" spans="17:26" x14ac:dyDescent="0.25">
      <c r="Q5562" s="11"/>
      <c r="R5562" s="15"/>
      <c r="S5562" s="11"/>
      <c r="T5562" s="11"/>
      <c r="U5562" s="11"/>
      <c r="V5562" s="11"/>
      <c r="W5562" s="11"/>
      <c r="X5562" s="11"/>
      <c r="Y5562" s="11"/>
      <c r="Z5562" s="11"/>
    </row>
    <row r="5563" spans="17:26" x14ac:dyDescent="0.25">
      <c r="Q5563" s="11"/>
      <c r="R5563" s="15"/>
      <c r="S5563" s="11"/>
      <c r="T5563" s="11"/>
      <c r="U5563" s="11"/>
      <c r="V5563" s="11"/>
      <c r="W5563" s="11"/>
      <c r="X5563" s="11"/>
      <c r="Y5563" s="11"/>
      <c r="Z5563" s="11"/>
    </row>
    <row r="5564" spans="17:26" x14ac:dyDescent="0.25">
      <c r="Q5564" s="11"/>
      <c r="R5564" s="15"/>
      <c r="S5564" s="11"/>
      <c r="T5564" s="11"/>
      <c r="U5564" s="11"/>
      <c r="V5564" s="11"/>
      <c r="W5564" s="11"/>
      <c r="X5564" s="11"/>
      <c r="Y5564" s="11"/>
      <c r="Z5564" s="11"/>
    </row>
    <row r="5565" spans="17:26" x14ac:dyDescent="0.25">
      <c r="Q5565" s="11"/>
      <c r="R5565" s="15"/>
      <c r="S5565" s="11"/>
      <c r="T5565" s="11"/>
      <c r="U5565" s="11"/>
      <c r="V5565" s="11"/>
      <c r="W5565" s="11"/>
      <c r="X5565" s="11"/>
      <c r="Y5565" s="11"/>
      <c r="Z5565" s="11"/>
    </row>
    <row r="5566" spans="17:26" x14ac:dyDescent="0.25">
      <c r="Q5566" s="11"/>
      <c r="R5566" s="15"/>
      <c r="S5566" s="11"/>
      <c r="T5566" s="11"/>
      <c r="U5566" s="11"/>
      <c r="V5566" s="11"/>
      <c r="W5566" s="11"/>
      <c r="X5566" s="11"/>
      <c r="Y5566" s="11"/>
      <c r="Z5566" s="11"/>
    </row>
    <row r="5567" spans="17:26" x14ac:dyDescent="0.25">
      <c r="Q5567" s="11"/>
      <c r="R5567" s="80"/>
      <c r="S5567" s="11"/>
      <c r="T5567" s="11"/>
      <c r="U5567" s="11"/>
      <c r="V5567" s="11"/>
      <c r="W5567" s="11"/>
      <c r="X5567" s="11"/>
      <c r="Y5567" s="11"/>
      <c r="Z5567" s="11"/>
    </row>
    <row r="5568" spans="17:26" ht="14.5" x14ac:dyDescent="0.35">
      <c r="Q5568" s="11"/>
      <c r="R5568" s="81"/>
      <c r="S5568" s="11"/>
      <c r="T5568" s="11"/>
      <c r="U5568" s="11"/>
      <c r="V5568" s="11"/>
      <c r="W5568" s="11"/>
      <c r="X5568" s="11"/>
      <c r="Y5568" s="11"/>
      <c r="Z5568" s="11"/>
    </row>
    <row r="5569" spans="17:26" ht="14.5" x14ac:dyDescent="0.35">
      <c r="Q5569" s="11"/>
      <c r="R5569" s="79"/>
      <c r="S5569" s="11"/>
      <c r="T5569" s="11"/>
      <c r="U5569" s="11"/>
      <c r="V5569" s="11"/>
      <c r="W5569" s="11"/>
      <c r="X5569" s="11"/>
      <c r="Y5569" s="11"/>
      <c r="Z5569" s="11"/>
    </row>
    <row r="5570" spans="17:26" x14ac:dyDescent="0.25">
      <c r="Q5570" s="11"/>
      <c r="R5570" s="15"/>
      <c r="S5570" s="11"/>
      <c r="T5570" s="11"/>
      <c r="U5570" s="11"/>
      <c r="V5570" s="11"/>
      <c r="W5570" s="11"/>
      <c r="X5570" s="11"/>
      <c r="Y5570" s="11"/>
      <c r="Z5570" s="11"/>
    </row>
    <row r="5571" spans="17:26" ht="14.5" x14ac:dyDescent="0.35">
      <c r="Q5571" s="11"/>
      <c r="R5571" s="79"/>
      <c r="S5571" s="11"/>
      <c r="T5571" s="11"/>
      <c r="U5571" s="11"/>
      <c r="V5571" s="11"/>
      <c r="W5571" s="11"/>
      <c r="X5571" s="11"/>
      <c r="Y5571" s="11"/>
      <c r="Z5571" s="11"/>
    </row>
    <row r="5572" spans="17:26" x14ac:dyDescent="0.25">
      <c r="Q5572" s="11"/>
      <c r="R5572" s="15"/>
      <c r="S5572" s="11"/>
      <c r="T5572" s="11"/>
      <c r="U5572" s="11"/>
      <c r="V5572" s="11"/>
      <c r="W5572" s="11"/>
      <c r="X5572" s="11"/>
      <c r="Y5572" s="11"/>
      <c r="Z5572" s="11"/>
    </row>
    <row r="5573" spans="17:26" x14ac:dyDescent="0.25">
      <c r="Q5573" s="11"/>
      <c r="R5573" s="15"/>
      <c r="S5573" s="11"/>
      <c r="T5573" s="11"/>
      <c r="U5573" s="11"/>
      <c r="V5573" s="11"/>
      <c r="W5573" s="11"/>
      <c r="X5573" s="11"/>
      <c r="Y5573" s="11"/>
      <c r="Z5573" s="11"/>
    </row>
    <row r="5574" spans="17:26" x14ac:dyDescent="0.25">
      <c r="Q5574" s="11"/>
      <c r="R5574" s="15"/>
      <c r="S5574" s="11"/>
      <c r="T5574" s="11"/>
      <c r="U5574" s="11"/>
      <c r="V5574" s="11"/>
      <c r="W5574" s="11"/>
      <c r="X5574" s="11"/>
      <c r="Y5574" s="11"/>
      <c r="Z5574" s="11"/>
    </row>
    <row r="5575" spans="17:26" x14ac:dyDescent="0.25">
      <c r="Q5575" s="11"/>
      <c r="R5575" s="15"/>
      <c r="S5575" s="11"/>
      <c r="T5575" s="11"/>
      <c r="U5575" s="11"/>
      <c r="V5575" s="11"/>
      <c r="W5575" s="11"/>
      <c r="X5575" s="11"/>
      <c r="Y5575" s="11"/>
      <c r="Z5575" s="11"/>
    </row>
    <row r="5576" spans="17:26" x14ac:dyDescent="0.25">
      <c r="Q5576" s="11"/>
      <c r="R5576" s="15"/>
      <c r="S5576" s="11"/>
      <c r="T5576" s="11"/>
      <c r="U5576" s="11"/>
      <c r="V5576" s="11"/>
      <c r="W5576" s="11"/>
      <c r="X5576" s="11"/>
      <c r="Y5576" s="11"/>
      <c r="Z5576" s="11"/>
    </row>
    <row r="5577" spans="17:26" x14ac:dyDescent="0.25">
      <c r="Q5577" s="11"/>
      <c r="R5577" s="15"/>
      <c r="S5577" s="11"/>
      <c r="T5577" s="11"/>
      <c r="U5577" s="11"/>
      <c r="V5577" s="11"/>
      <c r="W5577" s="11"/>
      <c r="X5577" s="11"/>
      <c r="Y5577" s="11"/>
      <c r="Z5577" s="11"/>
    </row>
    <row r="5578" spans="17:26" x14ac:dyDescent="0.25">
      <c r="Q5578" s="11"/>
      <c r="R5578" s="80"/>
      <c r="S5578" s="11"/>
      <c r="T5578" s="11"/>
      <c r="U5578" s="11"/>
      <c r="V5578" s="11"/>
      <c r="W5578" s="11"/>
      <c r="X5578" s="11"/>
      <c r="Y5578" s="11"/>
      <c r="Z5578" s="11"/>
    </row>
    <row r="5579" spans="17:26" ht="14.5" x14ac:dyDescent="0.35">
      <c r="Q5579" s="11"/>
      <c r="R5579" s="81"/>
      <c r="S5579" s="11"/>
      <c r="T5579" s="11"/>
      <c r="U5579" s="11"/>
      <c r="V5579" s="11"/>
      <c r="W5579" s="11"/>
      <c r="X5579" s="11"/>
      <c r="Y5579" s="11"/>
      <c r="Z5579" s="11"/>
    </row>
    <row r="5580" spans="17:26" ht="14.5" x14ac:dyDescent="0.35">
      <c r="Q5580" s="11"/>
      <c r="R5580" s="79"/>
      <c r="S5580" s="11"/>
      <c r="T5580" s="11"/>
      <c r="U5580" s="11"/>
      <c r="V5580" s="11"/>
      <c r="W5580" s="11"/>
      <c r="X5580" s="11"/>
      <c r="Y5580" s="11"/>
      <c r="Z5580" s="11"/>
    </row>
    <row r="5581" spans="17:26" x14ac:dyDescent="0.25">
      <c r="Q5581" s="11"/>
      <c r="R5581" s="15"/>
      <c r="S5581" s="11"/>
      <c r="T5581" s="11"/>
      <c r="U5581" s="11"/>
      <c r="V5581" s="11"/>
      <c r="W5581" s="11"/>
      <c r="X5581" s="11"/>
      <c r="Y5581" s="11"/>
      <c r="Z5581" s="11"/>
    </row>
    <row r="5582" spans="17:26" ht="14.5" x14ac:dyDescent="0.35">
      <c r="Q5582" s="11"/>
      <c r="R5582" s="79"/>
      <c r="S5582" s="11"/>
      <c r="T5582" s="11"/>
      <c r="U5582" s="11"/>
      <c r="V5582" s="11"/>
      <c r="W5582" s="11"/>
      <c r="X5582" s="11"/>
      <c r="Y5582" s="11"/>
      <c r="Z5582" s="11"/>
    </row>
    <row r="5583" spans="17:26" x14ac:dyDescent="0.25">
      <c r="Q5583" s="11"/>
      <c r="R5583" s="15"/>
      <c r="S5583" s="11"/>
      <c r="T5583" s="11"/>
      <c r="U5583" s="11"/>
      <c r="V5583" s="11"/>
      <c r="W5583" s="11"/>
      <c r="X5583" s="11"/>
      <c r="Y5583" s="11"/>
      <c r="Z5583" s="11"/>
    </row>
    <row r="5584" spans="17:26" x14ac:dyDescent="0.25">
      <c r="Q5584" s="11"/>
      <c r="R5584" s="15"/>
      <c r="S5584" s="11"/>
      <c r="T5584" s="11"/>
      <c r="U5584" s="11"/>
      <c r="V5584" s="11"/>
      <c r="W5584" s="11"/>
      <c r="X5584" s="11"/>
      <c r="Y5584" s="11"/>
      <c r="Z5584" s="11"/>
    </row>
    <row r="5585" spans="17:26" x14ac:dyDescent="0.25">
      <c r="Q5585" s="11"/>
      <c r="R5585" s="15"/>
      <c r="S5585" s="11"/>
      <c r="T5585" s="11"/>
      <c r="U5585" s="11"/>
      <c r="V5585" s="11"/>
      <c r="W5585" s="11"/>
      <c r="X5585" s="11"/>
      <c r="Y5585" s="11"/>
      <c r="Z5585" s="11"/>
    </row>
    <row r="5586" spans="17:26" x14ac:dyDescent="0.25">
      <c r="Q5586" s="11"/>
      <c r="R5586" s="15"/>
      <c r="S5586" s="11"/>
      <c r="T5586" s="11"/>
      <c r="U5586" s="11"/>
      <c r="V5586" s="11"/>
      <c r="W5586" s="11"/>
      <c r="X5586" s="11"/>
      <c r="Y5586" s="11"/>
      <c r="Z5586" s="11"/>
    </row>
    <row r="5587" spans="17:26" ht="14" x14ac:dyDescent="0.3">
      <c r="Q5587" s="11"/>
      <c r="R5587" s="46"/>
      <c r="S5587" s="11"/>
      <c r="T5587" s="11"/>
      <c r="U5587" s="11"/>
      <c r="V5587" s="11"/>
      <c r="W5587" s="11"/>
      <c r="X5587" s="11"/>
      <c r="Y5587" s="11"/>
      <c r="Z5587" s="11"/>
    </row>
    <row r="5588" spans="17:26" x14ac:dyDescent="0.25">
      <c r="Q5588" s="11"/>
      <c r="R5588" s="15"/>
      <c r="S5588" s="11"/>
      <c r="T5588" s="11"/>
      <c r="U5588" s="11"/>
      <c r="V5588" s="11"/>
      <c r="W5588" s="11"/>
      <c r="X5588" s="11"/>
      <c r="Y5588" s="11"/>
      <c r="Z5588" s="11"/>
    </row>
    <row r="5589" spans="17:26" x14ac:dyDescent="0.25">
      <c r="Q5589" s="11"/>
      <c r="R5589" s="80"/>
      <c r="S5589" s="11"/>
      <c r="T5589" s="11"/>
      <c r="U5589" s="11"/>
      <c r="V5589" s="11"/>
      <c r="W5589" s="11"/>
      <c r="X5589" s="11"/>
      <c r="Y5589" s="11"/>
      <c r="Z5589" s="11"/>
    </row>
    <row r="5590" spans="17:26" ht="14.5" x14ac:dyDescent="0.35">
      <c r="Q5590" s="11"/>
      <c r="R5590" s="81"/>
      <c r="S5590" s="11"/>
      <c r="T5590" s="11"/>
      <c r="U5590" s="11"/>
      <c r="V5590" s="11"/>
      <c r="W5590" s="11"/>
      <c r="X5590" s="11"/>
      <c r="Y5590" s="11"/>
      <c r="Z5590" s="11"/>
    </row>
    <row r="5591" spans="17:26" ht="14.5" x14ac:dyDescent="0.35">
      <c r="Q5591" s="11"/>
      <c r="R5591" s="79"/>
      <c r="S5591" s="11"/>
      <c r="T5591" s="11"/>
      <c r="U5591" s="11"/>
      <c r="V5591" s="11"/>
      <c r="W5591" s="11"/>
      <c r="X5591" s="11"/>
      <c r="Y5591" s="11"/>
      <c r="Z5591" s="11"/>
    </row>
    <row r="5592" spans="17:26" x14ac:dyDescent="0.25">
      <c r="Q5592" s="11"/>
      <c r="R5592" s="15"/>
      <c r="S5592" s="11"/>
      <c r="T5592" s="11"/>
      <c r="U5592" s="11"/>
      <c r="V5592" s="11"/>
      <c r="W5592" s="11"/>
      <c r="X5592" s="11"/>
      <c r="Y5592" s="11"/>
      <c r="Z5592" s="11"/>
    </row>
    <row r="5593" spans="17:26" ht="14.5" x14ac:dyDescent="0.35">
      <c r="Q5593" s="11"/>
      <c r="R5593" s="79"/>
      <c r="S5593" s="11"/>
      <c r="T5593" s="11"/>
      <c r="U5593" s="11"/>
      <c r="V5593" s="11"/>
      <c r="W5593" s="11"/>
      <c r="X5593" s="11"/>
      <c r="Y5593" s="11"/>
      <c r="Z5593" s="11"/>
    </row>
    <row r="5594" spans="17:26" x14ac:dyDescent="0.25">
      <c r="Q5594" s="11"/>
      <c r="R5594" s="15"/>
      <c r="S5594" s="11"/>
      <c r="T5594" s="11"/>
      <c r="U5594" s="11"/>
      <c r="V5594" s="11"/>
      <c r="W5594" s="11"/>
      <c r="X5594" s="11"/>
      <c r="Y5594" s="11"/>
      <c r="Z5594" s="11"/>
    </row>
    <row r="5595" spans="17:26" x14ac:dyDescent="0.25">
      <c r="Q5595" s="11"/>
      <c r="R5595" s="15"/>
      <c r="S5595" s="11"/>
      <c r="T5595" s="11"/>
      <c r="U5595" s="11"/>
      <c r="V5595" s="11"/>
      <c r="W5595" s="11"/>
      <c r="X5595" s="11"/>
      <c r="Y5595" s="11"/>
      <c r="Z5595" s="11"/>
    </row>
    <row r="5596" spans="17:26" x14ac:dyDescent="0.25">
      <c r="Q5596" s="11"/>
      <c r="R5596" s="15"/>
      <c r="S5596" s="11"/>
      <c r="T5596" s="11"/>
      <c r="U5596" s="11"/>
      <c r="V5596" s="11"/>
      <c r="W5596" s="11"/>
      <c r="X5596" s="11"/>
      <c r="Y5596" s="11"/>
      <c r="Z5596" s="11"/>
    </row>
    <row r="5597" spans="17:26" x14ac:dyDescent="0.25">
      <c r="Q5597" s="11"/>
      <c r="R5597" s="15"/>
      <c r="S5597" s="11"/>
      <c r="T5597" s="11"/>
      <c r="U5597" s="11"/>
      <c r="V5597" s="11"/>
      <c r="W5597" s="11"/>
      <c r="X5597" s="11"/>
      <c r="Y5597" s="11"/>
      <c r="Z5597" s="11"/>
    </row>
    <row r="5598" spans="17:26" ht="14.5" x14ac:dyDescent="0.35">
      <c r="Q5598" s="11"/>
      <c r="R5598" s="79"/>
      <c r="S5598" s="11"/>
      <c r="T5598" s="11"/>
      <c r="U5598" s="11"/>
      <c r="V5598" s="11"/>
      <c r="W5598" s="11"/>
      <c r="X5598" s="11"/>
      <c r="Y5598" s="11"/>
      <c r="Z5598" s="11"/>
    </row>
    <row r="5599" spans="17:26" x14ac:dyDescent="0.25">
      <c r="Q5599" s="11"/>
      <c r="R5599" s="15"/>
      <c r="S5599" s="11"/>
      <c r="T5599" s="11"/>
      <c r="U5599" s="11"/>
      <c r="V5599" s="11"/>
      <c r="W5599" s="11"/>
      <c r="X5599" s="11"/>
      <c r="Y5599" s="11"/>
      <c r="Z5599" s="11"/>
    </row>
    <row r="5600" spans="17:26" x14ac:dyDescent="0.25">
      <c r="Q5600" s="11"/>
      <c r="R5600" s="80"/>
      <c r="S5600" s="11"/>
      <c r="T5600" s="11"/>
      <c r="U5600" s="11"/>
      <c r="V5600" s="11"/>
      <c r="W5600" s="11"/>
      <c r="X5600" s="11"/>
      <c r="Y5600" s="11"/>
      <c r="Z5600" s="11"/>
    </row>
    <row r="5601" spans="17:26" ht="14.5" x14ac:dyDescent="0.35">
      <c r="Q5601" s="11"/>
      <c r="R5601" s="81"/>
      <c r="S5601" s="11"/>
      <c r="T5601" s="11"/>
      <c r="U5601" s="11"/>
      <c r="V5601" s="11"/>
      <c r="W5601" s="11"/>
      <c r="X5601" s="11"/>
      <c r="Y5601" s="11"/>
      <c r="Z5601" s="11"/>
    </row>
    <row r="5602" spans="17:26" ht="14.5" x14ac:dyDescent="0.35">
      <c r="Q5602" s="11"/>
      <c r="R5602" s="79"/>
      <c r="S5602" s="11"/>
      <c r="T5602" s="11"/>
      <c r="U5602" s="11"/>
      <c r="V5602" s="11"/>
      <c r="W5602" s="11"/>
      <c r="X5602" s="11"/>
      <c r="Y5602" s="11"/>
      <c r="Z5602" s="11"/>
    </row>
    <row r="5603" spans="17:26" x14ac:dyDescent="0.25">
      <c r="Q5603" s="11"/>
      <c r="R5603" s="15"/>
      <c r="S5603" s="11"/>
      <c r="T5603" s="11"/>
      <c r="U5603" s="11"/>
      <c r="V5603" s="11"/>
      <c r="W5603" s="11"/>
      <c r="X5603" s="11"/>
      <c r="Y5603" s="11"/>
      <c r="Z5603" s="11"/>
    </row>
    <row r="5604" spans="17:26" ht="14.5" x14ac:dyDescent="0.35">
      <c r="Q5604" s="11"/>
      <c r="R5604" s="79"/>
      <c r="S5604" s="11"/>
      <c r="T5604" s="11"/>
      <c r="U5604" s="11"/>
      <c r="V5604" s="11"/>
      <c r="W5604" s="11"/>
      <c r="X5604" s="11"/>
      <c r="Y5604" s="11"/>
      <c r="Z5604" s="11"/>
    </row>
    <row r="5605" spans="17:26" x14ac:dyDescent="0.25">
      <c r="Q5605" s="11"/>
      <c r="R5605" s="15"/>
      <c r="S5605" s="11"/>
      <c r="T5605" s="11"/>
      <c r="U5605" s="11"/>
      <c r="V5605" s="11"/>
      <c r="W5605" s="11"/>
      <c r="X5605" s="11"/>
      <c r="Y5605" s="11"/>
      <c r="Z5605" s="11"/>
    </row>
    <row r="5606" spans="17:26" x14ac:dyDescent="0.25">
      <c r="Q5606" s="11"/>
      <c r="R5606" s="15"/>
      <c r="S5606" s="11"/>
      <c r="T5606" s="11"/>
      <c r="U5606" s="11"/>
      <c r="V5606" s="11"/>
      <c r="W5606" s="11"/>
      <c r="X5606" s="11"/>
      <c r="Y5606" s="11"/>
      <c r="Z5606" s="11"/>
    </row>
    <row r="5607" spans="17:26" x14ac:dyDescent="0.25">
      <c r="Q5607" s="11"/>
      <c r="R5607" s="15"/>
      <c r="S5607" s="11"/>
      <c r="T5607" s="11"/>
      <c r="U5607" s="11"/>
      <c r="V5607" s="11"/>
      <c r="W5607" s="11"/>
      <c r="X5607" s="11"/>
      <c r="Y5607" s="11"/>
      <c r="Z5607" s="11"/>
    </row>
    <row r="5608" spans="17:26" x14ac:dyDescent="0.25">
      <c r="Q5608" s="11"/>
      <c r="R5608" s="15"/>
      <c r="S5608" s="11"/>
      <c r="T5608" s="11"/>
      <c r="U5608" s="11"/>
      <c r="V5608" s="11"/>
      <c r="W5608" s="11"/>
      <c r="X5608" s="11"/>
      <c r="Y5608" s="11"/>
      <c r="Z5608" s="11"/>
    </row>
    <row r="5609" spans="17:26" x14ac:dyDescent="0.25">
      <c r="Q5609" s="11"/>
      <c r="R5609" s="15"/>
      <c r="S5609" s="11"/>
      <c r="T5609" s="11"/>
      <c r="U5609" s="11"/>
      <c r="V5609" s="11"/>
      <c r="W5609" s="11"/>
      <c r="X5609" s="11"/>
      <c r="Y5609" s="11"/>
      <c r="Z5609" s="11"/>
    </row>
    <row r="5610" spans="17:26" x14ac:dyDescent="0.25">
      <c r="Q5610" s="11"/>
      <c r="R5610" s="15"/>
      <c r="S5610" s="11"/>
      <c r="T5610" s="11"/>
      <c r="U5610" s="11"/>
      <c r="V5610" s="11"/>
      <c r="W5610" s="11"/>
      <c r="X5610" s="11"/>
      <c r="Y5610" s="11"/>
      <c r="Z5610" s="11"/>
    </row>
    <row r="5611" spans="17:26" x14ac:dyDescent="0.25">
      <c r="Q5611" s="11"/>
      <c r="R5611" s="80"/>
      <c r="S5611" s="11"/>
      <c r="T5611" s="11"/>
      <c r="U5611" s="11"/>
      <c r="V5611" s="11"/>
      <c r="W5611" s="11"/>
      <c r="X5611" s="11"/>
      <c r="Y5611" s="11"/>
      <c r="Z5611" s="11"/>
    </row>
    <row r="5612" spans="17:26" ht="14.5" x14ac:dyDescent="0.35">
      <c r="Q5612" s="11"/>
      <c r="R5612" s="81"/>
      <c r="S5612" s="11"/>
      <c r="T5612" s="11"/>
      <c r="U5612" s="11"/>
      <c r="V5612" s="11"/>
      <c r="W5612" s="11"/>
      <c r="X5612" s="11"/>
      <c r="Y5612" s="11"/>
      <c r="Z5612" s="11"/>
    </row>
    <row r="5613" spans="17:26" ht="14.5" x14ac:dyDescent="0.35">
      <c r="Q5613" s="11"/>
      <c r="R5613" s="79"/>
      <c r="S5613" s="11"/>
      <c r="T5613" s="11"/>
      <c r="U5613" s="11"/>
      <c r="V5613" s="11"/>
      <c r="W5613" s="11"/>
      <c r="X5613" s="11"/>
      <c r="Y5613" s="11"/>
      <c r="Z5613" s="11"/>
    </row>
    <row r="5614" spans="17:26" x14ac:dyDescent="0.25">
      <c r="Q5614" s="11"/>
      <c r="R5614" s="15"/>
      <c r="S5614" s="11"/>
      <c r="T5614" s="11"/>
      <c r="U5614" s="11"/>
      <c r="V5614" s="11"/>
      <c r="W5614" s="11"/>
      <c r="X5614" s="11"/>
      <c r="Y5614" s="11"/>
      <c r="Z5614" s="11"/>
    </row>
    <row r="5615" spans="17:26" ht="14.5" x14ac:dyDescent="0.35">
      <c r="Q5615" s="11"/>
      <c r="R5615" s="79"/>
      <c r="S5615" s="11"/>
      <c r="T5615" s="11"/>
      <c r="U5615" s="11"/>
      <c r="V5615" s="11"/>
      <c r="W5615" s="11"/>
      <c r="X5615" s="11"/>
      <c r="Y5615" s="11"/>
      <c r="Z5615" s="11"/>
    </row>
    <row r="5616" spans="17:26" x14ac:dyDescent="0.25">
      <c r="Q5616" s="11"/>
      <c r="R5616" s="15"/>
      <c r="S5616" s="11"/>
      <c r="T5616" s="11"/>
      <c r="U5616" s="11"/>
      <c r="V5616" s="11"/>
      <c r="W5616" s="11"/>
      <c r="X5616" s="11"/>
      <c r="Y5616" s="11"/>
      <c r="Z5616" s="11"/>
    </row>
    <row r="5617" spans="17:26" x14ac:dyDescent="0.25">
      <c r="Q5617" s="11"/>
      <c r="R5617" s="15"/>
      <c r="S5617" s="11"/>
      <c r="T5617" s="11"/>
      <c r="U5617" s="11"/>
      <c r="V5617" s="11"/>
      <c r="W5617" s="11"/>
      <c r="X5617" s="11"/>
      <c r="Y5617" s="11"/>
      <c r="Z5617" s="11"/>
    </row>
    <row r="5618" spans="17:26" x14ac:dyDescent="0.25">
      <c r="Q5618" s="11"/>
      <c r="R5618" s="15"/>
      <c r="S5618" s="11"/>
      <c r="T5618" s="11"/>
      <c r="U5618" s="11"/>
      <c r="V5618" s="11"/>
      <c r="W5618" s="11"/>
      <c r="X5618" s="11"/>
      <c r="Y5618" s="11"/>
      <c r="Z5618" s="11"/>
    </row>
    <row r="5619" spans="17:26" x14ac:dyDescent="0.25">
      <c r="Q5619" s="11"/>
      <c r="R5619" s="15"/>
      <c r="S5619" s="11"/>
      <c r="T5619" s="11"/>
      <c r="U5619" s="11"/>
      <c r="V5619" s="11"/>
      <c r="W5619" s="11"/>
      <c r="X5619" s="11"/>
      <c r="Y5619" s="11"/>
      <c r="Z5619" s="11"/>
    </row>
    <row r="5620" spans="17:26" ht="14.5" x14ac:dyDescent="0.35">
      <c r="Q5620" s="11"/>
      <c r="R5620" s="79"/>
      <c r="S5620" s="11"/>
      <c r="T5620" s="11"/>
      <c r="U5620" s="11"/>
      <c r="V5620" s="11"/>
      <c r="W5620" s="11"/>
      <c r="X5620" s="11"/>
      <c r="Y5620" s="11"/>
      <c r="Z5620" s="11"/>
    </row>
    <row r="5621" spans="17:26" x14ac:dyDescent="0.25">
      <c r="Q5621" s="11"/>
      <c r="R5621" s="15"/>
      <c r="S5621" s="11"/>
      <c r="T5621" s="11"/>
      <c r="U5621" s="11"/>
      <c r="V5621" s="11"/>
      <c r="W5621" s="11"/>
      <c r="X5621" s="11"/>
      <c r="Y5621" s="11"/>
      <c r="Z5621" s="11"/>
    </row>
    <row r="5622" spans="17:26" x14ac:dyDescent="0.25">
      <c r="Q5622" s="11"/>
      <c r="R5622" s="80"/>
      <c r="S5622" s="11"/>
      <c r="T5622" s="11"/>
      <c r="U5622" s="11"/>
      <c r="V5622" s="11"/>
      <c r="W5622" s="11"/>
      <c r="X5622" s="11"/>
      <c r="Y5622" s="11"/>
      <c r="Z5622" s="11"/>
    </row>
    <row r="5623" spans="17:26" ht="14.5" x14ac:dyDescent="0.35">
      <c r="Q5623" s="11"/>
      <c r="R5623" s="81"/>
      <c r="S5623" s="11"/>
      <c r="T5623" s="11"/>
      <c r="U5623" s="11"/>
      <c r="V5623" s="11"/>
      <c r="W5623" s="11"/>
      <c r="X5623" s="11"/>
      <c r="Y5623" s="11"/>
      <c r="Z5623" s="11"/>
    </row>
    <row r="5624" spans="17:26" ht="14.5" x14ac:dyDescent="0.35">
      <c r="Q5624" s="11"/>
      <c r="R5624" s="79"/>
      <c r="S5624" s="11"/>
      <c r="T5624" s="11"/>
      <c r="U5624" s="11"/>
      <c r="V5624" s="11"/>
      <c r="W5624" s="11"/>
      <c r="X5624" s="11"/>
      <c r="Y5624" s="11"/>
      <c r="Z5624" s="11"/>
    </row>
    <row r="5625" spans="17:26" x14ac:dyDescent="0.25">
      <c r="Q5625" s="11"/>
      <c r="R5625" s="15"/>
      <c r="S5625" s="11"/>
      <c r="T5625" s="11"/>
      <c r="U5625" s="11"/>
      <c r="V5625" s="11"/>
      <c r="W5625" s="11"/>
      <c r="X5625" s="11"/>
      <c r="Y5625" s="11"/>
      <c r="Z5625" s="11"/>
    </row>
    <row r="5626" spans="17:26" ht="14.5" x14ac:dyDescent="0.35">
      <c r="Q5626" s="11"/>
      <c r="R5626" s="79"/>
      <c r="S5626" s="11"/>
      <c r="T5626" s="11"/>
      <c r="U5626" s="11"/>
      <c r="V5626" s="11"/>
      <c r="W5626" s="11"/>
      <c r="X5626" s="11"/>
      <c r="Y5626" s="11"/>
      <c r="Z5626" s="11"/>
    </row>
    <row r="5627" spans="17:26" x14ac:dyDescent="0.25">
      <c r="Q5627" s="11"/>
      <c r="R5627" s="15"/>
      <c r="S5627" s="11"/>
      <c r="T5627" s="11"/>
      <c r="U5627" s="11"/>
      <c r="V5627" s="11"/>
      <c r="W5627" s="11"/>
      <c r="X5627" s="11"/>
      <c r="Y5627" s="11"/>
      <c r="Z5627" s="11"/>
    </row>
    <row r="5628" spans="17:26" x14ac:dyDescent="0.25">
      <c r="Q5628" s="11"/>
      <c r="R5628" s="15"/>
      <c r="S5628" s="11"/>
      <c r="T5628" s="11"/>
      <c r="U5628" s="11"/>
      <c r="V5628" s="11"/>
      <c r="W5628" s="11"/>
      <c r="X5628" s="11"/>
      <c r="Y5628" s="11"/>
      <c r="Z5628" s="11"/>
    </row>
    <row r="5629" spans="17:26" x14ac:dyDescent="0.25">
      <c r="Q5629" s="11"/>
      <c r="R5629" s="15"/>
      <c r="S5629" s="11"/>
      <c r="T5629" s="11"/>
      <c r="U5629" s="11"/>
      <c r="V5629" s="11"/>
      <c r="W5629" s="11"/>
      <c r="X5629" s="11"/>
      <c r="Y5629" s="11"/>
      <c r="Z5629" s="11"/>
    </row>
    <row r="5630" spans="17:26" x14ac:dyDescent="0.25">
      <c r="Q5630" s="11"/>
      <c r="R5630" s="15"/>
      <c r="S5630" s="11"/>
      <c r="T5630" s="11"/>
      <c r="U5630" s="11"/>
      <c r="V5630" s="11"/>
      <c r="W5630" s="11"/>
      <c r="X5630" s="11"/>
      <c r="Y5630" s="11"/>
      <c r="Z5630" s="11"/>
    </row>
    <row r="5631" spans="17:26" x14ac:dyDescent="0.25">
      <c r="Q5631" s="11"/>
      <c r="R5631" s="15"/>
      <c r="S5631" s="11"/>
      <c r="T5631" s="11"/>
      <c r="U5631" s="11"/>
      <c r="V5631" s="11"/>
      <c r="W5631" s="11"/>
      <c r="X5631" s="11"/>
      <c r="Y5631" s="11"/>
      <c r="Z5631" s="11"/>
    </row>
    <row r="5632" spans="17:26" x14ac:dyDescent="0.25">
      <c r="Q5632" s="11"/>
      <c r="R5632" s="15"/>
      <c r="S5632" s="11"/>
      <c r="T5632" s="11"/>
      <c r="U5632" s="11"/>
      <c r="V5632" s="11"/>
      <c r="W5632" s="11"/>
      <c r="X5632" s="11"/>
    </row>
    <row r="5633" spans="17:24" x14ac:dyDescent="0.25">
      <c r="Q5633" s="11"/>
      <c r="R5633" s="80"/>
      <c r="S5633" s="11"/>
      <c r="T5633" s="11"/>
      <c r="U5633" s="11"/>
      <c r="V5633" s="11"/>
      <c r="W5633" s="11"/>
      <c r="X5633" s="11"/>
    </row>
    <row r="5634" spans="17:24" ht="14.5" x14ac:dyDescent="0.35">
      <c r="Q5634" s="11"/>
      <c r="R5634" s="81"/>
      <c r="S5634" s="11"/>
      <c r="T5634" s="11"/>
      <c r="U5634" s="11"/>
      <c r="V5634" s="11"/>
      <c r="W5634" s="11"/>
      <c r="X5634" s="11"/>
    </row>
    <row r="5635" spans="17:24" ht="14.5" x14ac:dyDescent="0.35">
      <c r="Q5635" s="11"/>
      <c r="R5635" s="79"/>
      <c r="S5635" s="11"/>
      <c r="T5635" s="11"/>
      <c r="U5635" s="11"/>
      <c r="V5635" s="11"/>
      <c r="W5635" s="11"/>
      <c r="X5635" s="11"/>
    </row>
    <row r="5636" spans="17:24" x14ac:dyDescent="0.25">
      <c r="Q5636" s="11"/>
      <c r="R5636" s="15"/>
      <c r="S5636" s="11"/>
      <c r="T5636" s="11"/>
      <c r="U5636" s="11"/>
      <c r="V5636" s="11"/>
      <c r="W5636" s="11"/>
      <c r="X5636" s="11"/>
    </row>
    <row r="5637" spans="17:24" ht="14.5" x14ac:dyDescent="0.35">
      <c r="Q5637" s="11"/>
      <c r="R5637" s="79"/>
      <c r="S5637" s="11"/>
      <c r="T5637" s="11"/>
      <c r="U5637" s="11"/>
      <c r="V5637" s="11"/>
      <c r="W5637" s="11"/>
      <c r="X5637" s="11"/>
    </row>
    <row r="5638" spans="17:24" x14ac:dyDescent="0.25">
      <c r="Q5638" s="11"/>
      <c r="R5638" s="15"/>
      <c r="S5638" s="11"/>
      <c r="T5638" s="11"/>
      <c r="U5638" s="11"/>
      <c r="V5638" s="11"/>
      <c r="W5638" s="11"/>
      <c r="X5638" s="11"/>
    </row>
    <row r="5639" spans="17:24" x14ac:dyDescent="0.25">
      <c r="Q5639" s="11"/>
      <c r="R5639" s="15"/>
      <c r="S5639" s="11"/>
      <c r="T5639" s="11"/>
      <c r="U5639" s="11"/>
      <c r="V5639" s="11"/>
      <c r="W5639" s="11"/>
      <c r="X5639" s="11"/>
    </row>
    <row r="5640" spans="17:24" x14ac:dyDescent="0.25">
      <c r="Q5640" s="11"/>
      <c r="R5640" s="15"/>
      <c r="S5640" s="11"/>
      <c r="T5640" s="11"/>
      <c r="U5640" s="11"/>
      <c r="V5640" s="11"/>
      <c r="W5640" s="11"/>
      <c r="X5640" s="11"/>
    </row>
    <row r="5641" spans="17:24" x14ac:dyDescent="0.25">
      <c r="Q5641" s="11"/>
      <c r="R5641" s="15"/>
      <c r="S5641" s="11"/>
      <c r="T5641" s="11"/>
      <c r="U5641" s="11"/>
      <c r="V5641" s="11"/>
      <c r="W5641" s="11"/>
      <c r="X5641" s="11"/>
    </row>
    <row r="5642" spans="17:24" x14ac:dyDescent="0.25">
      <c r="Q5642" s="11"/>
      <c r="R5642" s="15"/>
      <c r="S5642" s="11"/>
      <c r="T5642" s="11"/>
      <c r="U5642" s="11"/>
      <c r="V5642" s="11"/>
      <c r="W5642" s="11"/>
      <c r="X5642" s="11"/>
    </row>
    <row r="5643" spans="17:24" x14ac:dyDescent="0.25">
      <c r="Q5643" s="11"/>
      <c r="R5643" s="15"/>
      <c r="S5643" s="11"/>
      <c r="T5643" s="11"/>
      <c r="U5643" s="11"/>
      <c r="V5643" s="11"/>
      <c r="W5643" s="11"/>
      <c r="X5643" s="11"/>
    </row>
    <row r="5644" spans="17:24" x14ac:dyDescent="0.25">
      <c r="Q5644" s="11"/>
      <c r="R5644" s="80"/>
      <c r="S5644" s="11"/>
      <c r="T5644" s="11"/>
      <c r="U5644" s="11"/>
      <c r="V5644" s="11"/>
      <c r="W5644" s="11"/>
      <c r="X5644" s="11"/>
    </row>
    <row r="5645" spans="17:24" ht="14.5" x14ac:dyDescent="0.35">
      <c r="Q5645" s="11"/>
      <c r="R5645" s="81"/>
      <c r="S5645" s="11"/>
      <c r="T5645" s="11"/>
      <c r="U5645" s="11"/>
      <c r="V5645" s="11"/>
      <c r="W5645" s="11"/>
      <c r="X5645" s="11"/>
    </row>
    <row r="5646" spans="17:24" ht="14.5" x14ac:dyDescent="0.35">
      <c r="Q5646" s="11"/>
      <c r="R5646" s="79"/>
      <c r="S5646" s="11"/>
      <c r="T5646" s="11"/>
      <c r="U5646" s="11"/>
      <c r="V5646" s="11"/>
      <c r="W5646" s="11"/>
      <c r="X5646" s="11"/>
    </row>
    <row r="5647" spans="17:24" x14ac:dyDescent="0.25">
      <c r="Q5647" s="11"/>
      <c r="R5647" s="15"/>
      <c r="S5647" s="11"/>
      <c r="T5647" s="11"/>
      <c r="U5647" s="11"/>
      <c r="V5647" s="11"/>
      <c r="W5647" s="11"/>
      <c r="X5647" s="11"/>
    </row>
    <row r="5648" spans="17:24" ht="14.5" x14ac:dyDescent="0.35">
      <c r="Q5648" s="11"/>
      <c r="R5648" s="79"/>
      <c r="S5648" s="11"/>
      <c r="T5648" s="11"/>
      <c r="U5648" s="11"/>
      <c r="V5648" s="11"/>
      <c r="W5648" s="11"/>
      <c r="X5648" s="11"/>
    </row>
    <row r="5649" spans="17:24" x14ac:dyDescent="0.25">
      <c r="Q5649" s="11"/>
      <c r="R5649" s="15"/>
      <c r="S5649" s="11"/>
      <c r="T5649" s="11"/>
      <c r="U5649" s="11"/>
      <c r="V5649" s="11"/>
      <c r="W5649" s="11"/>
      <c r="X5649" s="11"/>
    </row>
    <row r="5650" spans="17:24" x14ac:dyDescent="0.25">
      <c r="Q5650" s="11"/>
      <c r="R5650" s="15"/>
      <c r="S5650" s="11"/>
      <c r="T5650" s="11"/>
      <c r="U5650" s="11"/>
      <c r="V5650" s="11"/>
      <c r="W5650" s="11"/>
      <c r="X5650" s="11"/>
    </row>
    <row r="5651" spans="17:24" x14ac:dyDescent="0.25">
      <c r="Q5651" s="11"/>
      <c r="R5651" s="15"/>
      <c r="S5651" s="11"/>
      <c r="T5651" s="11"/>
      <c r="U5651" s="11"/>
      <c r="V5651" s="11"/>
      <c r="W5651" s="11"/>
      <c r="X5651" s="11"/>
    </row>
    <row r="5652" spans="17:24" x14ac:dyDescent="0.25">
      <c r="Q5652" s="11"/>
      <c r="R5652" s="15"/>
      <c r="S5652" s="11"/>
      <c r="T5652" s="11"/>
      <c r="U5652" s="11"/>
      <c r="V5652" s="11"/>
      <c r="W5652" s="11"/>
      <c r="X5652" s="11"/>
    </row>
    <row r="5653" spans="17:24" ht="14" x14ac:dyDescent="0.3">
      <c r="Q5653" s="11"/>
      <c r="R5653" s="46"/>
      <c r="S5653" s="11"/>
      <c r="T5653" s="11"/>
      <c r="U5653" s="11"/>
      <c r="V5653" s="11"/>
      <c r="W5653" s="11"/>
      <c r="X5653" s="11"/>
    </row>
    <row r="5654" spans="17:24" x14ac:dyDescent="0.25">
      <c r="Q5654" s="11"/>
      <c r="R5654" s="15"/>
      <c r="S5654" s="11"/>
      <c r="T5654" s="11"/>
      <c r="U5654" s="11"/>
      <c r="V5654" s="11"/>
      <c r="W5654" s="11"/>
      <c r="X5654" s="11"/>
    </row>
    <row r="5655" spans="17:24" x14ac:dyDescent="0.25">
      <c r="Q5655" s="11"/>
      <c r="R5655" s="11"/>
      <c r="S5655" s="11"/>
      <c r="T5655" s="11"/>
      <c r="U5655" s="11"/>
      <c r="V5655" s="11"/>
      <c r="W5655" s="11"/>
      <c r="X5655" s="11"/>
    </row>
    <row r="5656" spans="17:24" x14ac:dyDescent="0.25">
      <c r="Q5656" s="11"/>
      <c r="R5656" s="11"/>
      <c r="S5656" s="11"/>
      <c r="T5656" s="11"/>
      <c r="U5656" s="11"/>
      <c r="V5656" s="11"/>
      <c r="W5656" s="11"/>
      <c r="X5656" s="11"/>
    </row>
    <row r="5657" spans="17:24" x14ac:dyDescent="0.25">
      <c r="Q5657" s="11"/>
      <c r="R5657" s="11"/>
      <c r="S5657" s="11"/>
      <c r="T5657" s="11"/>
      <c r="U5657" s="11"/>
      <c r="V5657" s="11"/>
      <c r="W5657" s="11"/>
      <c r="X5657" s="11"/>
    </row>
    <row r="5658" spans="17:24" x14ac:dyDescent="0.25">
      <c r="Q5658" s="11"/>
      <c r="R5658" s="11"/>
      <c r="S5658" s="11"/>
      <c r="T5658" s="11"/>
      <c r="U5658" s="11"/>
      <c r="V5658" s="11"/>
      <c r="W5658" s="11"/>
      <c r="X5658" s="11"/>
    </row>
    <row r="5659" spans="17:24" x14ac:dyDescent="0.25">
      <c r="Q5659" s="11"/>
      <c r="R5659" s="11"/>
      <c r="S5659" s="11"/>
      <c r="T5659" s="11"/>
      <c r="U5659" s="11"/>
      <c r="V5659" s="11"/>
      <c r="W5659" s="11"/>
      <c r="X5659" s="11"/>
    </row>
    <row r="5660" spans="17:24" x14ac:dyDescent="0.25">
      <c r="Q5660" s="11"/>
      <c r="R5660" s="11"/>
      <c r="S5660" s="11"/>
      <c r="T5660" s="11"/>
      <c r="U5660" s="11"/>
      <c r="V5660" s="11"/>
      <c r="W5660" s="11"/>
      <c r="X5660" s="11"/>
    </row>
    <row r="5661" spans="17:24" x14ac:dyDescent="0.25">
      <c r="Q5661" s="11"/>
      <c r="R5661" s="11"/>
      <c r="S5661" s="11"/>
      <c r="T5661" s="11"/>
      <c r="U5661" s="11"/>
      <c r="V5661" s="11"/>
      <c r="W5661" s="11"/>
      <c r="X5661" s="11"/>
    </row>
    <row r="5662" spans="17:24" x14ac:dyDescent="0.25">
      <c r="Q5662" s="11"/>
      <c r="R5662" s="11"/>
      <c r="S5662" s="11"/>
      <c r="T5662" s="11"/>
      <c r="U5662" s="11"/>
      <c r="V5662" s="11"/>
      <c r="W5662" s="11"/>
      <c r="X5662" s="11"/>
    </row>
    <row r="5663" spans="17:24" x14ac:dyDescent="0.25">
      <c r="Q5663" s="11"/>
      <c r="R5663" s="11"/>
      <c r="S5663" s="11"/>
      <c r="T5663" s="11"/>
      <c r="U5663" s="11"/>
      <c r="V5663" s="11"/>
      <c r="W5663" s="11"/>
      <c r="X5663" s="11"/>
    </row>
    <row r="5664" spans="17:24" x14ac:dyDescent="0.25">
      <c r="Q5664" s="11"/>
      <c r="R5664" s="11"/>
      <c r="S5664" s="11"/>
      <c r="T5664" s="11"/>
      <c r="U5664" s="11"/>
      <c r="V5664" s="11"/>
      <c r="W5664" s="11"/>
      <c r="X5664" s="11"/>
    </row>
    <row r="5665" spans="17:24" x14ac:dyDescent="0.25">
      <c r="Q5665" s="11"/>
      <c r="R5665" s="11"/>
      <c r="S5665" s="11"/>
      <c r="T5665" s="11"/>
      <c r="U5665" s="11"/>
      <c r="V5665" s="11"/>
      <c r="W5665" s="11"/>
      <c r="X5665" s="11"/>
    </row>
    <row r="5666" spans="17:24" x14ac:dyDescent="0.25">
      <c r="Q5666" s="11"/>
      <c r="R5666" s="11"/>
      <c r="S5666" s="11"/>
      <c r="T5666" s="11"/>
      <c r="U5666" s="11"/>
      <c r="V5666" s="11"/>
      <c r="W5666" s="11"/>
      <c r="X5666" s="11"/>
    </row>
    <row r="5667" spans="17:24" x14ac:dyDescent="0.25">
      <c r="Q5667" s="11"/>
      <c r="R5667" s="11"/>
      <c r="S5667" s="11"/>
      <c r="T5667" s="11"/>
      <c r="U5667" s="11"/>
      <c r="V5667" s="11"/>
      <c r="W5667" s="11"/>
      <c r="X5667" s="11"/>
    </row>
    <row r="5668" spans="17:24" x14ac:dyDescent="0.25">
      <c r="Q5668" s="11"/>
      <c r="R5668" s="11"/>
      <c r="S5668" s="11"/>
      <c r="T5668" s="11"/>
      <c r="U5668" s="11"/>
      <c r="V5668" s="11"/>
      <c r="W5668" s="11"/>
      <c r="X5668" s="11"/>
    </row>
    <row r="5669" spans="17:24" x14ac:dyDescent="0.25">
      <c r="Q5669" s="11"/>
      <c r="R5669" s="11"/>
      <c r="S5669" s="11"/>
      <c r="T5669" s="11"/>
      <c r="U5669" s="11"/>
      <c r="V5669" s="11"/>
      <c r="W5669" s="11"/>
      <c r="X5669" s="11"/>
    </row>
    <row r="5670" spans="17:24" x14ac:dyDescent="0.25">
      <c r="Q5670" s="11"/>
      <c r="R5670" s="11"/>
      <c r="S5670" s="11"/>
      <c r="T5670" s="11"/>
      <c r="U5670" s="11"/>
      <c r="V5670" s="11"/>
      <c r="W5670" s="11"/>
      <c r="X5670" s="11"/>
    </row>
    <row r="5671" spans="17:24" x14ac:dyDescent="0.25">
      <c r="Q5671" s="11"/>
      <c r="R5671" s="11"/>
      <c r="S5671" s="11"/>
      <c r="T5671" s="11"/>
      <c r="U5671" s="11"/>
      <c r="V5671" s="11"/>
      <c r="W5671" s="11"/>
      <c r="X5671" s="11"/>
    </row>
    <row r="5672" spans="17:24" x14ac:dyDescent="0.25">
      <c r="Q5672" s="11"/>
      <c r="R5672" s="11"/>
      <c r="S5672" s="11"/>
      <c r="T5672" s="11"/>
      <c r="U5672" s="11"/>
      <c r="V5672" s="11"/>
      <c r="W5672" s="11"/>
      <c r="X5672" s="11"/>
    </row>
    <row r="5673" spans="17:24" x14ac:dyDescent="0.25">
      <c r="Q5673" s="11"/>
      <c r="R5673" s="11"/>
      <c r="S5673" s="11"/>
      <c r="T5673" s="11"/>
      <c r="U5673" s="11"/>
      <c r="V5673" s="11"/>
      <c r="W5673" s="11"/>
      <c r="X5673" s="11"/>
    </row>
    <row r="5674" spans="17:24" x14ac:dyDescent="0.25">
      <c r="Q5674" s="11"/>
      <c r="R5674" s="11"/>
      <c r="S5674" s="11"/>
      <c r="T5674" s="11"/>
      <c r="U5674" s="11"/>
      <c r="V5674" s="11"/>
      <c r="W5674" s="11"/>
      <c r="X5674" s="11"/>
    </row>
    <row r="5675" spans="17:24" x14ac:dyDescent="0.25">
      <c r="Q5675" s="11"/>
      <c r="R5675" s="11"/>
      <c r="S5675" s="11"/>
      <c r="T5675" s="11"/>
      <c r="U5675" s="11"/>
      <c r="V5675" s="11"/>
      <c r="W5675" s="11"/>
      <c r="X5675" s="11"/>
    </row>
    <row r="5676" spans="17:24" x14ac:dyDescent="0.25">
      <c r="Q5676" s="11"/>
      <c r="R5676" s="11"/>
      <c r="S5676" s="11"/>
      <c r="T5676" s="11"/>
      <c r="U5676" s="11"/>
      <c r="V5676" s="11"/>
      <c r="W5676" s="11"/>
      <c r="X5676" s="11"/>
    </row>
    <row r="5677" spans="17:24" x14ac:dyDescent="0.25">
      <c r="Q5677" s="11"/>
      <c r="R5677" s="11"/>
      <c r="S5677" s="11"/>
      <c r="T5677" s="11"/>
      <c r="U5677" s="11"/>
      <c r="V5677" s="11"/>
      <c r="W5677" s="11"/>
      <c r="X5677" s="11"/>
    </row>
    <row r="5678" spans="17:24" x14ac:dyDescent="0.25">
      <c r="Q5678" s="11"/>
      <c r="R5678" s="11"/>
      <c r="S5678" s="11"/>
      <c r="T5678" s="11"/>
      <c r="U5678" s="11"/>
      <c r="V5678" s="11"/>
      <c r="W5678" s="11"/>
      <c r="X5678" s="11"/>
    </row>
    <row r="5679" spans="17:24" x14ac:dyDescent="0.25">
      <c r="Q5679" s="11"/>
      <c r="R5679" s="11"/>
      <c r="S5679" s="11"/>
      <c r="T5679" s="11"/>
      <c r="U5679" s="11"/>
      <c r="V5679" s="11"/>
      <c r="W5679" s="11"/>
      <c r="X5679" s="11"/>
    </row>
    <row r="5680" spans="17:24" x14ac:dyDescent="0.25">
      <c r="Q5680" s="11"/>
      <c r="R5680" s="11"/>
      <c r="S5680" s="11"/>
      <c r="T5680" s="11"/>
      <c r="U5680" s="11"/>
      <c r="V5680" s="11"/>
      <c r="W5680" s="11"/>
      <c r="X5680" s="11"/>
    </row>
    <row r="5681" spans="17:24" x14ac:dyDescent="0.25">
      <c r="Q5681" s="11"/>
      <c r="R5681" s="11"/>
      <c r="S5681" s="11"/>
      <c r="T5681" s="11"/>
      <c r="U5681" s="11"/>
      <c r="V5681" s="11"/>
      <c r="W5681" s="11"/>
      <c r="X5681" s="11"/>
    </row>
    <row r="5682" spans="17:24" x14ac:dyDescent="0.25">
      <c r="Q5682" s="11"/>
      <c r="R5682" s="11"/>
      <c r="S5682" s="11"/>
      <c r="T5682" s="11"/>
      <c r="U5682" s="11"/>
      <c r="V5682" s="11"/>
      <c r="W5682" s="11"/>
      <c r="X5682" s="11"/>
    </row>
    <row r="5683" spans="17:24" x14ac:dyDescent="0.25">
      <c r="Q5683" s="11"/>
      <c r="R5683" s="11"/>
      <c r="S5683" s="11"/>
      <c r="T5683" s="11"/>
      <c r="U5683" s="11"/>
      <c r="V5683" s="11"/>
      <c r="W5683" s="11"/>
      <c r="X5683" s="11"/>
    </row>
    <row r="5684" spans="17:24" x14ac:dyDescent="0.25">
      <c r="Q5684" s="11"/>
      <c r="R5684" s="11"/>
      <c r="S5684" s="11"/>
      <c r="T5684" s="11"/>
      <c r="U5684" s="11"/>
      <c r="V5684" s="11"/>
      <c r="W5684" s="11"/>
      <c r="X5684" s="11"/>
    </row>
    <row r="5685" spans="17:24" x14ac:dyDescent="0.25">
      <c r="Q5685" s="11"/>
      <c r="R5685" s="11"/>
      <c r="S5685" s="11"/>
      <c r="T5685" s="11"/>
      <c r="U5685" s="11"/>
      <c r="V5685" s="11"/>
      <c r="W5685" s="11"/>
      <c r="X5685" s="11"/>
    </row>
    <row r="5686" spans="17:24" x14ac:dyDescent="0.25">
      <c r="Q5686" s="11"/>
      <c r="R5686" s="11"/>
      <c r="S5686" s="11"/>
      <c r="T5686" s="11"/>
      <c r="U5686" s="11"/>
      <c r="V5686" s="11"/>
      <c r="W5686" s="11"/>
      <c r="X5686" s="11"/>
    </row>
    <row r="5687" spans="17:24" x14ac:dyDescent="0.25">
      <c r="Q5687" s="11"/>
      <c r="R5687" s="11"/>
      <c r="S5687" s="11"/>
      <c r="T5687" s="11"/>
      <c r="U5687" s="11"/>
      <c r="V5687" s="11"/>
      <c r="W5687" s="11"/>
      <c r="X5687" s="11"/>
    </row>
    <row r="5688" spans="17:24" x14ac:dyDescent="0.25">
      <c r="Q5688" s="11"/>
      <c r="R5688" s="11"/>
      <c r="S5688" s="11"/>
      <c r="T5688" s="11"/>
      <c r="U5688" s="11"/>
      <c r="V5688" s="11"/>
      <c r="W5688" s="11"/>
      <c r="X5688" s="11"/>
    </row>
    <row r="5689" spans="17:24" x14ac:dyDescent="0.25">
      <c r="Q5689" s="11"/>
      <c r="R5689" s="11"/>
      <c r="S5689" s="11"/>
      <c r="T5689" s="11"/>
      <c r="U5689" s="11"/>
      <c r="V5689" s="11"/>
      <c r="W5689" s="11"/>
      <c r="X5689" s="11"/>
    </row>
    <row r="5690" spans="17:24" x14ac:dyDescent="0.25">
      <c r="Q5690" s="11"/>
      <c r="R5690" s="11"/>
      <c r="S5690" s="11"/>
      <c r="T5690" s="11"/>
      <c r="U5690" s="11"/>
      <c r="V5690" s="11"/>
      <c r="W5690" s="11"/>
      <c r="X5690" s="11"/>
    </row>
    <row r="5691" spans="17:24" x14ac:dyDescent="0.25">
      <c r="Q5691" s="11"/>
      <c r="R5691" s="11"/>
      <c r="S5691" s="11"/>
      <c r="T5691" s="11"/>
      <c r="U5691" s="11"/>
      <c r="V5691" s="11"/>
      <c r="W5691" s="11"/>
      <c r="X5691" s="11"/>
    </row>
    <row r="5692" spans="17:24" x14ac:dyDescent="0.25">
      <c r="Q5692" s="11"/>
      <c r="R5692" s="11"/>
      <c r="S5692" s="11"/>
      <c r="T5692" s="11"/>
      <c r="U5692" s="11"/>
      <c r="V5692" s="11"/>
      <c r="W5692" s="11"/>
      <c r="X5692" s="11"/>
    </row>
    <row r="5693" spans="17:24" x14ac:dyDescent="0.25">
      <c r="Q5693" s="11"/>
      <c r="R5693" s="11"/>
      <c r="S5693" s="11"/>
      <c r="T5693" s="11"/>
      <c r="U5693" s="11"/>
      <c r="V5693" s="11"/>
      <c r="W5693" s="11"/>
      <c r="X5693" s="11"/>
    </row>
    <row r="5694" spans="17:24" x14ac:dyDescent="0.25">
      <c r="Q5694" s="11"/>
      <c r="R5694" s="11"/>
      <c r="S5694" s="11"/>
      <c r="T5694" s="11"/>
      <c r="U5694" s="11"/>
      <c r="V5694" s="11"/>
      <c r="W5694" s="11"/>
      <c r="X5694" s="11"/>
    </row>
    <row r="5695" spans="17:24" x14ac:dyDescent="0.25">
      <c r="Q5695" s="11"/>
      <c r="R5695" s="11"/>
      <c r="S5695" s="11"/>
      <c r="T5695" s="11"/>
      <c r="U5695" s="11"/>
      <c r="V5695" s="11"/>
      <c r="W5695" s="11"/>
      <c r="X5695" s="11"/>
    </row>
    <row r="5696" spans="17:24" x14ac:dyDescent="0.25">
      <c r="Q5696" s="11"/>
      <c r="R5696" s="11"/>
      <c r="S5696" s="11"/>
      <c r="T5696" s="11"/>
      <c r="U5696" s="11"/>
      <c r="V5696" s="11"/>
      <c r="W5696" s="11"/>
      <c r="X5696" s="11"/>
    </row>
    <row r="5697" spans="17:24" x14ac:dyDescent="0.25">
      <c r="Q5697" s="11"/>
      <c r="R5697" s="11"/>
      <c r="S5697" s="11"/>
      <c r="T5697" s="11"/>
      <c r="U5697" s="11"/>
      <c r="V5697" s="11"/>
      <c r="W5697" s="11"/>
      <c r="X5697" s="11"/>
    </row>
    <row r="5698" spans="17:24" x14ac:dyDescent="0.25">
      <c r="Q5698" s="11"/>
      <c r="R5698" s="11"/>
      <c r="S5698" s="11"/>
      <c r="T5698" s="11"/>
      <c r="U5698" s="11"/>
      <c r="V5698" s="11"/>
      <c r="W5698" s="11"/>
      <c r="X5698" s="11"/>
    </row>
    <row r="5699" spans="17:24" x14ac:dyDescent="0.25">
      <c r="Q5699" s="11"/>
      <c r="R5699" s="11"/>
      <c r="S5699" s="11"/>
      <c r="T5699" s="11"/>
      <c r="U5699" s="11"/>
      <c r="V5699" s="11"/>
      <c r="W5699" s="11"/>
      <c r="X5699" s="11"/>
    </row>
    <row r="5700" spans="17:24" x14ac:dyDescent="0.25">
      <c r="Q5700" s="11"/>
      <c r="R5700" s="11"/>
      <c r="S5700" s="11"/>
      <c r="T5700" s="11"/>
      <c r="U5700" s="11"/>
      <c r="V5700" s="11"/>
      <c r="W5700" s="11"/>
      <c r="X5700" s="11"/>
    </row>
    <row r="5701" spans="17:24" x14ac:dyDescent="0.25">
      <c r="Q5701" s="11"/>
      <c r="R5701" s="11"/>
      <c r="S5701" s="11"/>
      <c r="T5701" s="11"/>
      <c r="U5701" s="11"/>
      <c r="V5701" s="11"/>
      <c r="W5701" s="11"/>
      <c r="X5701" s="11"/>
    </row>
    <row r="5702" spans="17:24" x14ac:dyDescent="0.25">
      <c r="Q5702" s="11"/>
      <c r="R5702" s="11"/>
      <c r="S5702" s="11"/>
      <c r="T5702" s="11"/>
      <c r="U5702" s="11"/>
      <c r="V5702" s="11"/>
      <c r="W5702" s="11"/>
      <c r="X5702" s="11"/>
    </row>
    <row r="5703" spans="17:24" x14ac:dyDescent="0.25">
      <c r="Q5703" s="11"/>
      <c r="R5703" s="11"/>
      <c r="S5703" s="11"/>
      <c r="T5703" s="11"/>
      <c r="U5703" s="11"/>
      <c r="V5703" s="11"/>
      <c r="W5703" s="11"/>
      <c r="X5703" s="11"/>
    </row>
    <row r="5704" spans="17:24" x14ac:dyDescent="0.25">
      <c r="Q5704" s="11"/>
      <c r="R5704" s="11"/>
      <c r="S5704" s="11"/>
      <c r="T5704" s="11"/>
      <c r="U5704" s="11"/>
      <c r="V5704" s="11"/>
      <c r="W5704" s="11"/>
      <c r="X5704" s="11"/>
    </row>
    <row r="5705" spans="17:24" x14ac:dyDescent="0.25">
      <c r="Q5705" s="11"/>
      <c r="R5705" s="11"/>
      <c r="S5705" s="11"/>
      <c r="T5705" s="11"/>
      <c r="U5705" s="11"/>
      <c r="V5705" s="11"/>
      <c r="W5705" s="11"/>
      <c r="X5705" s="11"/>
    </row>
    <row r="5706" spans="17:24" x14ac:dyDescent="0.25">
      <c r="Q5706" s="11"/>
      <c r="R5706" s="11"/>
      <c r="S5706" s="11"/>
      <c r="T5706" s="11"/>
      <c r="U5706" s="11"/>
      <c r="V5706" s="11"/>
      <c r="W5706" s="11"/>
      <c r="X5706" s="11"/>
    </row>
    <row r="5707" spans="17:24" x14ac:dyDescent="0.25">
      <c r="Q5707" s="11"/>
      <c r="R5707" s="11"/>
      <c r="S5707" s="11"/>
      <c r="T5707" s="11"/>
      <c r="U5707" s="11"/>
      <c r="V5707" s="11"/>
      <c r="W5707" s="11"/>
      <c r="X5707" s="11"/>
    </row>
    <row r="5708" spans="17:24" x14ac:dyDescent="0.25">
      <c r="Q5708" s="11"/>
      <c r="R5708" s="11"/>
      <c r="S5708" s="11"/>
      <c r="T5708" s="11"/>
      <c r="U5708" s="11"/>
      <c r="V5708" s="11"/>
      <c r="W5708" s="11"/>
      <c r="X5708" s="11"/>
    </row>
    <row r="5709" spans="17:24" x14ac:dyDescent="0.25">
      <c r="Q5709" s="11"/>
      <c r="R5709" s="11"/>
      <c r="S5709" s="11"/>
      <c r="T5709" s="11"/>
      <c r="U5709" s="11"/>
      <c r="V5709" s="11"/>
      <c r="W5709" s="11"/>
      <c r="X5709" s="11"/>
    </row>
    <row r="5710" spans="17:24" x14ac:dyDescent="0.25">
      <c r="Q5710" s="11"/>
      <c r="R5710" s="11"/>
      <c r="S5710" s="11"/>
      <c r="T5710" s="11"/>
      <c r="U5710" s="11"/>
      <c r="V5710" s="11"/>
      <c r="W5710" s="11"/>
      <c r="X5710" s="11"/>
    </row>
    <row r="5711" spans="17:24" x14ac:dyDescent="0.25">
      <c r="Q5711" s="11"/>
      <c r="R5711" s="11"/>
      <c r="S5711" s="11"/>
      <c r="T5711" s="11"/>
      <c r="U5711" s="11"/>
      <c r="V5711" s="11"/>
      <c r="W5711" s="11"/>
      <c r="X5711" s="11"/>
    </row>
    <row r="5712" spans="17:24" x14ac:dyDescent="0.25">
      <c r="Q5712" s="11"/>
      <c r="R5712" s="11"/>
      <c r="S5712" s="11"/>
      <c r="T5712" s="11"/>
      <c r="U5712" s="11"/>
      <c r="V5712" s="11"/>
      <c r="W5712" s="11"/>
      <c r="X5712" s="11"/>
    </row>
    <row r="5713" spans="17:24" x14ac:dyDescent="0.25">
      <c r="Q5713" s="11"/>
      <c r="R5713" s="11"/>
      <c r="S5713" s="11"/>
      <c r="T5713" s="11"/>
      <c r="U5713" s="11"/>
      <c r="V5713" s="11"/>
      <c r="W5713" s="11"/>
      <c r="X5713" s="11"/>
    </row>
    <row r="5714" spans="17:24" x14ac:dyDescent="0.25">
      <c r="Q5714" s="11"/>
      <c r="R5714" s="11"/>
      <c r="S5714" s="11"/>
      <c r="T5714" s="11"/>
      <c r="U5714" s="11"/>
      <c r="V5714" s="11"/>
      <c r="W5714" s="11"/>
      <c r="X5714" s="11"/>
    </row>
    <row r="5715" spans="17:24" x14ac:dyDescent="0.25">
      <c r="Q5715" s="11"/>
      <c r="R5715" s="11"/>
      <c r="S5715" s="11"/>
      <c r="T5715" s="11"/>
      <c r="U5715" s="11"/>
      <c r="V5715" s="11"/>
      <c r="W5715" s="11"/>
      <c r="X5715" s="11"/>
    </row>
    <row r="5716" spans="17:24" x14ac:dyDescent="0.25">
      <c r="Q5716" s="11"/>
      <c r="R5716" s="11"/>
      <c r="S5716" s="11"/>
      <c r="T5716" s="11"/>
      <c r="U5716" s="11"/>
      <c r="V5716" s="11"/>
      <c r="W5716" s="11"/>
      <c r="X5716" s="11"/>
    </row>
    <row r="5717" spans="17:24" x14ac:dyDescent="0.25">
      <c r="Q5717" s="11"/>
      <c r="R5717" s="11"/>
      <c r="S5717" s="11"/>
      <c r="T5717" s="11"/>
      <c r="U5717" s="11"/>
      <c r="V5717" s="11"/>
      <c r="W5717" s="11"/>
      <c r="X5717" s="11"/>
    </row>
    <row r="5718" spans="17:24" x14ac:dyDescent="0.25">
      <c r="Q5718" s="11"/>
      <c r="R5718" s="11"/>
      <c r="S5718" s="11"/>
      <c r="T5718" s="11"/>
      <c r="U5718" s="11"/>
      <c r="V5718" s="11"/>
      <c r="W5718" s="11"/>
      <c r="X5718" s="11"/>
    </row>
    <row r="5719" spans="17:24" x14ac:dyDescent="0.25">
      <c r="Q5719" s="11"/>
      <c r="R5719" s="11"/>
      <c r="S5719" s="11"/>
      <c r="T5719" s="11"/>
      <c r="U5719" s="11"/>
      <c r="V5719" s="11"/>
      <c r="W5719" s="11"/>
      <c r="X5719" s="11"/>
    </row>
    <row r="5720" spans="17:24" x14ac:dyDescent="0.25">
      <c r="Q5720" s="11"/>
      <c r="R5720" s="11"/>
      <c r="S5720" s="11"/>
      <c r="T5720" s="11"/>
      <c r="U5720" s="11"/>
      <c r="V5720" s="11"/>
      <c r="W5720" s="11"/>
      <c r="X5720" s="11"/>
    </row>
    <row r="5721" spans="17:24" x14ac:dyDescent="0.25">
      <c r="Q5721" s="11"/>
      <c r="R5721" s="11"/>
      <c r="S5721" s="11"/>
      <c r="T5721" s="11"/>
      <c r="U5721" s="11"/>
      <c r="V5721" s="11"/>
      <c r="W5721" s="11"/>
      <c r="X5721" s="11"/>
    </row>
    <row r="5722" spans="17:24" x14ac:dyDescent="0.25">
      <c r="Q5722" s="11"/>
      <c r="R5722" s="11"/>
      <c r="S5722" s="11"/>
      <c r="T5722" s="11"/>
      <c r="U5722" s="11"/>
      <c r="V5722" s="11"/>
      <c r="W5722" s="11"/>
      <c r="X5722" s="11"/>
    </row>
    <row r="5723" spans="17:24" x14ac:dyDescent="0.25">
      <c r="Q5723" s="11"/>
      <c r="R5723" s="11"/>
      <c r="S5723" s="11"/>
      <c r="T5723" s="11"/>
      <c r="U5723" s="11"/>
      <c r="V5723" s="11"/>
      <c r="W5723" s="11"/>
      <c r="X5723" s="11"/>
    </row>
    <row r="5724" spans="17:24" x14ac:dyDescent="0.25">
      <c r="Q5724" s="11"/>
      <c r="R5724" s="11"/>
      <c r="S5724" s="11"/>
      <c r="T5724" s="11"/>
      <c r="U5724" s="11"/>
      <c r="V5724" s="11"/>
      <c r="W5724" s="11"/>
      <c r="X5724" s="11"/>
    </row>
    <row r="5725" spans="17:24" x14ac:dyDescent="0.25">
      <c r="Q5725" s="11"/>
      <c r="R5725" s="11"/>
      <c r="S5725" s="11"/>
      <c r="T5725" s="11"/>
      <c r="U5725" s="11"/>
      <c r="V5725" s="11"/>
      <c r="W5725" s="11"/>
      <c r="X5725" s="11"/>
    </row>
    <row r="5726" spans="17:24" x14ac:dyDescent="0.25">
      <c r="Q5726" s="11"/>
      <c r="R5726" s="11"/>
      <c r="S5726" s="11"/>
      <c r="T5726" s="11"/>
      <c r="U5726" s="11"/>
      <c r="V5726" s="11"/>
      <c r="W5726" s="11"/>
      <c r="X5726" s="11"/>
    </row>
    <row r="5727" spans="17:24" x14ac:dyDescent="0.25">
      <c r="Q5727" s="11"/>
      <c r="R5727" s="11"/>
      <c r="S5727" s="11"/>
      <c r="T5727" s="11"/>
      <c r="U5727" s="11"/>
      <c r="V5727" s="11"/>
      <c r="W5727" s="11"/>
      <c r="X5727" s="11"/>
    </row>
    <row r="5728" spans="17:24" x14ac:dyDescent="0.25">
      <c r="Q5728" s="11"/>
      <c r="R5728" s="11"/>
      <c r="S5728" s="11"/>
      <c r="T5728" s="11"/>
      <c r="U5728" s="11"/>
      <c r="V5728" s="11"/>
      <c r="W5728" s="11"/>
      <c r="X5728" s="11"/>
    </row>
    <row r="5729" spans="17:24" x14ac:dyDescent="0.25">
      <c r="Q5729" s="11"/>
      <c r="R5729" s="11"/>
      <c r="S5729" s="11"/>
      <c r="T5729" s="11"/>
      <c r="U5729" s="11"/>
      <c r="V5729" s="11"/>
      <c r="W5729" s="11"/>
      <c r="X5729" s="11"/>
    </row>
    <row r="5730" spans="17:24" x14ac:dyDescent="0.25">
      <c r="Q5730" s="11"/>
      <c r="R5730" s="11"/>
      <c r="S5730" s="11"/>
      <c r="T5730" s="11"/>
      <c r="U5730" s="11"/>
      <c r="V5730" s="11"/>
      <c r="W5730" s="11"/>
      <c r="X5730" s="11"/>
    </row>
    <row r="5731" spans="17:24" x14ac:dyDescent="0.25">
      <c r="Q5731" s="11"/>
      <c r="R5731" s="11"/>
      <c r="S5731" s="11"/>
      <c r="T5731" s="11"/>
      <c r="U5731" s="11"/>
      <c r="V5731" s="11"/>
      <c r="W5731" s="11"/>
      <c r="X5731" s="11"/>
    </row>
    <row r="5732" spans="17:24" x14ac:dyDescent="0.25">
      <c r="Q5732" s="11"/>
      <c r="R5732" s="11"/>
      <c r="S5732" s="11"/>
      <c r="T5732" s="11"/>
      <c r="U5732" s="11"/>
      <c r="V5732" s="11"/>
      <c r="W5732" s="11"/>
      <c r="X5732" s="11"/>
    </row>
    <row r="5733" spans="17:24" x14ac:dyDescent="0.25">
      <c r="Q5733" s="11"/>
      <c r="R5733" s="11"/>
      <c r="S5733" s="11"/>
      <c r="T5733" s="11"/>
      <c r="U5733" s="11"/>
      <c r="V5733" s="11"/>
      <c r="W5733" s="11"/>
      <c r="X5733" s="11"/>
    </row>
    <row r="5734" spans="17:24" x14ac:dyDescent="0.25">
      <c r="Q5734" s="11"/>
      <c r="R5734" s="11"/>
      <c r="S5734" s="11"/>
      <c r="T5734" s="11"/>
      <c r="U5734" s="11"/>
      <c r="V5734" s="11"/>
      <c r="W5734" s="11"/>
      <c r="X5734" s="11"/>
    </row>
    <row r="5735" spans="17:24" x14ac:dyDescent="0.25">
      <c r="Q5735" s="11"/>
      <c r="R5735" s="11"/>
      <c r="S5735" s="11"/>
      <c r="T5735" s="11"/>
      <c r="U5735" s="11"/>
      <c r="V5735" s="11"/>
      <c r="W5735" s="11"/>
      <c r="X5735" s="11"/>
    </row>
    <row r="5736" spans="17:24" x14ac:dyDescent="0.25">
      <c r="Q5736" s="11"/>
      <c r="R5736" s="11"/>
      <c r="S5736" s="11"/>
      <c r="T5736" s="11"/>
      <c r="U5736" s="11"/>
      <c r="V5736" s="11"/>
      <c r="W5736" s="11"/>
      <c r="X5736" s="11"/>
    </row>
    <row r="5737" spans="17:24" x14ac:dyDescent="0.25">
      <c r="Q5737" s="11"/>
      <c r="R5737" s="11"/>
      <c r="S5737" s="11"/>
      <c r="T5737" s="11"/>
      <c r="U5737" s="11"/>
      <c r="V5737" s="11"/>
      <c r="W5737" s="11"/>
      <c r="X5737" s="11"/>
    </row>
    <row r="5738" spans="17:24" x14ac:dyDescent="0.25">
      <c r="Q5738" s="11"/>
      <c r="R5738" s="11"/>
      <c r="S5738" s="11"/>
      <c r="T5738" s="11"/>
      <c r="U5738" s="11"/>
      <c r="V5738" s="11"/>
      <c r="W5738" s="11"/>
      <c r="X5738" s="11"/>
    </row>
    <row r="5739" spans="17:24" x14ac:dyDescent="0.25">
      <c r="Q5739" s="11"/>
      <c r="R5739" s="11"/>
      <c r="S5739" s="11"/>
      <c r="T5739" s="11"/>
      <c r="U5739" s="11"/>
      <c r="V5739" s="11"/>
      <c r="W5739" s="11"/>
      <c r="X5739" s="11"/>
    </row>
    <row r="5740" spans="17:24" x14ac:dyDescent="0.25">
      <c r="Q5740" s="11"/>
      <c r="R5740" s="11"/>
      <c r="S5740" s="11"/>
      <c r="T5740" s="11"/>
      <c r="U5740" s="11"/>
      <c r="V5740" s="11"/>
      <c r="W5740" s="11"/>
      <c r="X5740" s="11"/>
    </row>
    <row r="5741" spans="17:24" x14ac:dyDescent="0.25">
      <c r="Q5741" s="11"/>
      <c r="R5741" s="11"/>
      <c r="S5741" s="11"/>
      <c r="T5741" s="11"/>
      <c r="U5741" s="11"/>
      <c r="V5741" s="11"/>
      <c r="W5741" s="11"/>
      <c r="X5741" s="11"/>
    </row>
    <row r="5742" spans="17:24" x14ac:dyDescent="0.25">
      <c r="Q5742" s="11"/>
      <c r="R5742" s="11"/>
      <c r="S5742" s="11"/>
      <c r="T5742" s="11"/>
      <c r="U5742" s="11"/>
      <c r="V5742" s="11"/>
      <c r="W5742" s="11"/>
      <c r="X5742" s="11"/>
    </row>
    <row r="5743" spans="17:24" x14ac:dyDescent="0.25">
      <c r="Q5743" s="11"/>
      <c r="R5743" s="11"/>
      <c r="S5743" s="11"/>
      <c r="T5743" s="11"/>
      <c r="U5743" s="11"/>
      <c r="V5743" s="11"/>
      <c r="W5743" s="11"/>
      <c r="X5743" s="11"/>
    </row>
    <row r="5744" spans="17:24" x14ac:dyDescent="0.25">
      <c r="Q5744" s="11"/>
      <c r="R5744" s="11"/>
      <c r="S5744" s="11"/>
      <c r="T5744" s="11"/>
      <c r="U5744" s="11"/>
      <c r="V5744" s="11"/>
      <c r="W5744" s="11"/>
      <c r="X5744" s="11"/>
    </row>
    <row r="5745" spans="17:24" x14ac:dyDescent="0.25">
      <c r="Q5745" s="11"/>
      <c r="R5745" s="11"/>
      <c r="S5745" s="11"/>
      <c r="T5745" s="11"/>
      <c r="U5745" s="11"/>
      <c r="V5745" s="11"/>
      <c r="W5745" s="11"/>
      <c r="X5745" s="11"/>
    </row>
    <row r="5746" spans="17:24" x14ac:dyDescent="0.25">
      <c r="Q5746" s="11"/>
      <c r="R5746" s="11"/>
      <c r="S5746" s="11"/>
      <c r="T5746" s="11"/>
      <c r="U5746" s="11"/>
      <c r="V5746" s="11"/>
      <c r="W5746" s="11"/>
      <c r="X5746" s="11"/>
    </row>
    <row r="5747" spans="17:24" x14ac:dyDescent="0.25">
      <c r="Q5747" s="11"/>
      <c r="R5747" s="11"/>
      <c r="S5747" s="11"/>
      <c r="T5747" s="11"/>
      <c r="U5747" s="11"/>
      <c r="V5747" s="11"/>
      <c r="W5747" s="11"/>
      <c r="X5747" s="11"/>
    </row>
    <row r="5748" spans="17:24" x14ac:dyDescent="0.25">
      <c r="Q5748" s="11"/>
      <c r="R5748" s="11"/>
      <c r="S5748" s="11"/>
      <c r="T5748" s="11"/>
      <c r="U5748" s="11"/>
      <c r="V5748" s="11"/>
      <c r="W5748" s="11"/>
      <c r="X5748" s="11"/>
    </row>
    <row r="5749" spans="17:24" x14ac:dyDescent="0.25">
      <c r="Q5749" s="11"/>
      <c r="R5749" s="11"/>
      <c r="S5749" s="11"/>
      <c r="T5749" s="11"/>
      <c r="U5749" s="11"/>
      <c r="V5749" s="11"/>
      <c r="W5749" s="11"/>
      <c r="X5749" s="11"/>
    </row>
    <row r="5750" spans="17:24" x14ac:dyDescent="0.25">
      <c r="Q5750" s="11"/>
      <c r="R5750" s="11"/>
      <c r="S5750" s="11"/>
      <c r="T5750" s="11"/>
      <c r="U5750" s="11"/>
      <c r="V5750" s="11"/>
      <c r="W5750" s="11"/>
      <c r="X5750" s="11"/>
    </row>
    <row r="5751" spans="17:24" x14ac:dyDescent="0.25">
      <c r="Q5751" s="11"/>
      <c r="R5751" s="11"/>
      <c r="S5751" s="11"/>
      <c r="T5751" s="11"/>
      <c r="U5751" s="11"/>
      <c r="V5751" s="11"/>
      <c r="W5751" s="11"/>
      <c r="X5751" s="11"/>
    </row>
    <row r="5752" spans="17:24" x14ac:dyDescent="0.25">
      <c r="Q5752" s="11"/>
      <c r="R5752" s="11"/>
      <c r="S5752" s="11"/>
      <c r="T5752" s="11"/>
      <c r="U5752" s="11"/>
      <c r="V5752" s="11"/>
      <c r="W5752" s="11"/>
      <c r="X5752" s="11"/>
    </row>
    <row r="5753" spans="17:24" x14ac:dyDescent="0.25">
      <c r="Q5753" s="11"/>
      <c r="R5753" s="11"/>
      <c r="S5753" s="11"/>
      <c r="T5753" s="11"/>
      <c r="U5753" s="11"/>
      <c r="V5753" s="11"/>
      <c r="W5753" s="11"/>
      <c r="X5753" s="11"/>
    </row>
    <row r="5754" spans="17:24" x14ac:dyDescent="0.25">
      <c r="Q5754" s="11"/>
      <c r="R5754" s="11"/>
      <c r="S5754" s="11"/>
      <c r="T5754" s="11"/>
      <c r="U5754" s="11"/>
      <c r="V5754" s="11"/>
      <c r="W5754" s="11"/>
      <c r="X5754" s="11"/>
    </row>
    <row r="5755" spans="17:24" x14ac:dyDescent="0.25">
      <c r="Q5755" s="11"/>
      <c r="R5755" s="11"/>
      <c r="S5755" s="11"/>
      <c r="T5755" s="11"/>
      <c r="U5755" s="11"/>
      <c r="V5755" s="11"/>
      <c r="W5755" s="11"/>
      <c r="X5755" s="11"/>
    </row>
    <row r="5756" spans="17:24" x14ac:dyDescent="0.25">
      <c r="Q5756" s="11"/>
      <c r="R5756" s="11"/>
      <c r="S5756" s="11"/>
      <c r="T5756" s="11"/>
      <c r="U5756" s="11"/>
      <c r="V5756" s="11"/>
      <c r="W5756" s="11"/>
      <c r="X5756" s="11"/>
    </row>
    <row r="5757" spans="17:24" x14ac:dyDescent="0.25">
      <c r="Q5757" s="11"/>
      <c r="R5757" s="11"/>
      <c r="S5757" s="11"/>
      <c r="T5757" s="11"/>
      <c r="U5757" s="11"/>
      <c r="V5757" s="11"/>
      <c r="W5757" s="11"/>
      <c r="X5757" s="11"/>
    </row>
    <row r="5758" spans="17:24" x14ac:dyDescent="0.25">
      <c r="Q5758" s="11"/>
      <c r="R5758" s="11"/>
      <c r="S5758" s="11"/>
      <c r="T5758" s="11"/>
      <c r="U5758" s="11"/>
      <c r="V5758" s="11"/>
      <c r="W5758" s="11"/>
      <c r="X5758" s="11"/>
    </row>
    <row r="5759" spans="17:24" x14ac:dyDescent="0.25">
      <c r="Q5759" s="11"/>
      <c r="R5759" s="11"/>
      <c r="S5759" s="11"/>
      <c r="T5759" s="11"/>
      <c r="U5759" s="11"/>
      <c r="V5759" s="11"/>
      <c r="W5759" s="11"/>
      <c r="X5759" s="11"/>
    </row>
    <row r="5760" spans="17:24" x14ac:dyDescent="0.25">
      <c r="Q5760" s="11"/>
      <c r="R5760" s="11"/>
      <c r="S5760" s="11"/>
      <c r="T5760" s="11"/>
      <c r="U5760" s="11"/>
      <c r="V5760" s="11"/>
      <c r="W5760" s="11"/>
      <c r="X5760" s="11"/>
    </row>
    <row r="5761" spans="17:24" x14ac:dyDescent="0.25">
      <c r="Q5761" s="11"/>
      <c r="R5761" s="11"/>
      <c r="S5761" s="11"/>
      <c r="T5761" s="11"/>
      <c r="U5761" s="11"/>
      <c r="V5761" s="11"/>
      <c r="W5761" s="11"/>
      <c r="X5761" s="11"/>
    </row>
    <row r="5762" spans="17:24" x14ac:dyDescent="0.25">
      <c r="Q5762" s="11"/>
      <c r="R5762" s="11"/>
      <c r="S5762" s="11"/>
      <c r="T5762" s="11"/>
      <c r="U5762" s="11"/>
      <c r="V5762" s="11"/>
      <c r="W5762" s="11"/>
      <c r="X5762" s="11"/>
    </row>
    <row r="5763" spans="17:24" x14ac:dyDescent="0.25">
      <c r="Q5763" s="11"/>
      <c r="R5763" s="11"/>
      <c r="S5763" s="11"/>
      <c r="T5763" s="11"/>
      <c r="U5763" s="11"/>
      <c r="V5763" s="11"/>
      <c r="W5763" s="11"/>
      <c r="X5763" s="11"/>
    </row>
    <row r="5764" spans="17:24" x14ac:dyDescent="0.25">
      <c r="Q5764" s="11"/>
      <c r="R5764" s="11"/>
      <c r="S5764" s="11"/>
      <c r="T5764" s="11"/>
      <c r="U5764" s="11"/>
      <c r="V5764" s="11"/>
      <c r="W5764" s="11"/>
      <c r="X5764" s="11"/>
    </row>
    <row r="5765" spans="17:24" x14ac:dyDescent="0.25">
      <c r="Q5765" s="11"/>
      <c r="R5765" s="11"/>
      <c r="S5765" s="11"/>
      <c r="T5765" s="11"/>
      <c r="U5765" s="11"/>
      <c r="V5765" s="11"/>
      <c r="W5765" s="11"/>
      <c r="X5765" s="11"/>
    </row>
    <row r="5766" spans="17:24" x14ac:dyDescent="0.25">
      <c r="Q5766" s="11"/>
      <c r="R5766" s="11"/>
      <c r="S5766" s="11"/>
      <c r="T5766" s="11"/>
      <c r="U5766" s="11"/>
      <c r="V5766" s="11"/>
      <c r="W5766" s="11"/>
      <c r="X5766" s="11"/>
    </row>
    <row r="5767" spans="17:24" x14ac:dyDescent="0.25">
      <c r="Q5767" s="11"/>
      <c r="R5767" s="11"/>
      <c r="S5767" s="11"/>
      <c r="T5767" s="11"/>
      <c r="U5767" s="11"/>
      <c r="V5767" s="11"/>
      <c r="W5767" s="11"/>
      <c r="X5767" s="11"/>
    </row>
    <row r="5768" spans="17:24" x14ac:dyDescent="0.25">
      <c r="Q5768" s="11"/>
      <c r="R5768" s="11"/>
      <c r="S5768" s="11"/>
      <c r="T5768" s="11"/>
      <c r="U5768" s="11"/>
      <c r="V5768" s="11"/>
      <c r="W5768" s="11"/>
      <c r="X5768" s="11"/>
    </row>
    <row r="5769" spans="17:24" x14ac:dyDescent="0.25">
      <c r="Q5769" s="11"/>
      <c r="R5769" s="11"/>
      <c r="S5769" s="11"/>
      <c r="T5769" s="11"/>
      <c r="U5769" s="11"/>
      <c r="V5769" s="11"/>
      <c r="W5769" s="11"/>
      <c r="X5769" s="11"/>
    </row>
    <row r="5770" spans="17:24" x14ac:dyDescent="0.25">
      <c r="Q5770" s="11"/>
      <c r="R5770" s="11"/>
      <c r="S5770" s="11"/>
      <c r="T5770" s="11"/>
      <c r="U5770" s="11"/>
      <c r="V5770" s="11"/>
      <c r="W5770" s="11"/>
      <c r="X5770" s="11"/>
    </row>
    <row r="5771" spans="17:24" x14ac:dyDescent="0.25">
      <c r="Q5771" s="11"/>
      <c r="R5771" s="11"/>
      <c r="S5771" s="11"/>
      <c r="T5771" s="11"/>
      <c r="U5771" s="11"/>
      <c r="V5771" s="11"/>
      <c r="W5771" s="11"/>
      <c r="X5771" s="11"/>
    </row>
    <row r="5772" spans="17:24" x14ac:dyDescent="0.25">
      <c r="Q5772" s="11"/>
      <c r="R5772" s="11"/>
      <c r="S5772" s="11"/>
      <c r="T5772" s="11"/>
      <c r="U5772" s="11"/>
      <c r="V5772" s="11"/>
      <c r="W5772" s="11"/>
      <c r="X5772" s="11"/>
    </row>
    <row r="5773" spans="17:24" x14ac:dyDescent="0.25">
      <c r="Q5773" s="11"/>
      <c r="R5773" s="11"/>
      <c r="S5773" s="11"/>
      <c r="T5773" s="11"/>
      <c r="U5773" s="11"/>
      <c r="V5773" s="11"/>
      <c r="W5773" s="11"/>
      <c r="X5773" s="11"/>
    </row>
    <row r="5774" spans="17:24" x14ac:dyDescent="0.25">
      <c r="Q5774" s="11"/>
      <c r="R5774" s="11"/>
      <c r="S5774" s="11"/>
      <c r="T5774" s="11"/>
      <c r="U5774" s="11"/>
      <c r="V5774" s="11"/>
      <c r="W5774" s="11"/>
      <c r="X5774" s="11"/>
    </row>
    <row r="5775" spans="17:24" x14ac:dyDescent="0.25">
      <c r="Q5775" s="11"/>
      <c r="R5775" s="11"/>
      <c r="S5775" s="11"/>
      <c r="T5775" s="11"/>
      <c r="U5775" s="11"/>
      <c r="V5775" s="11"/>
      <c r="W5775" s="11"/>
      <c r="X5775" s="11"/>
    </row>
    <row r="5776" spans="17:24" x14ac:dyDescent="0.25">
      <c r="Q5776" s="11"/>
      <c r="R5776" s="11"/>
      <c r="S5776" s="11"/>
      <c r="T5776" s="11"/>
      <c r="U5776" s="11"/>
      <c r="V5776" s="11"/>
      <c r="W5776" s="11"/>
      <c r="X5776" s="11"/>
    </row>
    <row r="5777" spans="17:24" x14ac:dyDescent="0.25">
      <c r="Q5777" s="11"/>
      <c r="R5777" s="11"/>
      <c r="S5777" s="11"/>
      <c r="T5777" s="11"/>
      <c r="U5777" s="11"/>
      <c r="V5777" s="11"/>
      <c r="W5777" s="11"/>
      <c r="X5777" s="11"/>
    </row>
    <row r="5778" spans="17:24" x14ac:dyDescent="0.25">
      <c r="Q5778" s="11"/>
      <c r="R5778" s="11"/>
      <c r="S5778" s="11"/>
      <c r="T5778" s="11"/>
      <c r="U5778" s="11"/>
      <c r="V5778" s="11"/>
      <c r="W5778" s="11"/>
      <c r="X5778" s="11"/>
    </row>
    <row r="5779" spans="17:24" x14ac:dyDescent="0.25">
      <c r="Q5779" s="11"/>
      <c r="R5779" s="11"/>
      <c r="S5779" s="11"/>
      <c r="T5779" s="11"/>
      <c r="U5779" s="11"/>
      <c r="V5779" s="11"/>
      <c r="W5779" s="11"/>
      <c r="X5779" s="11"/>
    </row>
    <row r="5780" spans="17:24" x14ac:dyDescent="0.25">
      <c r="Q5780" s="11"/>
      <c r="R5780" s="11"/>
      <c r="S5780" s="11"/>
      <c r="T5780" s="11"/>
      <c r="U5780" s="11"/>
      <c r="V5780" s="11"/>
      <c r="W5780" s="11"/>
      <c r="X5780" s="11"/>
    </row>
    <row r="5781" spans="17:24" x14ac:dyDescent="0.25">
      <c r="Q5781" s="11"/>
      <c r="R5781" s="11"/>
      <c r="S5781" s="11"/>
      <c r="T5781" s="11"/>
      <c r="U5781" s="11"/>
      <c r="V5781" s="11"/>
      <c r="W5781" s="11"/>
      <c r="X5781" s="11"/>
    </row>
    <row r="5782" spans="17:24" x14ac:dyDescent="0.25">
      <c r="Q5782" s="11"/>
      <c r="R5782" s="11"/>
      <c r="S5782" s="11"/>
      <c r="T5782" s="11"/>
      <c r="U5782" s="11"/>
      <c r="V5782" s="11"/>
      <c r="W5782" s="11"/>
      <c r="X5782" s="11"/>
    </row>
    <row r="5783" spans="17:24" x14ac:dyDescent="0.25">
      <c r="Q5783" s="11"/>
      <c r="R5783" s="11"/>
      <c r="S5783" s="11"/>
      <c r="T5783" s="11"/>
      <c r="U5783" s="11"/>
      <c r="V5783" s="11"/>
      <c r="W5783" s="11"/>
      <c r="X5783" s="11"/>
    </row>
    <row r="5784" spans="17:24" x14ac:dyDescent="0.25">
      <c r="Q5784" s="11"/>
      <c r="R5784" s="11"/>
      <c r="S5784" s="11"/>
      <c r="T5784" s="11"/>
      <c r="U5784" s="11"/>
      <c r="V5784" s="11"/>
      <c r="W5784" s="11"/>
      <c r="X5784" s="11"/>
    </row>
    <row r="5785" spans="17:24" x14ac:dyDescent="0.25">
      <c r="Q5785" s="11"/>
      <c r="R5785" s="11"/>
      <c r="S5785" s="11"/>
      <c r="T5785" s="11"/>
      <c r="U5785" s="11"/>
      <c r="V5785" s="11"/>
      <c r="W5785" s="11"/>
      <c r="X5785" s="11"/>
    </row>
    <row r="5786" spans="17:24" x14ac:dyDescent="0.25">
      <c r="Q5786" s="11"/>
      <c r="R5786" s="11"/>
      <c r="S5786" s="11"/>
      <c r="T5786" s="11"/>
      <c r="U5786" s="11"/>
      <c r="V5786" s="11"/>
      <c r="W5786" s="11"/>
      <c r="X5786" s="11"/>
    </row>
    <row r="5787" spans="17:24" x14ac:dyDescent="0.25">
      <c r="Q5787" s="11"/>
      <c r="R5787" s="11"/>
      <c r="S5787" s="11"/>
      <c r="T5787" s="11"/>
      <c r="U5787" s="11"/>
      <c r="V5787" s="11"/>
      <c r="W5787" s="11"/>
      <c r="X5787" s="11"/>
    </row>
    <row r="5788" spans="17:24" x14ac:dyDescent="0.25">
      <c r="Q5788" s="11"/>
      <c r="R5788" s="11"/>
      <c r="S5788" s="11"/>
      <c r="T5788" s="11"/>
      <c r="U5788" s="11"/>
      <c r="V5788" s="11"/>
      <c r="W5788" s="11"/>
      <c r="X5788" s="11"/>
    </row>
    <row r="5789" spans="17:24" x14ac:dyDescent="0.25">
      <c r="Q5789" s="11"/>
      <c r="R5789" s="11"/>
      <c r="S5789" s="11"/>
      <c r="T5789" s="11"/>
      <c r="U5789" s="11"/>
      <c r="V5789" s="11"/>
      <c r="W5789" s="11"/>
      <c r="X5789" s="11"/>
    </row>
    <row r="5790" spans="17:24" x14ac:dyDescent="0.25">
      <c r="Q5790" s="11"/>
      <c r="R5790" s="11"/>
      <c r="S5790" s="11"/>
      <c r="T5790" s="11"/>
      <c r="U5790" s="11"/>
      <c r="V5790" s="11"/>
      <c r="W5790" s="11"/>
      <c r="X5790" s="11"/>
    </row>
    <row r="5791" spans="17:24" x14ac:dyDescent="0.25">
      <c r="Q5791" s="11"/>
      <c r="R5791" s="11"/>
      <c r="S5791" s="11"/>
      <c r="T5791" s="11"/>
      <c r="U5791" s="11"/>
      <c r="V5791" s="11"/>
      <c r="W5791" s="11"/>
      <c r="X5791" s="11"/>
    </row>
    <row r="5792" spans="17:24" x14ac:dyDescent="0.25">
      <c r="Q5792" s="11"/>
      <c r="R5792" s="11"/>
      <c r="S5792" s="11"/>
      <c r="T5792" s="11"/>
      <c r="U5792" s="11"/>
      <c r="V5792" s="11"/>
      <c r="W5792" s="11"/>
      <c r="X5792" s="11"/>
    </row>
    <row r="5793" spans="17:24" x14ac:dyDescent="0.25">
      <c r="Q5793" s="11"/>
      <c r="R5793" s="11"/>
      <c r="S5793" s="11"/>
      <c r="T5793" s="11"/>
      <c r="U5793" s="11"/>
      <c r="V5793" s="11"/>
      <c r="W5793" s="11"/>
      <c r="X5793" s="11"/>
    </row>
    <row r="5794" spans="17:24" x14ac:dyDescent="0.25">
      <c r="Q5794" s="11"/>
      <c r="R5794" s="11"/>
      <c r="S5794" s="11"/>
      <c r="T5794" s="11"/>
      <c r="U5794" s="11"/>
      <c r="V5794" s="11"/>
      <c r="W5794" s="11"/>
      <c r="X5794" s="11"/>
    </row>
    <row r="5795" spans="17:24" x14ac:dyDescent="0.25">
      <c r="Q5795" s="11"/>
      <c r="R5795" s="11"/>
      <c r="S5795" s="11"/>
      <c r="T5795" s="11"/>
      <c r="U5795" s="11"/>
      <c r="V5795" s="11"/>
      <c r="W5795" s="11"/>
      <c r="X5795" s="11"/>
    </row>
    <row r="5796" spans="17:24" x14ac:dyDescent="0.25">
      <c r="Q5796" s="11"/>
      <c r="R5796" s="11"/>
      <c r="S5796" s="11"/>
      <c r="T5796" s="11"/>
      <c r="U5796" s="11"/>
      <c r="V5796" s="11"/>
      <c r="W5796" s="11"/>
      <c r="X5796" s="11"/>
    </row>
    <row r="5797" spans="17:24" x14ac:dyDescent="0.25">
      <c r="Q5797" s="11"/>
      <c r="R5797" s="11"/>
      <c r="S5797" s="11"/>
      <c r="T5797" s="11"/>
      <c r="U5797" s="11"/>
      <c r="V5797" s="11"/>
      <c r="W5797" s="11"/>
      <c r="X5797" s="11"/>
    </row>
    <row r="5798" spans="17:24" x14ac:dyDescent="0.25">
      <c r="Q5798" s="11"/>
      <c r="R5798" s="11"/>
      <c r="S5798" s="11"/>
      <c r="T5798" s="11"/>
      <c r="U5798" s="11"/>
      <c r="V5798" s="11"/>
      <c r="W5798" s="11"/>
      <c r="X5798" s="11"/>
    </row>
    <row r="5799" spans="17:24" x14ac:dyDescent="0.25">
      <c r="Q5799" s="11"/>
      <c r="R5799" s="11"/>
      <c r="S5799" s="11"/>
      <c r="T5799" s="11"/>
      <c r="U5799" s="11"/>
      <c r="V5799" s="11"/>
      <c r="W5799" s="11"/>
      <c r="X5799" s="11"/>
    </row>
    <row r="5800" spans="17:24" x14ac:dyDescent="0.25">
      <c r="Q5800" s="11"/>
      <c r="R5800" s="11"/>
      <c r="S5800" s="11"/>
      <c r="T5800" s="11"/>
      <c r="U5800" s="11"/>
      <c r="V5800" s="11"/>
      <c r="W5800" s="11"/>
      <c r="X5800" s="11"/>
    </row>
    <row r="5801" spans="17:24" x14ac:dyDescent="0.25">
      <c r="Q5801" s="11"/>
      <c r="R5801" s="11"/>
      <c r="S5801" s="11"/>
      <c r="T5801" s="11"/>
      <c r="U5801" s="11"/>
      <c r="V5801" s="11"/>
      <c r="W5801" s="11"/>
      <c r="X5801" s="11"/>
    </row>
    <row r="5802" spans="17:24" x14ac:dyDescent="0.25">
      <c r="Q5802" s="11"/>
      <c r="R5802" s="11"/>
      <c r="S5802" s="11"/>
      <c r="T5802" s="11"/>
      <c r="U5802" s="11"/>
      <c r="V5802" s="11"/>
      <c r="W5802" s="11"/>
      <c r="X5802" s="11"/>
    </row>
    <row r="5803" spans="17:24" x14ac:dyDescent="0.25">
      <c r="Q5803" s="11"/>
      <c r="R5803" s="11"/>
      <c r="S5803" s="11"/>
      <c r="T5803" s="11"/>
      <c r="U5803" s="11"/>
      <c r="V5803" s="11"/>
      <c r="W5803" s="11"/>
      <c r="X5803" s="11"/>
    </row>
    <row r="5804" spans="17:24" x14ac:dyDescent="0.25">
      <c r="Q5804" s="11"/>
      <c r="R5804" s="11"/>
      <c r="S5804" s="11"/>
      <c r="T5804" s="11"/>
      <c r="U5804" s="11"/>
      <c r="V5804" s="11"/>
      <c r="W5804" s="11"/>
      <c r="X5804" s="11"/>
    </row>
    <row r="5805" spans="17:24" x14ac:dyDescent="0.25">
      <c r="Q5805" s="11"/>
      <c r="R5805" s="11"/>
      <c r="S5805" s="11"/>
      <c r="T5805" s="11"/>
      <c r="U5805" s="11"/>
      <c r="V5805" s="11"/>
      <c r="W5805" s="11"/>
      <c r="X5805" s="11"/>
    </row>
    <row r="5806" spans="17:24" x14ac:dyDescent="0.25">
      <c r="Q5806" s="11"/>
      <c r="R5806" s="11"/>
      <c r="S5806" s="11"/>
      <c r="T5806" s="11"/>
      <c r="U5806" s="11"/>
      <c r="V5806" s="11"/>
      <c r="W5806" s="11"/>
      <c r="X5806" s="11"/>
    </row>
    <row r="5807" spans="17:24" x14ac:dyDescent="0.25">
      <c r="Q5807" s="11"/>
      <c r="R5807" s="11"/>
      <c r="S5807" s="11"/>
      <c r="T5807" s="11"/>
      <c r="U5807" s="11"/>
      <c r="V5807" s="11"/>
      <c r="W5807" s="11"/>
      <c r="X5807" s="11"/>
    </row>
    <row r="5808" spans="17:24" x14ac:dyDescent="0.25">
      <c r="Q5808" s="11"/>
      <c r="R5808" s="11"/>
      <c r="S5808" s="11"/>
      <c r="T5808" s="11"/>
      <c r="U5808" s="11"/>
      <c r="V5808" s="11"/>
      <c r="W5808" s="11"/>
      <c r="X5808" s="11"/>
    </row>
    <row r="5809" spans="17:24" x14ac:dyDescent="0.25">
      <c r="Q5809" s="11"/>
      <c r="R5809" s="11"/>
      <c r="S5809" s="11"/>
      <c r="T5809" s="11"/>
      <c r="U5809" s="11"/>
      <c r="V5809" s="11"/>
      <c r="W5809" s="11"/>
      <c r="X5809" s="11"/>
    </row>
    <row r="5810" spans="17:24" x14ac:dyDescent="0.25">
      <c r="Q5810" s="11"/>
      <c r="R5810" s="11"/>
      <c r="S5810" s="11"/>
      <c r="T5810" s="11"/>
      <c r="U5810" s="11"/>
      <c r="V5810" s="11"/>
      <c r="W5810" s="11"/>
      <c r="X5810" s="11"/>
    </row>
    <row r="5811" spans="17:24" x14ac:dyDescent="0.25">
      <c r="Q5811" s="11"/>
      <c r="R5811" s="11"/>
      <c r="S5811" s="11"/>
      <c r="T5811" s="11"/>
      <c r="U5811" s="11"/>
      <c r="V5811" s="11"/>
      <c r="W5811" s="11"/>
      <c r="X5811" s="11"/>
    </row>
    <row r="5812" spans="17:24" x14ac:dyDescent="0.25">
      <c r="Q5812" s="11"/>
      <c r="R5812" s="11"/>
      <c r="S5812" s="11"/>
      <c r="T5812" s="11"/>
      <c r="U5812" s="11"/>
      <c r="V5812" s="11"/>
      <c r="W5812" s="11"/>
      <c r="X5812" s="11"/>
    </row>
    <row r="5813" spans="17:24" x14ac:dyDescent="0.25">
      <c r="Q5813" s="11"/>
      <c r="R5813" s="11"/>
      <c r="S5813" s="11"/>
      <c r="T5813" s="11"/>
      <c r="U5813" s="11"/>
      <c r="V5813" s="11"/>
      <c r="W5813" s="11"/>
      <c r="X5813" s="11"/>
    </row>
    <row r="5814" spans="17:24" x14ac:dyDescent="0.25">
      <c r="Q5814" s="11"/>
      <c r="R5814" s="11"/>
      <c r="S5814" s="11"/>
      <c r="T5814" s="11"/>
      <c r="U5814" s="11"/>
      <c r="V5814" s="11"/>
      <c r="W5814" s="11"/>
      <c r="X5814" s="11"/>
    </row>
    <row r="5815" spans="17:24" x14ac:dyDescent="0.25">
      <c r="Q5815" s="11"/>
      <c r="R5815" s="11"/>
      <c r="S5815" s="11"/>
      <c r="T5815" s="11"/>
      <c r="U5815" s="11"/>
      <c r="V5815" s="11"/>
      <c r="W5815" s="11"/>
      <c r="X5815" s="11"/>
    </row>
    <row r="5816" spans="17:24" x14ac:dyDescent="0.25">
      <c r="Q5816" s="11"/>
      <c r="R5816" s="11"/>
      <c r="S5816" s="11"/>
      <c r="T5816" s="11"/>
      <c r="U5816" s="11"/>
      <c r="V5816" s="11"/>
      <c r="W5816" s="11"/>
      <c r="X5816" s="11"/>
    </row>
    <row r="5817" spans="17:24" x14ac:dyDescent="0.25">
      <c r="Q5817" s="11"/>
      <c r="R5817" s="11"/>
      <c r="S5817" s="11"/>
      <c r="T5817" s="11"/>
      <c r="U5817" s="11"/>
      <c r="V5817" s="11"/>
      <c r="W5817" s="11"/>
      <c r="X5817" s="11"/>
    </row>
    <row r="5818" spans="17:24" x14ac:dyDescent="0.25">
      <c r="Q5818" s="11"/>
      <c r="R5818" s="11"/>
      <c r="S5818" s="11"/>
      <c r="T5818" s="11"/>
      <c r="U5818" s="11"/>
      <c r="V5818" s="11"/>
      <c r="W5818" s="11"/>
      <c r="X5818" s="11"/>
    </row>
    <row r="5819" spans="17:24" x14ac:dyDescent="0.25">
      <c r="Q5819" s="11"/>
      <c r="R5819" s="11"/>
      <c r="S5819" s="11"/>
      <c r="T5819" s="11"/>
      <c r="U5819" s="11"/>
      <c r="V5819" s="11"/>
      <c r="W5819" s="11"/>
      <c r="X5819" s="11"/>
    </row>
    <row r="5820" spans="17:24" x14ac:dyDescent="0.25">
      <c r="Q5820" s="11"/>
      <c r="R5820" s="11"/>
      <c r="S5820" s="11"/>
      <c r="T5820" s="11"/>
      <c r="U5820" s="11"/>
      <c r="V5820" s="11"/>
      <c r="W5820" s="11"/>
      <c r="X5820" s="11"/>
    </row>
    <row r="5821" spans="17:24" x14ac:dyDescent="0.25">
      <c r="Q5821" s="11"/>
      <c r="R5821" s="11"/>
      <c r="S5821" s="11"/>
      <c r="T5821" s="11"/>
      <c r="U5821" s="11"/>
      <c r="V5821" s="11"/>
      <c r="W5821" s="11"/>
      <c r="X5821" s="11"/>
    </row>
    <row r="5822" spans="17:24" x14ac:dyDescent="0.25">
      <c r="Q5822" s="11"/>
      <c r="R5822" s="11"/>
      <c r="S5822" s="11"/>
      <c r="T5822" s="11"/>
      <c r="U5822" s="11"/>
      <c r="V5822" s="11"/>
      <c r="W5822" s="11"/>
      <c r="X5822" s="11"/>
    </row>
    <row r="5823" spans="17:24" x14ac:dyDescent="0.25">
      <c r="Q5823" s="11"/>
      <c r="R5823" s="11"/>
      <c r="S5823" s="11"/>
      <c r="T5823" s="11"/>
      <c r="U5823" s="11"/>
      <c r="V5823" s="11"/>
      <c r="W5823" s="11"/>
      <c r="X5823" s="11"/>
    </row>
    <row r="5824" spans="17:24" x14ac:dyDescent="0.25">
      <c r="Q5824" s="11"/>
      <c r="R5824" s="11"/>
      <c r="S5824" s="11"/>
      <c r="T5824" s="11"/>
      <c r="U5824" s="11"/>
      <c r="V5824" s="11"/>
      <c r="W5824" s="11"/>
      <c r="X5824" s="11"/>
    </row>
    <row r="5825" spans="17:24" x14ac:dyDescent="0.25">
      <c r="Q5825" s="11"/>
      <c r="R5825" s="11"/>
      <c r="S5825" s="11"/>
      <c r="T5825" s="11"/>
      <c r="U5825" s="11"/>
      <c r="V5825" s="11"/>
      <c r="W5825" s="11"/>
      <c r="X5825" s="11"/>
    </row>
    <row r="5826" spans="17:24" x14ac:dyDescent="0.25">
      <c r="Q5826" s="11"/>
      <c r="R5826" s="11"/>
      <c r="S5826" s="11"/>
      <c r="T5826" s="11"/>
      <c r="U5826" s="11"/>
      <c r="V5826" s="11"/>
      <c r="W5826" s="11"/>
      <c r="X5826" s="11"/>
    </row>
    <row r="5827" spans="17:24" x14ac:dyDescent="0.25">
      <c r="Q5827" s="11"/>
      <c r="R5827" s="11"/>
      <c r="S5827" s="11"/>
      <c r="T5827" s="11"/>
      <c r="U5827" s="11"/>
      <c r="V5827" s="11"/>
      <c r="W5827" s="11"/>
      <c r="X5827" s="11"/>
    </row>
    <row r="5828" spans="17:24" x14ac:dyDescent="0.25">
      <c r="Q5828" s="11"/>
      <c r="R5828" s="11"/>
      <c r="S5828" s="11"/>
      <c r="T5828" s="11"/>
      <c r="U5828" s="11"/>
      <c r="V5828" s="11"/>
      <c r="W5828" s="11"/>
      <c r="X5828" s="11"/>
    </row>
    <row r="5829" spans="17:24" x14ac:dyDescent="0.25">
      <c r="Q5829" s="11"/>
      <c r="R5829" s="11"/>
      <c r="S5829" s="11"/>
      <c r="T5829" s="11"/>
      <c r="U5829" s="11"/>
      <c r="V5829" s="11"/>
      <c r="W5829" s="11"/>
      <c r="X5829" s="11"/>
    </row>
    <row r="5830" spans="17:24" x14ac:dyDescent="0.25">
      <c r="Q5830" s="11"/>
      <c r="R5830" s="11"/>
      <c r="S5830" s="11"/>
      <c r="T5830" s="11"/>
      <c r="U5830" s="11"/>
      <c r="V5830" s="11"/>
      <c r="W5830" s="11"/>
      <c r="X5830" s="11"/>
    </row>
    <row r="5831" spans="17:24" x14ac:dyDescent="0.25">
      <c r="Q5831" s="11"/>
      <c r="R5831" s="11"/>
      <c r="S5831" s="11"/>
      <c r="T5831" s="11"/>
      <c r="U5831" s="11"/>
      <c r="V5831" s="11"/>
      <c r="W5831" s="11"/>
      <c r="X5831" s="11"/>
    </row>
    <row r="5832" spans="17:24" x14ac:dyDescent="0.25">
      <c r="Q5832" s="11"/>
      <c r="R5832" s="11"/>
      <c r="S5832" s="11"/>
      <c r="T5832" s="11"/>
      <c r="U5832" s="11"/>
      <c r="V5832" s="11"/>
      <c r="W5832" s="11"/>
      <c r="X5832" s="11"/>
    </row>
    <row r="5833" spans="17:24" x14ac:dyDescent="0.25">
      <c r="Q5833" s="11"/>
      <c r="R5833" s="11"/>
      <c r="S5833" s="11"/>
      <c r="T5833" s="11"/>
      <c r="U5833" s="11"/>
      <c r="V5833" s="11"/>
      <c r="W5833" s="11"/>
      <c r="X5833" s="11"/>
    </row>
    <row r="5834" spans="17:24" x14ac:dyDescent="0.25">
      <c r="Q5834" s="11"/>
      <c r="R5834" s="11"/>
      <c r="S5834" s="11"/>
      <c r="T5834" s="11"/>
      <c r="U5834" s="11"/>
      <c r="V5834" s="11"/>
      <c r="W5834" s="11"/>
      <c r="X5834" s="11"/>
    </row>
    <row r="5835" spans="17:24" x14ac:dyDescent="0.25">
      <c r="Q5835" s="11"/>
      <c r="R5835" s="11"/>
      <c r="S5835" s="11"/>
      <c r="T5835" s="11"/>
      <c r="U5835" s="11"/>
      <c r="V5835" s="11"/>
      <c r="W5835" s="11"/>
      <c r="X5835" s="11"/>
    </row>
    <row r="5836" spans="17:24" x14ac:dyDescent="0.25">
      <c r="Q5836" s="11"/>
      <c r="R5836" s="11"/>
      <c r="S5836" s="11"/>
      <c r="T5836" s="11"/>
      <c r="U5836" s="11"/>
      <c r="V5836" s="11"/>
      <c r="W5836" s="11"/>
      <c r="X5836" s="11"/>
    </row>
    <row r="5837" spans="17:24" x14ac:dyDescent="0.25">
      <c r="Q5837" s="11"/>
      <c r="R5837" s="11"/>
      <c r="S5837" s="11"/>
      <c r="T5837" s="11"/>
      <c r="U5837" s="11"/>
      <c r="V5837" s="11"/>
      <c r="W5837" s="11"/>
      <c r="X5837" s="11"/>
    </row>
    <row r="5838" spans="17:24" x14ac:dyDescent="0.25">
      <c r="Q5838" s="11"/>
      <c r="R5838" s="11"/>
      <c r="S5838" s="11"/>
      <c r="T5838" s="11"/>
      <c r="U5838" s="11"/>
      <c r="V5838" s="11"/>
      <c r="W5838" s="11"/>
      <c r="X5838" s="11"/>
    </row>
    <row r="5839" spans="17:24" x14ac:dyDescent="0.25">
      <c r="Q5839" s="11"/>
      <c r="R5839" s="11"/>
      <c r="S5839" s="11"/>
      <c r="T5839" s="11"/>
      <c r="U5839" s="11"/>
      <c r="V5839" s="11"/>
      <c r="W5839" s="11"/>
      <c r="X5839" s="11"/>
    </row>
    <row r="5840" spans="17:24" x14ac:dyDescent="0.25">
      <c r="Q5840" s="11"/>
      <c r="R5840" s="11"/>
      <c r="S5840" s="11"/>
      <c r="T5840" s="11"/>
      <c r="U5840" s="11"/>
      <c r="V5840" s="11"/>
      <c r="W5840" s="11"/>
      <c r="X5840" s="11"/>
    </row>
    <row r="5841" spans="17:24" x14ac:dyDescent="0.25">
      <c r="Q5841" s="11"/>
      <c r="R5841" s="11"/>
      <c r="S5841" s="11"/>
      <c r="T5841" s="11"/>
      <c r="U5841" s="11"/>
      <c r="V5841" s="11"/>
      <c r="W5841" s="11"/>
      <c r="X5841" s="11"/>
    </row>
    <row r="5842" spans="17:24" x14ac:dyDescent="0.25">
      <c r="Q5842" s="11"/>
      <c r="R5842" s="11"/>
      <c r="S5842" s="11"/>
      <c r="T5842" s="11"/>
      <c r="U5842" s="11"/>
      <c r="V5842" s="11"/>
      <c r="W5842" s="11"/>
      <c r="X5842" s="11"/>
    </row>
    <row r="5843" spans="17:24" x14ac:dyDescent="0.25">
      <c r="Q5843" s="11"/>
      <c r="R5843" s="11"/>
      <c r="S5843" s="11"/>
      <c r="T5843" s="11"/>
      <c r="U5843" s="11"/>
      <c r="V5843" s="11"/>
      <c r="W5843" s="11"/>
      <c r="X5843" s="11"/>
    </row>
    <row r="5844" spans="17:24" x14ac:dyDescent="0.25">
      <c r="Q5844" s="11"/>
      <c r="R5844" s="11"/>
      <c r="S5844" s="11"/>
      <c r="T5844" s="11"/>
      <c r="U5844" s="11"/>
      <c r="V5844" s="11"/>
      <c r="W5844" s="11"/>
      <c r="X5844" s="11"/>
    </row>
    <row r="5845" spans="17:24" x14ac:dyDescent="0.25">
      <c r="Q5845" s="11"/>
      <c r="R5845" s="11"/>
      <c r="S5845" s="11"/>
      <c r="T5845" s="11"/>
      <c r="U5845" s="11"/>
      <c r="V5845" s="11"/>
      <c r="W5845" s="11"/>
      <c r="X5845" s="11"/>
    </row>
    <row r="5846" spans="17:24" x14ac:dyDescent="0.25">
      <c r="Q5846" s="11"/>
      <c r="R5846" s="11"/>
      <c r="S5846" s="11"/>
      <c r="T5846" s="11"/>
      <c r="U5846" s="11"/>
      <c r="V5846" s="11"/>
      <c r="W5846" s="11"/>
      <c r="X5846" s="11"/>
    </row>
    <row r="5847" spans="17:24" x14ac:dyDescent="0.25">
      <c r="Q5847" s="11"/>
      <c r="R5847" s="11"/>
      <c r="S5847" s="11"/>
      <c r="T5847" s="11"/>
      <c r="U5847" s="11"/>
      <c r="V5847" s="11"/>
      <c r="W5847" s="11"/>
      <c r="X5847" s="11"/>
    </row>
    <row r="5848" spans="17:24" x14ac:dyDescent="0.25">
      <c r="Q5848" s="11"/>
      <c r="R5848" s="11"/>
      <c r="S5848" s="11"/>
      <c r="T5848" s="11"/>
      <c r="U5848" s="11"/>
      <c r="V5848" s="11"/>
      <c r="W5848" s="11"/>
      <c r="X5848" s="11"/>
    </row>
    <row r="5849" spans="17:24" x14ac:dyDescent="0.25">
      <c r="Q5849" s="11"/>
      <c r="R5849" s="11"/>
      <c r="S5849" s="11"/>
      <c r="T5849" s="11"/>
      <c r="U5849" s="11"/>
      <c r="V5849" s="11"/>
      <c r="W5849" s="11"/>
      <c r="X5849" s="11"/>
    </row>
    <row r="5850" spans="17:24" x14ac:dyDescent="0.25">
      <c r="Q5850" s="11"/>
      <c r="R5850" s="11"/>
      <c r="S5850" s="11"/>
      <c r="T5850" s="11"/>
      <c r="U5850" s="11"/>
      <c r="V5850" s="11"/>
      <c r="W5850" s="11"/>
      <c r="X5850" s="11"/>
    </row>
    <row r="5851" spans="17:24" x14ac:dyDescent="0.25">
      <c r="Q5851" s="11"/>
      <c r="R5851" s="11"/>
      <c r="S5851" s="11"/>
      <c r="T5851" s="11"/>
      <c r="U5851" s="11"/>
      <c r="V5851" s="11"/>
      <c r="W5851" s="11"/>
      <c r="X5851" s="11"/>
    </row>
    <row r="5852" spans="17:24" x14ac:dyDescent="0.25">
      <c r="Q5852" s="11"/>
      <c r="R5852" s="11"/>
      <c r="S5852" s="11"/>
      <c r="T5852" s="11"/>
      <c r="U5852" s="11"/>
      <c r="V5852" s="11"/>
      <c r="W5852" s="11"/>
      <c r="X5852" s="11"/>
    </row>
    <row r="5853" spans="17:24" x14ac:dyDescent="0.25">
      <c r="Q5853" s="11"/>
      <c r="R5853" s="11"/>
      <c r="S5853" s="11"/>
      <c r="T5853" s="11"/>
      <c r="U5853" s="11"/>
      <c r="V5853" s="11"/>
      <c r="W5853" s="11"/>
      <c r="X5853" s="11"/>
    </row>
    <row r="5854" spans="17:24" x14ac:dyDescent="0.25">
      <c r="Q5854" s="11"/>
      <c r="R5854" s="11"/>
      <c r="S5854" s="11"/>
      <c r="T5854" s="11"/>
      <c r="U5854" s="11"/>
      <c r="V5854" s="11"/>
      <c r="W5854" s="11"/>
      <c r="X5854" s="11"/>
    </row>
    <row r="5855" spans="17:24" x14ac:dyDescent="0.25">
      <c r="Q5855" s="11"/>
      <c r="R5855" s="11"/>
      <c r="S5855" s="11"/>
      <c r="T5855" s="11"/>
      <c r="U5855" s="11"/>
      <c r="V5855" s="11"/>
      <c r="W5855" s="11"/>
      <c r="X5855" s="11"/>
    </row>
    <row r="5856" spans="17:24" x14ac:dyDescent="0.25">
      <c r="Q5856" s="11"/>
      <c r="R5856" s="11"/>
      <c r="S5856" s="11"/>
      <c r="T5856" s="11"/>
      <c r="U5856" s="11"/>
      <c r="V5856" s="11"/>
      <c r="W5856" s="11"/>
      <c r="X5856" s="11"/>
    </row>
    <row r="5857" spans="17:24" x14ac:dyDescent="0.25">
      <c r="Q5857" s="11"/>
      <c r="R5857" s="11"/>
      <c r="S5857" s="11"/>
      <c r="T5857" s="11"/>
      <c r="U5857" s="11"/>
      <c r="V5857" s="11"/>
      <c r="W5857" s="11"/>
      <c r="X5857" s="11"/>
    </row>
    <row r="5858" spans="17:24" x14ac:dyDescent="0.25">
      <c r="Q5858" s="11"/>
      <c r="R5858" s="11"/>
      <c r="S5858" s="11"/>
      <c r="T5858" s="11"/>
      <c r="U5858" s="11"/>
      <c r="V5858" s="11"/>
      <c r="W5858" s="11"/>
      <c r="X5858" s="11"/>
    </row>
    <row r="5859" spans="17:24" x14ac:dyDescent="0.25">
      <c r="Q5859" s="11"/>
      <c r="R5859" s="11"/>
      <c r="S5859" s="11"/>
      <c r="T5859" s="11"/>
      <c r="U5859" s="11"/>
      <c r="V5859" s="11"/>
      <c r="W5859" s="11"/>
      <c r="X5859" s="11"/>
    </row>
    <row r="5860" spans="17:24" x14ac:dyDescent="0.25">
      <c r="Q5860" s="11"/>
      <c r="R5860" s="11"/>
      <c r="S5860" s="11"/>
      <c r="T5860" s="11"/>
      <c r="U5860" s="11"/>
      <c r="V5860" s="11"/>
      <c r="W5860" s="11"/>
      <c r="X5860" s="11"/>
    </row>
    <row r="5861" spans="17:24" x14ac:dyDescent="0.25">
      <c r="Q5861" s="11"/>
      <c r="R5861" s="11"/>
      <c r="S5861" s="11"/>
      <c r="T5861" s="11"/>
      <c r="U5861" s="11"/>
      <c r="V5861" s="11"/>
      <c r="W5861" s="11"/>
      <c r="X5861" s="11"/>
    </row>
    <row r="5862" spans="17:24" x14ac:dyDescent="0.25">
      <c r="Q5862" s="11"/>
      <c r="R5862" s="11"/>
      <c r="S5862" s="11"/>
      <c r="T5862" s="11"/>
      <c r="U5862" s="11"/>
      <c r="V5862" s="11"/>
      <c r="W5862" s="11"/>
      <c r="X5862" s="11"/>
    </row>
    <row r="5863" spans="17:24" x14ac:dyDescent="0.25">
      <c r="Q5863" s="11"/>
      <c r="R5863" s="11"/>
      <c r="S5863" s="11"/>
      <c r="T5863" s="11"/>
      <c r="U5863" s="11"/>
      <c r="V5863" s="11"/>
      <c r="W5863" s="11"/>
      <c r="X5863" s="11"/>
    </row>
    <row r="5864" spans="17:24" x14ac:dyDescent="0.25">
      <c r="Q5864" s="11"/>
      <c r="R5864" s="11"/>
      <c r="S5864" s="11"/>
      <c r="T5864" s="11"/>
      <c r="U5864" s="11"/>
      <c r="V5864" s="11"/>
      <c r="W5864" s="11"/>
      <c r="X5864" s="11"/>
    </row>
    <row r="5865" spans="17:24" x14ac:dyDescent="0.25">
      <c r="Q5865" s="11"/>
      <c r="R5865" s="11"/>
      <c r="S5865" s="11"/>
      <c r="T5865" s="11"/>
      <c r="U5865" s="11"/>
      <c r="V5865" s="11"/>
      <c r="W5865" s="11"/>
      <c r="X5865" s="11"/>
    </row>
    <row r="5866" spans="17:24" x14ac:dyDescent="0.25">
      <c r="Q5866" s="11"/>
      <c r="R5866" s="11"/>
      <c r="S5866" s="11"/>
      <c r="T5866" s="11"/>
      <c r="U5866" s="11"/>
      <c r="V5866" s="11"/>
      <c r="W5866" s="11"/>
      <c r="X5866" s="11"/>
    </row>
    <row r="5867" spans="17:24" x14ac:dyDescent="0.25">
      <c r="Q5867" s="11"/>
      <c r="R5867" s="11"/>
      <c r="S5867" s="11"/>
      <c r="T5867" s="11"/>
      <c r="U5867" s="11"/>
      <c r="V5867" s="11"/>
      <c r="W5867" s="11"/>
      <c r="X5867" s="11"/>
    </row>
    <row r="5868" spans="17:24" x14ac:dyDescent="0.25">
      <c r="Q5868" s="11"/>
      <c r="R5868" s="11"/>
      <c r="S5868" s="11"/>
      <c r="T5868" s="11"/>
      <c r="U5868" s="11"/>
      <c r="V5868" s="11"/>
      <c r="W5868" s="11"/>
      <c r="X5868" s="11"/>
    </row>
    <row r="5869" spans="17:24" x14ac:dyDescent="0.25">
      <c r="Q5869" s="11"/>
      <c r="R5869" s="11"/>
      <c r="S5869" s="11"/>
      <c r="T5869" s="11"/>
      <c r="U5869" s="11"/>
      <c r="V5869" s="11"/>
      <c r="W5869" s="11"/>
      <c r="X5869" s="11"/>
    </row>
    <row r="5870" spans="17:24" x14ac:dyDescent="0.25">
      <c r="Q5870" s="11"/>
      <c r="R5870" s="11"/>
      <c r="S5870" s="11"/>
      <c r="T5870" s="11"/>
      <c r="U5870" s="11"/>
      <c r="V5870" s="11"/>
      <c r="W5870" s="11"/>
      <c r="X5870" s="11"/>
    </row>
    <row r="5871" spans="17:24" x14ac:dyDescent="0.25">
      <c r="Q5871" s="11"/>
      <c r="R5871" s="11"/>
      <c r="S5871" s="11"/>
      <c r="T5871" s="11"/>
      <c r="U5871" s="11"/>
      <c r="V5871" s="11"/>
      <c r="W5871" s="11"/>
      <c r="X5871" s="11"/>
    </row>
    <row r="5872" spans="17:24" x14ac:dyDescent="0.25">
      <c r="Q5872" s="11"/>
      <c r="R5872" s="11"/>
      <c r="S5872" s="11"/>
      <c r="T5872" s="11"/>
      <c r="U5872" s="11"/>
      <c r="V5872" s="11"/>
      <c r="W5872" s="11"/>
      <c r="X5872" s="11"/>
    </row>
    <row r="5873" spans="17:24" x14ac:dyDescent="0.25">
      <c r="Q5873" s="11"/>
      <c r="R5873" s="11"/>
      <c r="S5873" s="11"/>
      <c r="T5873" s="11"/>
      <c r="U5873" s="11"/>
      <c r="V5873" s="11"/>
      <c r="W5873" s="11"/>
      <c r="X5873" s="11"/>
    </row>
    <row r="5874" spans="17:24" x14ac:dyDescent="0.25">
      <c r="Q5874" s="11"/>
      <c r="R5874" s="11"/>
      <c r="S5874" s="11"/>
      <c r="T5874" s="11"/>
      <c r="U5874" s="11"/>
      <c r="V5874" s="11"/>
      <c r="W5874" s="11"/>
      <c r="X5874" s="11"/>
    </row>
    <row r="5875" spans="17:24" x14ac:dyDescent="0.25">
      <c r="Q5875" s="11"/>
      <c r="R5875" s="11"/>
      <c r="S5875" s="11"/>
      <c r="T5875" s="11"/>
      <c r="U5875" s="11"/>
      <c r="V5875" s="11"/>
      <c r="W5875" s="11"/>
      <c r="X5875" s="11"/>
    </row>
    <row r="5876" spans="17:24" x14ac:dyDescent="0.25">
      <c r="Q5876" s="11"/>
      <c r="R5876" s="11"/>
      <c r="S5876" s="11"/>
      <c r="T5876" s="11"/>
      <c r="U5876" s="11"/>
      <c r="V5876" s="11"/>
      <c r="W5876" s="11"/>
      <c r="X5876" s="11"/>
    </row>
    <row r="5877" spans="17:24" x14ac:dyDescent="0.25">
      <c r="Q5877" s="11"/>
      <c r="R5877" s="11"/>
      <c r="S5877" s="11"/>
      <c r="T5877" s="11"/>
      <c r="U5877" s="11"/>
      <c r="V5877" s="11"/>
      <c r="W5877" s="11"/>
      <c r="X5877" s="11"/>
    </row>
    <row r="5878" spans="17:24" x14ac:dyDescent="0.25">
      <c r="Q5878" s="11"/>
      <c r="R5878" s="11"/>
      <c r="S5878" s="11"/>
      <c r="T5878" s="11"/>
      <c r="U5878" s="11"/>
      <c r="V5878" s="11"/>
      <c r="W5878" s="11"/>
      <c r="X5878" s="11"/>
    </row>
    <row r="5879" spans="17:24" x14ac:dyDescent="0.25">
      <c r="Q5879" s="11"/>
      <c r="R5879" s="11"/>
      <c r="S5879" s="11"/>
      <c r="T5879" s="11"/>
      <c r="U5879" s="11"/>
      <c r="V5879" s="11"/>
      <c r="W5879" s="11"/>
      <c r="X5879" s="11"/>
    </row>
    <row r="5880" spans="17:24" x14ac:dyDescent="0.25">
      <c r="Q5880" s="11"/>
      <c r="R5880" s="11"/>
      <c r="S5880" s="11"/>
      <c r="T5880" s="11"/>
      <c r="U5880" s="11"/>
      <c r="V5880" s="11"/>
      <c r="W5880" s="11"/>
      <c r="X5880" s="11"/>
    </row>
    <row r="5881" spans="17:24" x14ac:dyDescent="0.25">
      <c r="Q5881" s="11"/>
      <c r="R5881" s="11"/>
      <c r="S5881" s="11"/>
      <c r="T5881" s="11"/>
      <c r="U5881" s="11"/>
      <c r="V5881" s="11"/>
      <c r="W5881" s="11"/>
      <c r="X5881" s="11"/>
    </row>
    <row r="5882" spans="17:24" x14ac:dyDescent="0.25">
      <c r="Q5882" s="11"/>
      <c r="R5882" s="11"/>
      <c r="S5882" s="11"/>
      <c r="T5882" s="11"/>
      <c r="U5882" s="11"/>
      <c r="V5882" s="11"/>
      <c r="W5882" s="11"/>
      <c r="X5882" s="11"/>
    </row>
    <row r="5883" spans="17:24" x14ac:dyDescent="0.25">
      <c r="Q5883" s="11"/>
      <c r="R5883" s="11"/>
      <c r="S5883" s="11"/>
      <c r="T5883" s="11"/>
      <c r="U5883" s="11"/>
      <c r="V5883" s="11"/>
      <c r="W5883" s="11"/>
      <c r="X5883" s="11"/>
    </row>
    <row r="5884" spans="17:24" x14ac:dyDescent="0.25">
      <c r="Q5884" s="11"/>
      <c r="R5884" s="11"/>
      <c r="S5884" s="11"/>
      <c r="T5884" s="11"/>
      <c r="U5884" s="11"/>
      <c r="V5884" s="11"/>
      <c r="W5884" s="11"/>
      <c r="X5884" s="11"/>
    </row>
    <row r="5885" spans="17:24" x14ac:dyDescent="0.25">
      <c r="Q5885" s="11"/>
      <c r="R5885" s="11"/>
      <c r="S5885" s="11"/>
      <c r="T5885" s="11"/>
      <c r="U5885" s="11"/>
      <c r="V5885" s="11"/>
      <c r="W5885" s="11"/>
      <c r="X5885" s="11"/>
    </row>
    <row r="5886" spans="17:24" x14ac:dyDescent="0.25">
      <c r="Q5886" s="11"/>
      <c r="R5886" s="11"/>
      <c r="S5886" s="11"/>
      <c r="T5886" s="11"/>
      <c r="U5886" s="11"/>
      <c r="V5886" s="11"/>
      <c r="W5886" s="11"/>
      <c r="X5886" s="11"/>
    </row>
    <row r="5887" spans="17:24" x14ac:dyDescent="0.25">
      <c r="Q5887" s="11"/>
      <c r="R5887" s="11"/>
      <c r="S5887" s="11"/>
      <c r="T5887" s="11"/>
      <c r="U5887" s="11"/>
      <c r="V5887" s="11"/>
      <c r="W5887" s="11"/>
      <c r="X5887" s="11"/>
    </row>
    <row r="5888" spans="17:24" x14ac:dyDescent="0.25">
      <c r="Q5888" s="11"/>
      <c r="R5888" s="11"/>
      <c r="S5888" s="11"/>
      <c r="T5888" s="11"/>
      <c r="U5888" s="11"/>
      <c r="V5888" s="11"/>
      <c r="W5888" s="11"/>
      <c r="X5888" s="11"/>
    </row>
    <row r="5889" spans="17:24" x14ac:dyDescent="0.25">
      <c r="Q5889" s="11"/>
      <c r="R5889" s="11"/>
      <c r="S5889" s="11"/>
      <c r="T5889" s="11"/>
      <c r="U5889" s="11"/>
      <c r="V5889" s="11"/>
      <c r="W5889" s="11"/>
      <c r="X5889" s="11"/>
    </row>
    <row r="5890" spans="17:24" x14ac:dyDescent="0.25">
      <c r="Q5890" s="11"/>
      <c r="R5890" s="11"/>
      <c r="S5890" s="11"/>
      <c r="T5890" s="11"/>
      <c r="U5890" s="11"/>
      <c r="V5890" s="11"/>
      <c r="W5890" s="11"/>
      <c r="X5890" s="11"/>
    </row>
    <row r="5891" spans="17:24" x14ac:dyDescent="0.25">
      <c r="Q5891" s="11"/>
      <c r="R5891" s="11"/>
      <c r="S5891" s="11"/>
      <c r="T5891" s="11"/>
      <c r="U5891" s="11"/>
      <c r="V5891" s="11"/>
      <c r="W5891" s="11"/>
      <c r="X5891" s="11"/>
    </row>
    <row r="5892" spans="17:24" x14ac:dyDescent="0.25">
      <c r="Q5892" s="11"/>
      <c r="R5892" s="11"/>
      <c r="S5892" s="11"/>
      <c r="T5892" s="11"/>
      <c r="U5892" s="11"/>
      <c r="V5892" s="11"/>
      <c r="W5892" s="11"/>
      <c r="X5892" s="11"/>
    </row>
    <row r="5893" spans="17:24" x14ac:dyDescent="0.25">
      <c r="Q5893" s="11"/>
      <c r="R5893" s="11"/>
      <c r="S5893" s="11"/>
      <c r="T5893" s="11"/>
      <c r="U5893" s="11"/>
      <c r="V5893" s="11"/>
      <c r="W5893" s="11"/>
      <c r="X5893" s="11"/>
    </row>
    <row r="5894" spans="17:24" x14ac:dyDescent="0.25">
      <c r="Q5894" s="11"/>
      <c r="R5894" s="11"/>
      <c r="S5894" s="11"/>
      <c r="T5894" s="11"/>
      <c r="U5894" s="11"/>
      <c r="V5894" s="11"/>
      <c r="W5894" s="11"/>
      <c r="X5894" s="11"/>
    </row>
    <row r="5895" spans="17:24" x14ac:dyDescent="0.25">
      <c r="Q5895" s="11"/>
      <c r="R5895" s="11"/>
      <c r="S5895" s="11"/>
      <c r="T5895" s="11"/>
      <c r="U5895" s="11"/>
      <c r="V5895" s="11"/>
      <c r="W5895" s="11"/>
      <c r="X5895" s="11"/>
    </row>
    <row r="5896" spans="17:24" x14ac:dyDescent="0.25">
      <c r="Q5896" s="11"/>
      <c r="R5896" s="11"/>
      <c r="S5896" s="11"/>
      <c r="T5896" s="11"/>
      <c r="U5896" s="11"/>
      <c r="V5896" s="11"/>
      <c r="W5896" s="11"/>
      <c r="X5896" s="11"/>
    </row>
    <row r="5897" spans="17:24" x14ac:dyDescent="0.25">
      <c r="Q5897" s="11"/>
      <c r="R5897" s="11"/>
      <c r="S5897" s="11"/>
      <c r="T5897" s="11"/>
      <c r="U5897" s="11"/>
      <c r="V5897" s="11"/>
      <c r="W5897" s="11"/>
      <c r="X5897" s="11"/>
    </row>
    <row r="5898" spans="17:24" x14ac:dyDescent="0.25">
      <c r="Q5898" s="11"/>
      <c r="R5898" s="11"/>
      <c r="S5898" s="11"/>
      <c r="T5898" s="11"/>
      <c r="U5898" s="11"/>
      <c r="V5898" s="11"/>
      <c r="W5898" s="11"/>
      <c r="X5898" s="11"/>
    </row>
    <row r="5899" spans="17:24" x14ac:dyDescent="0.25">
      <c r="Q5899" s="11"/>
      <c r="R5899" s="11"/>
      <c r="S5899" s="11"/>
      <c r="T5899" s="11"/>
      <c r="U5899" s="11"/>
      <c r="V5899" s="11"/>
      <c r="W5899" s="11"/>
      <c r="X5899" s="11"/>
    </row>
    <row r="5900" spans="17:24" x14ac:dyDescent="0.25">
      <c r="Q5900" s="11"/>
      <c r="R5900" s="11"/>
      <c r="S5900" s="11"/>
      <c r="T5900" s="11"/>
      <c r="U5900" s="11"/>
      <c r="V5900" s="11"/>
      <c r="W5900" s="11"/>
      <c r="X5900" s="11"/>
    </row>
    <row r="5901" spans="17:24" x14ac:dyDescent="0.25">
      <c r="Q5901" s="11"/>
      <c r="R5901" s="11"/>
      <c r="S5901" s="11"/>
      <c r="T5901" s="11"/>
      <c r="U5901" s="11"/>
      <c r="V5901" s="11"/>
      <c r="W5901" s="11"/>
      <c r="X5901" s="11"/>
    </row>
    <row r="5902" spans="17:24" x14ac:dyDescent="0.25">
      <c r="Q5902" s="11"/>
      <c r="R5902" s="11"/>
      <c r="S5902" s="11"/>
      <c r="T5902" s="11"/>
      <c r="U5902" s="11"/>
      <c r="V5902" s="11"/>
      <c r="W5902" s="11"/>
      <c r="X5902" s="11"/>
    </row>
    <row r="5903" spans="17:24" x14ac:dyDescent="0.25">
      <c r="Q5903" s="11"/>
      <c r="R5903" s="11"/>
      <c r="S5903" s="11"/>
      <c r="T5903" s="11"/>
      <c r="U5903" s="11"/>
      <c r="V5903" s="11"/>
      <c r="W5903" s="11"/>
      <c r="X5903" s="11"/>
    </row>
    <row r="5904" spans="17:24" x14ac:dyDescent="0.25">
      <c r="Q5904" s="11"/>
      <c r="R5904" s="11"/>
      <c r="S5904" s="11"/>
      <c r="T5904" s="11"/>
      <c r="U5904" s="11"/>
      <c r="V5904" s="11"/>
      <c r="W5904" s="11"/>
      <c r="X5904" s="11"/>
    </row>
    <row r="5905" spans="17:24" x14ac:dyDescent="0.25">
      <c r="Q5905" s="11"/>
      <c r="R5905" s="11"/>
      <c r="S5905" s="11"/>
      <c r="T5905" s="11"/>
      <c r="U5905" s="11"/>
      <c r="V5905" s="11"/>
      <c r="W5905" s="11"/>
      <c r="X5905" s="11"/>
    </row>
    <row r="5906" spans="17:24" x14ac:dyDescent="0.25">
      <c r="Q5906" s="11"/>
      <c r="R5906" s="11"/>
      <c r="S5906" s="11"/>
      <c r="T5906" s="11"/>
      <c r="U5906" s="11"/>
      <c r="V5906" s="11"/>
      <c r="W5906" s="11"/>
      <c r="X5906" s="11"/>
    </row>
    <row r="5907" spans="17:24" x14ac:dyDescent="0.25">
      <c r="Q5907" s="11"/>
      <c r="R5907" s="11"/>
      <c r="S5907" s="11"/>
      <c r="T5907" s="11"/>
      <c r="U5907" s="11"/>
      <c r="V5907" s="11"/>
      <c r="W5907" s="11"/>
      <c r="X5907" s="11"/>
    </row>
    <row r="5908" spans="17:24" x14ac:dyDescent="0.25">
      <c r="Q5908" s="11"/>
      <c r="R5908" s="11"/>
      <c r="S5908" s="11"/>
      <c r="T5908" s="11"/>
      <c r="U5908" s="11"/>
      <c r="V5908" s="11"/>
      <c r="W5908" s="11"/>
      <c r="X5908" s="11"/>
    </row>
    <row r="5909" spans="17:24" x14ac:dyDescent="0.25">
      <c r="Q5909" s="11"/>
      <c r="R5909" s="11"/>
      <c r="S5909" s="11"/>
      <c r="T5909" s="11"/>
      <c r="U5909" s="11"/>
      <c r="V5909" s="11"/>
      <c r="W5909" s="11"/>
      <c r="X5909" s="11"/>
    </row>
    <row r="5910" spans="17:24" x14ac:dyDescent="0.25">
      <c r="Q5910" s="11"/>
      <c r="R5910" s="11"/>
      <c r="S5910" s="11"/>
      <c r="T5910" s="11"/>
      <c r="U5910" s="11"/>
      <c r="V5910" s="11"/>
      <c r="W5910" s="11"/>
      <c r="X5910" s="11"/>
    </row>
    <row r="5911" spans="17:24" x14ac:dyDescent="0.25">
      <c r="Q5911" s="11"/>
      <c r="R5911" s="11"/>
      <c r="S5911" s="11"/>
      <c r="T5911" s="11"/>
      <c r="U5911" s="11"/>
      <c r="V5911" s="11"/>
      <c r="W5911" s="11"/>
      <c r="X5911" s="11"/>
    </row>
    <row r="5912" spans="17:24" x14ac:dyDescent="0.25">
      <c r="Q5912" s="11"/>
      <c r="R5912" s="11"/>
      <c r="S5912" s="11"/>
      <c r="T5912" s="11"/>
      <c r="U5912" s="11"/>
      <c r="V5912" s="11"/>
      <c r="W5912" s="11"/>
      <c r="X5912" s="11"/>
    </row>
    <row r="5913" spans="17:24" x14ac:dyDescent="0.25">
      <c r="Q5913" s="11"/>
      <c r="R5913" s="11"/>
      <c r="S5913" s="11"/>
      <c r="T5913" s="11"/>
      <c r="U5913" s="11"/>
      <c r="V5913" s="11"/>
      <c r="W5913" s="11"/>
      <c r="X5913" s="11"/>
    </row>
    <row r="5914" spans="17:24" x14ac:dyDescent="0.25">
      <c r="Q5914" s="11"/>
      <c r="R5914" s="11"/>
      <c r="S5914" s="11"/>
      <c r="T5914" s="11"/>
      <c r="U5914" s="11"/>
      <c r="V5914" s="11"/>
      <c r="W5914" s="11"/>
      <c r="X5914" s="11"/>
    </row>
    <row r="5915" spans="17:24" x14ac:dyDescent="0.25">
      <c r="Q5915" s="11"/>
      <c r="R5915" s="11"/>
      <c r="S5915" s="11"/>
      <c r="T5915" s="11"/>
      <c r="U5915" s="11"/>
      <c r="V5915" s="11"/>
      <c r="W5915" s="11"/>
      <c r="X5915" s="11"/>
    </row>
    <row r="5916" spans="17:24" x14ac:dyDescent="0.25">
      <c r="Q5916" s="11"/>
      <c r="R5916" s="11"/>
      <c r="S5916" s="11"/>
      <c r="T5916" s="11"/>
      <c r="U5916" s="11"/>
      <c r="V5916" s="11"/>
      <c r="W5916" s="11"/>
      <c r="X5916" s="11"/>
    </row>
    <row r="5917" spans="17:24" x14ac:dyDescent="0.25">
      <c r="Q5917" s="11"/>
      <c r="R5917" s="11"/>
      <c r="S5917" s="11"/>
      <c r="T5917" s="11"/>
      <c r="U5917" s="11"/>
      <c r="V5917" s="11"/>
      <c r="W5917" s="11"/>
      <c r="X5917" s="11"/>
    </row>
    <row r="5918" spans="17:24" x14ac:dyDescent="0.25">
      <c r="Q5918" s="11"/>
      <c r="R5918" s="11"/>
      <c r="S5918" s="11"/>
      <c r="T5918" s="11"/>
      <c r="U5918" s="11"/>
      <c r="V5918" s="11"/>
      <c r="W5918" s="11"/>
      <c r="X5918" s="11"/>
    </row>
    <row r="5919" spans="17:24" x14ac:dyDescent="0.25">
      <c r="Q5919" s="11"/>
      <c r="R5919" s="11"/>
      <c r="S5919" s="11"/>
      <c r="T5919" s="11"/>
      <c r="U5919" s="11"/>
      <c r="V5919" s="11"/>
      <c r="W5919" s="11"/>
      <c r="X5919" s="11"/>
    </row>
    <row r="5920" spans="17:24" x14ac:dyDescent="0.25">
      <c r="Q5920" s="11"/>
      <c r="R5920" s="11"/>
      <c r="S5920" s="11"/>
      <c r="T5920" s="11"/>
      <c r="U5920" s="11"/>
      <c r="V5920" s="11"/>
      <c r="W5920" s="11"/>
      <c r="X5920" s="11"/>
    </row>
    <row r="5921" spans="17:24" x14ac:dyDescent="0.25">
      <c r="Q5921" s="11"/>
      <c r="R5921" s="11"/>
      <c r="S5921" s="11"/>
      <c r="T5921" s="11"/>
      <c r="U5921" s="11"/>
      <c r="V5921" s="11"/>
      <c r="W5921" s="11"/>
      <c r="X5921" s="11"/>
    </row>
    <row r="5922" spans="17:24" x14ac:dyDescent="0.25">
      <c r="Q5922" s="11"/>
      <c r="R5922" s="11"/>
      <c r="S5922" s="11"/>
      <c r="T5922" s="11"/>
      <c r="U5922" s="11"/>
      <c r="V5922" s="11"/>
      <c r="W5922" s="11"/>
      <c r="X5922" s="11"/>
    </row>
    <row r="5923" spans="17:24" x14ac:dyDescent="0.25">
      <c r="Q5923" s="11"/>
      <c r="R5923" s="11"/>
      <c r="S5923" s="11"/>
      <c r="T5923" s="11"/>
      <c r="U5923" s="11"/>
      <c r="V5923" s="11"/>
      <c r="W5923" s="11"/>
      <c r="X5923" s="11"/>
    </row>
    <row r="5924" spans="17:24" x14ac:dyDescent="0.25">
      <c r="Q5924" s="11"/>
      <c r="R5924" s="11"/>
      <c r="S5924" s="11"/>
      <c r="T5924" s="11"/>
      <c r="U5924" s="11"/>
      <c r="V5924" s="11"/>
      <c r="W5924" s="11"/>
      <c r="X5924" s="11"/>
    </row>
    <row r="5925" spans="17:24" x14ac:dyDescent="0.25">
      <c r="Q5925" s="11"/>
      <c r="R5925" s="11"/>
      <c r="S5925" s="11"/>
      <c r="T5925" s="11"/>
      <c r="U5925" s="11"/>
      <c r="V5925" s="11"/>
      <c r="W5925" s="11"/>
      <c r="X5925" s="11"/>
    </row>
    <row r="5926" spans="17:24" x14ac:dyDescent="0.25">
      <c r="Q5926" s="11"/>
      <c r="R5926" s="11"/>
      <c r="S5926" s="11"/>
      <c r="T5926" s="11"/>
      <c r="U5926" s="11"/>
      <c r="V5926" s="11"/>
      <c r="W5926" s="11"/>
      <c r="X5926" s="11"/>
    </row>
    <row r="5927" spans="17:24" x14ac:dyDescent="0.25">
      <c r="Q5927" s="11"/>
      <c r="R5927" s="11"/>
      <c r="S5927" s="11"/>
      <c r="T5927" s="11"/>
      <c r="U5927" s="11"/>
      <c r="V5927" s="11"/>
      <c r="W5927" s="11"/>
      <c r="X5927" s="11"/>
    </row>
    <row r="5928" spans="17:24" x14ac:dyDescent="0.25">
      <c r="Q5928" s="11"/>
      <c r="R5928" s="11"/>
      <c r="S5928" s="11"/>
      <c r="T5928" s="11"/>
      <c r="U5928" s="11"/>
      <c r="V5928" s="11"/>
      <c r="W5928" s="11"/>
      <c r="X5928" s="11"/>
    </row>
    <row r="5929" spans="17:24" x14ac:dyDescent="0.25">
      <c r="Q5929" s="11"/>
      <c r="R5929" s="11"/>
      <c r="S5929" s="11"/>
      <c r="T5929" s="11"/>
      <c r="U5929" s="11"/>
      <c r="V5929" s="11"/>
      <c r="W5929" s="11"/>
      <c r="X5929" s="11"/>
    </row>
    <row r="5930" spans="17:24" x14ac:dyDescent="0.25">
      <c r="Q5930" s="11"/>
      <c r="R5930" s="11"/>
      <c r="S5930" s="11"/>
      <c r="T5930" s="11"/>
      <c r="U5930" s="11"/>
      <c r="V5930" s="11"/>
      <c r="W5930" s="11"/>
      <c r="X5930" s="11"/>
    </row>
    <row r="5931" spans="17:24" x14ac:dyDescent="0.25">
      <c r="Q5931" s="11"/>
      <c r="R5931" s="11"/>
      <c r="S5931" s="11"/>
      <c r="T5931" s="11"/>
      <c r="U5931" s="11"/>
      <c r="V5931" s="11"/>
      <c r="W5931" s="11"/>
      <c r="X5931" s="11"/>
    </row>
    <row r="5932" spans="17:24" x14ac:dyDescent="0.25">
      <c r="Q5932" s="11"/>
      <c r="R5932" s="11"/>
      <c r="S5932" s="11"/>
      <c r="T5932" s="11"/>
      <c r="U5932" s="11"/>
      <c r="V5932" s="11"/>
      <c r="W5932" s="11"/>
      <c r="X5932" s="11"/>
    </row>
    <row r="5933" spans="17:24" x14ac:dyDescent="0.25">
      <c r="Q5933" s="11"/>
      <c r="R5933" s="11"/>
      <c r="S5933" s="11"/>
      <c r="T5933" s="11"/>
      <c r="U5933" s="11"/>
      <c r="V5933" s="11"/>
      <c r="W5933" s="11"/>
      <c r="X5933" s="11"/>
    </row>
    <row r="5934" spans="17:24" x14ac:dyDescent="0.25">
      <c r="Q5934" s="11"/>
      <c r="R5934" s="11"/>
      <c r="S5934" s="11"/>
      <c r="T5934" s="11"/>
      <c r="U5934" s="11"/>
      <c r="V5934" s="11"/>
      <c r="W5934" s="11"/>
      <c r="X5934" s="11"/>
    </row>
    <row r="5935" spans="17:24" x14ac:dyDescent="0.25">
      <c r="Q5935" s="11"/>
      <c r="R5935" s="11"/>
      <c r="S5935" s="11"/>
      <c r="T5935" s="11"/>
      <c r="U5935" s="11"/>
      <c r="V5935" s="11"/>
      <c r="W5935" s="11"/>
      <c r="X5935" s="11"/>
    </row>
    <row r="5936" spans="17:24" x14ac:dyDescent="0.25">
      <c r="Q5936" s="11"/>
      <c r="R5936" s="11"/>
      <c r="S5936" s="11"/>
      <c r="T5936" s="11"/>
      <c r="U5936" s="11"/>
      <c r="V5936" s="11"/>
      <c r="W5936" s="11"/>
      <c r="X5936" s="11"/>
    </row>
    <row r="5937" spans="17:24" x14ac:dyDescent="0.25">
      <c r="Q5937" s="11"/>
      <c r="R5937" s="11"/>
      <c r="S5937" s="11"/>
      <c r="T5937" s="11"/>
      <c r="U5937" s="11"/>
      <c r="V5937" s="11"/>
      <c r="W5937" s="11"/>
      <c r="X5937" s="11"/>
    </row>
    <row r="5938" spans="17:24" x14ac:dyDescent="0.25">
      <c r="Q5938" s="11"/>
      <c r="R5938" s="11"/>
      <c r="S5938" s="11"/>
      <c r="T5938" s="11"/>
      <c r="U5938" s="11"/>
      <c r="V5938" s="11"/>
      <c r="W5938" s="11"/>
      <c r="X5938" s="11"/>
    </row>
    <row r="5939" spans="17:24" x14ac:dyDescent="0.25">
      <c r="Q5939" s="11"/>
      <c r="R5939" s="11"/>
      <c r="S5939" s="11"/>
      <c r="T5939" s="11"/>
      <c r="U5939" s="11"/>
      <c r="V5939" s="11"/>
      <c r="W5939" s="11"/>
      <c r="X5939" s="11"/>
    </row>
    <row r="5940" spans="17:24" x14ac:dyDescent="0.25">
      <c r="Q5940" s="11"/>
      <c r="R5940" s="11"/>
      <c r="S5940" s="11"/>
      <c r="T5940" s="11"/>
      <c r="U5940" s="11"/>
      <c r="V5940" s="11"/>
      <c r="W5940" s="11"/>
      <c r="X5940" s="11"/>
    </row>
    <row r="5941" spans="17:24" x14ac:dyDescent="0.25">
      <c r="Q5941" s="11"/>
      <c r="R5941" s="11"/>
      <c r="S5941" s="11"/>
      <c r="T5941" s="11"/>
      <c r="U5941" s="11"/>
      <c r="V5941" s="11"/>
      <c r="W5941" s="11"/>
      <c r="X5941" s="11"/>
    </row>
    <row r="5942" spans="17:24" x14ac:dyDescent="0.25">
      <c r="Q5942" s="11"/>
      <c r="R5942" s="11"/>
      <c r="S5942" s="11"/>
      <c r="T5942" s="11"/>
      <c r="U5942" s="11"/>
      <c r="V5942" s="11"/>
      <c r="W5942" s="11"/>
      <c r="X5942" s="11"/>
    </row>
    <row r="5943" spans="17:24" x14ac:dyDescent="0.25">
      <c r="Q5943" s="11"/>
      <c r="R5943" s="11"/>
      <c r="S5943" s="11"/>
      <c r="T5943" s="11"/>
      <c r="U5943" s="11"/>
      <c r="V5943" s="11"/>
      <c r="W5943" s="11"/>
      <c r="X5943" s="11"/>
    </row>
    <row r="5944" spans="17:24" x14ac:dyDescent="0.25">
      <c r="Q5944" s="11"/>
      <c r="R5944" s="11"/>
      <c r="S5944" s="11"/>
      <c r="T5944" s="11"/>
      <c r="U5944" s="11"/>
      <c r="V5944" s="11"/>
      <c r="W5944" s="11"/>
      <c r="X5944" s="11"/>
    </row>
    <row r="5945" spans="17:24" x14ac:dyDescent="0.25">
      <c r="Q5945" s="11"/>
      <c r="R5945" s="11"/>
      <c r="S5945" s="11"/>
      <c r="T5945" s="11"/>
      <c r="U5945" s="11"/>
      <c r="V5945" s="11"/>
      <c r="W5945" s="11"/>
      <c r="X5945" s="11"/>
    </row>
    <row r="5946" spans="17:24" x14ac:dyDescent="0.25">
      <c r="Q5946" s="11"/>
      <c r="R5946" s="11"/>
      <c r="S5946" s="11"/>
      <c r="T5946" s="11"/>
      <c r="U5946" s="11"/>
      <c r="V5946" s="11"/>
      <c r="W5946" s="11"/>
      <c r="X5946" s="11"/>
    </row>
    <row r="5947" spans="17:24" x14ac:dyDescent="0.25">
      <c r="Q5947" s="11"/>
      <c r="R5947" s="11"/>
      <c r="S5947" s="11"/>
      <c r="T5947" s="11"/>
      <c r="U5947" s="11"/>
      <c r="V5947" s="11"/>
      <c r="W5947" s="11"/>
      <c r="X5947" s="11"/>
    </row>
    <row r="5948" spans="17:24" x14ac:dyDescent="0.25">
      <c r="Q5948" s="11"/>
      <c r="R5948" s="11"/>
      <c r="S5948" s="11"/>
      <c r="T5948" s="11"/>
      <c r="U5948" s="11"/>
      <c r="V5948" s="11"/>
      <c r="W5948" s="11"/>
      <c r="X5948" s="11"/>
    </row>
    <row r="5949" spans="17:24" x14ac:dyDescent="0.25">
      <c r="Q5949" s="11"/>
      <c r="R5949" s="11"/>
      <c r="S5949" s="11"/>
      <c r="T5949" s="11"/>
      <c r="U5949" s="11"/>
      <c r="V5949" s="11"/>
      <c r="W5949" s="11"/>
      <c r="X5949" s="11"/>
    </row>
    <row r="5950" spans="17:24" x14ac:dyDescent="0.25">
      <c r="Q5950" s="11"/>
      <c r="R5950" s="11"/>
      <c r="S5950" s="11"/>
      <c r="T5950" s="11"/>
      <c r="U5950" s="11"/>
      <c r="V5950" s="11"/>
      <c r="W5950" s="11"/>
      <c r="X5950" s="11"/>
    </row>
    <row r="5951" spans="17:24" x14ac:dyDescent="0.25">
      <c r="Q5951" s="11"/>
      <c r="R5951" s="11"/>
      <c r="S5951" s="11"/>
      <c r="T5951" s="11"/>
      <c r="U5951" s="11"/>
      <c r="V5951" s="11"/>
      <c r="W5951" s="11"/>
      <c r="X5951" s="11"/>
    </row>
    <row r="5952" spans="17:24" x14ac:dyDescent="0.25">
      <c r="Q5952" s="11"/>
      <c r="R5952" s="11"/>
      <c r="S5952" s="11"/>
      <c r="T5952" s="11"/>
      <c r="U5952" s="11"/>
      <c r="V5952" s="11"/>
      <c r="W5952" s="11"/>
      <c r="X5952" s="11"/>
    </row>
    <row r="5953" spans="17:24" x14ac:dyDescent="0.25">
      <c r="Q5953" s="11"/>
      <c r="R5953" s="11"/>
      <c r="S5953" s="11"/>
      <c r="T5953" s="11"/>
      <c r="U5953" s="11"/>
      <c r="V5953" s="11"/>
      <c r="W5953" s="11"/>
      <c r="X5953" s="11"/>
    </row>
    <row r="5954" spans="17:24" x14ac:dyDescent="0.25">
      <c r="Q5954" s="11"/>
      <c r="R5954" s="11"/>
      <c r="S5954" s="11"/>
      <c r="T5954" s="11"/>
      <c r="U5954" s="11"/>
      <c r="V5954" s="11"/>
      <c r="W5954" s="11"/>
      <c r="X5954" s="11"/>
    </row>
    <row r="5955" spans="17:24" x14ac:dyDescent="0.25">
      <c r="Q5955" s="11"/>
      <c r="R5955" s="11"/>
      <c r="S5955" s="11"/>
      <c r="T5955" s="11"/>
      <c r="U5955" s="11"/>
      <c r="V5955" s="11"/>
      <c r="W5955" s="11"/>
      <c r="X5955" s="11"/>
    </row>
    <row r="5956" spans="17:24" x14ac:dyDescent="0.25">
      <c r="Q5956" s="11"/>
      <c r="R5956" s="11"/>
      <c r="S5956" s="11"/>
      <c r="T5956" s="11"/>
      <c r="U5956" s="11"/>
      <c r="V5956" s="11"/>
      <c r="W5956" s="11"/>
      <c r="X5956" s="11"/>
    </row>
  </sheetData>
  <sheetProtection password="8E81" sheet="1" objects="1" scenarios="1" formatCells="0" formatColumns="0"/>
  <mergeCells count="4">
    <mergeCell ref="A41:H68"/>
    <mergeCell ref="B3:C3"/>
    <mergeCell ref="H11:I11"/>
    <mergeCell ref="A19:C19"/>
  </mergeCells>
  <phoneticPr fontId="0" type="noConversion"/>
  <printOptions horizontalCentered="1"/>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60"/>
  <sheetViews>
    <sheetView topLeftCell="A4" zoomScale="80" zoomScaleNormal="80" workbookViewId="0">
      <selection activeCell="T29" sqref="T29"/>
    </sheetView>
  </sheetViews>
  <sheetFormatPr defaultRowHeight="12.5" x14ac:dyDescent="0.25"/>
  <cols>
    <col min="1" max="1" width="21.7265625" customWidth="1"/>
    <col min="10" max="12" width="9.1796875" customWidth="1"/>
    <col min="21" max="21" width="23" customWidth="1"/>
  </cols>
  <sheetData>
    <row r="1" spans="1:11" ht="27" customHeight="1" x14ac:dyDescent="0.25">
      <c r="A1" s="119"/>
      <c r="B1" s="119"/>
      <c r="C1" s="119"/>
      <c r="D1" s="119"/>
      <c r="E1" s="119"/>
      <c r="F1" s="119"/>
      <c r="G1" s="119"/>
    </row>
    <row r="2" spans="1:11" ht="12.75" customHeight="1" x14ac:dyDescent="0.25">
      <c r="A2" s="119"/>
      <c r="B2" s="119"/>
      <c r="C2" s="119"/>
      <c r="D2" s="119"/>
      <c r="E2" s="119"/>
      <c r="F2" s="119"/>
      <c r="G2" s="119"/>
    </row>
    <row r="3" spans="1:11" ht="12.75" customHeight="1" x14ac:dyDescent="0.25">
      <c r="A3" s="119"/>
      <c r="B3" s="119"/>
      <c r="C3" s="119"/>
      <c r="D3" s="119"/>
      <c r="E3" s="119"/>
      <c r="F3" s="119"/>
      <c r="G3" s="119"/>
    </row>
    <row r="4" spans="1:11" ht="12.75" customHeight="1" x14ac:dyDescent="0.25">
      <c r="A4" s="119"/>
      <c r="B4" s="119"/>
      <c r="C4" s="119"/>
      <c r="D4" s="119"/>
      <c r="E4" s="119"/>
      <c r="F4" s="119"/>
      <c r="G4" s="119"/>
    </row>
    <row r="5" spans="1:11" ht="12.75" customHeight="1" x14ac:dyDescent="0.25">
      <c r="A5" s="119"/>
      <c r="B5" s="119"/>
      <c r="C5" s="119"/>
      <c r="D5" s="119"/>
      <c r="E5" s="119"/>
      <c r="F5" s="119"/>
      <c r="G5" s="119"/>
    </row>
    <row r="6" spans="1:11" ht="12.75" customHeight="1" x14ac:dyDescent="0.25">
      <c r="A6" s="119"/>
      <c r="B6" s="119"/>
      <c r="C6" s="119"/>
      <c r="D6" s="119"/>
      <c r="E6" s="119"/>
      <c r="F6" s="119"/>
      <c r="G6" s="119"/>
      <c r="I6" s="115"/>
      <c r="J6" s="115"/>
    </row>
    <row r="7" spans="1:11" ht="12.75" customHeight="1" x14ac:dyDescent="0.25">
      <c r="A7" s="119"/>
      <c r="B7" s="119"/>
      <c r="C7" s="119"/>
      <c r="D7" s="119"/>
      <c r="E7" s="119"/>
      <c r="F7" s="119"/>
      <c r="G7" s="119"/>
      <c r="I7" s="115"/>
      <c r="J7" s="115"/>
    </row>
    <row r="8" spans="1:11" ht="12.75" customHeight="1" x14ac:dyDescent="0.25">
      <c r="A8" s="119"/>
      <c r="B8" s="119"/>
      <c r="C8" s="119"/>
      <c r="D8" s="119"/>
      <c r="E8" s="119"/>
      <c r="F8" s="119"/>
      <c r="G8" s="119"/>
      <c r="I8" s="115"/>
      <c r="J8" s="115"/>
      <c r="K8" s="120"/>
    </row>
    <row r="9" spans="1:11" ht="12.75" customHeight="1" x14ac:dyDescent="0.25">
      <c r="A9" s="119"/>
      <c r="B9" s="119"/>
      <c r="C9" s="119"/>
      <c r="D9" s="119"/>
      <c r="E9" s="119"/>
      <c r="F9" s="119"/>
      <c r="G9" s="119"/>
      <c r="I9" s="115"/>
      <c r="J9" s="115"/>
    </row>
    <row r="10" spans="1:11" ht="12.75" customHeight="1" x14ac:dyDescent="0.25">
      <c r="A10" s="119"/>
      <c r="B10" s="119"/>
      <c r="C10" s="119"/>
      <c r="D10" s="119"/>
      <c r="E10" s="119"/>
      <c r="F10" s="119"/>
      <c r="G10" s="119"/>
      <c r="K10" s="191"/>
    </row>
    <row r="11" spans="1:11" ht="12.75" customHeight="1" x14ac:dyDescent="0.25">
      <c r="A11" s="119"/>
      <c r="B11" s="119"/>
      <c r="C11" s="119"/>
      <c r="D11" s="119"/>
      <c r="E11" s="119"/>
      <c r="F11" s="119"/>
      <c r="G11" s="119"/>
      <c r="H11" s="191" t="str">
        <f>'Installed Flow'!B3</f>
        <v>Neles RE</v>
      </c>
    </row>
    <row r="12" spans="1:11" ht="12.75" customHeight="1" x14ac:dyDescent="0.25">
      <c r="A12" s="119"/>
      <c r="B12" s="119"/>
      <c r="C12" s="119"/>
      <c r="D12" s="119"/>
      <c r="E12" s="119"/>
      <c r="F12" s="119"/>
      <c r="G12" s="119"/>
      <c r="H12" s="169" t="str">
        <f>'Installed Flow'!B4</f>
        <v>3 inch</v>
      </c>
    </row>
    <row r="13" spans="1:11" ht="12.75" customHeight="1" x14ac:dyDescent="0.25">
      <c r="A13" s="119"/>
      <c r="B13" s="119"/>
      <c r="C13" s="119"/>
      <c r="D13" s="119"/>
      <c r="E13" s="119"/>
      <c r="F13" s="119"/>
      <c r="G13" s="119"/>
      <c r="H13" s="191" t="str">
        <f>'Valve Sizing'!E2</f>
        <v>PV123</v>
      </c>
      <c r="I13" s="191"/>
      <c r="J13" s="191"/>
    </row>
    <row r="14" spans="1:11" ht="12.75" customHeight="1" x14ac:dyDescent="0.25">
      <c r="A14" s="119"/>
      <c r="B14" s="119"/>
      <c r="C14" s="119"/>
      <c r="D14" s="119"/>
      <c r="E14" s="119"/>
      <c r="F14" s="119"/>
      <c r="G14" s="119"/>
    </row>
    <row r="15" spans="1:11" ht="12.75" customHeight="1" x14ac:dyDescent="0.25">
      <c r="A15" s="119"/>
      <c r="B15" s="119"/>
      <c r="C15" s="119"/>
      <c r="D15" s="119"/>
      <c r="E15" s="119"/>
      <c r="F15" s="119"/>
      <c r="G15" s="119"/>
    </row>
    <row r="16" spans="1:11" ht="12.75" customHeight="1" x14ac:dyDescent="0.25">
      <c r="A16" s="119"/>
      <c r="B16" s="119"/>
      <c r="C16" s="119"/>
      <c r="D16" s="119"/>
      <c r="E16" s="119"/>
      <c r="F16" s="119"/>
      <c r="G16" s="119"/>
    </row>
    <row r="17" spans="1:22" ht="12.75" customHeight="1" x14ac:dyDescent="0.25">
      <c r="A17" s="119"/>
      <c r="B17" s="119"/>
      <c r="C17" s="119"/>
      <c r="D17" s="119"/>
      <c r="E17" s="119"/>
      <c r="F17" s="119"/>
      <c r="G17" s="119"/>
      <c r="M17" s="181"/>
    </row>
    <row r="18" spans="1:22" ht="12.75" customHeight="1" x14ac:dyDescent="0.25">
      <c r="A18" s="119"/>
      <c r="B18" s="119"/>
      <c r="C18" s="119"/>
      <c r="D18" s="119"/>
      <c r="E18" s="119"/>
      <c r="F18" s="119"/>
      <c r="G18" s="119"/>
      <c r="M18" s="181"/>
    </row>
    <row r="19" spans="1:22" ht="12.75" customHeight="1" x14ac:dyDescent="0.35">
      <c r="A19" s="119"/>
      <c r="B19" s="119"/>
      <c r="C19" s="119"/>
      <c r="D19" s="119"/>
      <c r="E19" s="119"/>
      <c r="F19" s="119"/>
      <c r="G19" s="119"/>
      <c r="M19" s="182"/>
    </row>
    <row r="20" spans="1:22" ht="12.75" customHeight="1" x14ac:dyDescent="0.25">
      <c r="A20" s="119"/>
      <c r="B20" s="119"/>
      <c r="C20" s="119"/>
      <c r="D20" s="119"/>
      <c r="E20" s="119"/>
      <c r="F20" s="119"/>
      <c r="G20" s="119"/>
      <c r="H20" s="123" t="s">
        <v>294</v>
      </c>
      <c r="I20" s="193"/>
      <c r="M20" s="181"/>
    </row>
    <row r="21" spans="1:22" ht="12.75" customHeight="1" x14ac:dyDescent="0.25">
      <c r="A21" s="119"/>
      <c r="B21" s="119"/>
      <c r="C21" s="119"/>
      <c r="D21" s="119"/>
      <c r="E21" s="119"/>
      <c r="F21" s="119"/>
      <c r="G21" s="119"/>
      <c r="H21" s="193"/>
      <c r="I21" s="189" t="s">
        <v>293</v>
      </c>
      <c r="J21" s="121">
        <f>Q_max</f>
        <v>550</v>
      </c>
    </row>
    <row r="22" spans="1:22" ht="12.75" customHeight="1" x14ac:dyDescent="0.25">
      <c r="A22" s="119"/>
      <c r="B22" s="119"/>
      <c r="C22" s="119"/>
      <c r="D22" s="119"/>
      <c r="E22" s="119"/>
      <c r="F22" s="119"/>
      <c r="G22" s="119"/>
      <c r="H22" s="189"/>
      <c r="I22" s="189"/>
      <c r="J22" s="124"/>
    </row>
    <row r="23" spans="1:22" ht="12.75" customHeight="1" x14ac:dyDescent="0.25">
      <c r="A23" s="119"/>
      <c r="B23" s="119"/>
      <c r="C23" s="119"/>
      <c r="D23" s="119"/>
      <c r="E23" s="119"/>
      <c r="F23" s="119"/>
      <c r="G23" s="119"/>
      <c r="J23" s="124"/>
    </row>
    <row r="24" spans="1:22" ht="12.75" customHeight="1" x14ac:dyDescent="0.25">
      <c r="A24" s="119"/>
      <c r="B24" s="119"/>
      <c r="C24" s="119"/>
      <c r="D24" s="119"/>
      <c r="E24" s="119"/>
      <c r="F24" s="119"/>
      <c r="G24" s="119"/>
      <c r="H24" s="123" t="s">
        <v>295</v>
      </c>
      <c r="I24" s="198"/>
    </row>
    <row r="25" spans="1:22" ht="12.75" customHeight="1" x14ac:dyDescent="0.25">
      <c r="A25" s="119"/>
      <c r="B25" s="119"/>
      <c r="C25" s="119"/>
      <c r="D25" s="119"/>
      <c r="E25" s="119"/>
      <c r="F25" s="119"/>
      <c r="G25" s="119"/>
      <c r="H25" s="193"/>
      <c r="I25" s="189" t="s">
        <v>293</v>
      </c>
      <c r="J25" s="122">
        <f>Q_min</f>
        <v>80</v>
      </c>
    </row>
    <row r="26" spans="1:22" ht="12.75" customHeight="1" x14ac:dyDescent="0.25">
      <c r="A26" s="119"/>
      <c r="B26" s="119"/>
      <c r="C26" s="119"/>
      <c r="D26" s="119"/>
      <c r="E26" s="119"/>
      <c r="F26" s="119"/>
      <c r="G26" s="119"/>
    </row>
    <row r="27" spans="1:22" ht="12.75" customHeight="1" x14ac:dyDescent="0.25">
      <c r="A27" s="119"/>
      <c r="B27" s="119"/>
      <c r="C27" s="119"/>
      <c r="D27" s="119"/>
      <c r="E27" s="119"/>
      <c r="F27" s="119"/>
      <c r="G27" s="119"/>
    </row>
    <row r="28" spans="1:22" ht="12.75" customHeight="1" x14ac:dyDescent="0.25">
      <c r="A28" s="119"/>
      <c r="B28" s="119"/>
      <c r="C28" s="119"/>
      <c r="D28" s="119"/>
      <c r="E28" s="119"/>
      <c r="F28" s="119"/>
      <c r="G28" s="119"/>
      <c r="H28" s="123"/>
    </row>
    <row r="29" spans="1:22" ht="12.75" customHeight="1" x14ac:dyDescent="0.25">
      <c r="A29" s="119"/>
      <c r="B29" s="119"/>
      <c r="C29" s="119"/>
      <c r="D29" s="119"/>
      <c r="E29" s="119"/>
      <c r="F29" s="119"/>
      <c r="G29" s="119"/>
      <c r="H29" s="169"/>
      <c r="I29" s="189" t="s">
        <v>286</v>
      </c>
      <c r="J29" s="61" t="str">
        <f>'Valve Sizing'!B3</f>
        <v>gpm</v>
      </c>
    </row>
    <row r="30" spans="1:22" ht="12.75" customHeight="1" x14ac:dyDescent="0.25">
      <c r="A30" s="119"/>
      <c r="B30" s="119"/>
      <c r="C30" s="119"/>
      <c r="D30" s="119"/>
      <c r="E30" s="119"/>
      <c r="F30" s="119"/>
      <c r="G30" s="119"/>
      <c r="H30" s="123"/>
      <c r="I30" s="169"/>
      <c r="V30" s="6" t="s">
        <v>278</v>
      </c>
    </row>
    <row r="31" spans="1:22" ht="12.75" customHeight="1" x14ac:dyDescent="0.25">
      <c r="A31" s="119"/>
      <c r="B31" s="119"/>
      <c r="C31" s="119"/>
      <c r="D31" s="119"/>
      <c r="E31" s="119"/>
      <c r="F31" s="119"/>
      <c r="G31" s="119"/>
      <c r="H31" s="169"/>
      <c r="I31" s="189"/>
      <c r="V31" s="6" t="s">
        <v>279</v>
      </c>
    </row>
    <row r="32" spans="1:22" ht="12.75" customHeight="1" x14ac:dyDescent="0.4">
      <c r="A32" s="119"/>
      <c r="B32" s="119"/>
      <c r="C32" s="119"/>
      <c r="D32" s="119"/>
      <c r="E32" s="119"/>
      <c r="F32" s="119"/>
      <c r="G32" s="119"/>
      <c r="V32" s="6" t="s">
        <v>281</v>
      </c>
    </row>
    <row r="33" spans="1:26" ht="12.75" customHeight="1" x14ac:dyDescent="0.25">
      <c r="A33" s="119"/>
      <c r="B33" s="119"/>
      <c r="C33" s="119"/>
      <c r="D33" s="119"/>
      <c r="E33" s="119"/>
      <c r="F33" s="119"/>
      <c r="G33" s="119"/>
      <c r="H33" s="379"/>
      <c r="I33" s="380"/>
      <c r="V33" s="6" t="s">
        <v>280</v>
      </c>
    </row>
    <row r="34" spans="1:26" ht="12.75" customHeight="1" x14ac:dyDescent="0.25">
      <c r="A34" s="119"/>
      <c r="B34" s="119"/>
      <c r="C34" s="119"/>
      <c r="D34" s="119"/>
      <c r="E34" s="119"/>
      <c r="F34" s="119"/>
      <c r="G34" s="119"/>
      <c r="V34" s="6" t="s">
        <v>282</v>
      </c>
    </row>
    <row r="35" spans="1:26" ht="12.75" customHeight="1" x14ac:dyDescent="0.25"/>
    <row r="36" spans="1:26" ht="12.75" customHeight="1" x14ac:dyDescent="0.25"/>
    <row r="37" spans="1:26" ht="12.75" customHeight="1" x14ac:dyDescent="0.25"/>
    <row r="38" spans="1:26" ht="12.75" customHeight="1" thickBot="1" x14ac:dyDescent="0.4">
      <c r="E38" s="200" t="s">
        <v>277</v>
      </c>
    </row>
    <row r="39" spans="1:26" ht="12.75" customHeight="1" thickTop="1" x14ac:dyDescent="0.25">
      <c r="A39" s="202" t="s">
        <v>299</v>
      </c>
      <c r="B39" s="172">
        <v>0</v>
      </c>
      <c r="C39" s="172">
        <v>0.05</v>
      </c>
      <c r="D39" s="172">
        <v>0.1</v>
      </c>
      <c r="E39" s="172">
        <v>0.15</v>
      </c>
      <c r="F39" s="172">
        <v>0.2</v>
      </c>
      <c r="G39" s="172">
        <v>0.25</v>
      </c>
      <c r="H39" s="172">
        <v>0.3</v>
      </c>
      <c r="I39" s="172">
        <v>0.35</v>
      </c>
      <c r="J39" s="172">
        <v>0.4</v>
      </c>
      <c r="K39" s="172">
        <v>0.45</v>
      </c>
      <c r="L39" s="172">
        <v>0.5</v>
      </c>
      <c r="M39" s="172">
        <v>0.55000000000000004</v>
      </c>
      <c r="N39" s="172">
        <v>0.6</v>
      </c>
      <c r="O39" s="172">
        <v>0.65</v>
      </c>
      <c r="P39" s="172">
        <v>0.7</v>
      </c>
      <c r="Q39" s="172">
        <v>0.75</v>
      </c>
      <c r="R39" s="172">
        <v>0.8</v>
      </c>
      <c r="S39" s="172">
        <v>0.85</v>
      </c>
      <c r="T39" s="172">
        <v>0.9</v>
      </c>
      <c r="U39" s="172">
        <v>0.95</v>
      </c>
      <c r="V39" s="172">
        <v>1</v>
      </c>
      <c r="W39" s="172"/>
      <c r="X39" s="206"/>
      <c r="Y39" s="172"/>
      <c r="Z39" s="203"/>
    </row>
    <row r="40" spans="1:26" ht="12.75" customHeight="1" x14ac:dyDescent="0.25">
      <c r="A40" s="164" t="s">
        <v>300</v>
      </c>
      <c r="B40" s="175">
        <v>0</v>
      </c>
      <c r="C40" s="210">
        <f>B40+0.5*(D40-B40)</f>
        <v>2.5687877350537666E-2</v>
      </c>
      <c r="D40" s="211">
        <f>'Installed Flow'!$T$19/Q_max</f>
        <v>5.1375754701075332E-2</v>
      </c>
      <c r="E40" s="210">
        <f>D40+0.5*(F40-D40)</f>
        <v>8.7348671216716703E-2</v>
      </c>
      <c r="F40" s="211">
        <f>'Installed Flow'!$W$19/Q_max</f>
        <v>0.12332158773235807</v>
      </c>
      <c r="G40" s="210">
        <f>F40+0.5*(H40-F40)</f>
        <v>0.17939384730848784</v>
      </c>
      <c r="H40" s="211">
        <f>'Installed Flow'!$Z$19/Q_max</f>
        <v>0.23546610688461758</v>
      </c>
      <c r="I40" s="210">
        <f>H40+0.5*(J40-H40)</f>
        <v>0.31136057961637631</v>
      </c>
      <c r="J40" s="211">
        <f>'Installed Flow'!$AC$19/Q_max</f>
        <v>0.38725505234813501</v>
      </c>
      <c r="K40" s="210">
        <f>J40+0.5*(L40-J40)</f>
        <v>0.48191252771904081</v>
      </c>
      <c r="L40" s="211">
        <f>'Installed Flow'!$AF$19/Q_max</f>
        <v>0.57657000308994666</v>
      </c>
      <c r="M40" s="210">
        <f>L40+0.5*(N40-L40)</f>
        <v>0.67300245366293121</v>
      </c>
      <c r="N40" s="211">
        <f>'Installed Flow'!$AI$19/Q_max</f>
        <v>0.76943490423591576</v>
      </c>
      <c r="O40" s="210">
        <f>N40+0.5*(P40-N40)</f>
        <v>0.85414585538644905</v>
      </c>
      <c r="P40" s="211">
        <f>'Installed Flow'!$AL$19/Q_max</f>
        <v>0.93885680653698234</v>
      </c>
      <c r="Q40" s="210">
        <f>P40+0.5*(R40-P40)</f>
        <v>1.0144202062321179</v>
      </c>
      <c r="R40" s="211">
        <f>'Installed Flow'!$AO$19/Q_max</f>
        <v>1.0899836059272534</v>
      </c>
      <c r="S40" s="210">
        <f>R40+0.5*(T40-R40)</f>
        <v>1.1652433118077536</v>
      </c>
      <c r="T40" s="211">
        <f>'Installed Flow'!$AR$19/Q_max</f>
        <v>1.2405030176882539</v>
      </c>
      <c r="U40" s="210">
        <f>T40+0.5*(V40-T40)</f>
        <v>1.2986114494272023</v>
      </c>
      <c r="V40" s="211">
        <f>'Installed Flow'!$AU$19/Q_max</f>
        <v>1.3567198811661505</v>
      </c>
      <c r="W40" s="160">
        <f>IF(AND('Installed Flow'!M17="",'Installed Flow'!M18="",'Installed Flow'!M19="",'Installed Flow'!M20=""),Q_min/Q_max,0)</f>
        <v>0.14545454545454545</v>
      </c>
      <c r="X40" s="175">
        <f>W40</f>
        <v>0.14545454545454545</v>
      </c>
      <c r="Y40" s="160">
        <f>IF(AND('Installed Flow'!M17="",'Installed Flow'!M18="",'Installed Flow'!M19="",'Installed Flow'!M20=""),1,0)</f>
        <v>1</v>
      </c>
      <c r="Z40" s="209">
        <f>Y40</f>
        <v>1</v>
      </c>
    </row>
    <row r="41" spans="1:26" ht="12.75" customHeight="1" x14ac:dyDescent="0.25">
      <c r="A41" s="163" t="s">
        <v>276</v>
      </c>
      <c r="B41" s="177"/>
      <c r="C41" s="177">
        <f>C44/C45</f>
        <v>0.51375754701075327</v>
      </c>
      <c r="D41" s="177">
        <f t="shared" ref="D41:U41" si="0">D44/D45</f>
        <v>0.61660793866179031</v>
      </c>
      <c r="E41" s="177">
        <f t="shared" si="0"/>
        <v>0.71945833031282735</v>
      </c>
      <c r="F41" s="177">
        <f t="shared" si="0"/>
        <v>0.9204517609177113</v>
      </c>
      <c r="G41" s="177">
        <f t="shared" si="0"/>
        <v>1.1214451915225949</v>
      </c>
      <c r="H41" s="177">
        <f t="shared" si="0"/>
        <v>1.3196673230788847</v>
      </c>
      <c r="I41" s="177">
        <f t="shared" si="0"/>
        <v>1.5178894546351742</v>
      </c>
      <c r="J41" s="177">
        <f t="shared" si="0"/>
        <v>1.705519481026645</v>
      </c>
      <c r="K41" s="177">
        <f t="shared" si="0"/>
        <v>1.8931495074181164</v>
      </c>
      <c r="L41" s="177">
        <f t="shared" si="0"/>
        <v>1.910899259438904</v>
      </c>
      <c r="M41" s="177">
        <f t="shared" si="0"/>
        <v>1.928649011459691</v>
      </c>
      <c r="N41" s="177">
        <f t="shared" si="0"/>
        <v>1.8114340172351784</v>
      </c>
      <c r="O41" s="177">
        <f t="shared" si="0"/>
        <v>1.6942190230106657</v>
      </c>
      <c r="P41" s="177">
        <f t="shared" si="0"/>
        <v>1.6027435084566888</v>
      </c>
      <c r="Q41" s="177">
        <f t="shared" si="0"/>
        <v>1.5112679939027107</v>
      </c>
      <c r="R41" s="177">
        <f t="shared" si="0"/>
        <v>1.5082310557563572</v>
      </c>
      <c r="S41" s="177">
        <f t="shared" si="0"/>
        <v>1.5051941176100048</v>
      </c>
      <c r="T41" s="177">
        <f t="shared" si="0"/>
        <v>1.3336813761944866</v>
      </c>
      <c r="U41" s="177">
        <f t="shared" si="0"/>
        <v>1.1621686347789661</v>
      </c>
      <c r="V41" s="177"/>
      <c r="W41" s="177"/>
      <c r="X41" s="207"/>
      <c r="Y41" s="161"/>
      <c r="Z41" s="162"/>
    </row>
    <row r="42" spans="1:26" ht="12.75" customHeight="1" x14ac:dyDescent="0.25">
      <c r="A42" s="163" t="s">
        <v>287</v>
      </c>
      <c r="B42" s="177"/>
      <c r="C42" s="177"/>
      <c r="D42" s="177"/>
      <c r="E42" s="177"/>
      <c r="F42" s="177"/>
      <c r="G42" s="177"/>
      <c r="H42" s="177"/>
      <c r="I42" s="177"/>
      <c r="J42" s="177"/>
      <c r="K42" s="177"/>
      <c r="L42" s="177"/>
      <c r="M42" s="177"/>
      <c r="N42" s="177"/>
      <c r="O42" s="177"/>
      <c r="P42" s="177"/>
      <c r="Q42" s="177"/>
      <c r="R42" s="177"/>
      <c r="S42" s="177"/>
      <c r="T42" s="177"/>
      <c r="U42" s="177"/>
      <c r="V42" s="161"/>
      <c r="W42" s="161">
        <v>0</v>
      </c>
      <c r="X42" s="161">
        <v>4</v>
      </c>
      <c r="Y42" s="161"/>
      <c r="Z42" s="162"/>
    </row>
    <row r="43" spans="1:26" ht="12.75" customHeight="1" x14ac:dyDescent="0.25">
      <c r="A43" s="163" t="s">
        <v>288</v>
      </c>
      <c r="B43" s="177"/>
      <c r="C43" s="177"/>
      <c r="D43" s="177"/>
      <c r="E43" s="177"/>
      <c r="F43" s="177"/>
      <c r="G43" s="177"/>
      <c r="H43" s="177"/>
      <c r="I43" s="177"/>
      <c r="J43" s="177"/>
      <c r="K43" s="177"/>
      <c r="L43" s="177"/>
      <c r="M43" s="177"/>
      <c r="N43" s="177"/>
      <c r="O43" s="177"/>
      <c r="P43" s="177"/>
      <c r="Q43" s="177"/>
      <c r="R43" s="177"/>
      <c r="S43" s="177"/>
      <c r="T43" s="177"/>
      <c r="U43" s="177"/>
      <c r="V43" s="177"/>
      <c r="W43" s="177"/>
      <c r="X43" s="207"/>
      <c r="Y43" s="161">
        <v>0</v>
      </c>
      <c r="Z43" s="162">
        <v>4</v>
      </c>
    </row>
    <row r="44" spans="1:26" ht="12.75" customHeight="1" x14ac:dyDescent="0.25">
      <c r="A44" s="164" t="s">
        <v>275</v>
      </c>
      <c r="B44" s="177"/>
      <c r="C44" s="175">
        <f t="shared" ref="C44:U44" si="1">D40-B40</f>
        <v>5.1375754701075332E-2</v>
      </c>
      <c r="D44" s="160">
        <f t="shared" si="1"/>
        <v>6.1660793866179037E-2</v>
      </c>
      <c r="E44" s="160">
        <f t="shared" si="1"/>
        <v>7.1945833031282741E-2</v>
      </c>
      <c r="F44" s="160">
        <f t="shared" si="1"/>
        <v>9.2045176091771139E-2</v>
      </c>
      <c r="G44" s="160">
        <f t="shared" si="1"/>
        <v>0.11214451915225951</v>
      </c>
      <c r="H44" s="160">
        <f t="shared" si="1"/>
        <v>0.13196673230788847</v>
      </c>
      <c r="I44" s="160">
        <f t="shared" si="1"/>
        <v>0.15178894546351743</v>
      </c>
      <c r="J44" s="160">
        <f t="shared" si="1"/>
        <v>0.1705519481026645</v>
      </c>
      <c r="K44" s="160">
        <f t="shared" si="1"/>
        <v>0.18931495074181165</v>
      </c>
      <c r="L44" s="160">
        <f t="shared" si="1"/>
        <v>0.1910899259438904</v>
      </c>
      <c r="M44" s="160">
        <f t="shared" si="1"/>
        <v>0.1928649011459691</v>
      </c>
      <c r="N44" s="160">
        <f t="shared" si="1"/>
        <v>0.18114340172351784</v>
      </c>
      <c r="O44" s="160">
        <f t="shared" si="1"/>
        <v>0.16942190230106657</v>
      </c>
      <c r="P44" s="160">
        <f t="shared" si="1"/>
        <v>0.16027435084566888</v>
      </c>
      <c r="Q44" s="160">
        <f t="shared" si="1"/>
        <v>0.15112679939027107</v>
      </c>
      <c r="R44" s="160">
        <f t="shared" si="1"/>
        <v>0.15082310557563572</v>
      </c>
      <c r="S44" s="160">
        <f t="shared" si="1"/>
        <v>0.15051941176100048</v>
      </c>
      <c r="T44" s="160">
        <f t="shared" si="1"/>
        <v>0.13336813761944866</v>
      </c>
      <c r="U44" s="160">
        <f t="shared" si="1"/>
        <v>0.11621686347789661</v>
      </c>
      <c r="V44" s="177"/>
      <c r="W44" s="177"/>
      <c r="X44" s="207"/>
      <c r="Y44" s="177"/>
      <c r="Z44" s="204"/>
    </row>
    <row r="45" spans="1:26" ht="12.75" customHeight="1" thickBot="1" x14ac:dyDescent="0.3">
      <c r="A45" s="165" t="s">
        <v>274</v>
      </c>
      <c r="B45" s="179"/>
      <c r="C45" s="179">
        <f>IF(AND('Installed Flow'!M17="",'Installed Flow'!M18="",'Installed Flow'!M19="",'Installed Flow'!M20=""),0.1,0)</f>
        <v>0.1</v>
      </c>
      <c r="D45" s="179">
        <f>$C$45</f>
        <v>0.1</v>
      </c>
      <c r="E45" s="179">
        <f t="shared" ref="E45:U45" si="2">$C$45</f>
        <v>0.1</v>
      </c>
      <c r="F45" s="179">
        <f t="shared" si="2"/>
        <v>0.1</v>
      </c>
      <c r="G45" s="179">
        <f t="shared" si="2"/>
        <v>0.1</v>
      </c>
      <c r="H45" s="179">
        <f t="shared" si="2"/>
        <v>0.1</v>
      </c>
      <c r="I45" s="179">
        <f t="shared" si="2"/>
        <v>0.1</v>
      </c>
      <c r="J45" s="179">
        <f t="shared" si="2"/>
        <v>0.1</v>
      </c>
      <c r="K45" s="179">
        <f t="shared" si="2"/>
        <v>0.1</v>
      </c>
      <c r="L45" s="179">
        <f t="shared" si="2"/>
        <v>0.1</v>
      </c>
      <c r="M45" s="179">
        <f t="shared" si="2"/>
        <v>0.1</v>
      </c>
      <c r="N45" s="179">
        <f t="shared" si="2"/>
        <v>0.1</v>
      </c>
      <c r="O45" s="179">
        <f t="shared" si="2"/>
        <v>0.1</v>
      </c>
      <c r="P45" s="179">
        <f t="shared" si="2"/>
        <v>0.1</v>
      </c>
      <c r="Q45" s="179">
        <f t="shared" si="2"/>
        <v>0.1</v>
      </c>
      <c r="R45" s="179">
        <f t="shared" si="2"/>
        <v>0.1</v>
      </c>
      <c r="S45" s="179">
        <f t="shared" si="2"/>
        <v>0.1</v>
      </c>
      <c r="T45" s="179">
        <f t="shared" si="2"/>
        <v>0.1</v>
      </c>
      <c r="U45" s="179">
        <f t="shared" si="2"/>
        <v>0.1</v>
      </c>
      <c r="V45" s="179"/>
      <c r="W45" s="179"/>
      <c r="X45" s="208"/>
      <c r="Y45" s="179"/>
      <c r="Z45" s="205"/>
    </row>
    <row r="46" spans="1:26" ht="12.75" customHeight="1" thickTop="1" x14ac:dyDescent="0.25"/>
    <row r="47" spans="1:26" ht="12.75" customHeight="1" x14ac:dyDescent="0.25"/>
    <row r="48" spans="1:26" ht="12.75" customHeight="1" x14ac:dyDescent="0.25"/>
    <row r="49" spans="1:1" ht="12.75" customHeight="1" x14ac:dyDescent="0.25"/>
    <row r="50" spans="1:1" ht="12.75" customHeight="1" x14ac:dyDescent="0.25"/>
    <row r="51" spans="1:1" ht="12.75" customHeight="1" x14ac:dyDescent="0.25"/>
    <row r="52" spans="1:1" ht="12.75" customHeight="1" x14ac:dyDescent="0.25"/>
    <row r="53" spans="1:1" ht="12.75" customHeight="1" x14ac:dyDescent="0.25"/>
    <row r="54" spans="1:1" ht="12.75" customHeight="1" x14ac:dyDescent="0.25"/>
    <row r="55" spans="1:1" ht="12.75" customHeight="1" x14ac:dyDescent="0.25">
      <c r="A55" s="6" t="s">
        <v>283</v>
      </c>
    </row>
    <row r="56" spans="1:1" ht="12.75" customHeight="1" x14ac:dyDescent="0.25"/>
    <row r="57" spans="1:1" ht="12.75" customHeight="1" x14ac:dyDescent="0.25"/>
    <row r="58" spans="1:1" ht="12.75" customHeight="1" x14ac:dyDescent="0.25"/>
    <row r="59" spans="1:1" ht="12.75" customHeight="1" x14ac:dyDescent="0.25"/>
    <row r="60" spans="1:1" ht="12.75" customHeight="1" x14ac:dyDescent="0.25"/>
  </sheetData>
  <sheetProtection algorithmName="SHA-512" hashValue="hh0/b5fLMWgERkhWdFfTnhH40kWHiwgPwHLkFgzUmr0zWqfAlwUlzcXYFUivmzLbr0fabqfNykQT3VESOloW2g==" saltValue="7R2nIjMTiKZ8u6ECtJme9w==" spinCount="100000" sheet="1" formatCells="0" formatColumns="0"/>
  <mergeCells count="1">
    <mergeCell ref="H33:I33"/>
  </mergeCells>
  <printOptions horizontalCentered="1"/>
  <pageMargins left="0.7" right="0.7" top="0.75" bottom="0.75" header="0.3" footer="0.3"/>
  <pageSetup scale="81" orientation="portrait" r:id="rId1"/>
  <ignoredErrors>
    <ignoredError sqref="F40 H40 J40 L40 N40 P40 R40 T40"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3AEF8-9CD5-4A5D-8557-8C2E974CD943}">
  <dimension ref="A1:R40"/>
  <sheetViews>
    <sheetView zoomScale="80" zoomScaleNormal="80" workbookViewId="0"/>
  </sheetViews>
  <sheetFormatPr defaultRowHeight="12.5" x14ac:dyDescent="0.25"/>
  <cols>
    <col min="1" max="1" width="8.7265625" style="215"/>
    <col min="2" max="2" width="21.26953125" style="215" customWidth="1"/>
    <col min="3" max="6" width="9.453125" style="215" customWidth="1"/>
    <col min="7" max="12" width="8.7265625" style="215" customWidth="1"/>
    <col min="13" max="13" width="41.26953125" style="215" customWidth="1"/>
    <col min="14" max="14" width="27.54296875" style="215" customWidth="1"/>
    <col min="15" max="15" width="9.1796875" style="215" bestFit="1" customWidth="1"/>
    <col min="16" max="16384" width="8.7265625" style="215"/>
  </cols>
  <sheetData>
    <row r="1" spans="1:18" x14ac:dyDescent="0.25">
      <c r="M1" s="348"/>
    </row>
    <row r="3" spans="1:18" ht="15.5" x14ac:dyDescent="0.35">
      <c r="N3" s="216" t="s">
        <v>330</v>
      </c>
    </row>
    <row r="4" spans="1:18" ht="20" x14ac:dyDescent="0.5">
      <c r="A4" s="217" t="s">
        <v>345</v>
      </c>
      <c r="H4" s="6" t="s">
        <v>349</v>
      </c>
      <c r="I4"/>
    </row>
    <row r="5" spans="1:18" ht="17.5" x14ac:dyDescent="0.35">
      <c r="A5" s="332" t="s">
        <v>347</v>
      </c>
      <c r="H5" s="6" t="s">
        <v>350</v>
      </c>
      <c r="I5"/>
      <c r="M5" s="218" t="s">
        <v>3</v>
      </c>
      <c r="N5" s="218" t="s">
        <v>4</v>
      </c>
      <c r="O5" s="219" t="s">
        <v>5</v>
      </c>
    </row>
    <row r="6" spans="1:18" ht="16" thickBot="1" x14ac:dyDescent="0.45">
      <c r="H6" s="6" t="s">
        <v>353</v>
      </c>
      <c r="I6"/>
      <c r="M6" s="220" t="s">
        <v>331</v>
      </c>
      <c r="N6" s="220" t="s">
        <v>331</v>
      </c>
      <c r="O6" s="221"/>
      <c r="P6" s="222"/>
      <c r="Q6" s="222"/>
      <c r="R6" s="222"/>
    </row>
    <row r="7" spans="1:18" ht="14.5" thickTop="1" x14ac:dyDescent="0.3">
      <c r="B7" s="223" t="s">
        <v>1</v>
      </c>
      <c r="C7" s="224">
        <f>Q</f>
        <v>80</v>
      </c>
      <c r="D7" s="224">
        <f>'Valve Sizing'!E$3</f>
        <v>213</v>
      </c>
      <c r="E7" s="224">
        <f>'Valve Sizing'!F$3</f>
        <v>423</v>
      </c>
      <c r="F7" s="224">
        <f>'Valve Sizing'!G$3</f>
        <v>550</v>
      </c>
      <c r="H7" s="7" t="s">
        <v>351</v>
      </c>
      <c r="I7" s="7" t="s">
        <v>352</v>
      </c>
    </row>
    <row r="8" spans="1:18" ht="16" thickBot="1" x14ac:dyDescent="0.45">
      <c r="B8" s="225" t="s">
        <v>38</v>
      </c>
      <c r="C8" s="381" t="s">
        <v>344</v>
      </c>
      <c r="D8" s="382"/>
      <c r="E8" s="382"/>
      <c r="F8" s="382"/>
      <c r="H8" s="333" t="s">
        <v>1</v>
      </c>
      <c r="I8" s="333" t="s">
        <v>1</v>
      </c>
      <c r="M8" s="226" t="s">
        <v>336</v>
      </c>
      <c r="N8" s="227" t="s">
        <v>338</v>
      </c>
      <c r="O8" s="215">
        <f>C_d</f>
        <v>1.5731907627520831</v>
      </c>
      <c r="P8" s="215">
        <f>('Valve Sizing'!T628)</f>
        <v>4.3303877266881683</v>
      </c>
      <c r="Q8" s="215">
        <f>('Valve Sizing'!U628)</f>
        <v>9.8418165086865326</v>
      </c>
      <c r="R8" s="215">
        <f>('Valve Sizing'!V628)</f>
        <v>15.06301163372366</v>
      </c>
    </row>
    <row r="9" spans="1:18" x14ac:dyDescent="0.25">
      <c r="N9" s="228"/>
    </row>
    <row r="10" spans="1:18" ht="14" x14ac:dyDescent="0.3">
      <c r="B10" s="229" t="s">
        <v>328</v>
      </c>
      <c r="C10" s="350">
        <f>IFERROR(IF(Cv_over_d_Sq_T&lt;=2.2,0.94,IF(Cv_over_d_Sq_T&lt;4.752,-0.0079*Cv_over_d_Sq_T+0.9572,IF(Cv_over_d_Sq_T&lt;5.838,0.92,IF(Cv_over_d_Sq_T&lt;17.75,-0.0017*Cv_over_d_Sq_T+0.9298,0.9)))),"")</f>
        <v>0.94</v>
      </c>
      <c r="D10" s="350">
        <f>IFERROR(IF(P8&lt;=2.2,0.94,IF(P8&lt;4.752,-0.0079*P8+0.9572,IF(P8&lt;5.838,0.92,IF(P8&lt;17.75,-0.0017*P8+0.9298,0.9)))),"")</f>
        <v>0.92298993695916354</v>
      </c>
      <c r="E10" s="350">
        <f t="shared" ref="E10:F10" si="0">IFERROR(IF(Q8&lt;=2.2,0.94,IF(Q8&lt;4.752,-0.0079*Q8+0.9572,IF(Q8&lt;5.838,0.92,IF(Q8&lt;17.75,-0.0017*Q8+0.9298,0.9)))),"")</f>
        <v>0.91306891193523287</v>
      </c>
      <c r="F10" s="350">
        <f t="shared" si="0"/>
        <v>0.90419288022266975</v>
      </c>
      <c r="H10" s="334">
        <v>0.94</v>
      </c>
      <c r="I10" s="334">
        <v>0.92</v>
      </c>
      <c r="M10" s="226" t="s">
        <v>335</v>
      </c>
    </row>
    <row r="11" spans="1:18" ht="14.5" x14ac:dyDescent="0.3">
      <c r="B11" s="229"/>
      <c r="C11" s="239"/>
      <c r="D11" s="239"/>
      <c r="E11" s="240"/>
      <c r="F11" s="239"/>
      <c r="H11" s="334"/>
      <c r="I11" s="334"/>
      <c r="M11" s="226" t="s">
        <v>332</v>
      </c>
      <c r="N11" s="231"/>
    </row>
    <row r="12" spans="1:18" ht="12.5" customHeight="1" x14ac:dyDescent="0.3">
      <c r="B12" s="229" t="s">
        <v>329</v>
      </c>
      <c r="C12" s="351">
        <f>IFERROR(IF(Cv_over_d_Sq_T&lt;0.256,0.94,IF(Cv_over_d_Sq_T&lt;5.158,-0.0002321*Cv_over_d_Sq_T^4+0.002155*Cv_over_d_Sq_T^3-0.004036*Cv_over_d_Sq_T^2-0.01878*Cv_over_d_Sq_T+0.9427,IF(Cv_over_d_Sq_T&lt;26.8,-0.00462*Cv_over_d_Sq_T+0.8938,0.77))),"")</f>
        <v>0.91013555659945067</v>
      </c>
      <c r="D12" s="351">
        <f>IFERROR(IF(P8&lt;0.256,0.94,IF(P8&lt;5.158,-0.0002321*P8^4+0.002155*P8^3-0.004036*P8^2-0.01878*P8+0.9427,IF(P8&lt;26.8,-0.00462*P8+0.8938,0.77))),"")</f>
        <v>0.87906969587425565</v>
      </c>
      <c r="E12" s="351">
        <f t="shared" ref="E12:F12" si="1">IFERROR(IF(Q8&lt;0.256,0.94,IF(Q8&lt;5.158,-0.0002321*Q8^4+0.002155*Q8^3-0.004036*Q8^2-0.01878*Q8+0.9427,IF(Q8&lt;26.8,-0.00462*Q8+0.8938,0.77))),"")</f>
        <v>0.84833080772986824</v>
      </c>
      <c r="F12" s="351">
        <f t="shared" si="1"/>
        <v>0.82420888625219679</v>
      </c>
      <c r="H12" s="334">
        <v>0.93</v>
      </c>
      <c r="I12" s="334">
        <v>0.88</v>
      </c>
      <c r="M12" s="226" t="s">
        <v>333</v>
      </c>
    </row>
    <row r="13" spans="1:18" ht="15.5" x14ac:dyDescent="0.35">
      <c r="B13" s="229"/>
      <c r="C13" s="239"/>
      <c r="D13" s="239"/>
      <c r="E13" s="240"/>
      <c r="F13" s="239"/>
      <c r="H13" s="334"/>
      <c r="I13" s="334"/>
      <c r="M13" s="226" t="s">
        <v>334</v>
      </c>
      <c r="N13" s="232"/>
    </row>
    <row r="14" spans="1:18" ht="14" x14ac:dyDescent="0.3">
      <c r="B14" s="229" t="s">
        <v>44</v>
      </c>
      <c r="C14" s="230">
        <f>IFERROR(IF(Cv_over_d_Sq_T&lt;=1.12,0.91,IF(Cv_over_d_Sq_T&gt;15,0.76,0.93605-0.023997*Cv_over_d_Sq_T+0.0012877*Cv_over_d_Sq_T^2-0.000031471*Cv_over_d_Sq_T^3)),"")</f>
        <v>0.9013625741035981</v>
      </c>
      <c r="D14" s="230">
        <f>IFERROR(IF(P8&lt;=1.12,0.91,IF(P8&gt;15,0.76,0.93605-0.023997*P8+0.0012877*P8^2-0.000031471*P8^3)),"")</f>
        <v>0.85372537986536545</v>
      </c>
      <c r="E14" s="230">
        <f>IFERROR(IF(Q8&lt;=1.12,0.91,IF(Q8&gt;15,0.76,0.93605-0.023997*Q8+0.0012877*Q8^2-0.000031471*Q8^3)),"")</f>
        <v>0.79460325078107563</v>
      </c>
      <c r="F14" s="230">
        <f>IFERROR(IF(R8&lt;=1.12,0.91,IF(R8&gt;15,0.76,0.93605-0.023997*R8+0.0012877*R8^2-0.000031471*R8^3)),"")</f>
        <v>0.76</v>
      </c>
      <c r="H14" s="334">
        <v>0.89</v>
      </c>
      <c r="I14" s="334">
        <v>0.78</v>
      </c>
    </row>
    <row r="15" spans="1:18" ht="14" x14ac:dyDescent="0.3">
      <c r="B15" s="229"/>
      <c r="C15" s="239"/>
      <c r="D15" s="239"/>
      <c r="E15" s="240"/>
      <c r="F15" s="239"/>
      <c r="H15" s="334"/>
      <c r="I15" s="334"/>
      <c r="M15" s="226" t="s">
        <v>337</v>
      </c>
      <c r="N15" s="227" t="s">
        <v>339</v>
      </c>
      <c r="O15" s="233" t="e">
        <f>IF('Valve Sizing'!$B$1=1,'Valve Sizing'!D$26/d^2,IF(OR('Valve Sizing'!$B$1=2,'Valve Sizing'!$B$1=3),'Valve Sizing'!D$26/(d/25.4)^2,IF(OR('Valve Sizing'!$B$1=4,'Valve Sizing'!$B$1=5),'Valve Sizing'!D$26*1.156/(d/25.4)^2,”error”)))</f>
        <v>#VALUE!</v>
      </c>
      <c r="P15" s="215" t="e">
        <f>IF('Valve Sizing'!$B1=1,'Valve Sizing'!E26/d^2,IF(OR('Valve Sizing'!$B1=2,'Valve Sizing'!$B1=3),'Valve Sizing'!E26/(d/25.4)^2,IF(OR('Valve Sizing'!$B1=4,'Valve Sizing'!$B1=5),'Valve Sizing'!E26*1.156/(d/25.4)^2,”error”)))</f>
        <v>#VALUE!</v>
      </c>
      <c r="Q15" s="215" t="e">
        <f>IF('Valve Sizing'!$B1=1,'Valve Sizing'!F26/d^2,IF(OR('Valve Sizing'!$B1=2,'Valve Sizing'!$B1=3),'Valve Sizing'!F26/(d/25.4)^2,IF(OR('Valve Sizing'!$B1=4,'Valve Sizing'!$B1=5),'Valve Sizing'!F26*1.156/(d/25.4)^2,”error”)))</f>
        <v>#VALUE!</v>
      </c>
      <c r="R15" s="215" t="e">
        <f>IF('Valve Sizing'!$B1=1,'Valve Sizing'!G26/d^2,IF(OR('Valve Sizing'!$B1=2,'Valve Sizing'!$B1=3),'Valve Sizing'!G26/(d/25.4)^2,IF(OR('Valve Sizing'!$B1=4,'Valve Sizing'!$B1=5),'Valve Sizing'!G26*1.156/(d/25.4)^2,”error”)))</f>
        <v>#VALUE!</v>
      </c>
    </row>
    <row r="16" spans="1:18" ht="14" x14ac:dyDescent="0.3">
      <c r="B16" s="234" t="s">
        <v>48</v>
      </c>
      <c r="C16" s="230">
        <f>IFERROR(IF(Cv_over_d_Sq_T&lt;0.59,0.94,IF(Cv_over_d_Sq_T&gt;48.9,0.42,-0.0107*Cv_over_d_Sq_T+0.94)),"")</f>
        <v>0.92316685883855265</v>
      </c>
      <c r="D16" s="230">
        <f>IFERROR(IF(P8&lt;0.59,0.94,IF(P8&gt;48.9,0.42,-0.0107*P8+0.94)),"")</f>
        <v>0.89366485132443652</v>
      </c>
      <c r="E16" s="230">
        <f t="shared" ref="E16:F16" si="2">IFERROR(IF(Q8&lt;0.59,0.94,IF(Q8&gt;48.9,0.42,-0.0107*Q8+0.94)),"")</f>
        <v>0.83469256335705411</v>
      </c>
      <c r="F16" s="230">
        <f t="shared" si="2"/>
        <v>0.77882577551915677</v>
      </c>
      <c r="H16" s="334">
        <v>0.93</v>
      </c>
      <c r="I16" s="334">
        <v>0.72</v>
      </c>
      <c r="O16" s="233"/>
    </row>
    <row r="17" spans="2:15" ht="14" x14ac:dyDescent="0.3">
      <c r="B17" s="229"/>
      <c r="C17" s="239"/>
      <c r="D17" s="239"/>
      <c r="E17" s="240"/>
      <c r="F17" s="239"/>
      <c r="H17" s="334"/>
      <c r="I17" s="334"/>
      <c r="M17" s="226" t="s">
        <v>340</v>
      </c>
      <c r="O17" s="235"/>
    </row>
    <row r="18" spans="2:15" ht="14" x14ac:dyDescent="0.3">
      <c r="B18" s="229" t="s">
        <v>51</v>
      </c>
      <c r="C18" s="236">
        <f>IFERROR(IF(Cv_over_d_Sq_T&lt;0.91,0.87,IF(Cv_over_d_Sq_T&gt;47.01,0.4,0.00001*Cv_over_d_Sq_T^2-0.0105*Cv_over_d_Sq_T+0.873)),"")</f>
        <v>0.8565062462828632</v>
      </c>
      <c r="D18" s="236">
        <f>IFERROR(IF(P8&lt;0.91,0.87,IF(P8&gt;47.01,0.4,0.00001*P8^2-0.0105*P8+0.873)),"")</f>
        <v>0.82771845144840872</v>
      </c>
      <c r="E18" s="236">
        <f t="shared" ref="E18:F18" si="3">IFERROR(IF(Q8&lt;0.91,0.87,IF(Q8&gt;47.01,0.4,0.00001*Q8^2-0.0105*Q8+0.873)),"")</f>
        <v>0.77062954018069796</v>
      </c>
      <c r="F18" s="236">
        <f t="shared" si="3"/>
        <v>0.71710732104067854</v>
      </c>
      <c r="H18" s="334">
        <v>0.85</v>
      </c>
      <c r="I18" s="334">
        <v>0.57999999999999996</v>
      </c>
      <c r="M18" s="226" t="s">
        <v>341</v>
      </c>
      <c r="O18" s="235"/>
    </row>
    <row r="19" spans="2:15" ht="14" x14ac:dyDescent="0.3">
      <c r="B19" s="229"/>
      <c r="C19" s="239"/>
      <c r="D19" s="239"/>
      <c r="E19" s="240"/>
      <c r="F19" s="239"/>
      <c r="H19" s="334"/>
      <c r="I19" s="334"/>
      <c r="M19" s="226" t="s">
        <v>342</v>
      </c>
      <c r="O19" s="235"/>
    </row>
    <row r="20" spans="2:15" ht="14" x14ac:dyDescent="0.3">
      <c r="B20" s="229" t="s">
        <v>53</v>
      </c>
      <c r="C20" s="230">
        <f>IFERROR(IF(Cv_over_d_Sq_T&lt;0.73,0.91,IF(Cv_over_d_Sq_T&gt;156,0.27,IF(Cv_over_d_Sq_T&lt;=66.67,0.9115*EXP(-0.009*Cv_over_d_Sq_T),-0.0025*Cv_over_d_Sq_T+0.6642))),"")</f>
        <v>0.89868526376811098</v>
      </c>
      <c r="D20" s="230">
        <f>IFERROR(IF(P8&lt;0.73,0.91,IF(P8&gt;156,0.27,IF(P8&lt;=66.67,0.9115*EXP(-0.009*P8),-0.0025*P8+0.6642))),"")</f>
        <v>0.87665901171235006</v>
      </c>
      <c r="E20" s="230">
        <f t="shared" ref="E20:F20" si="4">IFERROR(IF(Q8&lt;0.73,0.91,IF(Q8&gt;156,0.27,IF(Q8&lt;=66.67,0.9115*EXP(-0.009*Q8),-0.0025*Q8+0.6642))),"")</f>
        <v>0.83423509034136334</v>
      </c>
      <c r="F20" s="230">
        <f t="shared" si="4"/>
        <v>0.7959405438629823</v>
      </c>
      <c r="H20" s="334">
        <v>0.91</v>
      </c>
      <c r="I20" s="334">
        <v>0.67</v>
      </c>
      <c r="M20" s="226" t="s">
        <v>343</v>
      </c>
      <c r="N20" s="237"/>
    </row>
    <row r="22" spans="2:15" x14ac:dyDescent="0.25">
      <c r="H22" s="6"/>
      <c r="I22" s="346"/>
    </row>
    <row r="24" spans="2:15" ht="20" x14ac:dyDescent="0.5">
      <c r="B24" s="217" t="s">
        <v>346</v>
      </c>
      <c r="H24" s="6"/>
      <c r="I24" s="6"/>
    </row>
    <row r="25" spans="2:15" x14ac:dyDescent="0.25">
      <c r="B25" s="6" t="s">
        <v>348</v>
      </c>
    </row>
    <row r="27" spans="2:15" ht="14" x14ac:dyDescent="0.3">
      <c r="B27" s="223" t="s">
        <v>1</v>
      </c>
      <c r="C27" s="224">
        <f>Q</f>
        <v>80</v>
      </c>
      <c r="D27" s="224">
        <f>'Valve Sizing'!E$3</f>
        <v>213</v>
      </c>
      <c r="E27" s="224">
        <f>'Valve Sizing'!F$3</f>
        <v>423</v>
      </c>
      <c r="F27" s="224">
        <f>'Valve Sizing'!G$3</f>
        <v>550</v>
      </c>
    </row>
    <row r="28" spans="2:15" ht="16" thickBot="1" x14ac:dyDescent="0.45">
      <c r="B28" s="225" t="s">
        <v>38</v>
      </c>
      <c r="C28" s="381" t="s">
        <v>344</v>
      </c>
      <c r="D28" s="382"/>
      <c r="E28" s="382"/>
      <c r="F28" s="382"/>
    </row>
    <row r="30" spans="2:15" ht="14" x14ac:dyDescent="0.3">
      <c r="B30" s="229" t="s">
        <v>328</v>
      </c>
      <c r="C30" s="345" t="str">
        <f>IFERROR(IF(Cv_over_d_Sq_NT&lt;=2.2,0.94,IF(Cv_over_d_Sq_NT&lt;4.752,-0.0079*Cv_over_d_Sq_NT+0.9572,IF(Cv_over_d_Sq_NT&lt;5.838,0.92,IF(Cv_over_d_Sq_NT&lt;17.75,-0.0017*Cv_over_d_Sq_NT+0.9298,0.9)))),"")</f>
        <v/>
      </c>
      <c r="D30" s="345" t="str">
        <f t="shared" ref="D30:F30" si="5">IFERROR(IF(P15&lt;=2.2,0.94,IF(P15&lt;4.752,-0.0079*P15+0.9572,IF(P15&lt;5.838,0.92,IF(P15&lt;17.75,-0.0017*P15+0.9298,0.9)))),"")</f>
        <v/>
      </c>
      <c r="E30" s="345" t="str">
        <f t="shared" si="5"/>
        <v/>
      </c>
      <c r="F30" s="345" t="str">
        <f t="shared" si="5"/>
        <v/>
      </c>
      <c r="G30" s="226" t="s">
        <v>283</v>
      </c>
      <c r="H30" s="6"/>
      <c r="I30" s="346"/>
    </row>
    <row r="31" spans="2:15" ht="14" x14ac:dyDescent="0.3">
      <c r="B31" s="229"/>
      <c r="C31" s="349"/>
      <c r="D31" s="349"/>
      <c r="E31" s="349"/>
      <c r="F31" s="349"/>
    </row>
    <row r="32" spans="2:15" ht="14" x14ac:dyDescent="0.3">
      <c r="B32" s="229" t="s">
        <v>329</v>
      </c>
      <c r="C32" s="347" t="str">
        <f>IFERROR(IF(Cv_over_d_Sq_NT&lt;0.256,0.94,IF(Cv_over_d_Sq_NT&lt;5.158,-0.0002321*Cv_over_d_Sq_NT^4+0.002155*Cv_over_d_Sq_NT^3-0.004036*Cv_over_d_Sq_NT^2-0.01878*Cv_over_d_Sq_NT+0.9427,IF(Cv_over_d_Sq_NT&lt;26.8,-0.00462*Cv_over_d_Sq_NT+0.8938,0.77))),"")</f>
        <v/>
      </c>
      <c r="D32" s="347" t="str">
        <f>IFERROR(IF(P15&lt;0.256,0.94,IF(P15&lt;5.158,-0.0002321*P15^4+0.002155*P15^3-0.004036*P15^2-0.01878*P15+0.9427,IF(P15&lt;26.8,-0.00462*P15+0.8938,0.77))),"")</f>
        <v/>
      </c>
      <c r="E32" s="347" t="str">
        <f t="shared" ref="E32:F32" si="6">IFERROR(IF(Q15&lt;0.256,0.94,IF(Q15&lt;5.158,-0.0002321*Q15^4+0.002155*Q15^3-0.004036*Q15^2-0.01878*Q15+0.9427,IF(Q15&lt;26.8,-0.00462*Q15+0.8938,0.77))),"")</f>
        <v/>
      </c>
      <c r="F32" s="347" t="str">
        <f t="shared" si="6"/>
        <v/>
      </c>
      <c r="H32" s="6"/>
      <c r="M32" s="238"/>
    </row>
    <row r="33" spans="2:6" ht="14" x14ac:dyDescent="0.3">
      <c r="B33" s="229"/>
      <c r="C33" s="349"/>
      <c r="D33" s="349"/>
      <c r="E33" s="349"/>
      <c r="F33" s="349"/>
    </row>
    <row r="34" spans="2:6" ht="14" x14ac:dyDescent="0.3">
      <c r="B34" s="229" t="s">
        <v>44</v>
      </c>
      <c r="C34" s="230" t="str">
        <f>IFERROR(IF(Cv_over_d_Sq_NT&lt;=1.12,0.91,IF(Cv_over_d_Sq_NT&gt;15,0.76,0.93605-0.023997*Cv_over_d_Sq_NT+0.0012877*Cv_over_d_Sq_NT^2-0.000031471*Cv_over_d_Sq_NT^3)),"")</f>
        <v/>
      </c>
      <c r="D34" s="230" t="str">
        <f>IFERROR(IF(#REF!&lt;=1.12,0.91,IF(#REF!&gt;15,0.76,0.93605-0.023997*#REF!+0.0012877*#REF!^2-0.000031471*#REF!^3)),"")</f>
        <v/>
      </c>
      <c r="E34" s="230" t="str">
        <f t="shared" ref="E34:F34" si="7">IFERROR(IF(Q15&lt;=1.12,0.91,IF(Q15&gt;15,0.76,0.93605-0.023997*Q15+0.0012877*Q15^2-0.000031471*Q15^3)),"")</f>
        <v/>
      </c>
      <c r="F34" s="230" t="str">
        <f t="shared" si="7"/>
        <v/>
      </c>
    </row>
    <row r="35" spans="2:6" ht="14" x14ac:dyDescent="0.3">
      <c r="B35" s="229"/>
      <c r="C35" s="349"/>
      <c r="D35" s="349"/>
      <c r="E35" s="349"/>
      <c r="F35" s="349"/>
    </row>
    <row r="36" spans="2:6" ht="14" x14ac:dyDescent="0.3">
      <c r="B36" s="234" t="s">
        <v>48</v>
      </c>
      <c r="C36" s="230" t="str">
        <f>IFERROR(IF(Cv_over_d_Sq_NT&lt;0.59,0.94,IF(Cv_over_d_Sq_NT&gt;48.9,0.42,-0.0107*Cv_over_d_Sq_NT+0.94)),"")</f>
        <v/>
      </c>
      <c r="D36" s="230" t="str">
        <f>IFERROR(IF(#REF!&lt;0.59,0.94,IF(#REF!&gt;48.9,0.42,-0.0107*#REF!+0.94)),"")</f>
        <v/>
      </c>
      <c r="E36" s="230" t="str">
        <f t="shared" ref="E36:F36" si="8">IFERROR(IF(Q15&lt;0.59,0.94,IF(Q15&gt;48.9,0.42,-0.0107*Q15+0.94)),"")</f>
        <v/>
      </c>
      <c r="F36" s="230" t="str">
        <f t="shared" si="8"/>
        <v/>
      </c>
    </row>
    <row r="37" spans="2:6" ht="14" x14ac:dyDescent="0.3">
      <c r="B37" s="229"/>
      <c r="C37" s="349"/>
      <c r="D37" s="349"/>
      <c r="E37" s="349"/>
      <c r="F37" s="349"/>
    </row>
    <row r="38" spans="2:6" ht="14" x14ac:dyDescent="0.3">
      <c r="B38" s="229" t="s">
        <v>51</v>
      </c>
      <c r="C38" s="236" t="str">
        <f>IFERROR(IF(Cv_over_d_Sq_NT&lt;0.91,0.87,IF(Cv_over_d_Sq_NT&gt;47.01,0.4,0.00001*Cv_over_d_Sq_NT^2-0.0105*Cv_over_d_Sq_NT+0.873)),"")</f>
        <v/>
      </c>
      <c r="D38" s="236" t="str">
        <f>IFERROR(IF(#REF!&lt;0.91,0.87,IF(#REF!&gt;47.01,0.4,0.00001*#REF!^2-0.0105*#REF!+0.873)),"")</f>
        <v/>
      </c>
      <c r="E38" s="236" t="str">
        <f t="shared" ref="E38:F38" si="9">IFERROR(IF(Q15&lt;0.91,0.87,IF(Q15&gt;47.01,0.4,0.00001*Q15^2-0.0105*Q15+0.873)),"")</f>
        <v/>
      </c>
      <c r="F38" s="236" t="str">
        <f t="shared" si="9"/>
        <v/>
      </c>
    </row>
    <row r="39" spans="2:6" ht="14" x14ac:dyDescent="0.3">
      <c r="B39" s="229"/>
      <c r="C39" s="349"/>
      <c r="D39" s="349"/>
      <c r="E39" s="349"/>
      <c r="F39" s="349"/>
    </row>
    <row r="40" spans="2:6" ht="14" x14ac:dyDescent="0.3">
      <c r="B40" s="229" t="s">
        <v>53</v>
      </c>
      <c r="C40" s="230" t="str">
        <f>IFERROR(IF(Cv_over_d_Sq_NT&lt;0.73,0.91,IF(Cv_over_d_Sq_NT&gt;156,0.27,IF(Cv_over_d_Sq_NT&lt;=66.67,0.9115*EXP(-0.009*Cv_over_d_Sq_NT),-0.0025*Cv_over_d_Sq_NT+0.6642))),"")</f>
        <v/>
      </c>
      <c r="D40" s="230" t="str">
        <f>IFERROR(IF(#REF!&lt;0.73,0.91,IF(#REF!&gt;156,0.27,IF(#REF!&lt;=66.67,0.9115*EXP(-0.009*#REF!),-0.0025*#REF!+0.6642))),"")</f>
        <v/>
      </c>
      <c r="E40" s="230" t="str">
        <f t="shared" ref="E40:F40" si="10">IFERROR(IF(Q15&lt;0.73,0.91,IF(Q15&gt;156,0.27,IF(Q15&lt;=66.67,0.9115*EXP(-0.009*Q15),-0.0025*Q15+0.6642))),"")</f>
        <v/>
      </c>
      <c r="F40" s="230" t="str">
        <f t="shared" si="10"/>
        <v/>
      </c>
    </row>
  </sheetData>
  <sheetProtection sheet="1" objects="1" scenarios="1"/>
  <mergeCells count="2">
    <mergeCell ref="C8:F8"/>
    <mergeCell ref="C28:F2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F2A0C-096A-41D7-9969-467ECF78DB98}">
  <dimension ref="A1:O18"/>
  <sheetViews>
    <sheetView zoomScale="90" zoomScaleNormal="90" workbookViewId="0">
      <selection sqref="A1:H2"/>
    </sheetView>
  </sheetViews>
  <sheetFormatPr defaultRowHeight="12.5" x14ac:dyDescent="0.25"/>
  <cols>
    <col min="2" max="2" width="19.6328125" customWidth="1"/>
    <col min="3" max="3" width="32.81640625" customWidth="1"/>
    <col min="5" max="8" width="10.6328125" customWidth="1"/>
    <col min="9" max="9" width="9.81640625" customWidth="1"/>
  </cols>
  <sheetData>
    <row r="1" spans="1:15" x14ac:dyDescent="0.25">
      <c r="A1" s="383" t="s">
        <v>370</v>
      </c>
      <c r="B1" s="384"/>
      <c r="C1" s="384"/>
      <c r="D1" s="384"/>
      <c r="E1" s="384"/>
      <c r="F1" s="384"/>
      <c r="G1" s="384"/>
      <c r="H1" s="384"/>
    </row>
    <row r="2" spans="1:15" ht="22" customHeight="1" x14ac:dyDescent="0.25">
      <c r="A2" s="384"/>
      <c r="B2" s="384"/>
      <c r="C2" s="384"/>
      <c r="D2" s="384"/>
      <c r="E2" s="384"/>
      <c r="F2" s="384"/>
      <c r="G2" s="384"/>
      <c r="H2" s="384"/>
    </row>
    <row r="4" spans="1:15" ht="15.5" x14ac:dyDescent="0.35">
      <c r="E4" s="336"/>
      <c r="F4" s="336"/>
      <c r="G4" s="336"/>
      <c r="H4" s="336"/>
      <c r="K4" s="200" t="s">
        <v>199</v>
      </c>
    </row>
    <row r="5" spans="1:15" ht="13" x14ac:dyDescent="0.3">
      <c r="A5" s="335" t="s">
        <v>362</v>
      </c>
      <c r="E5" s="336" t="s">
        <v>354</v>
      </c>
      <c r="F5" s="336" t="s">
        <v>355</v>
      </c>
      <c r="G5" s="336" t="s">
        <v>356</v>
      </c>
      <c r="H5" s="336" t="s">
        <v>357</v>
      </c>
    </row>
    <row r="6" spans="1:15" x14ac:dyDescent="0.25">
      <c r="K6" s="6" t="s">
        <v>371</v>
      </c>
    </row>
    <row r="7" spans="1:15" ht="14.5" x14ac:dyDescent="0.25">
      <c r="C7" s="6" t="s">
        <v>363</v>
      </c>
      <c r="D7" s="6" t="s">
        <v>365</v>
      </c>
      <c r="E7" s="339">
        <v>40015</v>
      </c>
      <c r="F7" s="339">
        <v>106540</v>
      </c>
      <c r="G7" s="339">
        <v>211575</v>
      </c>
      <c r="H7" s="339">
        <v>275099</v>
      </c>
      <c r="J7" s="6" t="s">
        <v>361</v>
      </c>
      <c r="K7" t="s">
        <v>359</v>
      </c>
      <c r="L7" s="338">
        <f>G*62.372</f>
        <v>62.372</v>
      </c>
      <c r="M7" s="338">
        <f>'Valve Sizing'!E6*62.372</f>
        <v>62.372</v>
      </c>
      <c r="N7" s="338">
        <f>'Valve Sizing'!F6*62.372</f>
        <v>62.372</v>
      </c>
      <c r="O7" s="338">
        <f>'Valve Sizing'!G6*62.372</f>
        <v>62.372</v>
      </c>
    </row>
    <row r="8" spans="1:15" ht="14.5" x14ac:dyDescent="0.25">
      <c r="C8" s="6" t="s">
        <v>364</v>
      </c>
      <c r="E8" s="341">
        <f>(lb_h/RHO_lb)*0.1247</f>
        <v>80.001771628294762</v>
      </c>
      <c r="F8" s="341">
        <f>(F7/M7)*0.1247</f>
        <v>213.00484191624446</v>
      </c>
      <c r="G8" s="341">
        <f>(G7/N7)*0.1247</f>
        <v>423.00074552683901</v>
      </c>
      <c r="H8" s="341">
        <f>(H7/O7)*0.1247</f>
        <v>550.00393285448604</v>
      </c>
      <c r="J8" s="6" t="s">
        <v>360</v>
      </c>
      <c r="K8" t="s">
        <v>358</v>
      </c>
      <c r="L8" s="337">
        <f>G*999.1</f>
        <v>999.1</v>
      </c>
      <c r="M8" s="337">
        <f>'Valve Sizing'!E6*999.1</f>
        <v>999.1</v>
      </c>
      <c r="N8" s="337">
        <f>'Valve Sizing'!F6*999.1</f>
        <v>999.1</v>
      </c>
      <c r="O8" s="337">
        <f>'Valve Sizing'!G6*999.1</f>
        <v>999.1</v>
      </c>
    </row>
    <row r="12" spans="1:15" ht="15" x14ac:dyDescent="0.3">
      <c r="A12" s="7" t="s">
        <v>366</v>
      </c>
    </row>
    <row r="14" spans="1:15" x14ac:dyDescent="0.25">
      <c r="C14" s="6" t="s">
        <v>367</v>
      </c>
      <c r="D14" s="6" t="s">
        <v>369</v>
      </c>
      <c r="E14" s="339">
        <v>18152</v>
      </c>
      <c r="F14" s="339">
        <v>48329</v>
      </c>
      <c r="G14" s="339">
        <v>95977</v>
      </c>
      <c r="H14" s="339">
        <v>124793</v>
      </c>
    </row>
    <row r="15" spans="1:15" ht="14.5" x14ac:dyDescent="0.25">
      <c r="C15" s="6" t="s">
        <v>368</v>
      </c>
      <c r="E15" s="342">
        <f>kg_h/RHO_kg</f>
        <v>18.168351516364726</v>
      </c>
      <c r="F15" s="342">
        <f>F14/M8</f>
        <v>48.372535281753578</v>
      </c>
      <c r="G15" s="342">
        <f>G14/N8</f>
        <v>96.063457111400254</v>
      </c>
      <c r="H15" s="342">
        <f>H14/O8</f>
        <v>124.90541487338605</v>
      </c>
    </row>
    <row r="17" spans="5:5" x14ac:dyDescent="0.25">
      <c r="E17" s="339" t="s">
        <v>128</v>
      </c>
    </row>
    <row r="18" spans="5:5" x14ac:dyDescent="0.25">
      <c r="E18" s="340" t="s">
        <v>129</v>
      </c>
    </row>
  </sheetData>
  <sheetProtection sheet="1" objects="1" scenarios="1"/>
  <mergeCells count="1">
    <mergeCell ref="A1:H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2.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148</vt:i4>
      </vt:variant>
    </vt:vector>
  </HeadingPairs>
  <TitlesOfParts>
    <vt:vector size="154" baseType="lpstr">
      <vt:lpstr>Valve Sizing</vt:lpstr>
      <vt:lpstr>Installed Flow</vt:lpstr>
      <vt:lpstr>Installed Gain</vt:lpstr>
      <vt:lpstr>Typical FL</vt:lpstr>
      <vt:lpstr>Mass to Volumetric Flow</vt:lpstr>
      <vt:lpstr>Sheet2</vt:lpstr>
      <vt:lpstr>Applicable_C_NonCh_or_Ch</vt:lpstr>
      <vt:lpstr>C_</vt:lpstr>
      <vt:lpstr>C_100_Pct</vt:lpstr>
      <vt:lpstr>'Installed Flow'!C_Ch</vt:lpstr>
      <vt:lpstr>C_Ch</vt:lpstr>
      <vt:lpstr>C_Ch_W_Reducers</vt:lpstr>
      <vt:lpstr>C_d</vt:lpstr>
      <vt:lpstr>C_h</vt:lpstr>
      <vt:lpstr>'Installed Flow'!C_i</vt:lpstr>
      <vt:lpstr>C_i</vt:lpstr>
      <vt:lpstr>C_I_L</vt:lpstr>
      <vt:lpstr>C_i_NT</vt:lpstr>
      <vt:lpstr>C_LIM</vt:lpstr>
      <vt:lpstr>C_maxQ</vt:lpstr>
      <vt:lpstr>C_N_Ch</vt:lpstr>
      <vt:lpstr>C_NonCh</vt:lpstr>
      <vt:lpstr>C_NonCh_W_Reducers</vt:lpstr>
      <vt:lpstr>Calc_Flow_From_Final__Calc_C</vt:lpstr>
      <vt:lpstr>CV_OVER_D</vt:lpstr>
      <vt:lpstr>Cv_over_d_Sq_NT</vt:lpstr>
      <vt:lpstr>Cv_over_d_Sq_T</vt:lpstr>
      <vt:lpstr>CvGiven</vt:lpstr>
      <vt:lpstr>CvR</vt:lpstr>
      <vt:lpstr>d</vt:lpstr>
      <vt:lpstr>D_1</vt:lpstr>
      <vt:lpstr>D_2</vt:lpstr>
      <vt:lpstr>d_in</vt:lpstr>
      <vt:lpstr>Data_Input</vt:lpstr>
      <vt:lpstr>DELTA_P</vt:lpstr>
      <vt:lpstr>Delta_P_Ch</vt:lpstr>
      <vt:lpstr>'Installed Flow'!DELTA_P_CH_W_Reducers</vt:lpstr>
      <vt:lpstr>Delta_P_Ch_W_Reducers</vt:lpstr>
      <vt:lpstr>DELTA_P_maxQ</vt:lpstr>
      <vt:lpstr>DELTA_P_minQ</vt:lpstr>
      <vt:lpstr>DELTA_P_Qi</vt:lpstr>
      <vt:lpstr>DeltaLf</vt:lpstr>
      <vt:lpstr>DeltaLf_0</vt:lpstr>
      <vt:lpstr>DeltaLf_1</vt:lpstr>
      <vt:lpstr>DeltaLf_2</vt:lpstr>
      <vt:lpstr>DeltaLf_3</vt:lpstr>
      <vt:lpstr>DeltaLf_4</vt:lpstr>
      <vt:lpstr>DeltaLf_5</vt:lpstr>
      <vt:lpstr>DeltaLp</vt:lpstr>
      <vt:lpstr>dp_dn</vt:lpstr>
      <vt:lpstr>DP_f</vt:lpstr>
      <vt:lpstr>DP_m</vt:lpstr>
      <vt:lpstr>dp_up</vt:lpstr>
      <vt:lpstr>dpdn_minQ</vt:lpstr>
      <vt:lpstr>dpup_minQ</vt:lpstr>
      <vt:lpstr>ETA</vt:lpstr>
      <vt:lpstr>ETA_B</vt:lpstr>
      <vt:lpstr>ETA_HIGH_C</vt:lpstr>
      <vt:lpstr>ETA_LOW_C</vt:lpstr>
      <vt:lpstr>F_D</vt:lpstr>
      <vt:lpstr>F_F</vt:lpstr>
      <vt:lpstr>F_L</vt:lpstr>
      <vt:lpstr>F_L_100</vt:lpstr>
      <vt:lpstr>F_LP</vt:lpstr>
      <vt:lpstr>F_LP_h</vt:lpstr>
      <vt:lpstr>F_P</vt:lpstr>
      <vt:lpstr>F_P_h</vt:lpstr>
      <vt:lpstr>F_R</vt:lpstr>
      <vt:lpstr>F_R_Laminar</vt:lpstr>
      <vt:lpstr>F_R_Trans</vt:lpstr>
      <vt:lpstr>F_RE</vt:lpstr>
      <vt:lpstr>F_RE_L</vt:lpstr>
      <vt:lpstr>F_RE_T</vt:lpstr>
      <vt:lpstr>Final_Calculated_C</vt:lpstr>
      <vt:lpstr>Final_Delta_P_Ch_W_Reducers</vt:lpstr>
      <vt:lpstr>Final_F_LP</vt:lpstr>
      <vt:lpstr>Final_F_P</vt:lpstr>
      <vt:lpstr>Final_Flow_Ch_W_Reducers</vt:lpstr>
      <vt:lpstr>Final_Flow_NonCh_W_Reducers</vt:lpstr>
      <vt:lpstr>FLAG_1</vt:lpstr>
      <vt:lpstr>FLAG_3</vt:lpstr>
      <vt:lpstr>FRL</vt:lpstr>
      <vt:lpstr>FRT</vt:lpstr>
      <vt:lpstr>FRTr</vt:lpstr>
      <vt:lpstr>G</vt:lpstr>
      <vt:lpstr>kg_h</vt:lpstr>
      <vt:lpstr>lb_h</vt:lpstr>
      <vt:lpstr>LO_FLO</vt:lpstr>
      <vt:lpstr>N</vt:lpstr>
      <vt:lpstr>N_1</vt:lpstr>
      <vt:lpstr>N_18</vt:lpstr>
      <vt:lpstr>N_2</vt:lpstr>
      <vt:lpstr>N_32</vt:lpstr>
      <vt:lpstr>N_4</vt:lpstr>
      <vt:lpstr>N_41</vt:lpstr>
      <vt:lpstr>N_TURB1</vt:lpstr>
      <vt:lpstr>N_TURB2</vt:lpstr>
      <vt:lpstr>N_TURB3</vt:lpstr>
      <vt:lpstr>N_TURB4</vt:lpstr>
      <vt:lpstr>nu</vt:lpstr>
      <vt:lpstr>P_1</vt:lpstr>
      <vt:lpstr>P_1_maxQ</vt:lpstr>
      <vt:lpstr>P_1_minQ</vt:lpstr>
      <vt:lpstr>P_2_maxQ</vt:lpstr>
      <vt:lpstr>P_2_minQ</vt:lpstr>
      <vt:lpstr>P_C</vt:lpstr>
      <vt:lpstr>P_V</vt:lpstr>
      <vt:lpstr>P1_Qi</vt:lpstr>
      <vt:lpstr>P2_Qi</vt:lpstr>
      <vt:lpstr>'Installed Flow'!Print_Area</vt:lpstr>
      <vt:lpstr>'Installed Gain'!Print_Area</vt:lpstr>
      <vt:lpstr>'Valve Sizing'!Print_Area</vt:lpstr>
      <vt:lpstr>Q</vt:lpstr>
      <vt:lpstr>Q_CALC</vt:lpstr>
      <vt:lpstr>Q_i</vt:lpstr>
      <vt:lpstr>Q_max</vt:lpstr>
      <vt:lpstr>Q_min</vt:lpstr>
      <vt:lpstr>Qf</vt:lpstr>
      <vt:lpstr>R_dn</vt:lpstr>
      <vt:lpstr>R_S</vt:lpstr>
      <vt:lpstr>R_up</vt:lpstr>
      <vt:lpstr>Re_V</vt:lpstr>
      <vt:lpstr>RE_VLV</vt:lpstr>
      <vt:lpstr>Re7105_</vt:lpstr>
      <vt:lpstr>RED_TRM</vt:lpstr>
      <vt:lpstr>ReV</vt:lpstr>
      <vt:lpstr>RHO_kg</vt:lpstr>
      <vt:lpstr>RHO_lb</vt:lpstr>
      <vt:lpstr>SIGMA_ZETA</vt:lpstr>
      <vt:lpstr>SIGMA_ZETA_1</vt:lpstr>
      <vt:lpstr>SPL_C</vt:lpstr>
      <vt:lpstr>SPL_G</vt:lpstr>
      <vt:lpstr>SPL_L</vt:lpstr>
      <vt:lpstr>SPL_SELECTED</vt:lpstr>
      <vt:lpstr>TURB1</vt:lpstr>
      <vt:lpstr>TURB2</vt:lpstr>
      <vt:lpstr>TURB3</vt:lpstr>
      <vt:lpstr>TURB4</vt:lpstr>
      <vt:lpstr>Valve_cap._In_Cv</vt:lpstr>
      <vt:lpstr>Valve_size_in_Inch</vt:lpstr>
      <vt:lpstr>VSC</vt:lpstr>
      <vt:lpstr>x_F</vt:lpstr>
      <vt:lpstr>x_R</vt:lpstr>
      <vt:lpstr>z</vt:lpstr>
      <vt:lpstr>z_0</vt:lpstr>
      <vt:lpstr>z_1</vt:lpstr>
      <vt:lpstr>z_2</vt:lpstr>
      <vt:lpstr>z_3</vt:lpstr>
      <vt:lpstr>z_4</vt:lpstr>
      <vt:lpstr>z_5</vt:lpstr>
      <vt:lpstr>ZETA_1</vt:lpstr>
      <vt:lpstr>ZETA_2</vt:lpstr>
      <vt:lpstr>ZETA_B1</vt:lpstr>
      <vt:lpstr>ZETA_B2</vt:lpstr>
    </vt:vector>
  </TitlesOfParts>
  <Company>Jamesbury Neles Controls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Monsen</dc:creator>
  <cp:lastModifiedBy>Jon</cp:lastModifiedBy>
  <cp:lastPrinted>2018-04-26T23:11:39Z</cp:lastPrinted>
  <dcterms:created xsi:type="dcterms:W3CDTF">2003-01-19T12:32:55Z</dcterms:created>
  <dcterms:modified xsi:type="dcterms:W3CDTF">2018-04-27T17:19:10Z</dcterms:modified>
</cp:coreProperties>
</file>